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0" yWindow="15" windowWidth="15060" windowHeight="9030" tabRatio="846" firstSheet="13" activeTab="18"/>
  </bookViews>
  <sheets>
    <sheet name="柜体" sheetId="12" r:id="rId1"/>
    <sheet name="下料单" sheetId="2" r:id="rId2"/>
    <sheet name="铝材玻璃单" sheetId="34" r:id="rId3"/>
    <sheet name="领料单" sheetId="4" r:id="rId4"/>
    <sheet name="交接表" sheetId="8" r:id="rId5"/>
    <sheet name="A6包装" sheetId="15" r:id="rId6"/>
    <sheet name="速美包装" sheetId="35" r:id="rId7"/>
    <sheet name="平板门板转序单" sheetId="38" r:id="rId8"/>
    <sheet name="平板门板作业单" sheetId="36" r:id="rId9"/>
    <sheet name="平板门板领料单" sheetId="37" r:id="rId10"/>
    <sheet name="古典门板转序单" sheetId="41" r:id="rId11"/>
    <sheet name="古典门板作业单" sheetId="39" r:id="rId12"/>
    <sheet name="古典门板领料单" sheetId="40" r:id="rId13"/>
    <sheet name="西迪布赛转序单" sheetId="44" r:id="rId14"/>
    <sheet name="西迪布赛作业单" sheetId="42" r:id="rId15"/>
    <sheet name="西迪布赛领料单" sheetId="43" r:id="rId16"/>
    <sheet name="图兰朵转序单" sheetId="47" r:id="rId17"/>
    <sheet name="图兰朵作业单" sheetId="45" r:id="rId18"/>
    <sheet name="图兰朵领料单" sheetId="46" r:id="rId19"/>
    <sheet name="图兰朵黑檀转序单" sheetId="50" r:id="rId20"/>
    <sheet name="图兰朵黑檀作业单" sheetId="48" r:id="rId21"/>
    <sheet name="图兰朵黑檀领料单" sheetId="49" r:id="rId22"/>
  </sheets>
  <externalReferences>
    <externalReference r:id="rId23"/>
    <externalReference r:id="rId24"/>
    <externalReference r:id="rId25"/>
    <externalReference r:id="rId26"/>
  </externalReferences>
  <definedNames>
    <definedName name="_xlnm._FilterDatabase" localSheetId="3" hidden="1">领料单!$T$3:$T$125</definedName>
    <definedName name="EV浅橡_直_N23_H">#REF!</definedName>
    <definedName name="_xlnm.Print_Area" localSheetId="12">古典门板领料单!$A$1:$F$29</definedName>
    <definedName name="_xlnm.Print_Area" localSheetId="11">古典门板作业单!$A$1:$M$54</definedName>
    <definedName name="_xlnm.Print_Area" localSheetId="0">柜体!#REF!</definedName>
    <definedName name="_xlnm.Print_Area" localSheetId="3">领料单!$A$1:$F$132</definedName>
    <definedName name="_xlnm.Print_Area" localSheetId="2">铝材玻璃单!$A$1:$L$25</definedName>
    <definedName name="_xlnm.Print_Area" localSheetId="8">平板门板作业单!$A$1:$M$43</definedName>
    <definedName name="_xlnm.Print_Area" localSheetId="6">速美包装!$A$1:$K$213</definedName>
    <definedName name="_xlnm.Print_Area" localSheetId="21">图兰朵黑檀领料单!$A$1:$R$31</definedName>
    <definedName name="_xlnm.Print_Area" localSheetId="20">图兰朵黑檀作业单!$A$1:$M$49</definedName>
    <definedName name="_xlnm.Print_Area" localSheetId="18">图兰朵领料单!$A$1:$F$28</definedName>
    <definedName name="_xlnm.Print_Area" localSheetId="17">图兰朵作业单!$A$1:$M$112</definedName>
    <definedName name="_xlnm.Print_Area" localSheetId="15">西迪布赛领料单!$A$1:$E$24</definedName>
    <definedName name="_xlnm.Print_Area" localSheetId="14">西迪布赛作业单!$A$1:$N$68</definedName>
    <definedName name="_xlnm.Print_Area" localSheetId="1">下料单!$A$1:$AO$49</definedName>
    <definedName name="_xlnm.Print_Titles" localSheetId="5">A6包装!$1:$4</definedName>
  </definedNames>
  <calcPr calcId="144525"/>
</workbook>
</file>

<file path=xl/calcChain.xml><?xml version="1.0" encoding="utf-8"?>
<calcChain xmlns="http://schemas.openxmlformats.org/spreadsheetml/2006/main">
  <c r="U103" i="45" l="1"/>
  <c r="T103" i="45"/>
  <c r="T40" i="45"/>
  <c r="O105" i="45"/>
  <c r="O8" i="45"/>
  <c r="O9" i="45"/>
  <c r="O10" i="45"/>
  <c r="O11" i="45"/>
  <c r="O12" i="45"/>
  <c r="O13" i="45"/>
  <c r="O14" i="45"/>
  <c r="O15" i="45"/>
  <c r="O16" i="45"/>
  <c r="O17" i="45"/>
  <c r="O18" i="45"/>
  <c r="O19" i="45"/>
  <c r="O20" i="45"/>
  <c r="O21" i="45"/>
  <c r="O22" i="45"/>
  <c r="O23" i="45"/>
  <c r="O24" i="45"/>
  <c r="O25" i="45"/>
  <c r="O26" i="45"/>
  <c r="O27" i="45"/>
  <c r="O28" i="45"/>
  <c r="O29" i="45"/>
  <c r="O30" i="45"/>
  <c r="O31" i="45"/>
  <c r="O32" i="45"/>
  <c r="O33" i="45"/>
  <c r="O34" i="45"/>
  <c r="O35" i="45"/>
  <c r="O36" i="45"/>
  <c r="O37" i="45"/>
  <c r="O38" i="45"/>
  <c r="O39" i="45"/>
  <c r="O40" i="45"/>
  <c r="O41" i="45"/>
  <c r="O42" i="45"/>
  <c r="O43" i="45"/>
  <c r="O44" i="45"/>
  <c r="O45" i="45"/>
  <c r="O46" i="45"/>
  <c r="O47" i="45"/>
  <c r="O48" i="45"/>
  <c r="O49" i="45"/>
  <c r="O50" i="45"/>
  <c r="O51" i="45"/>
  <c r="O52" i="45"/>
  <c r="O53" i="45"/>
  <c r="O54" i="45"/>
  <c r="O55" i="45"/>
  <c r="O56" i="45"/>
  <c r="O57" i="45"/>
  <c r="O58" i="45"/>
  <c r="O59" i="45"/>
  <c r="O60" i="45"/>
  <c r="O61" i="45"/>
  <c r="O62" i="45"/>
  <c r="O63" i="45"/>
  <c r="O64" i="45"/>
  <c r="O65" i="45"/>
  <c r="O66" i="45"/>
  <c r="O67" i="45"/>
  <c r="O68" i="45"/>
  <c r="O69" i="45"/>
  <c r="O70" i="45"/>
  <c r="O71" i="45"/>
  <c r="O72" i="45"/>
  <c r="O73" i="45"/>
  <c r="O74" i="45"/>
  <c r="O75" i="45"/>
  <c r="O76" i="45"/>
  <c r="O77" i="45"/>
  <c r="O78" i="45"/>
  <c r="O79" i="45"/>
  <c r="O80" i="45"/>
  <c r="O81" i="45"/>
  <c r="O82" i="45"/>
  <c r="O83" i="45"/>
  <c r="O84" i="45"/>
  <c r="O85" i="45"/>
  <c r="O86" i="45"/>
  <c r="O87" i="45"/>
  <c r="O88" i="45"/>
  <c r="O89" i="45"/>
  <c r="O90" i="45"/>
  <c r="O91" i="45"/>
  <c r="O92" i="45"/>
  <c r="O93" i="45"/>
  <c r="O94" i="45"/>
  <c r="O95" i="45"/>
  <c r="O96" i="45"/>
  <c r="O97" i="45"/>
  <c r="O98" i="45"/>
  <c r="O99" i="45"/>
  <c r="O100" i="45"/>
  <c r="O7" i="45"/>
  <c r="B117" i="45" s="1"/>
  <c r="M7" i="45" s="1"/>
  <c r="N96" i="45"/>
  <c r="N97" i="45"/>
  <c r="E4"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39" i="45"/>
  <c r="M40" i="45"/>
  <c r="M41" i="45"/>
  <c r="M42" i="45"/>
  <c r="M43" i="45"/>
  <c r="M44" i="45"/>
  <c r="M45" i="45"/>
  <c r="M46" i="45"/>
  <c r="M47" i="45"/>
  <c r="M48" i="45"/>
  <c r="M49" i="45"/>
  <c r="M50" i="45"/>
  <c r="M51" i="45"/>
  <c r="M52" i="45"/>
  <c r="M53" i="45"/>
  <c r="M54" i="45"/>
  <c r="M55" i="45"/>
  <c r="M56" i="45"/>
  <c r="M57" i="45"/>
  <c r="M58" i="45"/>
  <c r="M59" i="45"/>
  <c r="M60" i="45"/>
  <c r="M61" i="45"/>
  <c r="M62" i="45"/>
  <c r="M63" i="45"/>
  <c r="M64" i="45"/>
  <c r="M65" i="45"/>
  <c r="M66" i="45"/>
  <c r="M67" i="45"/>
  <c r="M68" i="45"/>
  <c r="M69" i="45"/>
  <c r="M70" i="45"/>
  <c r="M71" i="45"/>
  <c r="M72" i="45"/>
  <c r="M73" i="45"/>
  <c r="M74" i="45"/>
  <c r="M75" i="45"/>
  <c r="M76" i="45"/>
  <c r="M77" i="45"/>
  <c r="M78" i="45"/>
  <c r="M79" i="45"/>
  <c r="M80" i="45"/>
  <c r="M81" i="45"/>
  <c r="M82" i="45"/>
  <c r="M83" i="45"/>
  <c r="M84" i="45"/>
  <c r="M85" i="45"/>
  <c r="M86" i="45"/>
  <c r="M87" i="45"/>
  <c r="M88" i="45"/>
  <c r="M89" i="45"/>
  <c r="M90" i="45"/>
  <c r="M91" i="45"/>
  <c r="M92" i="45"/>
  <c r="M93" i="45"/>
  <c r="M94" i="45"/>
  <c r="M95" i="45"/>
  <c r="M96" i="45"/>
  <c r="M97" i="45"/>
  <c r="M98" i="45"/>
  <c r="M99" i="45"/>
  <c r="M100" i="45"/>
  <c r="M101" i="45"/>
  <c r="M102" i="45"/>
  <c r="M103" i="45"/>
  <c r="M104" i="45"/>
  <c r="M105" i="45"/>
  <c r="B3" i="50" l="1"/>
  <c r="I2" i="47"/>
  <c r="I2" i="50" s="1"/>
  <c r="B4" i="42"/>
  <c r="E3" i="44" s="1"/>
  <c r="I2" i="44"/>
  <c r="E3" i="43" l="1"/>
  <c r="B74" i="42"/>
  <c r="Q51" i="42"/>
  <c r="B75" i="42"/>
  <c r="B76" i="42"/>
  <c r="B77" i="42"/>
  <c r="B78" i="42"/>
  <c r="B79" i="42"/>
  <c r="B80" i="42"/>
  <c r="B81" i="42"/>
  <c r="B82" i="42"/>
  <c r="B83" i="42"/>
  <c r="B84" i="42"/>
  <c r="B85" i="42"/>
  <c r="B86" i="42"/>
  <c r="B87" i="42"/>
  <c r="B88" i="42"/>
  <c r="B89" i="42"/>
  <c r="B90" i="42"/>
  <c r="B91" i="42"/>
  <c r="B92" i="42"/>
  <c r="B93" i="42"/>
  <c r="B94" i="42"/>
  <c r="B95" i="42"/>
  <c r="B96" i="42"/>
  <c r="B97" i="42"/>
  <c r="B98" i="42"/>
  <c r="B99" i="42"/>
  <c r="B100" i="42"/>
  <c r="B101" i="42"/>
  <c r="B102" i="42"/>
  <c r="B103" i="42"/>
  <c r="B104" i="42"/>
  <c r="B105" i="42"/>
  <c r="B106" i="42"/>
  <c r="B107" i="42"/>
  <c r="B108" i="42"/>
  <c r="B109" i="42"/>
  <c r="B110" i="42"/>
  <c r="B111" i="42"/>
  <c r="B112" i="42"/>
  <c r="B113" i="42"/>
  <c r="B114" i="42"/>
  <c r="B115" i="42"/>
  <c r="N9" i="42"/>
  <c r="N10" i="42"/>
  <c r="N11" i="42"/>
  <c r="N12" i="42"/>
  <c r="N13" i="42"/>
  <c r="N14" i="42"/>
  <c r="N15" i="42"/>
  <c r="N16" i="42"/>
  <c r="N17" i="42"/>
  <c r="N18" i="42"/>
  <c r="N19" i="42"/>
  <c r="N20" i="42"/>
  <c r="N21" i="42"/>
  <c r="N22" i="42"/>
  <c r="N23" i="42"/>
  <c r="N24" i="42"/>
  <c r="N25" i="42"/>
  <c r="N26" i="42"/>
  <c r="N27" i="42"/>
  <c r="N28" i="42"/>
  <c r="N29" i="42"/>
  <c r="N30" i="42"/>
  <c r="N31" i="42"/>
  <c r="N32" i="42"/>
  <c r="N33" i="42"/>
  <c r="N34" i="42"/>
  <c r="N35" i="42"/>
  <c r="N36" i="42"/>
  <c r="N37" i="42"/>
  <c r="N38" i="42"/>
  <c r="N39" i="42"/>
  <c r="N40" i="42"/>
  <c r="N41" i="42"/>
  <c r="N42" i="42"/>
  <c r="N43" i="42"/>
  <c r="N44" i="42"/>
  <c r="N45" i="42"/>
  <c r="N46" i="42"/>
  <c r="N47" i="42"/>
  <c r="N48" i="42"/>
  <c r="N49" i="42"/>
  <c r="N50" i="42"/>
  <c r="N51" i="42"/>
  <c r="N52" i="42"/>
  <c r="N53" i="42"/>
  <c r="N54" i="42"/>
  <c r="N55" i="42"/>
  <c r="N56" i="42"/>
  <c r="N57" i="42"/>
  <c r="N58" i="42"/>
  <c r="N59" i="42"/>
  <c r="N60" i="42"/>
  <c r="N61" i="42"/>
  <c r="N62" i="42"/>
  <c r="N63" i="42"/>
  <c r="N64" i="42"/>
  <c r="N65" i="42"/>
  <c r="N66" i="42"/>
  <c r="N67" i="42"/>
  <c r="N8" i="42"/>
  <c r="E2" i="42" l="1"/>
  <c r="J3" i="42"/>
  <c r="B3" i="42"/>
  <c r="C2" i="43" s="1"/>
  <c r="B2" i="42"/>
  <c r="C3" i="43" s="1"/>
  <c r="N25" i="49"/>
  <c r="N24" i="49"/>
  <c r="X24" i="49" s="1"/>
  <c r="X23" i="49"/>
  <c r="X22" i="49"/>
  <c r="U22" i="49"/>
  <c r="N21" i="49"/>
  <c r="R21" i="49" s="1"/>
  <c r="N20" i="49"/>
  <c r="X20" i="49" s="1"/>
  <c r="G20" i="49"/>
  <c r="X19" i="49"/>
  <c r="X18" i="49"/>
  <c r="V18" i="49"/>
  <c r="U18" i="49"/>
  <c r="X17" i="49"/>
  <c r="X16" i="49"/>
  <c r="X15" i="49"/>
  <c r="V15" i="49"/>
  <c r="U15" i="49"/>
  <c r="G15" i="49"/>
  <c r="G14" i="49"/>
  <c r="X13" i="49"/>
  <c r="AD12" i="49"/>
  <c r="W15" i="49" s="1"/>
  <c r="AC12" i="49"/>
  <c r="AE12" i="49" s="1"/>
  <c r="W18" i="49" s="1"/>
  <c r="X12" i="49"/>
  <c r="U12" i="49"/>
  <c r="Q11" i="49"/>
  <c r="Q10" i="49"/>
  <c r="Q9" i="49"/>
  <c r="G9" i="49"/>
  <c r="G8" i="49"/>
  <c r="G7" i="49"/>
  <c r="Q6" i="49"/>
  <c r="Q7" i="49" s="1"/>
  <c r="G6" i="49"/>
  <c r="A4" i="49"/>
  <c r="Q3" i="49"/>
  <c r="B43" i="48"/>
  <c r="V43" i="48" s="1"/>
  <c r="B42" i="48"/>
  <c r="V42" i="48" s="1"/>
  <c r="V41" i="48"/>
  <c r="T41" i="48"/>
  <c r="S41" i="48"/>
  <c r="S45" i="48" s="1"/>
  <c r="W33" i="48"/>
  <c r="V33" i="48"/>
  <c r="O33" i="48"/>
  <c r="E33" i="48"/>
  <c r="W32" i="48"/>
  <c r="V32" i="48"/>
  <c r="O32" i="48"/>
  <c r="H32" i="48"/>
  <c r="E32" i="48"/>
  <c r="W31" i="48"/>
  <c r="V31" i="48"/>
  <c r="U31" i="48"/>
  <c r="T31" i="48"/>
  <c r="O31" i="48"/>
  <c r="H31" i="48"/>
  <c r="F31" i="48"/>
  <c r="F32" i="48" s="1"/>
  <c r="E31" i="48"/>
  <c r="F33" i="48" s="1"/>
  <c r="W30" i="48"/>
  <c r="V30" i="48"/>
  <c r="P30" i="48"/>
  <c r="O30" i="48"/>
  <c r="W29" i="48"/>
  <c r="V29" i="48"/>
  <c r="P29" i="48"/>
  <c r="O29" i="48"/>
  <c r="H29" i="48"/>
  <c r="W28" i="48"/>
  <c r="V28" i="48"/>
  <c r="U28" i="48"/>
  <c r="T28" i="48"/>
  <c r="O28" i="48"/>
  <c r="N28" i="48"/>
  <c r="H28" i="48"/>
  <c r="F28" i="48"/>
  <c r="H30" i="48" s="1"/>
  <c r="E28" i="48"/>
  <c r="F30" i="48" s="1"/>
  <c r="X30" i="48" s="1"/>
  <c r="W27" i="48"/>
  <c r="V27" i="48"/>
  <c r="P27" i="48"/>
  <c r="O27" i="48"/>
  <c r="W26" i="48"/>
  <c r="V26" i="48"/>
  <c r="P26" i="48"/>
  <c r="O26" i="48"/>
  <c r="H26" i="48"/>
  <c r="W25" i="48"/>
  <c r="V25" i="48"/>
  <c r="U25" i="48"/>
  <c r="T25" i="48"/>
  <c r="O25" i="48"/>
  <c r="N25" i="48"/>
  <c r="H25" i="48"/>
  <c r="F25" i="48"/>
  <c r="H27" i="48" s="1"/>
  <c r="E25" i="48"/>
  <c r="F27" i="48" s="1"/>
  <c r="W24" i="48"/>
  <c r="V24" i="48"/>
  <c r="P24" i="48"/>
  <c r="O24" i="48"/>
  <c r="W23" i="48"/>
  <c r="V23" i="48"/>
  <c r="P23" i="48"/>
  <c r="O23" i="48"/>
  <c r="H23" i="48"/>
  <c r="W22" i="48"/>
  <c r="V22" i="48"/>
  <c r="U22" i="48"/>
  <c r="T22" i="48"/>
  <c r="O22" i="48"/>
  <c r="N22" i="48"/>
  <c r="H22" i="48"/>
  <c r="F22" i="48"/>
  <c r="H24" i="48" s="1"/>
  <c r="E22" i="48"/>
  <c r="F24" i="48" s="1"/>
  <c r="X24" i="48" s="1"/>
  <c r="W21" i="48"/>
  <c r="V21" i="48"/>
  <c r="P21" i="48"/>
  <c r="O21" i="48"/>
  <c r="W20" i="48"/>
  <c r="V20" i="48"/>
  <c r="P20" i="48"/>
  <c r="O20" i="48"/>
  <c r="H20" i="48"/>
  <c r="W19" i="48"/>
  <c r="V19" i="48"/>
  <c r="U19" i="48"/>
  <c r="T19" i="48"/>
  <c r="O19" i="48"/>
  <c r="N19" i="48"/>
  <c r="H19" i="48"/>
  <c r="F19" i="48"/>
  <c r="H21" i="48" s="1"/>
  <c r="E19" i="48"/>
  <c r="F21" i="48" s="1"/>
  <c r="W18" i="48"/>
  <c r="V18" i="48"/>
  <c r="P18" i="48"/>
  <c r="O18" i="48"/>
  <c r="W17" i="48"/>
  <c r="V17" i="48"/>
  <c r="P17" i="48"/>
  <c r="O17" i="48"/>
  <c r="H17" i="48"/>
  <c r="W16" i="48"/>
  <c r="V16" i="48"/>
  <c r="U16" i="48"/>
  <c r="T16" i="48"/>
  <c r="O16" i="48"/>
  <c r="N16" i="48"/>
  <c r="H16" i="48"/>
  <c r="F16" i="48"/>
  <c r="H18" i="48" s="1"/>
  <c r="E16" i="48"/>
  <c r="F18" i="48" s="1"/>
  <c r="X18" i="48" s="1"/>
  <c r="W15" i="48"/>
  <c r="V15" i="48"/>
  <c r="P15" i="48"/>
  <c r="O15" i="48"/>
  <c r="W14" i="48"/>
  <c r="V14" i="48"/>
  <c r="P14" i="48"/>
  <c r="O14" i="48"/>
  <c r="H14" i="48"/>
  <c r="W13" i="48"/>
  <c r="V13" i="48"/>
  <c r="U13" i="48"/>
  <c r="T13" i="48"/>
  <c r="O13" i="48"/>
  <c r="N13" i="48"/>
  <c r="H13" i="48"/>
  <c r="F13" i="48"/>
  <c r="H15" i="48" s="1"/>
  <c r="E13" i="48"/>
  <c r="F15" i="48" s="1"/>
  <c r="W12" i="48"/>
  <c r="V12" i="48"/>
  <c r="P12" i="48"/>
  <c r="O12" i="48"/>
  <c r="W11" i="48"/>
  <c r="V11" i="48"/>
  <c r="P11" i="48"/>
  <c r="O11" i="48"/>
  <c r="H11" i="48"/>
  <c r="W10" i="48"/>
  <c r="V10" i="48"/>
  <c r="U10" i="48"/>
  <c r="T10" i="48"/>
  <c r="O10" i="48"/>
  <c r="N10" i="48"/>
  <c r="H10" i="48"/>
  <c r="F10" i="48"/>
  <c r="H12" i="48" s="1"/>
  <c r="E10" i="48"/>
  <c r="F12" i="48" s="1"/>
  <c r="X12" i="48" s="1"/>
  <c r="W9" i="48"/>
  <c r="V9" i="48"/>
  <c r="P9" i="48"/>
  <c r="O9" i="48"/>
  <c r="W8" i="48"/>
  <c r="V8" i="48"/>
  <c r="P8" i="48"/>
  <c r="O8" i="48"/>
  <c r="H8" i="48"/>
  <c r="W7" i="48"/>
  <c r="V7" i="48"/>
  <c r="U7" i="48"/>
  <c r="U45" i="48" s="1"/>
  <c r="T7" i="48"/>
  <c r="O7" i="48"/>
  <c r="N7" i="48"/>
  <c r="N45" i="48" s="1"/>
  <c r="H7" i="48"/>
  <c r="F7" i="48"/>
  <c r="H9" i="48" s="1"/>
  <c r="E7" i="48"/>
  <c r="F9" i="48" s="1"/>
  <c r="L4" i="48"/>
  <c r="L2" i="48"/>
  <c r="D15" i="50" s="1"/>
  <c r="D16" i="50" s="1"/>
  <c r="D28" i="50" s="1"/>
  <c r="G2" i="48"/>
  <c r="E3" i="50"/>
  <c r="E3" i="46"/>
  <c r="P104" i="45"/>
  <c r="F101" i="45"/>
  <c r="Q100" i="45"/>
  <c r="Q107" i="45" s="1"/>
  <c r="E7" i="46" s="1"/>
  <c r="R99" i="45"/>
  <c r="G99" i="45"/>
  <c r="R98" i="45"/>
  <c r="R107" i="45" s="1"/>
  <c r="E8" i="46" s="1"/>
  <c r="H98" i="45"/>
  <c r="H102" i="45" s="1"/>
  <c r="G98" i="45"/>
  <c r="S97" i="45"/>
  <c r="H97" i="45"/>
  <c r="G97" i="45"/>
  <c r="F97" i="45"/>
  <c r="S96" i="45"/>
  <c r="S107" i="45" s="1"/>
  <c r="E9" i="46" s="1"/>
  <c r="H96" i="45"/>
  <c r="G96" i="45"/>
  <c r="F96" i="45"/>
  <c r="P95" i="45"/>
  <c r="H95" i="45"/>
  <c r="G95" i="45"/>
  <c r="F95" i="45"/>
  <c r="P94" i="45"/>
  <c r="H94" i="45"/>
  <c r="G94" i="45"/>
  <c r="F94" i="45"/>
  <c r="P93" i="45"/>
  <c r="H93" i="45"/>
  <c r="G93" i="45"/>
  <c r="F93" i="45"/>
  <c r="P92" i="45"/>
  <c r="H92" i="45"/>
  <c r="G92" i="45"/>
  <c r="F92" i="45"/>
  <c r="P91" i="45"/>
  <c r="H91" i="45"/>
  <c r="G91" i="45"/>
  <c r="F91" i="45"/>
  <c r="P90" i="45"/>
  <c r="H90" i="45"/>
  <c r="G90" i="45"/>
  <c r="F90" i="45"/>
  <c r="P89" i="45"/>
  <c r="H89" i="45"/>
  <c r="G89" i="45"/>
  <c r="F89" i="45"/>
  <c r="P88" i="45"/>
  <c r="H88" i="45"/>
  <c r="G88" i="45"/>
  <c r="F88" i="45"/>
  <c r="P87" i="45"/>
  <c r="H87" i="45"/>
  <c r="G87" i="45"/>
  <c r="F87" i="45"/>
  <c r="P86" i="45"/>
  <c r="H86" i="45"/>
  <c r="G86" i="45"/>
  <c r="F86" i="45"/>
  <c r="P85" i="45"/>
  <c r="H85" i="45"/>
  <c r="G85" i="45"/>
  <c r="F85" i="45"/>
  <c r="P84" i="45"/>
  <c r="H84" i="45"/>
  <c r="G84" i="45"/>
  <c r="F84" i="45"/>
  <c r="P83" i="45"/>
  <c r="H83" i="45"/>
  <c r="F83" i="45"/>
  <c r="U82" i="45"/>
  <c r="T82" i="45"/>
  <c r="P82" i="45"/>
  <c r="H82" i="45"/>
  <c r="G82" i="45"/>
  <c r="F82" i="45"/>
  <c r="P81" i="45"/>
  <c r="H81" i="45"/>
  <c r="F81" i="45"/>
  <c r="U80" i="45"/>
  <c r="T80" i="45"/>
  <c r="P80" i="45"/>
  <c r="H80" i="45"/>
  <c r="G80" i="45"/>
  <c r="F80" i="45"/>
  <c r="P79" i="45"/>
  <c r="H79" i="45"/>
  <c r="F79" i="45"/>
  <c r="U78" i="45"/>
  <c r="T78" i="45"/>
  <c r="P78" i="45"/>
  <c r="H78" i="45"/>
  <c r="G78" i="45"/>
  <c r="F78" i="45"/>
  <c r="P77" i="45"/>
  <c r="H77" i="45"/>
  <c r="F77" i="45"/>
  <c r="U76" i="45"/>
  <c r="T76" i="45"/>
  <c r="P76" i="45"/>
  <c r="H76" i="45"/>
  <c r="G76" i="45"/>
  <c r="F76" i="45"/>
  <c r="P75" i="45"/>
  <c r="H75" i="45"/>
  <c r="F75" i="45"/>
  <c r="U74" i="45"/>
  <c r="T74" i="45"/>
  <c r="P74" i="45"/>
  <c r="H74" i="45"/>
  <c r="G74" i="45"/>
  <c r="F74" i="45"/>
  <c r="P73" i="45"/>
  <c r="H73" i="45"/>
  <c r="F73" i="45"/>
  <c r="U72" i="45"/>
  <c r="T72" i="45"/>
  <c r="P72" i="45"/>
  <c r="H72" i="45"/>
  <c r="G72" i="45"/>
  <c r="F72" i="45"/>
  <c r="P71" i="45"/>
  <c r="H71" i="45"/>
  <c r="F71" i="45"/>
  <c r="U70" i="45"/>
  <c r="T70" i="45"/>
  <c r="P70" i="45"/>
  <c r="H70" i="45"/>
  <c r="G70" i="45"/>
  <c r="F70" i="45"/>
  <c r="P69" i="45"/>
  <c r="H69" i="45"/>
  <c r="F69" i="45"/>
  <c r="U68" i="45"/>
  <c r="T68" i="45"/>
  <c r="P68" i="45"/>
  <c r="H68" i="45"/>
  <c r="G68" i="45"/>
  <c r="F68" i="45"/>
  <c r="P67" i="45"/>
  <c r="H67" i="45"/>
  <c r="F67" i="45"/>
  <c r="U66" i="45"/>
  <c r="T66" i="45"/>
  <c r="P66" i="45"/>
  <c r="H66" i="45"/>
  <c r="G66" i="45"/>
  <c r="F66" i="45"/>
  <c r="P65" i="45"/>
  <c r="H65" i="45"/>
  <c r="F65" i="45"/>
  <c r="U64" i="45"/>
  <c r="T64" i="45"/>
  <c r="P64" i="45"/>
  <c r="H64" i="45"/>
  <c r="G64" i="45"/>
  <c r="F64" i="45"/>
  <c r="P63" i="45"/>
  <c r="H63" i="45"/>
  <c r="F63" i="45"/>
  <c r="U62" i="45"/>
  <c r="T62" i="45"/>
  <c r="P62" i="45"/>
  <c r="H62" i="45"/>
  <c r="G62" i="45"/>
  <c r="F62" i="45"/>
  <c r="P61" i="45"/>
  <c r="H61" i="45"/>
  <c r="F61" i="45"/>
  <c r="U60" i="45"/>
  <c r="T60" i="45"/>
  <c r="P60" i="45"/>
  <c r="H60" i="45"/>
  <c r="G60" i="45"/>
  <c r="F60" i="45"/>
  <c r="P59" i="45"/>
  <c r="H59" i="45"/>
  <c r="F59" i="45"/>
  <c r="U58" i="45"/>
  <c r="T58" i="45"/>
  <c r="P58" i="45"/>
  <c r="H58" i="45"/>
  <c r="G58" i="45"/>
  <c r="F58" i="45"/>
  <c r="P57" i="45"/>
  <c r="H57" i="45"/>
  <c r="F57" i="45"/>
  <c r="U56" i="45"/>
  <c r="T56" i="45"/>
  <c r="P56" i="45"/>
  <c r="H56" i="45"/>
  <c r="G56" i="45"/>
  <c r="F56" i="45"/>
  <c r="P55" i="45"/>
  <c r="H55" i="45"/>
  <c r="F55" i="45"/>
  <c r="U54" i="45"/>
  <c r="T54" i="45"/>
  <c r="P54" i="45"/>
  <c r="H54" i="45"/>
  <c r="G54" i="45"/>
  <c r="F54" i="45"/>
  <c r="P53" i="45"/>
  <c r="H53" i="45"/>
  <c r="F53" i="45"/>
  <c r="U52" i="45"/>
  <c r="T52" i="45"/>
  <c r="P52" i="45"/>
  <c r="H52" i="45"/>
  <c r="G52" i="45"/>
  <c r="F52" i="45"/>
  <c r="P51" i="45"/>
  <c r="H51" i="45"/>
  <c r="F51" i="45"/>
  <c r="U50" i="45"/>
  <c r="T50" i="45"/>
  <c r="P50" i="45"/>
  <c r="H50" i="45"/>
  <c r="G50" i="45"/>
  <c r="F50" i="45"/>
  <c r="P49" i="45"/>
  <c r="H49" i="45"/>
  <c r="F49" i="45"/>
  <c r="U48" i="45"/>
  <c r="T48" i="45"/>
  <c r="P48" i="45"/>
  <c r="H48" i="45"/>
  <c r="G48" i="45"/>
  <c r="F48" i="45"/>
  <c r="P47" i="45"/>
  <c r="H47" i="45"/>
  <c r="F47" i="45"/>
  <c r="U46" i="45"/>
  <c r="T46" i="45"/>
  <c r="P46" i="45"/>
  <c r="H46" i="45"/>
  <c r="G46" i="45"/>
  <c r="F46" i="45"/>
  <c r="P45" i="45"/>
  <c r="H45" i="45"/>
  <c r="F45" i="45"/>
  <c r="U44" i="45"/>
  <c r="T44" i="45"/>
  <c r="P44" i="45"/>
  <c r="H44" i="45"/>
  <c r="G44" i="45"/>
  <c r="F44" i="45"/>
  <c r="P43" i="45"/>
  <c r="H43" i="45"/>
  <c r="F43" i="45"/>
  <c r="U42" i="45"/>
  <c r="T42" i="45"/>
  <c r="P42" i="45"/>
  <c r="H42" i="45"/>
  <c r="G42" i="45"/>
  <c r="F42" i="45"/>
  <c r="P41" i="45"/>
  <c r="H41" i="45"/>
  <c r="F41" i="45"/>
  <c r="U40" i="45"/>
  <c r="P40" i="45"/>
  <c r="H40" i="45"/>
  <c r="G40" i="45"/>
  <c r="F40" i="45"/>
  <c r="P39" i="45"/>
  <c r="H39" i="45"/>
  <c r="G39" i="45"/>
  <c r="F39" i="45"/>
  <c r="P38" i="45"/>
  <c r="H38" i="45"/>
  <c r="G38" i="45"/>
  <c r="F38" i="45"/>
  <c r="P37" i="45"/>
  <c r="H37" i="45"/>
  <c r="G37" i="45"/>
  <c r="F37" i="45"/>
  <c r="P36" i="45"/>
  <c r="H36" i="45"/>
  <c r="G36" i="45"/>
  <c r="F36" i="45"/>
  <c r="P35" i="45"/>
  <c r="H35" i="45"/>
  <c r="G35" i="45"/>
  <c r="F35" i="45"/>
  <c r="P34" i="45"/>
  <c r="H34" i="45"/>
  <c r="G34" i="45"/>
  <c r="F34" i="45"/>
  <c r="P33" i="45"/>
  <c r="H33" i="45"/>
  <c r="G33" i="45"/>
  <c r="F33" i="45"/>
  <c r="P32" i="45"/>
  <c r="H32" i="45"/>
  <c r="G32" i="45"/>
  <c r="F32" i="45"/>
  <c r="P31" i="45"/>
  <c r="H31" i="45"/>
  <c r="G31" i="45"/>
  <c r="F31" i="45"/>
  <c r="P30" i="45"/>
  <c r="H30" i="45"/>
  <c r="G30" i="45"/>
  <c r="F30" i="45"/>
  <c r="P29" i="45"/>
  <c r="H29" i="45"/>
  <c r="G29" i="45"/>
  <c r="F29" i="45"/>
  <c r="P28" i="45"/>
  <c r="H28" i="45"/>
  <c r="G28" i="45"/>
  <c r="F28" i="45"/>
  <c r="P27" i="45"/>
  <c r="H27" i="45"/>
  <c r="G27" i="45"/>
  <c r="F27" i="45"/>
  <c r="P26" i="45"/>
  <c r="H26" i="45"/>
  <c r="G26" i="45"/>
  <c r="F26" i="45"/>
  <c r="P25" i="45"/>
  <c r="H25" i="45"/>
  <c r="G25" i="45"/>
  <c r="F25" i="45"/>
  <c r="P24" i="45"/>
  <c r="H24" i="45"/>
  <c r="G24" i="45"/>
  <c r="F24" i="45"/>
  <c r="P23" i="45"/>
  <c r="H23" i="45"/>
  <c r="G23" i="45"/>
  <c r="F23" i="45"/>
  <c r="P22" i="45"/>
  <c r="H22" i="45"/>
  <c r="G22" i="45"/>
  <c r="F22" i="45"/>
  <c r="P21" i="45"/>
  <c r="H21" i="45"/>
  <c r="G21" i="45"/>
  <c r="F21" i="45"/>
  <c r="P20" i="45"/>
  <c r="H20" i="45"/>
  <c r="G20" i="45"/>
  <c r="F20" i="45"/>
  <c r="P19" i="45"/>
  <c r="H19" i="45"/>
  <c r="G19" i="45"/>
  <c r="F19" i="45"/>
  <c r="P18" i="45"/>
  <c r="H18" i="45"/>
  <c r="G18" i="45"/>
  <c r="F18" i="45"/>
  <c r="P17" i="45"/>
  <c r="H17" i="45"/>
  <c r="G17" i="45"/>
  <c r="F17" i="45"/>
  <c r="P16" i="45"/>
  <c r="H16" i="45"/>
  <c r="G16" i="45"/>
  <c r="F16" i="45"/>
  <c r="P15" i="45"/>
  <c r="H15" i="45"/>
  <c r="G15" i="45"/>
  <c r="F15" i="45"/>
  <c r="P14" i="45"/>
  <c r="H14" i="45"/>
  <c r="G14" i="45"/>
  <c r="F14" i="45"/>
  <c r="P13" i="45"/>
  <c r="H13" i="45"/>
  <c r="G13" i="45"/>
  <c r="F13" i="45"/>
  <c r="P12" i="45"/>
  <c r="H12" i="45"/>
  <c r="G12" i="45"/>
  <c r="F12" i="45"/>
  <c r="P11" i="45"/>
  <c r="H11" i="45"/>
  <c r="G11" i="45"/>
  <c r="F11" i="45"/>
  <c r="P10" i="45"/>
  <c r="H10" i="45"/>
  <c r="G10" i="45"/>
  <c r="F10" i="45"/>
  <c r="P9" i="45"/>
  <c r="H9" i="45"/>
  <c r="G9" i="45"/>
  <c r="F9" i="45"/>
  <c r="P8" i="45"/>
  <c r="H8" i="45"/>
  <c r="G8" i="45"/>
  <c r="F8" i="45"/>
  <c r="P7" i="45"/>
  <c r="H7" i="45"/>
  <c r="G7" i="45"/>
  <c r="F7" i="45"/>
  <c r="E3" i="47"/>
  <c r="B2" i="43"/>
  <c r="V67" i="42"/>
  <c r="V66" i="42"/>
  <c r="I66" i="42"/>
  <c r="Q66" i="42" s="1"/>
  <c r="V65" i="42"/>
  <c r="I65" i="42"/>
  <c r="T65" i="42" s="1"/>
  <c r="T69" i="42" s="1"/>
  <c r="D10" i="43" s="1"/>
  <c r="V64" i="42"/>
  <c r="I64" i="42"/>
  <c r="H64" i="42"/>
  <c r="V63" i="42"/>
  <c r="I63" i="42"/>
  <c r="H63" i="42"/>
  <c r="G63" i="42"/>
  <c r="V62" i="42"/>
  <c r="I62" i="42"/>
  <c r="H62" i="42"/>
  <c r="G62" i="42"/>
  <c r="V61" i="42"/>
  <c r="I61" i="42"/>
  <c r="H61" i="42"/>
  <c r="G61" i="42"/>
  <c r="V60" i="42"/>
  <c r="I60" i="42"/>
  <c r="H60" i="42"/>
  <c r="G60" i="42"/>
  <c r="V59" i="42"/>
  <c r="I59" i="42"/>
  <c r="H59" i="42"/>
  <c r="G59" i="42"/>
  <c r="V58" i="42"/>
  <c r="I58" i="42"/>
  <c r="H58" i="42"/>
  <c r="G58" i="42"/>
  <c r="V57" i="42"/>
  <c r="I57" i="42"/>
  <c r="H57" i="42"/>
  <c r="G57" i="42"/>
  <c r="V56" i="42"/>
  <c r="V55" i="42"/>
  <c r="I55" i="42"/>
  <c r="G55" i="42"/>
  <c r="V54" i="42"/>
  <c r="U54" i="42"/>
  <c r="I54" i="42"/>
  <c r="H54" i="42"/>
  <c r="G54" i="42"/>
  <c r="V53" i="42"/>
  <c r="U53" i="42"/>
  <c r="I53" i="42"/>
  <c r="H53" i="42"/>
  <c r="G53" i="42"/>
  <c r="V52" i="42"/>
  <c r="R52" i="42"/>
  <c r="R69" i="42" s="1"/>
  <c r="D8" i="43" s="1"/>
  <c r="V51" i="42"/>
  <c r="V50" i="42"/>
  <c r="G50" i="42"/>
  <c r="V49" i="42"/>
  <c r="V48" i="42"/>
  <c r="V47" i="42"/>
  <c r="I47" i="42"/>
  <c r="I48" i="42" s="1"/>
  <c r="H47" i="42"/>
  <c r="H49" i="42" s="1"/>
  <c r="G47" i="42"/>
  <c r="H48" i="42" s="1"/>
  <c r="Q48" i="42" s="1"/>
  <c r="V46" i="42"/>
  <c r="V45" i="42"/>
  <c r="U45" i="42"/>
  <c r="J45" i="42"/>
  <c r="I45" i="42"/>
  <c r="H45" i="42"/>
  <c r="G45" i="42"/>
  <c r="V44" i="42"/>
  <c r="U44" i="42"/>
  <c r="I44" i="42"/>
  <c r="H44" i="42"/>
  <c r="G44" i="42"/>
  <c r="V43" i="42"/>
  <c r="U43" i="42"/>
  <c r="J43" i="42"/>
  <c r="I43" i="42"/>
  <c r="H43" i="42"/>
  <c r="G43" i="42"/>
  <c r="V42" i="42"/>
  <c r="U42" i="42"/>
  <c r="I42" i="42"/>
  <c r="H42" i="42"/>
  <c r="G42" i="42"/>
  <c r="V41" i="42"/>
  <c r="U41" i="42"/>
  <c r="I41" i="42"/>
  <c r="H41" i="42"/>
  <c r="G41" i="42"/>
  <c r="V40" i="42"/>
  <c r="U40" i="42"/>
  <c r="I40" i="42"/>
  <c r="H40" i="42"/>
  <c r="G40" i="42"/>
  <c r="V39" i="42"/>
  <c r="U39" i="42"/>
  <c r="I39" i="42"/>
  <c r="H39" i="42"/>
  <c r="G39" i="42"/>
  <c r="V38" i="42"/>
  <c r="U38" i="42"/>
  <c r="I38" i="42"/>
  <c r="H38" i="42"/>
  <c r="G38" i="42"/>
  <c r="V37" i="42"/>
  <c r="U37" i="42"/>
  <c r="I37" i="42"/>
  <c r="H37" i="42"/>
  <c r="G37" i="42"/>
  <c r="V36" i="42"/>
  <c r="U36" i="42"/>
  <c r="I36" i="42"/>
  <c r="H36" i="42"/>
  <c r="G36" i="42"/>
  <c r="V35" i="42"/>
  <c r="I35" i="42"/>
  <c r="H35" i="42"/>
  <c r="G35" i="42"/>
  <c r="V34" i="42"/>
  <c r="U34" i="42"/>
  <c r="I34" i="42"/>
  <c r="H34" i="42"/>
  <c r="G34" i="42"/>
  <c r="V33" i="42"/>
  <c r="U33" i="42"/>
  <c r="I33" i="42"/>
  <c r="H33" i="42"/>
  <c r="G33" i="42"/>
  <c r="V32" i="42"/>
  <c r="I32" i="42"/>
  <c r="H32" i="42"/>
  <c r="G32" i="42"/>
  <c r="V31" i="42"/>
  <c r="U31" i="42"/>
  <c r="I31" i="42"/>
  <c r="H31" i="42"/>
  <c r="G31" i="42"/>
  <c r="V30" i="42"/>
  <c r="U30" i="42"/>
  <c r="I30" i="42"/>
  <c r="H30" i="42"/>
  <c r="G30" i="42"/>
  <c r="V29" i="42"/>
  <c r="U29" i="42"/>
  <c r="I29" i="42"/>
  <c r="H29" i="42"/>
  <c r="G29" i="42"/>
  <c r="V28" i="42"/>
  <c r="U28" i="42"/>
  <c r="I28" i="42"/>
  <c r="H28" i="42"/>
  <c r="G28" i="42"/>
  <c r="V27" i="42"/>
  <c r="U27" i="42"/>
  <c r="I27" i="42"/>
  <c r="H27" i="42"/>
  <c r="G27" i="42"/>
  <c r="V26" i="42"/>
  <c r="U26" i="42"/>
  <c r="I26" i="42"/>
  <c r="H26" i="42"/>
  <c r="G26" i="42"/>
  <c r="V25" i="42"/>
  <c r="U25" i="42"/>
  <c r="I25" i="42"/>
  <c r="H25" i="42"/>
  <c r="G25" i="42"/>
  <c r="V24" i="42"/>
  <c r="U24" i="42"/>
  <c r="I24" i="42"/>
  <c r="H24" i="42"/>
  <c r="G24" i="42"/>
  <c r="V23" i="42"/>
  <c r="U23" i="42"/>
  <c r="I23" i="42"/>
  <c r="H23" i="42"/>
  <c r="G23" i="42"/>
  <c r="V22" i="42"/>
  <c r="U22" i="42"/>
  <c r="I22" i="42"/>
  <c r="H22" i="42"/>
  <c r="G22" i="42"/>
  <c r="V21" i="42"/>
  <c r="I21" i="42"/>
  <c r="H21" i="42"/>
  <c r="G21" i="42"/>
  <c r="V20" i="42"/>
  <c r="U20" i="42"/>
  <c r="I20" i="42"/>
  <c r="H20" i="42"/>
  <c r="G20" i="42"/>
  <c r="V19" i="42"/>
  <c r="P19" i="42"/>
  <c r="V18" i="42"/>
  <c r="U18" i="42"/>
  <c r="I18" i="42"/>
  <c r="H18" i="42"/>
  <c r="G18" i="42"/>
  <c r="V17" i="42"/>
  <c r="I17" i="42"/>
  <c r="H17" i="42"/>
  <c r="G17" i="42"/>
  <c r="V16" i="42"/>
  <c r="U16" i="42"/>
  <c r="I16" i="42"/>
  <c r="H16" i="42"/>
  <c r="G16" i="42"/>
  <c r="V15" i="42"/>
  <c r="I15" i="42"/>
  <c r="H15" i="42"/>
  <c r="G15" i="42"/>
  <c r="V14" i="42"/>
  <c r="U14" i="42"/>
  <c r="I14" i="42"/>
  <c r="H14" i="42"/>
  <c r="G14" i="42"/>
  <c r="V13" i="42"/>
  <c r="I13" i="42"/>
  <c r="H13" i="42"/>
  <c r="G13" i="42"/>
  <c r="V12" i="42"/>
  <c r="U12" i="42"/>
  <c r="U69" i="42" s="1"/>
  <c r="D17" i="43" s="1"/>
  <c r="I12" i="42"/>
  <c r="H12" i="42"/>
  <c r="G12" i="42"/>
  <c r="V11" i="42"/>
  <c r="P11" i="42"/>
  <c r="V10" i="42"/>
  <c r="I10" i="42"/>
  <c r="H10" i="42"/>
  <c r="G10" i="42"/>
  <c r="V9" i="42"/>
  <c r="P9" i="42"/>
  <c r="V8" i="42"/>
  <c r="I8" i="42"/>
  <c r="H8" i="42"/>
  <c r="G8" i="42"/>
  <c r="J2" i="42"/>
  <c r="D16" i="44" s="1"/>
  <c r="D17" i="44" s="1"/>
  <c r="B3" i="44"/>
  <c r="G18" i="49" l="1"/>
  <c r="T107" i="45"/>
  <c r="E27" i="46" s="1"/>
  <c r="O33" i="42"/>
  <c r="Q64" i="42"/>
  <c r="U102" i="45"/>
  <c r="U107" i="45" s="1"/>
  <c r="E28" i="46" s="1"/>
  <c r="T102" i="45"/>
  <c r="O45" i="48"/>
  <c r="W45" i="48"/>
  <c r="X15" i="48"/>
  <c r="X21" i="48"/>
  <c r="X27" i="48"/>
  <c r="X9" i="48"/>
  <c r="P107" i="45"/>
  <c r="E6" i="46" s="1"/>
  <c r="N107" i="45"/>
  <c r="D14" i="50"/>
  <c r="T45" i="48"/>
  <c r="V45" i="48"/>
  <c r="L48" i="48" s="1"/>
  <c r="D24" i="50" s="1"/>
  <c r="D27" i="50" s="1"/>
  <c r="O22" i="42"/>
  <c r="O26" i="42"/>
  <c r="O30" i="42"/>
  <c r="O18" i="42"/>
  <c r="P25" i="42"/>
  <c r="P29" i="42"/>
  <c r="O10" i="42"/>
  <c r="O44" i="42"/>
  <c r="O60" i="42"/>
  <c r="O62" i="42"/>
  <c r="O14" i="42"/>
  <c r="O40" i="42"/>
  <c r="P39" i="42"/>
  <c r="O36" i="42"/>
  <c r="O8" i="42"/>
  <c r="O12" i="42"/>
  <c r="O16" i="42"/>
  <c r="O20" i="42"/>
  <c r="O24" i="42"/>
  <c r="O28" i="42"/>
  <c r="O32" i="42"/>
  <c r="P34" i="42"/>
  <c r="O35" i="42"/>
  <c r="O38" i="42"/>
  <c r="O42" i="42"/>
  <c r="O53" i="42"/>
  <c r="P54" i="42"/>
  <c r="O57" i="42"/>
  <c r="O58" i="42"/>
  <c r="O59" i="42"/>
  <c r="O61" i="42"/>
  <c r="O63" i="42"/>
  <c r="D28" i="44"/>
  <c r="Z19" i="49"/>
  <c r="Q19" i="49" s="1"/>
  <c r="W22" i="49"/>
  <c r="Z20" i="49"/>
  <c r="Z21" i="49" s="1"/>
  <c r="Q21" i="49" s="1"/>
  <c r="Z18" i="49"/>
  <c r="Q18" i="49" s="1"/>
  <c r="R25" i="49"/>
  <c r="R24" i="49"/>
  <c r="Z17" i="49"/>
  <c r="Q17" i="49" s="1"/>
  <c r="Z16" i="49"/>
  <c r="Q16" i="49" s="1"/>
  <c r="Z15" i="49"/>
  <c r="Q15" i="49" s="1"/>
  <c r="W12" i="49"/>
  <c r="G17" i="49"/>
  <c r="X21" i="49"/>
  <c r="F8" i="48"/>
  <c r="X8" i="48" s="1"/>
  <c r="X45" i="48" s="1"/>
  <c r="G10" i="49" s="1"/>
  <c r="F11" i="48"/>
  <c r="X11" i="48" s="1"/>
  <c r="F14" i="48"/>
  <c r="X14" i="48" s="1"/>
  <c r="F17" i="48"/>
  <c r="X17" i="48" s="1"/>
  <c r="F20" i="48"/>
  <c r="X20" i="48" s="1"/>
  <c r="F23" i="48"/>
  <c r="X23" i="48" s="1"/>
  <c r="F26" i="48"/>
  <c r="X26" i="48" s="1"/>
  <c r="F29" i="48"/>
  <c r="X29" i="48" s="1"/>
  <c r="Q31" i="48"/>
  <c r="Q45" i="48" s="1"/>
  <c r="H33" i="48"/>
  <c r="R31" i="48" s="1"/>
  <c r="R45" i="48" s="1"/>
  <c r="P7" i="48"/>
  <c r="P10" i="48"/>
  <c r="P13" i="48"/>
  <c r="P16" i="48"/>
  <c r="P19" i="48"/>
  <c r="P22" i="48"/>
  <c r="P25" i="48"/>
  <c r="P28" i="48"/>
  <c r="K106" i="45"/>
  <c r="H101" i="45"/>
  <c r="K2" i="45" s="1"/>
  <c r="H50" i="42"/>
  <c r="Q50" i="42" s="1"/>
  <c r="Q49" i="42"/>
  <c r="P21" i="42"/>
  <c r="P23" i="42"/>
  <c r="P27" i="42"/>
  <c r="P31" i="42"/>
  <c r="P37" i="42"/>
  <c r="P41" i="42"/>
  <c r="S47" i="42"/>
  <c r="S69" i="42" s="1"/>
  <c r="D7" i="43" s="1"/>
  <c r="D24" i="44"/>
  <c r="D26" i="44" s="1"/>
  <c r="P13" i="42"/>
  <c r="P15" i="42"/>
  <c r="P17" i="42"/>
  <c r="Q69" i="42" l="1"/>
  <c r="D6" i="43" s="1"/>
  <c r="Q20" i="49"/>
  <c r="B118" i="45"/>
  <c r="B123" i="45"/>
  <c r="B127" i="45"/>
  <c r="B131" i="45"/>
  <c r="B135" i="45"/>
  <c r="B136" i="45"/>
  <c r="B120" i="45"/>
  <c r="B124" i="45"/>
  <c r="B128" i="45"/>
  <c r="B132" i="45"/>
  <c r="B121" i="45"/>
  <c r="B125" i="45"/>
  <c r="B129" i="45"/>
  <c r="B133" i="45"/>
  <c r="B137" i="45"/>
  <c r="B122" i="45"/>
  <c r="B126" i="45"/>
  <c r="B130" i="45"/>
  <c r="B134" i="45"/>
  <c r="B119" i="45"/>
  <c r="M8" i="45" s="1"/>
  <c r="O69" i="42"/>
  <c r="D5" i="43" s="1"/>
  <c r="P69" i="42"/>
  <c r="D9" i="43" s="1"/>
  <c r="D25" i="44"/>
  <c r="Z13" i="49"/>
  <c r="Q13" i="49" s="1"/>
  <c r="Z12" i="49"/>
  <c r="Q12" i="49" s="1"/>
  <c r="Q26" i="49"/>
  <c r="Z23" i="49"/>
  <c r="Q23" i="49" s="1"/>
  <c r="Q27" i="49"/>
  <c r="Z24" i="49"/>
  <c r="Z22" i="49"/>
  <c r="Q22" i="49" s="1"/>
  <c r="P45" i="48"/>
  <c r="Q24" i="49" l="1"/>
  <c r="Z25" i="49"/>
  <c r="Q25" i="49" s="1"/>
  <c r="D17" i="47"/>
  <c r="D28" i="47"/>
  <c r="D16" i="47"/>
  <c r="D25" i="47" l="1"/>
  <c r="D24" i="47"/>
  <c r="D26" i="47" s="1"/>
  <c r="M8" i="39" l="1"/>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M49" i="39"/>
  <c r="M50" i="39"/>
  <c r="M7" i="39"/>
  <c r="B61" i="39"/>
  <c r="B62" i="39"/>
  <c r="B63" i="39"/>
  <c r="B64" i="39"/>
  <c r="B65" i="39"/>
  <c r="B66" i="39"/>
  <c r="B67" i="39"/>
  <c r="B68" i="39"/>
  <c r="B69" i="39"/>
  <c r="B70" i="39"/>
  <c r="B71" i="39"/>
  <c r="B72" i="39"/>
  <c r="B73" i="39"/>
  <c r="B74" i="39"/>
  <c r="B75" i="39"/>
  <c r="B76" i="39"/>
  <c r="B77" i="39"/>
  <c r="B78" i="39"/>
  <c r="B79" i="39"/>
  <c r="B80" i="39"/>
  <c r="B81" i="39"/>
  <c r="B82" i="39"/>
  <c r="B83" i="39"/>
  <c r="B84" i="39"/>
  <c r="B85" i="39"/>
  <c r="B86" i="39"/>
  <c r="B87" i="39"/>
  <c r="B88" i="39"/>
  <c r="B89" i="39"/>
  <c r="B90" i="39"/>
  <c r="B91" i="39"/>
  <c r="B92" i="39"/>
  <c r="B93" i="39"/>
  <c r="B94" i="39"/>
  <c r="B95" i="39"/>
  <c r="B96" i="39"/>
  <c r="B97" i="39"/>
  <c r="B98" i="39"/>
  <c r="B99" i="39"/>
  <c r="B100" i="39"/>
  <c r="B101" i="39"/>
  <c r="B60" i="39"/>
  <c r="D19" i="34"/>
  <c r="D20" i="34"/>
  <c r="C19" i="34"/>
  <c r="C20" i="34"/>
  <c r="D18" i="34"/>
  <c r="C18" i="34"/>
  <c r="B92" i="36"/>
  <c r="B93" i="36"/>
  <c r="B94" i="36"/>
  <c r="B95" i="36"/>
  <c r="B96" i="36"/>
  <c r="B97" i="36"/>
  <c r="B98" i="36"/>
  <c r="B99" i="36"/>
  <c r="B100" i="36"/>
  <c r="B101" i="36"/>
  <c r="B102" i="36"/>
  <c r="B103" i="36"/>
  <c r="B104" i="36"/>
  <c r="B105" i="36"/>
  <c r="B106" i="36"/>
  <c r="B107" i="36"/>
  <c r="B108" i="36"/>
  <c r="B109" i="36"/>
  <c r="B110" i="36"/>
  <c r="B111" i="36"/>
  <c r="B112" i="36"/>
  <c r="B86" i="36"/>
  <c r="B87" i="36"/>
  <c r="B88" i="36"/>
  <c r="B89" i="36"/>
  <c r="B90" i="36"/>
  <c r="B91" i="36"/>
  <c r="B66" i="36"/>
  <c r="B67" i="36"/>
  <c r="B68" i="36"/>
  <c r="B69" i="36"/>
  <c r="B70" i="36"/>
  <c r="O8" i="39"/>
  <c r="O9" i="39"/>
  <c r="O10" i="39"/>
  <c r="O11" i="39"/>
  <c r="O12" i="39"/>
  <c r="O13" i="39"/>
  <c r="O14" i="39"/>
  <c r="O15" i="39"/>
  <c r="O16" i="39"/>
  <c r="O17" i="39"/>
  <c r="O18" i="39"/>
  <c r="O19" i="39"/>
  <c r="O20" i="39"/>
  <c r="O21" i="39"/>
  <c r="O22" i="39"/>
  <c r="O23" i="39"/>
  <c r="O24" i="39"/>
  <c r="O25" i="39"/>
  <c r="O26" i="39"/>
  <c r="O27" i="39"/>
  <c r="O28" i="39"/>
  <c r="O29" i="39"/>
  <c r="O30" i="39"/>
  <c r="O31" i="39"/>
  <c r="O32" i="39"/>
  <c r="O33" i="39"/>
  <c r="O34" i="39"/>
  <c r="O35" i="39"/>
  <c r="O36" i="39"/>
  <c r="O37" i="39"/>
  <c r="O38" i="39"/>
  <c r="O39" i="39"/>
  <c r="O40" i="39"/>
  <c r="O41" i="39"/>
  <c r="O42" i="39"/>
  <c r="O43" i="39"/>
  <c r="O44" i="39"/>
  <c r="O46" i="39"/>
  <c r="O47" i="39"/>
  <c r="O48" i="39"/>
  <c r="O49" i="39"/>
  <c r="O50" i="39"/>
  <c r="O7" i="39"/>
  <c r="M3" i="39" l="1"/>
  <c r="M2" i="39"/>
  <c r="K3" i="39"/>
  <c r="K2" i="39"/>
  <c r="D2" i="39"/>
  <c r="B2" i="39"/>
  <c r="I2" i="41"/>
  <c r="K2" i="35"/>
  <c r="G4" i="35"/>
  <c r="E3" i="35"/>
  <c r="C4" i="35"/>
  <c r="C3" i="35"/>
  <c r="K2" i="15"/>
  <c r="G4" i="15"/>
  <c r="G3" i="15"/>
  <c r="G3" i="35" s="1"/>
  <c r="C4" i="15"/>
  <c r="C3" i="15"/>
  <c r="C2" i="15"/>
  <c r="C2" i="35" s="1"/>
  <c r="E3" i="4"/>
  <c r="E2" i="4"/>
  <c r="C3" i="4"/>
  <c r="C2" i="40" l="1"/>
  <c r="E2" i="40"/>
  <c r="C3" i="40"/>
  <c r="D3" i="40"/>
  <c r="E3" i="40"/>
  <c r="L3" i="40"/>
  <c r="D9" i="40" s="1"/>
  <c r="I9" i="40"/>
  <c r="K9" i="40"/>
  <c r="D11" i="40"/>
  <c r="K11" i="40"/>
  <c r="G3" i="39"/>
  <c r="B3" i="41" s="1"/>
  <c r="G7" i="39"/>
  <c r="H7" i="39"/>
  <c r="I7" i="39"/>
  <c r="Q7" i="39" s="1"/>
  <c r="N7" i="39"/>
  <c r="G8" i="39"/>
  <c r="H8" i="39"/>
  <c r="I8" i="39"/>
  <c r="N8" i="39"/>
  <c r="P8" i="39"/>
  <c r="Q8" i="39"/>
  <c r="G9" i="39"/>
  <c r="H9" i="39"/>
  <c r="I9" i="39"/>
  <c r="Q9" i="39" s="1"/>
  <c r="N9" i="39"/>
  <c r="G10" i="39"/>
  <c r="H10" i="39"/>
  <c r="I10" i="39"/>
  <c r="N10" i="39"/>
  <c r="Q10" i="39"/>
  <c r="V10" i="39"/>
  <c r="V52" i="39" s="1"/>
  <c r="D25" i="40" s="1"/>
  <c r="D26" i="40" s="1"/>
  <c r="G11" i="39"/>
  <c r="H11" i="39"/>
  <c r="I11" i="39"/>
  <c r="Q11" i="39" s="1"/>
  <c r="N11" i="39"/>
  <c r="V11" i="39"/>
  <c r="G12" i="39"/>
  <c r="H12" i="39"/>
  <c r="I12" i="39"/>
  <c r="N12" i="39"/>
  <c r="Q12" i="39"/>
  <c r="V12" i="39"/>
  <c r="G13" i="39"/>
  <c r="H13" i="39"/>
  <c r="I13" i="39"/>
  <c r="Q13" i="39" s="1"/>
  <c r="N13" i="39"/>
  <c r="V13" i="39"/>
  <c r="G14" i="39"/>
  <c r="H14" i="39"/>
  <c r="I14" i="39"/>
  <c r="N14" i="39"/>
  <c r="Q14" i="39"/>
  <c r="V14" i="39"/>
  <c r="G15" i="39"/>
  <c r="H15" i="39"/>
  <c r="I15" i="39"/>
  <c r="Q15" i="39" s="1"/>
  <c r="N15" i="39"/>
  <c r="V15" i="39"/>
  <c r="G16" i="39"/>
  <c r="H16" i="39"/>
  <c r="I16" i="39"/>
  <c r="N16" i="39"/>
  <c r="Q16" i="39"/>
  <c r="V16" i="39"/>
  <c r="G17" i="39"/>
  <c r="H17" i="39"/>
  <c r="I17" i="39"/>
  <c r="Q17" i="39" s="1"/>
  <c r="N17" i="39"/>
  <c r="V17" i="39"/>
  <c r="G18" i="39"/>
  <c r="H18" i="39"/>
  <c r="I18" i="39"/>
  <c r="N18" i="39"/>
  <c r="Q18" i="39"/>
  <c r="V18" i="39"/>
  <c r="G19" i="39"/>
  <c r="H19" i="39"/>
  <c r="I19" i="39"/>
  <c r="Q19" i="39" s="1"/>
  <c r="N19" i="39"/>
  <c r="V19" i="39"/>
  <c r="G20" i="39"/>
  <c r="H20" i="39"/>
  <c r="I20" i="39"/>
  <c r="N20" i="39"/>
  <c r="Q20" i="39"/>
  <c r="V20" i="39"/>
  <c r="G21" i="39"/>
  <c r="H21" i="39"/>
  <c r="I21" i="39"/>
  <c r="Q21" i="39" s="1"/>
  <c r="N21" i="39"/>
  <c r="V21" i="39"/>
  <c r="G22" i="39"/>
  <c r="H22" i="39"/>
  <c r="I22" i="39"/>
  <c r="N22" i="39"/>
  <c r="Q22" i="39"/>
  <c r="V22" i="39"/>
  <c r="Y22" i="39"/>
  <c r="G23" i="39"/>
  <c r="H23" i="39"/>
  <c r="I23" i="39"/>
  <c r="Q23" i="39" s="1"/>
  <c r="N23" i="39"/>
  <c r="V23" i="39"/>
  <c r="G24" i="39"/>
  <c r="H24" i="39"/>
  <c r="I24" i="39"/>
  <c r="N24" i="39"/>
  <c r="Q24" i="39"/>
  <c r="V24" i="39"/>
  <c r="Y24" i="39"/>
  <c r="G25" i="39"/>
  <c r="H25" i="39"/>
  <c r="I25" i="39"/>
  <c r="N25" i="39"/>
  <c r="Q25" i="39"/>
  <c r="V25" i="39"/>
  <c r="G26" i="39"/>
  <c r="H26" i="39"/>
  <c r="I26" i="39"/>
  <c r="Q26" i="39" s="1"/>
  <c r="N26" i="39"/>
  <c r="V26" i="39"/>
  <c r="G27" i="39"/>
  <c r="H27" i="39"/>
  <c r="I27" i="39"/>
  <c r="N27" i="39"/>
  <c r="Q27" i="39"/>
  <c r="V27" i="39"/>
  <c r="G28" i="39"/>
  <c r="H28" i="39"/>
  <c r="I28" i="39"/>
  <c r="Q28" i="39" s="1"/>
  <c r="N28" i="39"/>
  <c r="V28" i="39"/>
  <c r="N29" i="39"/>
  <c r="Q29" i="39"/>
  <c r="V29" i="39"/>
  <c r="G30" i="39"/>
  <c r="H30" i="39"/>
  <c r="I30" i="39"/>
  <c r="Q30" i="39" s="1"/>
  <c r="N30" i="39"/>
  <c r="V30" i="39"/>
  <c r="G31" i="39"/>
  <c r="H31" i="39"/>
  <c r="I31" i="39"/>
  <c r="N31" i="39"/>
  <c r="Q31" i="39"/>
  <c r="V31" i="39"/>
  <c r="G32" i="39"/>
  <c r="H32" i="39"/>
  <c r="I32" i="39"/>
  <c r="Q32" i="39" s="1"/>
  <c r="N32" i="39"/>
  <c r="V32" i="39"/>
  <c r="G33" i="39"/>
  <c r="H33" i="39"/>
  <c r="I33" i="39"/>
  <c r="N33" i="39"/>
  <c r="Q33" i="39"/>
  <c r="V33" i="39"/>
  <c r="G34" i="39"/>
  <c r="H34" i="39"/>
  <c r="I34" i="39"/>
  <c r="Q34" i="39" s="1"/>
  <c r="N34" i="39"/>
  <c r="V34" i="39"/>
  <c r="G35" i="39"/>
  <c r="H35" i="39"/>
  <c r="I35" i="39"/>
  <c r="Q35" i="39" s="1"/>
  <c r="N35" i="39"/>
  <c r="P35" i="39"/>
  <c r="V35" i="39"/>
  <c r="G36" i="39"/>
  <c r="H36" i="39"/>
  <c r="I36" i="39"/>
  <c r="Q36" i="39" s="1"/>
  <c r="N36" i="39"/>
  <c r="P36" i="39"/>
  <c r="V36" i="39"/>
  <c r="G37" i="39"/>
  <c r="H37" i="39"/>
  <c r="I37" i="39"/>
  <c r="Q37" i="39" s="1"/>
  <c r="N37" i="39"/>
  <c r="P37" i="39"/>
  <c r="V37" i="39"/>
  <c r="G38" i="39"/>
  <c r="H38" i="39"/>
  <c r="I38" i="39"/>
  <c r="Q38" i="39" s="1"/>
  <c r="N38" i="39"/>
  <c r="P38" i="39"/>
  <c r="V38" i="39"/>
  <c r="G39" i="39"/>
  <c r="H39" i="39"/>
  <c r="I39" i="39"/>
  <c r="Q39" i="39" s="1"/>
  <c r="N39" i="39"/>
  <c r="P39" i="39"/>
  <c r="V39" i="39"/>
  <c r="G40" i="39"/>
  <c r="H40" i="39"/>
  <c r="I40" i="39"/>
  <c r="N40" i="39"/>
  <c r="Q40" i="39"/>
  <c r="G41" i="39"/>
  <c r="H41" i="39"/>
  <c r="I41" i="39"/>
  <c r="Q41" i="39" s="1"/>
  <c r="N41" i="39"/>
  <c r="G42" i="39"/>
  <c r="H42" i="39"/>
  <c r="I42" i="39"/>
  <c r="Q42" i="39" s="1"/>
  <c r="N42" i="39"/>
  <c r="G43" i="39"/>
  <c r="H43" i="39"/>
  <c r="I43" i="39"/>
  <c r="N43" i="39"/>
  <c r="Q43" i="39"/>
  <c r="G44" i="39"/>
  <c r="N44" i="39"/>
  <c r="Q44" i="39"/>
  <c r="C45" i="39"/>
  <c r="N45" i="39"/>
  <c r="Q45" i="39"/>
  <c r="G46" i="39"/>
  <c r="H46" i="39"/>
  <c r="I46" i="39"/>
  <c r="N46" i="39"/>
  <c r="I47" i="39"/>
  <c r="N47" i="39"/>
  <c r="Q47" i="39"/>
  <c r="I48" i="39"/>
  <c r="N48" i="39"/>
  <c r="Q48" i="39"/>
  <c r="N49" i="39"/>
  <c r="Q49" i="39"/>
  <c r="N50" i="39"/>
  <c r="Q50" i="39"/>
  <c r="N51" i="39"/>
  <c r="P9" i="39" l="1"/>
  <c r="P7" i="39"/>
  <c r="P51" i="39" s="1"/>
  <c r="D10" i="40" s="1"/>
  <c r="Q51" i="39"/>
  <c r="I3" i="39" s="1"/>
  <c r="G45" i="39"/>
  <c r="O45" i="39"/>
  <c r="I2" i="38"/>
  <c r="B3" i="38"/>
  <c r="I3" i="38"/>
  <c r="B2" i="36"/>
  <c r="B2" i="38" s="1"/>
  <c r="D2" i="36"/>
  <c r="B4" i="38" s="1"/>
  <c r="K2" i="36"/>
  <c r="C3" i="37" s="1"/>
  <c r="M2" i="36"/>
  <c r="E4" i="38" s="1"/>
  <c r="K3" i="36"/>
  <c r="M3" i="36"/>
  <c r="I4" i="38" s="1"/>
  <c r="B4" i="36"/>
  <c r="E3" i="38" s="1"/>
  <c r="G7" i="36"/>
  <c r="I7" i="36"/>
  <c r="N7" i="36"/>
  <c r="P7" i="36"/>
  <c r="P39" i="36" s="1"/>
  <c r="P41" i="36" s="1"/>
  <c r="D8" i="37" s="1"/>
  <c r="G8" i="36"/>
  <c r="I8" i="36"/>
  <c r="N8" i="36"/>
  <c r="P8" i="36"/>
  <c r="G9" i="36"/>
  <c r="I9" i="36"/>
  <c r="M9" i="36"/>
  <c r="N9" i="36"/>
  <c r="P9" i="36"/>
  <c r="G10" i="36"/>
  <c r="I10" i="36"/>
  <c r="M10" i="36"/>
  <c r="N10" i="36"/>
  <c r="P10" i="36"/>
  <c r="G11" i="36"/>
  <c r="I11" i="36"/>
  <c r="M11" i="36"/>
  <c r="N11" i="36"/>
  <c r="P11" i="36"/>
  <c r="G12" i="36"/>
  <c r="I12" i="36"/>
  <c r="M12" i="36"/>
  <c r="N12" i="36"/>
  <c r="P12" i="36"/>
  <c r="G13" i="36"/>
  <c r="I13" i="36"/>
  <c r="M13" i="36"/>
  <c r="N13" i="36"/>
  <c r="P13" i="36"/>
  <c r="G14" i="36"/>
  <c r="I14" i="36"/>
  <c r="M14" i="36"/>
  <c r="N14" i="36"/>
  <c r="P14" i="36"/>
  <c r="G15" i="36"/>
  <c r="I15" i="36"/>
  <c r="M15" i="36"/>
  <c r="N15" i="36"/>
  <c r="P15" i="36"/>
  <c r="G16" i="36"/>
  <c r="I16" i="36"/>
  <c r="M16" i="36"/>
  <c r="N16" i="36"/>
  <c r="P16" i="36"/>
  <c r="G17" i="36"/>
  <c r="I17" i="36"/>
  <c r="M17" i="36"/>
  <c r="N17" i="36"/>
  <c r="P17" i="36"/>
  <c r="G18" i="36"/>
  <c r="I18" i="36"/>
  <c r="M18" i="36"/>
  <c r="N18" i="36"/>
  <c r="P18" i="36"/>
  <c r="G19" i="36"/>
  <c r="I19" i="36"/>
  <c r="M19" i="36"/>
  <c r="N19" i="36"/>
  <c r="P19" i="36"/>
  <c r="G20" i="36"/>
  <c r="I20" i="36"/>
  <c r="M20" i="36"/>
  <c r="N20" i="36"/>
  <c r="P20" i="36"/>
  <c r="G21" i="36"/>
  <c r="I21" i="36"/>
  <c r="M21" i="36"/>
  <c r="N21" i="36"/>
  <c r="P21" i="36"/>
  <c r="G22" i="36"/>
  <c r="I22" i="36"/>
  <c r="M22" i="36"/>
  <c r="N22" i="36"/>
  <c r="P22" i="36"/>
  <c r="G23" i="36"/>
  <c r="I23" i="36"/>
  <c r="M23" i="36"/>
  <c r="N23" i="36"/>
  <c r="P23" i="36"/>
  <c r="G24" i="36"/>
  <c r="I24" i="36"/>
  <c r="M24" i="36"/>
  <c r="N24" i="36"/>
  <c r="P24" i="36"/>
  <c r="G25" i="36"/>
  <c r="I25" i="36"/>
  <c r="M25" i="36"/>
  <c r="N25" i="36"/>
  <c r="P25" i="36"/>
  <c r="G26" i="36"/>
  <c r="I26" i="36"/>
  <c r="M26" i="36"/>
  <c r="N26" i="36"/>
  <c r="P26" i="36"/>
  <c r="G27" i="36"/>
  <c r="I27" i="36"/>
  <c r="M27" i="36"/>
  <c r="N27" i="36"/>
  <c r="P27" i="36"/>
  <c r="G28" i="36"/>
  <c r="I28" i="36"/>
  <c r="M28" i="36"/>
  <c r="N28" i="36"/>
  <c r="P28" i="36"/>
  <c r="G29" i="36"/>
  <c r="I29" i="36"/>
  <c r="M29" i="36"/>
  <c r="N29" i="36"/>
  <c r="P29" i="36"/>
  <c r="N30" i="36"/>
  <c r="O30" i="36"/>
  <c r="G31" i="36"/>
  <c r="O31" i="36" s="1"/>
  <c r="H31" i="36"/>
  <c r="I31" i="36"/>
  <c r="M31" i="36"/>
  <c r="N31" i="36"/>
  <c r="G32" i="36"/>
  <c r="H32" i="36"/>
  <c r="I32" i="36"/>
  <c r="M32" i="36"/>
  <c r="N32" i="36"/>
  <c r="O32" i="36"/>
  <c r="G33" i="36"/>
  <c r="O33" i="36" s="1"/>
  <c r="H33" i="36"/>
  <c r="I33" i="36"/>
  <c r="M33" i="36"/>
  <c r="N33" i="36"/>
  <c r="G34" i="36"/>
  <c r="H34" i="36"/>
  <c r="I34" i="36"/>
  <c r="M34" i="36"/>
  <c r="N34" i="36"/>
  <c r="N39" i="36" s="1"/>
  <c r="D5" i="37" s="1"/>
  <c r="O34" i="36"/>
  <c r="G35" i="36"/>
  <c r="O35" i="36" s="1"/>
  <c r="H35" i="36"/>
  <c r="I35" i="36"/>
  <c r="M35" i="36"/>
  <c r="N35" i="36"/>
  <c r="G36" i="36"/>
  <c r="O36" i="36" s="1"/>
  <c r="H36" i="36"/>
  <c r="I36" i="36"/>
  <c r="M36" i="36"/>
  <c r="N36" i="36"/>
  <c r="G37" i="36"/>
  <c r="O37" i="36" s="1"/>
  <c r="H37" i="36"/>
  <c r="I37" i="36"/>
  <c r="M37" i="36"/>
  <c r="N37" i="36"/>
  <c r="G38" i="36"/>
  <c r="O38" i="36" s="1"/>
  <c r="H38" i="36"/>
  <c r="I38" i="36"/>
  <c r="M38" i="36"/>
  <c r="N38" i="36"/>
  <c r="B50" i="36"/>
  <c r="M7" i="36" s="1"/>
  <c r="D50" i="36"/>
  <c r="H7" i="36" s="1"/>
  <c r="O7" i="36" s="1"/>
  <c r="B51" i="36"/>
  <c r="B53" i="36"/>
  <c r="B54" i="36"/>
  <c r="B55" i="36"/>
  <c r="B56" i="36"/>
  <c r="B57" i="36"/>
  <c r="B58" i="36"/>
  <c r="B59" i="36"/>
  <c r="B60" i="36"/>
  <c r="B61" i="36"/>
  <c r="B62" i="36"/>
  <c r="B63" i="36"/>
  <c r="B64" i="36"/>
  <c r="B65" i="36"/>
  <c r="B71" i="36"/>
  <c r="B72" i="36"/>
  <c r="B73" i="36"/>
  <c r="B74" i="36"/>
  <c r="B75" i="36"/>
  <c r="B76" i="36"/>
  <c r="B77" i="36"/>
  <c r="B78" i="36"/>
  <c r="B79" i="36"/>
  <c r="B80" i="36"/>
  <c r="B81" i="36"/>
  <c r="B82" i="36"/>
  <c r="B83" i="36"/>
  <c r="B84" i="36"/>
  <c r="B85" i="36"/>
  <c r="O51" i="39" l="1"/>
  <c r="D6" i="40" s="1"/>
  <c r="D7" i="40"/>
  <c r="D16" i="41"/>
  <c r="D18" i="41"/>
  <c r="D28" i="41"/>
  <c r="D17" i="41"/>
  <c r="D19" i="41"/>
  <c r="E3" i="37"/>
  <c r="E2" i="38"/>
  <c r="C2" i="37"/>
  <c r="I3" i="36"/>
  <c r="D8" i="38" s="1"/>
  <c r="H28" i="36"/>
  <c r="O28" i="36" s="1"/>
  <c r="H26" i="36"/>
  <c r="O26" i="36" s="1"/>
  <c r="H24" i="36"/>
  <c r="O24" i="36" s="1"/>
  <c r="H22" i="36"/>
  <c r="O22" i="36" s="1"/>
  <c r="H20" i="36"/>
  <c r="O20" i="36" s="1"/>
  <c r="H18" i="36"/>
  <c r="O18" i="36" s="1"/>
  <c r="H16" i="36"/>
  <c r="O16" i="36" s="1"/>
  <c r="H14" i="36"/>
  <c r="O14" i="36" s="1"/>
  <c r="H12" i="36"/>
  <c r="O12" i="36" s="1"/>
  <c r="H10" i="36"/>
  <c r="O10" i="36" s="1"/>
  <c r="H8" i="36"/>
  <c r="O8" i="36" s="1"/>
  <c r="H29" i="36"/>
  <c r="O29" i="36" s="1"/>
  <c r="H27" i="36"/>
  <c r="O27" i="36" s="1"/>
  <c r="H25" i="36"/>
  <c r="O25" i="36" s="1"/>
  <c r="H23" i="36"/>
  <c r="O23" i="36" s="1"/>
  <c r="H21" i="36"/>
  <c r="O21" i="36" s="1"/>
  <c r="H19" i="36"/>
  <c r="O19" i="36" s="1"/>
  <c r="H17" i="36"/>
  <c r="O17" i="36" s="1"/>
  <c r="H15" i="36"/>
  <c r="O15" i="36" s="1"/>
  <c r="H13" i="36"/>
  <c r="O13" i="36" s="1"/>
  <c r="H11" i="36"/>
  <c r="O11" i="36" s="1"/>
  <c r="H9" i="36"/>
  <c r="O9" i="36" s="1"/>
  <c r="D28" i="38" l="1"/>
  <c r="O39" i="36"/>
  <c r="B52" i="36"/>
  <c r="M8" i="36" s="1"/>
  <c r="D10" i="38"/>
  <c r="I204" i="35"/>
  <c r="I203" i="35"/>
  <c r="I202" i="35"/>
  <c r="I201" i="35"/>
  <c r="I200" i="35"/>
  <c r="I199" i="35"/>
  <c r="I198" i="35"/>
  <c r="I197" i="35"/>
  <c r="I196" i="35"/>
  <c r="I195" i="35"/>
  <c r="I194" i="35"/>
  <c r="I193" i="35"/>
  <c r="I192" i="35"/>
  <c r="I191" i="35"/>
  <c r="I190" i="35"/>
  <c r="I189" i="35"/>
  <c r="I188" i="35"/>
  <c r="I187" i="35"/>
  <c r="I186" i="35"/>
  <c r="I185" i="35"/>
  <c r="I184" i="35"/>
  <c r="I183" i="35"/>
  <c r="I182" i="35"/>
  <c r="I181" i="35"/>
  <c r="I180" i="35"/>
  <c r="I179" i="35"/>
  <c r="I178" i="35"/>
  <c r="I177" i="35"/>
  <c r="I176" i="35"/>
  <c r="I175" i="35"/>
  <c r="I174" i="35"/>
  <c r="I173" i="35"/>
  <c r="I172" i="35"/>
  <c r="I171" i="35"/>
  <c r="I170" i="35"/>
  <c r="I169" i="35"/>
  <c r="I168" i="35"/>
  <c r="I167" i="35"/>
  <c r="I166" i="35"/>
  <c r="I165" i="35"/>
  <c r="I164" i="35"/>
  <c r="I163" i="35"/>
  <c r="I162" i="35"/>
  <c r="I161" i="35"/>
  <c r="I160" i="35"/>
  <c r="I159" i="35"/>
  <c r="I158" i="35"/>
  <c r="I157" i="35"/>
  <c r="I156" i="35"/>
  <c r="I155" i="35"/>
  <c r="I154" i="35"/>
  <c r="I153" i="35"/>
  <c r="I152" i="35"/>
  <c r="I151" i="35"/>
  <c r="I150" i="35"/>
  <c r="I149" i="35"/>
  <c r="I148" i="35"/>
  <c r="I147" i="35"/>
  <c r="I146" i="35"/>
  <c r="I145" i="35"/>
  <c r="I144" i="35"/>
  <c r="I143" i="35"/>
  <c r="I142" i="35"/>
  <c r="I141" i="35"/>
  <c r="I138" i="35"/>
  <c r="I137" i="35"/>
  <c r="I135" i="35"/>
  <c r="I134" i="35"/>
  <c r="I132" i="35"/>
  <c r="I131" i="35"/>
  <c r="I128" i="35"/>
  <c r="I126" i="35"/>
  <c r="I124" i="35"/>
  <c r="I123" i="35"/>
  <c r="I121" i="35"/>
  <c r="I119" i="35"/>
  <c r="I115" i="35"/>
  <c r="I114" i="35"/>
  <c r="I113" i="35"/>
  <c r="I112" i="35"/>
  <c r="I111" i="35"/>
  <c r="I110" i="35"/>
  <c r="I107" i="35"/>
  <c r="I106" i="35"/>
  <c r="I105" i="35"/>
  <c r="I104" i="35"/>
  <c r="I103" i="35"/>
  <c r="I102" i="35"/>
  <c r="I101" i="35"/>
  <c r="I100" i="35"/>
  <c r="I99" i="35"/>
  <c r="I98" i="35"/>
  <c r="I97" i="35"/>
  <c r="I96" i="35"/>
  <c r="I95" i="35"/>
  <c r="I94" i="35"/>
  <c r="I93" i="35"/>
  <c r="I92" i="35"/>
  <c r="I91" i="35"/>
  <c r="I90" i="35"/>
  <c r="I89" i="35"/>
  <c r="I88" i="35"/>
  <c r="I87" i="35"/>
  <c r="I86" i="35"/>
  <c r="I85" i="35"/>
  <c r="I84" i="35"/>
  <c r="I80" i="35"/>
  <c r="I78" i="35"/>
  <c r="I77" i="35"/>
  <c r="I76" i="35"/>
  <c r="I74" i="35"/>
  <c r="I73" i="35"/>
  <c r="I72" i="35"/>
  <c r="I70" i="35"/>
  <c r="I69" i="35"/>
  <c r="I68" i="35"/>
  <c r="I66" i="35"/>
  <c r="I65" i="35"/>
  <c r="I64" i="35"/>
  <c r="I62" i="35"/>
  <c r="I61" i="35"/>
  <c r="I60" i="35"/>
  <c r="I58" i="35"/>
  <c r="I57" i="35"/>
  <c r="I56" i="35"/>
  <c r="I54" i="35"/>
  <c r="I53" i="35"/>
  <c r="I52" i="35"/>
  <c r="I50" i="35"/>
  <c r="I49" i="35"/>
  <c r="I46" i="35"/>
  <c r="I45" i="35"/>
  <c r="I44" i="35"/>
  <c r="I43" i="35"/>
  <c r="I42" i="35"/>
  <c r="I41" i="35"/>
  <c r="I40" i="35"/>
  <c r="I39" i="35"/>
  <c r="I38" i="35"/>
  <c r="I37" i="35"/>
  <c r="I34" i="35"/>
  <c r="I33" i="35"/>
  <c r="I31" i="35"/>
  <c r="I30" i="35"/>
  <c r="I29" i="35"/>
  <c r="I28" i="35"/>
  <c r="I27" i="35"/>
  <c r="I25" i="35"/>
  <c r="I24" i="35"/>
  <c r="I23" i="35"/>
  <c r="I22" i="35"/>
  <c r="I21" i="35"/>
  <c r="I20" i="35"/>
  <c r="I19" i="35"/>
  <c r="I18" i="35"/>
  <c r="I17" i="35"/>
  <c r="I16" i="35"/>
  <c r="I15" i="35"/>
  <c r="I14" i="35"/>
  <c r="I13" i="35"/>
  <c r="I12" i="35"/>
  <c r="I11" i="35"/>
  <c r="I10" i="35"/>
  <c r="I9" i="35"/>
  <c r="I8" i="35"/>
  <c r="A4" i="35"/>
  <c r="K3" i="35"/>
  <c r="I199" i="15"/>
  <c r="I198" i="15"/>
  <c r="I197" i="15"/>
  <c r="I196" i="15"/>
  <c r="I195" i="15"/>
  <c r="I194" i="15"/>
  <c r="I193" i="15"/>
  <c r="I192" i="15"/>
  <c r="I191" i="15"/>
  <c r="I190" i="15"/>
  <c r="I189" i="15"/>
  <c r="I188" i="15"/>
  <c r="I187" i="15"/>
  <c r="I186" i="15"/>
  <c r="I185" i="15"/>
  <c r="I184" i="15"/>
  <c r="I183" i="15"/>
  <c r="I182" i="15"/>
  <c r="I181" i="15"/>
  <c r="I180" i="15"/>
  <c r="I179" i="15"/>
  <c r="I178" i="15"/>
  <c r="I177" i="15"/>
  <c r="I176" i="15"/>
  <c r="I175" i="15"/>
  <c r="I174" i="15"/>
  <c r="I173" i="15"/>
  <c r="I172" i="15"/>
  <c r="I171" i="15"/>
  <c r="I170" i="15"/>
  <c r="I169" i="15"/>
  <c r="I168" i="15"/>
  <c r="I167" i="15"/>
  <c r="I166" i="15"/>
  <c r="I165" i="15"/>
  <c r="I164" i="15"/>
  <c r="I163" i="15"/>
  <c r="I162" i="15"/>
  <c r="I161" i="15"/>
  <c r="I160" i="15"/>
  <c r="I159" i="15"/>
  <c r="I158" i="15"/>
  <c r="I157" i="15"/>
  <c r="I156" i="15"/>
  <c r="I155" i="15"/>
  <c r="I154" i="15"/>
  <c r="I153" i="15"/>
  <c r="I152" i="15"/>
  <c r="I151" i="15"/>
  <c r="I150" i="15"/>
  <c r="I149" i="15"/>
  <c r="I148" i="15"/>
  <c r="I147" i="15"/>
  <c r="I146" i="15"/>
  <c r="I145" i="15"/>
  <c r="I144" i="15"/>
  <c r="I143" i="15"/>
  <c r="I142" i="15"/>
  <c r="I141" i="15"/>
  <c r="I140" i="15"/>
  <c r="I139" i="15"/>
  <c r="I138" i="15"/>
  <c r="I137" i="15"/>
  <c r="I136" i="15"/>
  <c r="I133" i="15"/>
  <c r="I132" i="15"/>
  <c r="I130" i="15"/>
  <c r="I129" i="15"/>
  <c r="I127" i="15"/>
  <c r="I126" i="15"/>
  <c r="I123" i="15"/>
  <c r="I121" i="15"/>
  <c r="I120" i="15"/>
  <c r="I119" i="15"/>
  <c r="I117" i="15"/>
  <c r="I116" i="15"/>
  <c r="I112" i="15"/>
  <c r="I111" i="15"/>
  <c r="I110" i="15"/>
  <c r="I109" i="15"/>
  <c r="I108" i="15"/>
  <c r="I107" i="15"/>
  <c r="I104" i="15"/>
  <c r="I103" i="15"/>
  <c r="I102" i="15"/>
  <c r="I101" i="15"/>
  <c r="I100" i="15"/>
  <c r="I99" i="15"/>
  <c r="I98" i="15"/>
  <c r="I97" i="15"/>
  <c r="I96" i="15"/>
  <c r="I95" i="15"/>
  <c r="I94" i="15"/>
  <c r="I93" i="15"/>
  <c r="I92" i="15"/>
  <c r="I91" i="15"/>
  <c r="I90" i="15"/>
  <c r="I89" i="15"/>
  <c r="I88" i="15"/>
  <c r="I87" i="15"/>
  <c r="I86" i="15"/>
  <c r="I85" i="15"/>
  <c r="I84" i="15"/>
  <c r="I83" i="15"/>
  <c r="I82" i="15"/>
  <c r="I81" i="15"/>
  <c r="I77" i="15"/>
  <c r="I75" i="15"/>
  <c r="I74" i="15"/>
  <c r="I73" i="15"/>
  <c r="I71" i="15"/>
  <c r="I70" i="15"/>
  <c r="I69" i="15"/>
  <c r="I67" i="15"/>
  <c r="I66" i="15"/>
  <c r="I65" i="15"/>
  <c r="I63" i="15"/>
  <c r="I62" i="15"/>
  <c r="I61" i="15"/>
  <c r="I59" i="15"/>
  <c r="I58" i="15"/>
  <c r="I57" i="15"/>
  <c r="I55" i="15"/>
  <c r="I54" i="15"/>
  <c r="I53" i="15"/>
  <c r="I51" i="15"/>
  <c r="I50" i="15"/>
  <c r="I49" i="15"/>
  <c r="I47" i="15"/>
  <c r="I46" i="15"/>
  <c r="I43" i="15"/>
  <c r="I42" i="15"/>
  <c r="I41" i="15"/>
  <c r="I40" i="15"/>
  <c r="I39" i="15"/>
  <c r="I38" i="15"/>
  <c r="I37" i="15"/>
  <c r="I36" i="15"/>
  <c r="I33" i="15"/>
  <c r="I31" i="15"/>
  <c r="I30" i="15"/>
  <c r="I29" i="15"/>
  <c r="I28" i="15"/>
  <c r="I26" i="15"/>
  <c r="I25" i="15"/>
  <c r="I24" i="15"/>
  <c r="I23" i="15"/>
  <c r="I22" i="15"/>
  <c r="I21" i="15"/>
  <c r="I20" i="15"/>
  <c r="I19" i="15"/>
  <c r="I18" i="15"/>
  <c r="I17" i="15"/>
  <c r="I16" i="15"/>
  <c r="I15" i="15"/>
  <c r="I14" i="15"/>
  <c r="I13" i="15"/>
  <c r="I12" i="15"/>
  <c r="I11" i="15"/>
  <c r="I10" i="15"/>
  <c r="I9" i="15"/>
  <c r="I8" i="15"/>
  <c r="A4" i="15"/>
  <c r="K3" i="15"/>
  <c r="I3" i="12" l="1"/>
  <c r="I4" i="12"/>
  <c r="E4" i="12"/>
  <c r="E2" i="12"/>
  <c r="B4" i="12"/>
  <c r="B2" i="12"/>
  <c r="BA3" i="2"/>
  <c r="BC3" i="2"/>
  <c r="BB3" i="2"/>
  <c r="E2" i="47" l="1"/>
  <c r="E2" i="44"/>
  <c r="E2" i="41"/>
  <c r="E4" i="47"/>
  <c r="E4" i="44"/>
  <c r="E4" i="41"/>
  <c r="B2" i="47"/>
  <c r="B2" i="44"/>
  <c r="B2" i="41"/>
  <c r="I4" i="47"/>
  <c r="I4" i="44"/>
  <c r="I4" i="41"/>
  <c r="B4" i="47"/>
  <c r="B4" i="50" s="1"/>
  <c r="B4" i="44"/>
  <c r="B4" i="41"/>
  <c r="I3" i="47"/>
  <c r="I3" i="44"/>
  <c r="I3" i="41"/>
  <c r="AH32" i="2"/>
  <c r="AH20" i="2"/>
  <c r="AC24" i="2"/>
  <c r="AC25" i="2"/>
  <c r="AC26" i="2"/>
  <c r="AC27" i="2"/>
  <c r="AC28" i="2"/>
  <c r="AC29" i="2"/>
  <c r="AC30" i="2"/>
  <c r="AC31" i="2"/>
  <c r="AC32" i="2"/>
  <c r="AC23" i="2"/>
  <c r="AB24" i="2"/>
  <c r="AB25" i="2"/>
  <c r="AB26" i="2"/>
  <c r="AB27" i="2"/>
  <c r="AB28" i="2"/>
  <c r="AB29" i="2"/>
  <c r="AB30" i="2"/>
  <c r="AB31" i="2"/>
  <c r="AB32" i="2"/>
  <c r="AB23" i="2"/>
  <c r="AC20" i="2"/>
  <c r="AC6" i="2"/>
  <c r="AC7" i="2"/>
  <c r="AC8" i="2"/>
  <c r="AC9" i="2"/>
  <c r="AC10" i="2"/>
  <c r="AC11" i="2"/>
  <c r="AC12" i="2"/>
  <c r="AC13" i="2"/>
  <c r="AC14" i="2"/>
  <c r="AC15" i="2"/>
  <c r="AC16" i="2"/>
  <c r="AC17" i="2"/>
  <c r="AC18" i="2"/>
  <c r="AC19" i="2"/>
  <c r="AC5" i="2"/>
  <c r="AB6" i="2"/>
  <c r="AB7" i="2"/>
  <c r="AB8" i="2"/>
  <c r="AB9" i="2"/>
  <c r="AB10" i="2"/>
  <c r="AB11" i="2"/>
  <c r="AB12" i="2"/>
  <c r="AB13" i="2"/>
  <c r="AB14" i="2"/>
  <c r="AB15" i="2"/>
  <c r="AB16" i="2"/>
  <c r="AB17" i="2"/>
  <c r="AB18" i="2"/>
  <c r="AB19" i="2"/>
  <c r="AB20" i="2"/>
  <c r="AB5" i="2"/>
  <c r="R6" i="2"/>
  <c r="R7" i="2"/>
  <c r="R8" i="2"/>
  <c r="R9" i="2"/>
  <c r="R10" i="2"/>
  <c r="R11" i="2"/>
  <c r="R12" i="2"/>
  <c r="R13" i="2"/>
  <c r="R14" i="2"/>
  <c r="R15" i="2"/>
  <c r="R16" i="2"/>
  <c r="R17" i="2"/>
  <c r="R18" i="2"/>
  <c r="R19" i="2"/>
  <c r="R20" i="2"/>
  <c r="R5" i="2"/>
  <c r="R24" i="2"/>
  <c r="R25" i="2"/>
  <c r="R26" i="2"/>
  <c r="R27" i="2"/>
  <c r="R28" i="2"/>
  <c r="R29" i="2"/>
  <c r="R30" i="2"/>
  <c r="R31" i="2"/>
  <c r="R32" i="2"/>
  <c r="N24" i="2"/>
  <c r="N25" i="2"/>
  <c r="N26" i="2"/>
  <c r="N27" i="2"/>
  <c r="N28" i="2"/>
  <c r="N29" i="2"/>
  <c r="N30" i="2"/>
  <c r="N31" i="2"/>
  <c r="N32" i="2"/>
  <c r="M24" i="2"/>
  <c r="M25" i="2"/>
  <c r="M26" i="2"/>
  <c r="M27" i="2"/>
  <c r="M28" i="2"/>
  <c r="M29" i="2"/>
  <c r="M30" i="2"/>
  <c r="M31" i="2"/>
  <c r="M32" i="2"/>
  <c r="N23" i="2"/>
  <c r="M23" i="2"/>
  <c r="I24" i="2"/>
  <c r="I25" i="2"/>
  <c r="I26" i="2"/>
  <c r="I27" i="2"/>
  <c r="I28" i="2"/>
  <c r="I29" i="2"/>
  <c r="I30" i="2"/>
  <c r="I31" i="2"/>
  <c r="I32" i="2"/>
  <c r="H24" i="2"/>
  <c r="H25" i="2"/>
  <c r="H26" i="2"/>
  <c r="H27" i="2"/>
  <c r="H28" i="2"/>
  <c r="H29" i="2"/>
  <c r="H30" i="2"/>
  <c r="H31" i="2"/>
  <c r="H32" i="2"/>
  <c r="I23" i="2"/>
  <c r="H23" i="2"/>
  <c r="I6" i="2"/>
  <c r="I7" i="2"/>
  <c r="I8" i="2"/>
  <c r="I9" i="2"/>
  <c r="I10" i="2"/>
  <c r="I11" i="2"/>
  <c r="I12" i="2"/>
  <c r="I13" i="2"/>
  <c r="I14" i="2"/>
  <c r="I15" i="2"/>
  <c r="I16" i="2"/>
  <c r="I17" i="2"/>
  <c r="I18" i="2"/>
  <c r="I19" i="2"/>
  <c r="I20" i="2"/>
  <c r="H6" i="2"/>
  <c r="H7" i="2"/>
  <c r="H8" i="2"/>
  <c r="H9" i="2"/>
  <c r="H10" i="2"/>
  <c r="H11" i="2"/>
  <c r="H12" i="2"/>
  <c r="H13" i="2"/>
  <c r="H14" i="2"/>
  <c r="H15" i="2"/>
  <c r="H16" i="2"/>
  <c r="H17" i="2"/>
  <c r="H18" i="2"/>
  <c r="H19" i="2"/>
  <c r="H20" i="2"/>
  <c r="I5" i="2"/>
  <c r="H5" i="2"/>
  <c r="I3" i="50" l="1"/>
  <c r="I3" i="48" s="1"/>
  <c r="M3" i="49" s="1"/>
  <c r="I3" i="45"/>
  <c r="I2" i="45"/>
  <c r="E4" i="50"/>
  <c r="I2" i="48" s="1"/>
  <c r="D4" i="49" s="1"/>
  <c r="B2" i="50"/>
  <c r="C2" i="48" s="1"/>
  <c r="D3" i="49" s="1"/>
  <c r="B2" i="45"/>
  <c r="K3" i="45"/>
  <c r="I4" i="50"/>
  <c r="L3" i="48" s="1"/>
  <c r="M4" i="49" s="1"/>
  <c r="B3" i="45"/>
  <c r="E2" i="50"/>
  <c r="C3" i="48" s="1"/>
  <c r="D2" i="49" s="1"/>
  <c r="D22" i="4"/>
  <c r="D21" i="4"/>
  <c r="C26" i="4"/>
  <c r="U4" i="34"/>
  <c r="B18" i="34" s="1"/>
  <c r="X4" i="34"/>
  <c r="W4" i="34"/>
  <c r="C27" i="4" s="1"/>
  <c r="V4" i="34"/>
  <c r="J20" i="4"/>
  <c r="J21" i="4"/>
  <c r="C21" i="4" s="1"/>
  <c r="J22" i="4"/>
  <c r="C22" i="4" s="1"/>
  <c r="J19" i="4"/>
  <c r="AV36" i="2"/>
  <c r="AV37" i="2"/>
  <c r="AV38" i="2"/>
  <c r="AV39" i="2"/>
  <c r="AV40" i="2"/>
  <c r="AV41" i="2"/>
  <c r="AV42" i="2"/>
  <c r="AV43" i="2"/>
  <c r="AV44" i="2"/>
  <c r="AV45" i="2"/>
  <c r="AV35" i="2"/>
  <c r="AW36" i="2"/>
  <c r="AW37" i="2"/>
  <c r="AW38" i="2"/>
  <c r="AW39" i="2"/>
  <c r="AW40" i="2"/>
  <c r="AW41" i="2"/>
  <c r="AW42" i="2"/>
  <c r="AW43" i="2"/>
  <c r="AW44" i="2"/>
  <c r="AW45" i="2"/>
  <c r="AW35" i="2"/>
  <c r="AU36" i="2"/>
  <c r="AU37" i="2"/>
  <c r="AU38" i="2"/>
  <c r="AU39" i="2"/>
  <c r="AU40" i="2"/>
  <c r="AU41" i="2"/>
  <c r="AU42" i="2"/>
  <c r="AU43" i="2"/>
  <c r="AU44" i="2"/>
  <c r="AU45" i="2"/>
  <c r="AU35" i="2"/>
  <c r="AT36" i="2"/>
  <c r="AT37" i="2"/>
  <c r="AT38" i="2"/>
  <c r="AT39" i="2"/>
  <c r="AT40" i="2"/>
  <c r="AT41" i="2"/>
  <c r="AT42" i="2"/>
  <c r="AT43" i="2"/>
  <c r="AT44" i="2"/>
  <c r="AT45" i="2"/>
  <c r="AT35" i="2"/>
  <c r="AR36" i="2"/>
  <c r="AR37" i="2"/>
  <c r="AR38" i="2"/>
  <c r="AR39" i="2"/>
  <c r="AR40" i="2"/>
  <c r="AR41" i="2"/>
  <c r="AR42" i="2"/>
  <c r="AR43" i="2"/>
  <c r="AR44" i="2"/>
  <c r="AR45" i="2"/>
  <c r="AR35" i="2"/>
  <c r="AR46" i="2" s="1"/>
  <c r="AU46" i="2" l="1"/>
  <c r="D8" i="4" s="1"/>
  <c r="AV46" i="2"/>
  <c r="D9" i="4" s="1"/>
  <c r="AT46" i="2"/>
  <c r="AW46" i="2"/>
  <c r="D10" i="4" s="1"/>
  <c r="H23" i="4"/>
  <c r="C23" i="4" s="1"/>
  <c r="B19" i="34"/>
  <c r="H24" i="4" s="1"/>
  <c r="C24" i="4" s="1"/>
  <c r="B20" i="34"/>
  <c r="H25" i="4" s="1"/>
  <c r="C25" i="4" s="1"/>
  <c r="D20" i="4"/>
  <c r="D19" i="4"/>
  <c r="AQ51" i="2" l="1"/>
  <c r="D43" i="4" s="1"/>
  <c r="F32" i="4"/>
  <c r="J32" i="4"/>
  <c r="J105" i="4"/>
  <c r="J97" i="4" s="1"/>
  <c r="D28" i="4"/>
  <c r="N12" i="34"/>
  <c r="N6" i="34"/>
  <c r="N7" i="34"/>
  <c r="N8" i="34"/>
  <c r="N9" i="34"/>
  <c r="N10" i="34"/>
  <c r="N11" i="34"/>
  <c r="N5" i="34"/>
  <c r="C17" i="34"/>
  <c r="D17" i="34"/>
  <c r="G12" i="34"/>
  <c r="Q6" i="34"/>
  <c r="Q7" i="34"/>
  <c r="Q8" i="34"/>
  <c r="Q5" i="34"/>
  <c r="E20" i="34"/>
  <c r="D25" i="4" s="1"/>
  <c r="E19" i="34"/>
  <c r="D24" i="4" s="1"/>
  <c r="E18" i="34"/>
  <c r="D23" i="4" s="1"/>
  <c r="B13" i="34"/>
  <c r="G6" i="34"/>
  <c r="G7" i="34"/>
  <c r="G8" i="34"/>
  <c r="G9" i="34"/>
  <c r="G10" i="34"/>
  <c r="G11" i="34"/>
  <c r="G5" i="34"/>
  <c r="D27" i="4" l="1"/>
  <c r="C43" i="4"/>
  <c r="E43" i="4"/>
  <c r="C103" i="4"/>
  <c r="AZ3" i="2" l="1"/>
  <c r="AN5" i="2"/>
  <c r="AM5" i="2"/>
  <c r="AL5" i="2"/>
  <c r="D76" i="4"/>
  <c r="D2" i="34" l="1"/>
  <c r="K25" i="34"/>
  <c r="J25" i="34"/>
  <c r="K24" i="34"/>
  <c r="J24" i="34"/>
  <c r="K23" i="34"/>
  <c r="J23" i="34"/>
  <c r="K22" i="34"/>
  <c r="J22" i="34"/>
  <c r="K21" i="34"/>
  <c r="J21" i="34"/>
  <c r="K20" i="34"/>
  <c r="J20" i="34"/>
  <c r="P9" i="34"/>
  <c r="P8" i="34"/>
  <c r="P7" i="34"/>
  <c r="P6" i="34"/>
  <c r="P4" i="34"/>
  <c r="O4" i="34"/>
  <c r="N4" i="34"/>
  <c r="L2" i="34"/>
  <c r="J2" i="34"/>
  <c r="J3" i="34"/>
  <c r="L3" i="34"/>
  <c r="D3" i="34"/>
  <c r="B2" i="34"/>
  <c r="AI46" i="2"/>
  <c r="AD46" i="2"/>
  <c r="Y46" i="2"/>
  <c r="T46" i="2"/>
  <c r="O46" i="2"/>
  <c r="J46" i="2"/>
  <c r="E46" i="2"/>
  <c r="AI33" i="2"/>
  <c r="AI21" i="2"/>
  <c r="O21" i="2"/>
  <c r="C51" i="4"/>
  <c r="D44" i="4"/>
  <c r="AI47" i="2" l="1"/>
  <c r="P5" i="34"/>
  <c r="M33" i="4" s="1"/>
  <c r="C105" i="4"/>
  <c r="C101" i="4"/>
  <c r="C97" i="4"/>
  <c r="C32" i="4"/>
  <c r="C20" i="4"/>
  <c r="C19" i="4"/>
  <c r="C2" i="4" l="1"/>
  <c r="C71" i="4" l="1"/>
  <c r="C70" i="4"/>
  <c r="D71" i="4" l="1"/>
  <c r="D29" i="4" l="1"/>
  <c r="E70" i="4" l="1"/>
  <c r="D96" i="4"/>
  <c r="O4" i="4" l="1"/>
  <c r="O3" i="4"/>
  <c r="D42" i="4"/>
  <c r="D30" i="4" l="1"/>
  <c r="E3" i="12"/>
  <c r="E3" i="41" s="1"/>
  <c r="B3" i="12"/>
  <c r="D38" i="4"/>
  <c r="J1" i="4" l="1"/>
  <c r="A1" i="4" s="1"/>
  <c r="J68" i="4"/>
  <c r="A68" i="4" s="1"/>
  <c r="AN32" i="2" l="1"/>
  <c r="AM32" i="2"/>
  <c r="AL32" i="2"/>
  <c r="AD32" i="2"/>
  <c r="Y32" i="2"/>
  <c r="W32" i="2"/>
  <c r="T32" i="2"/>
  <c r="S32" i="2"/>
  <c r="AG32" i="2"/>
  <c r="O32" i="2"/>
  <c r="J32" i="2"/>
  <c r="AN31" i="2"/>
  <c r="AM31" i="2"/>
  <c r="AL31" i="2"/>
  <c r="AD31" i="2"/>
  <c r="Y31" i="2"/>
  <c r="W31" i="2"/>
  <c r="T31" i="2"/>
  <c r="S31" i="2"/>
  <c r="O31" i="2"/>
  <c r="J31" i="2"/>
  <c r="AN30" i="2"/>
  <c r="AM30" i="2"/>
  <c r="AL30" i="2"/>
  <c r="AD30" i="2"/>
  <c r="Y30" i="2"/>
  <c r="W30" i="2"/>
  <c r="T30" i="2"/>
  <c r="S30" i="2"/>
  <c r="O30" i="2"/>
  <c r="J30" i="2"/>
  <c r="AN29" i="2"/>
  <c r="AM29" i="2"/>
  <c r="AL29" i="2"/>
  <c r="AD29" i="2"/>
  <c r="Y29" i="2"/>
  <c r="W29" i="2"/>
  <c r="T29" i="2"/>
  <c r="S29" i="2"/>
  <c r="O29" i="2"/>
  <c r="J29" i="2"/>
  <c r="AN28" i="2"/>
  <c r="AM28" i="2"/>
  <c r="AL28" i="2"/>
  <c r="AD28" i="2"/>
  <c r="Y28" i="2"/>
  <c r="W28" i="2"/>
  <c r="T28" i="2"/>
  <c r="S28" i="2"/>
  <c r="O28" i="2"/>
  <c r="J28" i="2"/>
  <c r="AN27" i="2"/>
  <c r="AM27" i="2"/>
  <c r="AL27" i="2"/>
  <c r="AD27" i="2"/>
  <c r="Y27" i="2"/>
  <c r="W27" i="2"/>
  <c r="T27" i="2"/>
  <c r="S27" i="2"/>
  <c r="O27" i="2"/>
  <c r="J27" i="2"/>
  <c r="AN26" i="2"/>
  <c r="AM26" i="2"/>
  <c r="AL26" i="2"/>
  <c r="AD26" i="2"/>
  <c r="Y26" i="2"/>
  <c r="W26" i="2"/>
  <c r="T26" i="2"/>
  <c r="S26" i="2"/>
  <c r="O26" i="2"/>
  <c r="J26" i="2"/>
  <c r="AN25" i="2"/>
  <c r="AM25" i="2"/>
  <c r="AL25" i="2"/>
  <c r="AD25" i="2"/>
  <c r="Y25" i="2"/>
  <c r="W25" i="2"/>
  <c r="T25" i="2"/>
  <c r="S25" i="2"/>
  <c r="O25" i="2"/>
  <c r="J25" i="2"/>
  <c r="AN24" i="2"/>
  <c r="AM24" i="2"/>
  <c r="AL24" i="2"/>
  <c r="AD24" i="2"/>
  <c r="Y24" i="2"/>
  <c r="W24" i="2"/>
  <c r="T24" i="2"/>
  <c r="S24" i="2"/>
  <c r="O24" i="2"/>
  <c r="J24" i="2"/>
  <c r="AN23" i="2"/>
  <c r="AM23" i="2"/>
  <c r="AL23" i="2"/>
  <c r="AD23" i="2"/>
  <c r="Y23" i="2"/>
  <c r="W23" i="2"/>
  <c r="T23" i="2"/>
  <c r="S23" i="2"/>
  <c r="O23" i="2"/>
  <c r="J23" i="2"/>
  <c r="AN20" i="2"/>
  <c r="AM20" i="2"/>
  <c r="AL20" i="2"/>
  <c r="AD20" i="2"/>
  <c r="Y20" i="2"/>
  <c r="W20" i="2"/>
  <c r="T20" i="2"/>
  <c r="S20" i="2"/>
  <c r="AG20" i="2"/>
  <c r="J20" i="2"/>
  <c r="AN19" i="2"/>
  <c r="AM19" i="2"/>
  <c r="AL19" i="2"/>
  <c r="AD19" i="2"/>
  <c r="Y19" i="2"/>
  <c r="W19" i="2"/>
  <c r="T19" i="2"/>
  <c r="S19" i="2"/>
  <c r="J19" i="2"/>
  <c r="AN18" i="2"/>
  <c r="AM18" i="2"/>
  <c r="AL18" i="2"/>
  <c r="AD18" i="2"/>
  <c r="J18" i="34"/>
  <c r="Y18" i="2"/>
  <c r="W18" i="2"/>
  <c r="T18" i="2"/>
  <c r="S18" i="2"/>
  <c r="J18" i="2"/>
  <c r="AN17" i="2"/>
  <c r="AM17" i="2"/>
  <c r="AL17" i="2"/>
  <c r="AD17" i="2"/>
  <c r="J17" i="34"/>
  <c r="Y17" i="2"/>
  <c r="W17" i="2"/>
  <c r="T17" i="2"/>
  <c r="S17" i="2"/>
  <c r="J17" i="2"/>
  <c r="AN16" i="2"/>
  <c r="AM16" i="2"/>
  <c r="AL16" i="2"/>
  <c r="AD16" i="2"/>
  <c r="J16" i="34"/>
  <c r="Y16" i="2"/>
  <c r="W16" i="2"/>
  <c r="T16" i="2"/>
  <c r="S16" i="2"/>
  <c r="J16" i="2"/>
  <c r="AN15" i="2"/>
  <c r="AM15" i="2"/>
  <c r="AL15" i="2"/>
  <c r="AD15" i="2"/>
  <c r="J15" i="34"/>
  <c r="Y15" i="2"/>
  <c r="W15" i="2"/>
  <c r="T15" i="2"/>
  <c r="S15" i="2"/>
  <c r="J15" i="2"/>
  <c r="AN14" i="2"/>
  <c r="AM14" i="2"/>
  <c r="AL14" i="2"/>
  <c r="AD14" i="2"/>
  <c r="J14" i="34"/>
  <c r="Y14" i="2"/>
  <c r="W14" i="2"/>
  <c r="T14" i="2"/>
  <c r="S14" i="2"/>
  <c r="J14" i="2"/>
  <c r="AN13" i="2"/>
  <c r="AM13" i="2"/>
  <c r="AL13" i="2"/>
  <c r="AD13" i="2"/>
  <c r="J13" i="34"/>
  <c r="Y13" i="2"/>
  <c r="W13" i="2"/>
  <c r="T13" i="2"/>
  <c r="S13" i="2"/>
  <c r="J13" i="2"/>
  <c r="AN12" i="2"/>
  <c r="AM12" i="2"/>
  <c r="AL12" i="2"/>
  <c r="AD12" i="2"/>
  <c r="J12" i="34"/>
  <c r="Y12" i="2"/>
  <c r="W12" i="2"/>
  <c r="T12" i="2"/>
  <c r="AR12" i="2" s="1"/>
  <c r="S12" i="2"/>
  <c r="J12" i="2"/>
  <c r="AN11" i="2"/>
  <c r="AM11" i="2"/>
  <c r="AL11" i="2"/>
  <c r="AD11" i="2"/>
  <c r="J11" i="34"/>
  <c r="Y11" i="2"/>
  <c r="W11" i="2"/>
  <c r="T11" i="2"/>
  <c r="S11" i="2"/>
  <c r="J11" i="2"/>
  <c r="AN10" i="2"/>
  <c r="AM10" i="2"/>
  <c r="AL10" i="2"/>
  <c r="AD10" i="2"/>
  <c r="J10" i="34"/>
  <c r="Y10" i="2"/>
  <c r="W10" i="2"/>
  <c r="T10" i="2"/>
  <c r="S10" i="2"/>
  <c r="J10" i="2"/>
  <c r="AN9" i="2"/>
  <c r="AM9" i="2"/>
  <c r="AL9" i="2"/>
  <c r="AD9" i="2"/>
  <c r="J9" i="34"/>
  <c r="Y9" i="2"/>
  <c r="W9" i="2"/>
  <c r="T9" i="2"/>
  <c r="S9" i="2"/>
  <c r="J9" i="2"/>
  <c r="AN8" i="2"/>
  <c r="AM8" i="2"/>
  <c r="AL8" i="2"/>
  <c r="AD8" i="2"/>
  <c r="J8" i="34"/>
  <c r="Y8" i="2"/>
  <c r="W8" i="2"/>
  <c r="T8" i="2"/>
  <c r="S8" i="2"/>
  <c r="J8" i="2"/>
  <c r="AN7" i="2"/>
  <c r="AM7" i="2"/>
  <c r="AL7" i="2"/>
  <c r="AD7" i="2"/>
  <c r="J7" i="34"/>
  <c r="Y7" i="2"/>
  <c r="W7" i="2"/>
  <c r="T7" i="2"/>
  <c r="S7" i="2"/>
  <c r="J7" i="2"/>
  <c r="AN6" i="2"/>
  <c r="AM6" i="2"/>
  <c r="AL6" i="2"/>
  <c r="AD6" i="2"/>
  <c r="J6" i="34"/>
  <c r="Y6" i="2"/>
  <c r="W6" i="2"/>
  <c r="T6" i="2"/>
  <c r="S6" i="2"/>
  <c r="J6" i="2"/>
  <c r="AD5" i="2"/>
  <c r="J5" i="34"/>
  <c r="Y5" i="2"/>
  <c r="W5" i="2"/>
  <c r="T5" i="2"/>
  <c r="S5" i="2"/>
  <c r="J5" i="2"/>
  <c r="AR10" i="2" l="1"/>
  <c r="AR26" i="2"/>
  <c r="AR28" i="2"/>
  <c r="AR30" i="2"/>
  <c r="AR8" i="2"/>
  <c r="AR11" i="2"/>
  <c r="AR29" i="2"/>
  <c r="AR5" i="2"/>
  <c r="T21" i="2"/>
  <c r="Y21" i="2"/>
  <c r="AD21" i="2"/>
  <c r="AR16" i="2"/>
  <c r="AR18" i="2"/>
  <c r="AR6" i="2"/>
  <c r="AR7" i="2"/>
  <c r="AR14" i="2"/>
  <c r="AR15" i="2"/>
  <c r="AR24" i="2"/>
  <c r="AR25" i="2"/>
  <c r="AN21" i="2"/>
  <c r="AR9" i="2"/>
  <c r="AR13" i="2"/>
  <c r="AR17" i="2"/>
  <c r="J33" i="2"/>
  <c r="AD33" i="2"/>
  <c r="AR27" i="2"/>
  <c r="O33" i="2"/>
  <c r="O47" i="2" s="1"/>
  <c r="T33" i="2"/>
  <c r="Y33" i="2"/>
  <c r="AN33" i="2"/>
  <c r="K15" i="34"/>
  <c r="O15" i="34"/>
  <c r="O14" i="34"/>
  <c r="K16" i="34"/>
  <c r="O16" i="34"/>
  <c r="K17" i="34"/>
  <c r="O17" i="34"/>
  <c r="K18" i="34"/>
  <c r="O18" i="34"/>
  <c r="AR31" i="2"/>
  <c r="AR32" i="2"/>
  <c r="AR23" i="2"/>
  <c r="AR19" i="2"/>
  <c r="AR20" i="2"/>
  <c r="K5" i="34"/>
  <c r="O5" i="34" s="1"/>
  <c r="K6" i="34"/>
  <c r="K7" i="34"/>
  <c r="O6" i="34"/>
  <c r="K8" i="34"/>
  <c r="O7" i="34"/>
  <c r="K9" i="34"/>
  <c r="O8" i="34"/>
  <c r="K10" i="34"/>
  <c r="O9" i="34"/>
  <c r="K11" i="34"/>
  <c r="O10" i="34"/>
  <c r="K12" i="34"/>
  <c r="O11" i="34"/>
  <c r="K13" i="34"/>
  <c r="O12" i="34"/>
  <c r="K14" i="34"/>
  <c r="O13" i="34"/>
  <c r="Y47" i="2" l="1"/>
  <c r="AD47" i="2"/>
  <c r="T47" i="2"/>
  <c r="M31" i="4"/>
  <c r="D31" i="4" s="1"/>
  <c r="B150" i="4" l="1"/>
  <c r="B149" i="4"/>
  <c r="B147" i="4"/>
  <c r="AU23" i="2" l="1"/>
  <c r="AU24" i="2"/>
  <c r="AU25" i="2"/>
  <c r="AU26" i="2"/>
  <c r="AU27" i="2"/>
  <c r="AU28" i="2"/>
  <c r="AU29" i="2"/>
  <c r="AU30" i="2"/>
  <c r="AU31" i="2"/>
  <c r="AU32" i="2"/>
  <c r="AU6" i="2"/>
  <c r="AU7" i="2"/>
  <c r="AU8" i="2"/>
  <c r="AU9" i="2"/>
  <c r="AU10" i="2"/>
  <c r="AU11" i="2"/>
  <c r="AU12" i="2"/>
  <c r="AU13" i="2"/>
  <c r="AU14" i="2"/>
  <c r="AU15" i="2"/>
  <c r="AU16" i="2"/>
  <c r="AU17" i="2"/>
  <c r="AU18" i="2"/>
  <c r="AU19" i="2"/>
  <c r="AU20" i="2"/>
  <c r="AP23" i="2"/>
  <c r="AP24" i="2"/>
  <c r="AP25" i="2"/>
  <c r="AP26" i="2"/>
  <c r="AU33" i="2" l="1"/>
  <c r="D39" i="4" l="1"/>
  <c r="D40" i="4" l="1"/>
  <c r="E40" i="4"/>
  <c r="C40" i="4"/>
  <c r="E39" i="4"/>
  <c r="C39" i="4"/>
  <c r="E38" i="4"/>
  <c r="C38" i="4"/>
  <c r="M32" i="4" l="1"/>
  <c r="D32" i="4" s="1"/>
  <c r="C98" i="4" s="1"/>
  <c r="J46" i="4" l="1"/>
  <c r="C46" i="4" s="1"/>
  <c r="D33" i="4"/>
  <c r="E46" i="4"/>
  <c r="AP20" i="2"/>
  <c r="AP5" i="2"/>
  <c r="AP6" i="2"/>
  <c r="AP7" i="2"/>
  <c r="AP8" i="2"/>
  <c r="AP9" i="2"/>
  <c r="AP10" i="2"/>
  <c r="D46" i="4" l="1"/>
  <c r="AT10" i="2"/>
  <c r="AT8" i="2"/>
  <c r="AT6" i="2"/>
  <c r="AT20" i="2"/>
  <c r="AT9" i="2"/>
  <c r="AT7" i="2"/>
  <c r="AT5" i="2"/>
  <c r="AT27" i="2"/>
  <c r="AT26" i="2"/>
  <c r="AT25" i="2"/>
  <c r="AT24" i="2"/>
  <c r="AT23" i="2"/>
  <c r="AP31" i="2" l="1"/>
  <c r="AU5" i="2" l="1"/>
  <c r="AU21" i="2" s="1"/>
  <c r="C48" i="2" s="1"/>
  <c r="D21" i="12" l="1"/>
  <c r="AP27" i="2" l="1"/>
  <c r="AP28" i="2"/>
  <c r="AP29" i="2"/>
  <c r="AP30" i="2"/>
  <c r="AP32" i="2"/>
  <c r="AP11" i="2"/>
  <c r="AP12" i="2"/>
  <c r="AP13" i="2"/>
  <c r="AP14" i="2"/>
  <c r="AP15" i="2"/>
  <c r="AP16" i="2"/>
  <c r="AP17" i="2"/>
  <c r="AP18" i="2"/>
  <c r="AP19" i="2"/>
  <c r="C26" i="8"/>
  <c r="C23" i="8"/>
  <c r="C19" i="8"/>
  <c r="G2" i="8"/>
  <c r="H3" i="8"/>
  <c r="B3" i="8"/>
  <c r="E21" i="2"/>
  <c r="E33" i="2"/>
  <c r="J21" i="2"/>
  <c r="J47" i="2" s="1"/>
  <c r="E47" i="2" l="1"/>
  <c r="F36" i="4" s="1"/>
  <c r="D36" i="4" s="1"/>
  <c r="L48" i="2"/>
  <c r="D10" i="12" s="1"/>
  <c r="D92" i="4"/>
  <c r="D86" i="4"/>
  <c r="D90" i="4"/>
  <c r="M4" i="4"/>
  <c r="D74" i="4" s="1"/>
  <c r="M3" i="4"/>
  <c r="D73" i="4" s="1"/>
  <c r="B6" i="12"/>
  <c r="E6" i="12"/>
  <c r="AT19" i="2"/>
  <c r="AT17" i="2"/>
  <c r="AT15" i="2"/>
  <c r="AT13" i="2"/>
  <c r="AT11" i="2"/>
  <c r="AT31" i="2"/>
  <c r="AT28" i="2"/>
  <c r="AT18" i="2"/>
  <c r="AT16" i="2"/>
  <c r="AT14" i="2"/>
  <c r="AT12" i="2"/>
  <c r="AT32" i="2"/>
  <c r="AT30" i="2"/>
  <c r="AT29" i="2"/>
  <c r="AP47" i="2"/>
  <c r="D101" i="4" s="1"/>
  <c r="E6" i="8"/>
  <c r="B6" i="8"/>
  <c r="B4" i="8"/>
  <c r="G34" i="8" s="1"/>
  <c r="AN47" i="2"/>
  <c r="F48" i="2" s="1"/>
  <c r="D8" i="12" l="1"/>
  <c r="I48" i="2"/>
  <c r="D9" i="12" s="1"/>
  <c r="D85" i="4"/>
  <c r="D88" i="4"/>
  <c r="D89" i="4" s="1"/>
  <c r="D94" i="4"/>
  <c r="D98" i="4"/>
  <c r="AT33" i="2"/>
  <c r="AR21" i="2"/>
  <c r="AT21" i="2"/>
  <c r="C18" i="8"/>
  <c r="AR33" i="2"/>
  <c r="C30" i="8"/>
  <c r="AR47" i="2" l="1"/>
  <c r="D5" i="4" s="1"/>
  <c r="AT47" i="2"/>
  <c r="D6" i="4" s="1"/>
  <c r="D82" i="4"/>
  <c r="D83" i="4" s="1"/>
  <c r="D75" i="4"/>
  <c r="C89" i="4" l="1"/>
  <c r="C92" i="4"/>
  <c r="D28" i="12"/>
  <c r="B7" i="8"/>
  <c r="C75" i="4" l="1"/>
  <c r="C10" i="8"/>
  <c r="C9" i="8"/>
  <c r="C11" i="8"/>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此处需工艺填写所有整件发货柜体的个数</t>
        </r>
      </text>
    </comment>
    <comment ref="F3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此处输入水盆柜宽度</t>
        </r>
      </text>
    </comment>
    <comment ref="D6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请注意：所有整件发货的柜体使用的铰链填在此处，如：所有地柜拉篮、开门米箱、单抽单门地柜</t>
        </r>
      </text>
    </comment>
    <comment ref="C93" authorId="1">
      <text>
        <r>
          <rPr>
            <b/>
            <sz val="9"/>
            <color indexed="81"/>
            <rFont val="宋体"/>
            <family val="3"/>
            <charset val="134"/>
          </rPr>
          <t>微软用户:</t>
        </r>
        <r>
          <rPr>
            <sz val="9"/>
            <color indexed="81"/>
            <rFont val="宋体"/>
            <family val="3"/>
            <charset val="134"/>
          </rPr>
          <t xml:space="preserve">
每个水盆配1个底漏</t>
        </r>
      </text>
    </comment>
    <comment ref="C94"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其中非整件发货的拉篮五金需安装领用，整件发货的为组装领用</t>
        </r>
      </text>
    </comment>
  </commentList>
</comments>
</file>

<file path=xl/comments3.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4.xml><?xml version="1.0" encoding="utf-8"?>
<comments xmlns="http://schemas.openxmlformats.org/spreadsheetml/2006/main">
  <authors>
    <author>李颖辉</author>
  </authors>
  <commentList>
    <comment ref="A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仅用于</t>
        </r>
        <r>
          <rPr>
            <sz val="9"/>
            <color indexed="81"/>
            <rFont val="Tahoma"/>
            <family val="2"/>
          </rPr>
          <t>LC-003</t>
        </r>
        <r>
          <rPr>
            <sz val="9"/>
            <color indexed="81"/>
            <rFont val="宋体"/>
            <family val="3"/>
            <charset val="134"/>
          </rPr>
          <t>拉手，其他外协拉手写在门板拉手（外协）处</t>
        </r>
      </text>
    </comment>
  </commentList>
</comments>
</file>

<file path=xl/comments5.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6.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7.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8.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sharedStrings.xml><?xml version="1.0" encoding="utf-8"?>
<sst xmlns="http://schemas.openxmlformats.org/spreadsheetml/2006/main" count="4241" uniqueCount="1606">
  <si>
    <t>备注</t>
    <phoneticPr fontId="4" type="noConversion"/>
  </si>
  <si>
    <t>序号</t>
    <phoneticPr fontId="4" type="noConversion"/>
  </si>
  <si>
    <t>抽屉</t>
    <phoneticPr fontId="4" type="noConversion"/>
  </si>
  <si>
    <t>单位</t>
    <phoneticPr fontId="4" type="noConversion"/>
  </si>
  <si>
    <t>数量</t>
    <phoneticPr fontId="4" type="noConversion"/>
  </si>
  <si>
    <t>下单日期：</t>
    <phoneticPr fontId="4" type="noConversion"/>
  </si>
  <si>
    <t>客户姓名</t>
    <phoneticPr fontId="4" type="noConversion"/>
  </si>
  <si>
    <t>水灶柜铝
制横梁</t>
  </si>
  <si>
    <t>订单编号：</t>
    <phoneticPr fontId="4" type="noConversion"/>
  </si>
  <si>
    <t>下单日期</t>
    <phoneticPr fontId="4" type="noConversion"/>
  </si>
  <si>
    <t>材料名称</t>
    <phoneticPr fontId="4" type="noConversion"/>
  </si>
  <si>
    <t>柜体</t>
    <phoneticPr fontId="4" type="noConversion"/>
  </si>
  <si>
    <t>型号、规格</t>
    <phoneticPr fontId="4" type="noConversion"/>
  </si>
  <si>
    <t>张</t>
    <phoneticPr fontId="4" type="noConversion"/>
  </si>
  <si>
    <t>铝制踢脚板</t>
    <phoneticPr fontId="4" type="noConversion"/>
  </si>
  <si>
    <t>意德法家木业生产线工序交接单</t>
    <phoneticPr fontId="4" type="noConversion"/>
  </si>
  <si>
    <t>图纸编号:</t>
    <phoneticPr fontId="4" type="noConversion"/>
  </si>
  <si>
    <t>销售点</t>
    <phoneticPr fontId="4" type="noConversion"/>
  </si>
  <si>
    <t>设计师</t>
    <phoneticPr fontId="4" type="noConversion"/>
  </si>
  <si>
    <t>应完成日期</t>
    <phoneticPr fontId="4" type="noConversion"/>
  </si>
  <si>
    <t>实际完成日期</t>
    <phoneticPr fontId="4" type="noConversion"/>
  </si>
  <si>
    <t>产品系列</t>
    <phoneticPr fontId="4" type="noConversion"/>
  </si>
  <si>
    <t>实木</t>
    <phoneticPr fontId="4" type="noConversion"/>
  </si>
  <si>
    <t>烤漆</t>
    <phoneticPr fontId="4" type="noConversion"/>
  </si>
  <si>
    <t>吸塑</t>
    <phoneticPr fontId="4" type="noConversion"/>
  </si>
  <si>
    <t>烤漆玻璃</t>
    <phoneticPr fontId="4" type="noConversion"/>
  </si>
  <si>
    <t>三聚氢氨</t>
    <phoneticPr fontId="4" type="noConversion"/>
  </si>
  <si>
    <t>金属封边</t>
    <phoneticPr fontId="4" type="noConversion"/>
  </si>
  <si>
    <t>镶嵌拉手</t>
    <phoneticPr fontId="4" type="noConversion"/>
  </si>
  <si>
    <t>标准地柜(件)</t>
    <phoneticPr fontId="4" type="noConversion"/>
  </si>
  <si>
    <t>标准吊柜(件)</t>
    <phoneticPr fontId="4" type="noConversion"/>
  </si>
  <si>
    <t>顶线</t>
    <phoneticPr fontId="4" type="noConversion"/>
  </si>
  <si>
    <t>开槽(件)</t>
    <phoneticPr fontId="4" type="noConversion"/>
  </si>
  <si>
    <t>单管防撞条</t>
    <phoneticPr fontId="4" type="noConversion"/>
  </si>
  <si>
    <t>灯线</t>
    <phoneticPr fontId="4" type="noConversion"/>
  </si>
  <si>
    <t>工序名称</t>
    <phoneticPr fontId="4" type="noConversion"/>
  </si>
  <si>
    <t>成品数量</t>
    <phoneticPr fontId="4" type="noConversion"/>
  </si>
  <si>
    <t>完成日期</t>
    <phoneticPr fontId="4" type="noConversion"/>
  </si>
  <si>
    <t>接料日期</t>
    <phoneticPr fontId="4" type="noConversion"/>
  </si>
  <si>
    <t>主机手</t>
    <phoneticPr fontId="4" type="noConversion"/>
  </si>
  <si>
    <t>质检</t>
    <phoneticPr fontId="4" type="noConversion"/>
  </si>
  <si>
    <t>下料</t>
    <phoneticPr fontId="4" type="noConversion"/>
  </si>
  <si>
    <t>封边</t>
    <phoneticPr fontId="4" type="noConversion"/>
  </si>
  <si>
    <t>排钻</t>
    <phoneticPr fontId="4" type="noConversion"/>
  </si>
  <si>
    <t>层板铝扣条</t>
    <phoneticPr fontId="4" type="noConversion"/>
  </si>
  <si>
    <t>T型铝封边</t>
    <phoneticPr fontId="4" type="noConversion"/>
  </si>
  <si>
    <t>通常铝拉手</t>
    <phoneticPr fontId="4" type="noConversion"/>
  </si>
  <si>
    <t>铣形</t>
    <phoneticPr fontId="4" type="noConversion"/>
  </si>
  <si>
    <t>异形封边</t>
    <phoneticPr fontId="4" type="noConversion"/>
  </si>
  <si>
    <t>组装</t>
    <phoneticPr fontId="4" type="noConversion"/>
  </si>
  <si>
    <t>拉蓝</t>
    <phoneticPr fontId="4" type="noConversion"/>
  </si>
  <si>
    <t>小怪物</t>
    <phoneticPr fontId="4" type="noConversion"/>
  </si>
  <si>
    <t>铝框门</t>
    <phoneticPr fontId="4" type="noConversion"/>
  </si>
  <si>
    <t>上翻平移门</t>
    <phoneticPr fontId="4" type="noConversion"/>
  </si>
  <si>
    <t>门铰</t>
    <phoneticPr fontId="4" type="noConversion"/>
  </si>
  <si>
    <t>门板倒角</t>
    <phoneticPr fontId="4" type="noConversion"/>
  </si>
  <si>
    <t>铝百叶</t>
    <phoneticPr fontId="4" type="noConversion"/>
  </si>
  <si>
    <t>水灶柜铝梁</t>
    <phoneticPr fontId="4" type="noConversion"/>
  </si>
  <si>
    <t>按玻璃</t>
    <phoneticPr fontId="4" type="noConversion"/>
  </si>
  <si>
    <t>烤漆玻璃喷花</t>
    <phoneticPr fontId="4" type="noConversion"/>
  </si>
  <si>
    <t>扣手</t>
    <phoneticPr fontId="4" type="noConversion"/>
  </si>
  <si>
    <t>打包</t>
    <phoneticPr fontId="4" type="noConversion"/>
  </si>
  <si>
    <t>车间负责人签字:</t>
    <phoneticPr fontId="4" type="noConversion"/>
  </si>
  <si>
    <t>工艺员：</t>
    <phoneticPr fontId="4" type="noConversion"/>
  </si>
  <si>
    <t>1套</t>
    <phoneticPr fontId="4" type="noConversion"/>
  </si>
  <si>
    <t>顶板</t>
    <phoneticPr fontId="4" type="noConversion"/>
  </si>
  <si>
    <t>吊柜</t>
    <phoneticPr fontId="4" type="noConversion"/>
  </si>
  <si>
    <t>订单编号</t>
    <phoneticPr fontId="19" type="noConversion"/>
  </si>
  <si>
    <t>物料描述</t>
    <phoneticPr fontId="4" type="noConversion"/>
  </si>
  <si>
    <t>总延米：</t>
    <phoneticPr fontId="4" type="noConversion"/>
  </si>
  <si>
    <t>兰天</t>
    <phoneticPr fontId="4" type="noConversion"/>
  </si>
  <si>
    <t>宽</t>
    <phoneticPr fontId="4" type="noConversion"/>
  </si>
  <si>
    <t>高</t>
    <phoneticPr fontId="4" type="noConversion"/>
  </si>
  <si>
    <t>备注</t>
    <phoneticPr fontId="4" type="noConversion"/>
  </si>
  <si>
    <t>地柜</t>
    <phoneticPr fontId="19" type="noConversion"/>
  </si>
  <si>
    <t>米</t>
  </si>
  <si>
    <t>张</t>
    <phoneticPr fontId="19" type="noConversion"/>
  </si>
  <si>
    <t>601-900</t>
    <phoneticPr fontId="19" type="noConversion"/>
  </si>
  <si>
    <t>901-1200</t>
    <phoneticPr fontId="19" type="noConversion"/>
  </si>
  <si>
    <t>高柜</t>
    <phoneticPr fontId="19" type="noConversion"/>
  </si>
  <si>
    <t>图兰朵</t>
    <phoneticPr fontId="4" type="noConversion"/>
  </si>
  <si>
    <t>张</t>
  </si>
  <si>
    <t>米</t>
    <phoneticPr fontId="19" type="noConversion"/>
  </si>
  <si>
    <t>个</t>
    <phoneticPr fontId="19" type="noConversion"/>
  </si>
  <si>
    <t>根</t>
    <phoneticPr fontId="19" type="noConversion"/>
  </si>
  <si>
    <t>客户姓名</t>
    <phoneticPr fontId="4" type="noConversion"/>
  </si>
  <si>
    <t>吊柜</t>
    <phoneticPr fontId="19" type="noConversion"/>
  </si>
  <si>
    <t>版本型录号</t>
    <phoneticPr fontId="4" type="noConversion"/>
  </si>
  <si>
    <t>8*1830*2440</t>
  </si>
  <si>
    <t>FC-BZ020025</t>
  </si>
  <si>
    <t>FC-BZ010962</t>
    <phoneticPr fontId="19" type="noConversion"/>
  </si>
  <si>
    <t>硬纸护角</t>
    <phoneticPr fontId="19" type="noConversion"/>
  </si>
  <si>
    <t>根据板件高度选择硬纸护角的高度（41/54）</t>
    <phoneticPr fontId="19" type="noConversion"/>
  </si>
  <si>
    <t>FC-BZ010110</t>
  </si>
  <si>
    <t>1层</t>
    <phoneticPr fontId="19" type="noConversion"/>
  </si>
  <si>
    <t>——</t>
    <phoneticPr fontId="19" type="noConversion"/>
  </si>
  <si>
    <t>H≤2400</t>
    <phoneticPr fontId="19" type="noConversion"/>
  </si>
  <si>
    <t>600＜W≤900</t>
    <phoneticPr fontId="19" type="noConversion"/>
  </si>
  <si>
    <t>装饰墙板</t>
    <phoneticPr fontId="19" type="noConversion"/>
  </si>
  <si>
    <t>2层</t>
    <phoneticPr fontId="19" type="noConversion"/>
  </si>
  <si>
    <t>W≤600</t>
    <phoneticPr fontId="19" type="noConversion"/>
  </si>
  <si>
    <t>硬纸护角41mm高</t>
  </si>
  <si>
    <t>4层</t>
    <phoneticPr fontId="19" type="noConversion"/>
  </si>
  <si>
    <t>D≤300</t>
    <phoneticPr fontId="19" type="noConversion"/>
  </si>
  <si>
    <t>W≤1200</t>
    <phoneticPr fontId="19" type="noConversion"/>
  </si>
  <si>
    <t>墙上层板</t>
    <phoneticPr fontId="19" type="noConversion"/>
  </si>
  <si>
    <t>加硬包装</t>
    <phoneticPr fontId="19" type="noConversion"/>
  </si>
  <si>
    <t>1个</t>
    <phoneticPr fontId="19" type="noConversion"/>
  </si>
  <si>
    <t>酒架、调料盒、碗盘架、墙上搁架</t>
    <phoneticPr fontId="19" type="noConversion"/>
  </si>
  <si>
    <t>硬纸护角54mm高</t>
    <phoneticPr fontId="19" type="noConversion"/>
  </si>
  <si>
    <t>25侧板U型护边350*2600</t>
    <phoneticPr fontId="19" type="noConversion"/>
  </si>
  <si>
    <t>350＜D≤650</t>
    <phoneticPr fontId="19" type="noConversion"/>
  </si>
  <si>
    <t>1200＜W≤2400</t>
    <phoneticPr fontId="19" type="noConversion"/>
  </si>
  <si>
    <t>图兰朵盖板</t>
    <phoneticPr fontId="19" type="noConversion"/>
  </si>
  <si>
    <t>25侧板U型护边280*2600</t>
    <phoneticPr fontId="19" type="noConversion"/>
  </si>
  <si>
    <t>D≤350</t>
    <phoneticPr fontId="19" type="noConversion"/>
  </si>
  <si>
    <t>烟机罩</t>
    <phoneticPr fontId="19" type="noConversion"/>
  </si>
  <si>
    <t>1块</t>
    <phoneticPr fontId="19" type="noConversion"/>
  </si>
  <si>
    <t>—</t>
    <phoneticPr fontId="19" type="noConversion"/>
  </si>
  <si>
    <t>H≤1200</t>
    <phoneticPr fontId="19" type="noConversion"/>
  </si>
  <si>
    <t>1300＜W≤1600</t>
    <phoneticPr fontId="19" type="noConversion"/>
  </si>
  <si>
    <t>浴室镜</t>
    <phoneticPr fontId="19" type="noConversion"/>
  </si>
  <si>
    <t>W≤1300</t>
    <phoneticPr fontId="19" type="noConversion"/>
  </si>
  <si>
    <t>L型苯板护角</t>
    <phoneticPr fontId="19" type="noConversion"/>
  </si>
  <si>
    <t>4层/包</t>
    <phoneticPr fontId="19" type="noConversion"/>
  </si>
  <si>
    <t>W≤2400</t>
    <phoneticPr fontId="19" type="noConversion"/>
  </si>
  <si>
    <t>单体罗马柱、顶线、灯线、踢脚板、图兰朵边框</t>
    <phoneticPr fontId="19" type="noConversion"/>
  </si>
  <si>
    <t>W＞600</t>
    <phoneticPr fontId="19" type="noConversion"/>
  </si>
  <si>
    <t>H≤840</t>
    <phoneticPr fontId="19" type="noConversion"/>
  </si>
  <si>
    <t>50、75、150</t>
    <phoneticPr fontId="19" type="noConversion"/>
  </si>
  <si>
    <t>罗马柱箱体</t>
    <phoneticPr fontId="19" type="noConversion"/>
  </si>
  <si>
    <t>840＜H≤2260</t>
    <phoneticPr fontId="19" type="noConversion"/>
  </si>
  <si>
    <t>350＜W≤600</t>
    <phoneticPr fontId="19" type="noConversion"/>
  </si>
  <si>
    <t>200＜W≤350</t>
    <phoneticPr fontId="19" type="noConversion"/>
  </si>
  <si>
    <t>2个</t>
    <phoneticPr fontId="19" type="noConversion"/>
  </si>
  <si>
    <t>W≤350</t>
    <phoneticPr fontId="19" type="noConversion"/>
  </si>
  <si>
    <t>备注</t>
  </si>
  <si>
    <t>单位</t>
  </si>
  <si>
    <t>数量</t>
  </si>
  <si>
    <t>物料编码</t>
    <phoneticPr fontId="19" type="noConversion"/>
  </si>
  <si>
    <t>包装材料名称</t>
    <phoneticPr fontId="19" type="noConversion"/>
  </si>
  <si>
    <t>数量</t>
    <phoneticPr fontId="19" type="noConversion"/>
  </si>
  <si>
    <t>深度</t>
    <phoneticPr fontId="19" type="noConversion"/>
  </si>
  <si>
    <t>高度</t>
    <phoneticPr fontId="19" type="noConversion"/>
  </si>
  <si>
    <t>宽度</t>
    <phoneticPr fontId="19" type="noConversion"/>
  </si>
  <si>
    <t>名称</t>
    <phoneticPr fontId="19" type="noConversion"/>
  </si>
  <si>
    <t>四、装饰部件部分（本地、外地通用）</t>
    <phoneticPr fontId="19" type="noConversion"/>
  </si>
  <si>
    <t>FC-BZ011016</t>
    <phoneticPr fontId="19" type="noConversion"/>
  </si>
  <si>
    <t>拉篮、抽屉柜、特殊柜</t>
    <phoneticPr fontId="19" type="noConversion"/>
  </si>
  <si>
    <t>备注</t>
    <phoneticPr fontId="19" type="noConversion"/>
  </si>
  <si>
    <t>柜型</t>
    <phoneticPr fontId="19" type="noConversion"/>
  </si>
  <si>
    <t>序号</t>
  </si>
  <si>
    <t>玻璃门板时增加此项</t>
    <phoneticPr fontId="19" type="noConversion"/>
  </si>
  <si>
    <t>车间调配</t>
    <phoneticPr fontId="19" type="noConversion"/>
  </si>
  <si>
    <t>FC-BZ010806</t>
  </si>
  <si>
    <t>平板苯板</t>
    <phoneticPr fontId="19" type="noConversion"/>
  </si>
  <si>
    <t>FC-BZ011023</t>
  </si>
  <si>
    <t>拉篮柜
抽屉柜</t>
    <phoneticPr fontId="19" type="noConversion"/>
  </si>
  <si>
    <t>FC-BZ011022</t>
  </si>
  <si>
    <t>FC-BZ011021</t>
  </si>
  <si>
    <t>拉篮柜</t>
    <phoneticPr fontId="19" type="noConversion"/>
  </si>
  <si>
    <t>三、整件发货部分（功能柜）</t>
    <phoneticPr fontId="19" type="noConversion"/>
  </si>
  <si>
    <t>平板苯板18mm厚</t>
    <phoneticPr fontId="19" type="noConversion"/>
  </si>
  <si>
    <t>FC-BZ011017</t>
  </si>
  <si>
    <t>18/22/25</t>
    <phoneticPr fontId="19" type="noConversion"/>
  </si>
  <si>
    <t>H＞720</t>
    <phoneticPr fontId="19" type="noConversion"/>
  </si>
  <si>
    <t>-</t>
    <phoneticPr fontId="19" type="noConversion"/>
  </si>
  <si>
    <t>地柜、吊柜、半高柜、台上柜、高柜：4块/包</t>
    <phoneticPr fontId="19" type="noConversion"/>
  </si>
  <si>
    <t>H≤720</t>
    <phoneticPr fontId="19" type="noConversion"/>
  </si>
  <si>
    <t>适用范围</t>
    <phoneticPr fontId="19" type="noConversion"/>
  </si>
  <si>
    <t>厚度</t>
    <phoneticPr fontId="19" type="noConversion"/>
  </si>
  <si>
    <t>2.散件包装的门板--所有无法使用一片成型包装箱的门板散件</t>
    <phoneticPr fontId="19" type="noConversion"/>
  </si>
  <si>
    <t>FC-BZ011018</t>
  </si>
  <si>
    <t>≤720</t>
    <phoneticPr fontId="19" type="noConversion"/>
  </si>
  <si>
    <t>448-597</t>
    <phoneticPr fontId="19" type="noConversion"/>
  </si>
  <si>
    <t>2#门板散件包装</t>
  </si>
  <si>
    <t>保证每包最底层门板为此包装箱最大尺寸门板</t>
    <phoneticPr fontId="19" type="noConversion"/>
  </si>
  <si>
    <t>门板材质散包18A：5层/每包、22A：4层/包、25A：3层/包，每层可置多块板件，需保证底层为适合此包装箱规格的最大尺寸门板，25A门板包装时增加一层苯板。</t>
    <phoneticPr fontId="19" type="noConversion"/>
  </si>
  <si>
    <t>≤447</t>
    <phoneticPr fontId="19" type="noConversion"/>
  </si>
  <si>
    <t>1#门板散件包装</t>
    <phoneticPr fontId="19" type="noConversion"/>
  </si>
  <si>
    <t>单位</t>
    <phoneticPr fontId="19" type="noConversion"/>
  </si>
  <si>
    <t>包装标准</t>
    <phoneticPr fontId="19" type="noConversion"/>
  </si>
  <si>
    <t>包装编号</t>
    <phoneticPr fontId="19" type="noConversion"/>
  </si>
  <si>
    <t>1.散件包装的门板---可使用一片成型包装箱的明细</t>
    <phoneticPr fontId="19" type="noConversion"/>
  </si>
  <si>
    <t>二、散件门板部分</t>
    <phoneticPr fontId="19" type="noConversion"/>
  </si>
  <si>
    <t>含半高柜、高柜的订单</t>
    <phoneticPr fontId="19" type="noConversion"/>
  </si>
  <si>
    <t>每套</t>
    <phoneticPr fontId="19" type="noConversion"/>
  </si>
  <si>
    <t>无限制</t>
    <phoneticPr fontId="19" type="noConversion"/>
  </si>
  <si>
    <t>无半高柜、高柜的订单</t>
    <phoneticPr fontId="19" type="noConversion"/>
  </si>
  <si>
    <t>散件包装柜体的背板</t>
    <phoneticPr fontId="19" type="noConversion"/>
  </si>
  <si>
    <t>D＞300</t>
    <phoneticPr fontId="19" type="noConversion"/>
  </si>
  <si>
    <t>半高柜、台上柜</t>
    <phoneticPr fontId="19" type="noConversion"/>
  </si>
  <si>
    <t>散件包装的柜体--所有无法使用一片成型包装箱的柜体散件（玻璃层板单独包装）</t>
    <phoneticPr fontId="19" type="noConversion"/>
  </si>
  <si>
    <t>注：以上包装箱适用地柜560深、720高散件柜体；吊柜300深、720高柜体；高柜560深2160高的散件柜体（除特定两种柜形外），外地所有玻璃层板单独包装</t>
    <phoneticPr fontId="19" type="noConversion"/>
  </si>
  <si>
    <t>2160高柜一片成型包装箱（三层瓦楞纸)A型</t>
    <phoneticPr fontId="19" type="noConversion"/>
  </si>
  <si>
    <t>高柜散包柜体不适用高身拉篮及内置冰箱高柜</t>
    <phoneticPr fontId="19" type="noConversion"/>
  </si>
  <si>
    <t>600*2160高柜</t>
  </si>
  <si>
    <t>8#柜体散件包装</t>
  </si>
  <si>
    <t>FC-BZ011015</t>
    <phoneticPr fontId="19" type="noConversion"/>
  </si>
  <si>
    <t>1200宽吊柜一片成型包装箱（三层瓦楞纸)A型</t>
    <phoneticPr fontId="19" type="noConversion"/>
  </si>
  <si>
    <t>吊柜散件柜体</t>
    <phoneticPr fontId="19" type="noConversion"/>
  </si>
  <si>
    <t>7#柜体散件包装</t>
    <phoneticPr fontId="19" type="noConversion"/>
  </si>
  <si>
    <t>FC-BZ011014</t>
    <phoneticPr fontId="19" type="noConversion"/>
  </si>
  <si>
    <t>900宽吊柜一片成型包装箱（三层瓦楞纸)A型</t>
    <phoneticPr fontId="19" type="noConversion"/>
  </si>
  <si>
    <t>6#柜体散件包装</t>
    <phoneticPr fontId="19" type="noConversion"/>
  </si>
  <si>
    <t>FC-BZ011013</t>
    <phoneticPr fontId="19" type="noConversion"/>
  </si>
  <si>
    <t>600宽吊柜一片成型包装箱（三层瓦楞纸)A型</t>
    <phoneticPr fontId="19" type="noConversion"/>
  </si>
  <si>
    <t>吊柜散包柜体</t>
    <phoneticPr fontId="19" type="noConversion"/>
  </si>
  <si>
    <t>5#柜体散件包装</t>
    <phoneticPr fontId="19" type="noConversion"/>
  </si>
  <si>
    <t>300宽吊柜一片成型包装箱（三层瓦楞纸)A型</t>
    <phoneticPr fontId="19" type="noConversion"/>
  </si>
  <si>
    <t>≤350</t>
    <phoneticPr fontId="19" type="noConversion"/>
  </si>
  <si>
    <t>4#柜体散件包装</t>
    <phoneticPr fontId="19" type="noConversion"/>
  </si>
  <si>
    <t>FC-BZ011012</t>
    <phoneticPr fontId="19" type="noConversion"/>
  </si>
  <si>
    <t>1200宽地柜一片成型包装箱（三层瓦楞纸)A型</t>
    <phoneticPr fontId="19" type="noConversion"/>
  </si>
  <si>
    <t>地柜散件柜体</t>
    <phoneticPr fontId="19" type="noConversion"/>
  </si>
  <si>
    <t>3#柜体散件包装</t>
    <phoneticPr fontId="19" type="noConversion"/>
  </si>
  <si>
    <t>FC-BZ011011</t>
    <phoneticPr fontId="19" type="noConversion"/>
  </si>
  <si>
    <t>900宽地柜一片成型包装箱（三层瓦楞纸)A型</t>
    <phoneticPr fontId="19" type="noConversion"/>
  </si>
  <si>
    <t>2#柜体散件包装</t>
    <phoneticPr fontId="19" type="noConversion"/>
  </si>
  <si>
    <t>硬纸护角41mm高</t>
    <phoneticPr fontId="19" type="noConversion"/>
  </si>
  <si>
    <t>FC-BZ011010</t>
    <phoneticPr fontId="19" type="noConversion"/>
  </si>
  <si>
    <t>600宽地柜一片成型包装箱（三层瓦楞纸)A型</t>
    <phoneticPr fontId="19" type="noConversion"/>
  </si>
  <si>
    <t>≤600</t>
    <phoneticPr fontId="19" type="noConversion"/>
  </si>
  <si>
    <t>1#柜体散件包装</t>
    <phoneticPr fontId="19" type="noConversion"/>
  </si>
  <si>
    <t>散件包装的柜体---可使用一片成型包装箱的明细</t>
    <phoneticPr fontId="19" type="noConversion"/>
  </si>
  <si>
    <t>单位</t>
    <phoneticPr fontId="19" type="noConversion"/>
  </si>
  <si>
    <t>351-600</t>
    <phoneticPr fontId="19" type="noConversion"/>
  </si>
  <si>
    <t>数量</t>
    <phoneticPr fontId="4" type="noConversion"/>
  </si>
  <si>
    <t>吊码片盖</t>
  </si>
  <si>
    <t>偏心件装饰盖</t>
  </si>
  <si>
    <t>款式</t>
    <phoneticPr fontId="4" type="noConversion"/>
  </si>
  <si>
    <t>LC-032铝框门</t>
  </si>
  <si>
    <t>LC-043铝框门</t>
  </si>
  <si>
    <t>宽度</t>
  </si>
  <si>
    <t>说明</t>
    <phoneticPr fontId="4" type="noConversion"/>
  </si>
  <si>
    <t>成型尺寸</t>
    <phoneticPr fontId="4" type="noConversion"/>
  </si>
  <si>
    <t>下料尺寸</t>
    <phoneticPr fontId="4" type="noConversion"/>
  </si>
  <si>
    <t>箱体序号</t>
    <phoneticPr fontId="4" type="noConversion"/>
  </si>
  <si>
    <t>高度</t>
    <phoneticPr fontId="4" type="noConversion"/>
  </si>
  <si>
    <t>门板张数</t>
    <phoneticPr fontId="4" type="noConversion"/>
  </si>
  <si>
    <t>拉篮</t>
    <phoneticPr fontId="4" type="noConversion"/>
  </si>
  <si>
    <t>宽度</t>
    <phoneticPr fontId="4" type="noConversion"/>
  </si>
  <si>
    <t>踢脚板</t>
    <phoneticPr fontId="4" type="noConversion"/>
  </si>
  <si>
    <t>此单分下料尺寸和成型尺寸2种，请生产各工段注意！</t>
    <phoneticPr fontId="4" type="noConversion"/>
  </si>
  <si>
    <t>门板基材</t>
    <phoneticPr fontId="4" type="noConversion"/>
  </si>
  <si>
    <t>门板</t>
    <phoneticPr fontId="4" type="noConversion"/>
  </si>
  <si>
    <t>拉手</t>
    <phoneticPr fontId="4" type="noConversion"/>
  </si>
  <si>
    <t>套</t>
    <phoneticPr fontId="4" type="noConversion"/>
  </si>
  <si>
    <t>订单编号</t>
    <phoneticPr fontId="4" type="noConversion"/>
  </si>
  <si>
    <t>凯斯宝玛地柜侧拉篮203R（右）</t>
  </si>
  <si>
    <t>凯斯宝玛地柜侧拉篮203L（左）</t>
  </si>
  <si>
    <t>凯斯宝玛百纳宝拉篮211</t>
  </si>
  <si>
    <t>香草天空II</t>
  </si>
  <si>
    <t>浮士德</t>
  </si>
  <si>
    <t>卡帝亚</t>
  </si>
  <si>
    <t>帕拉迪奥</t>
  </si>
  <si>
    <t>帕格尼尼</t>
  </si>
  <si>
    <t>色诱</t>
  </si>
  <si>
    <t>图兰朵</t>
  </si>
  <si>
    <t>图兰朵II</t>
  </si>
  <si>
    <t>齐彭代尔</t>
  </si>
  <si>
    <t>封边组</t>
  </si>
  <si>
    <t>家具班组转序交接表</t>
    <phoneticPr fontId="19" type="noConversion"/>
  </si>
  <si>
    <t>客户姓名</t>
    <phoneticPr fontId="19" type="noConversion"/>
  </si>
  <si>
    <t>接单日期</t>
    <phoneticPr fontId="19" type="noConversion"/>
  </si>
  <si>
    <t>款式名称</t>
    <phoneticPr fontId="19" type="noConversion"/>
  </si>
  <si>
    <t>材质/色号</t>
    <phoneticPr fontId="19" type="noConversion"/>
  </si>
  <si>
    <t>下单日期</t>
    <phoneticPr fontId="19" type="noConversion"/>
  </si>
  <si>
    <t>销售点</t>
    <phoneticPr fontId="19" type="noConversion"/>
  </si>
  <si>
    <t>版本型号录号</t>
    <phoneticPr fontId="19" type="noConversion"/>
  </si>
  <si>
    <t>应完成日期</t>
    <phoneticPr fontId="19" type="noConversion"/>
  </si>
  <si>
    <t>产品系列</t>
    <phoneticPr fontId="19" type="noConversion"/>
  </si>
  <si>
    <t>实木</t>
    <phoneticPr fontId="19" type="noConversion"/>
  </si>
  <si>
    <t>混油</t>
    <phoneticPr fontId="19" type="noConversion"/>
  </si>
  <si>
    <t>清油</t>
    <phoneticPr fontId="19" type="noConversion"/>
  </si>
  <si>
    <t>吸塑</t>
    <phoneticPr fontId="19" type="noConversion"/>
  </si>
  <si>
    <t>免漆</t>
    <phoneticPr fontId="19" type="noConversion"/>
  </si>
  <si>
    <t>铝框</t>
    <phoneticPr fontId="19" type="noConversion"/>
  </si>
  <si>
    <t>标准地柜</t>
    <phoneticPr fontId="19" type="noConversion"/>
  </si>
  <si>
    <t>标准吊柜</t>
    <phoneticPr fontId="19" type="noConversion"/>
  </si>
  <si>
    <t>生产周期</t>
    <phoneticPr fontId="19" type="noConversion"/>
  </si>
  <si>
    <t>序号</t>
    <phoneticPr fontId="19" type="noConversion"/>
  </si>
  <si>
    <t>工段班组</t>
    <phoneticPr fontId="19" type="noConversion"/>
  </si>
  <si>
    <t>工序名称</t>
    <phoneticPr fontId="19" type="noConversion"/>
  </si>
  <si>
    <t>成品数量</t>
    <phoneticPr fontId="19" type="noConversion"/>
  </si>
  <si>
    <t>完成日期</t>
    <phoneticPr fontId="19" type="noConversion"/>
  </si>
  <si>
    <t>主机手</t>
    <phoneticPr fontId="19" type="noConversion"/>
  </si>
  <si>
    <t>质检</t>
    <phoneticPr fontId="19" type="noConversion"/>
  </si>
  <si>
    <t>备注</t>
    <phoneticPr fontId="19" type="noConversion"/>
  </si>
  <si>
    <t>橱柜线</t>
    <phoneticPr fontId="19" type="noConversion"/>
  </si>
  <si>
    <t>下料组</t>
    <phoneticPr fontId="19" type="noConversion"/>
  </si>
  <si>
    <t>块</t>
    <phoneticPr fontId="19" type="noConversion"/>
  </si>
  <si>
    <t>块</t>
    <phoneticPr fontId="19" type="noConversion"/>
  </si>
  <si>
    <t>钻铣组1</t>
    <phoneticPr fontId="19" type="noConversion"/>
  </si>
  <si>
    <t>家具线</t>
    <phoneticPr fontId="19" type="noConversion"/>
  </si>
  <si>
    <t>下料组</t>
    <phoneticPr fontId="19" type="noConversion"/>
  </si>
  <si>
    <t>钻铣组2</t>
    <phoneticPr fontId="19" type="noConversion"/>
  </si>
  <si>
    <t>门板线</t>
    <phoneticPr fontId="19" type="noConversion"/>
  </si>
  <si>
    <t>下料冷压封边组</t>
    <phoneticPr fontId="19" type="noConversion"/>
  </si>
  <si>
    <t>钻铣组3</t>
    <phoneticPr fontId="19" type="noConversion"/>
  </si>
  <si>
    <t>吸塑线</t>
    <phoneticPr fontId="19" type="noConversion"/>
  </si>
  <si>
    <t>机加组</t>
    <phoneticPr fontId="19" type="noConversion"/>
  </si>
  <si>
    <t>吸塑组</t>
    <phoneticPr fontId="19" type="noConversion"/>
  </si>
  <si>
    <t>打磨组</t>
    <phoneticPr fontId="19" type="noConversion"/>
  </si>
  <si>
    <t>铝材拼框组</t>
    <phoneticPr fontId="19" type="noConversion"/>
  </si>
  <si>
    <t>试装线</t>
    <phoneticPr fontId="19" type="noConversion"/>
  </si>
  <si>
    <t>橱柜试装组</t>
    <phoneticPr fontId="19" type="noConversion"/>
  </si>
  <si>
    <t>延米</t>
    <phoneticPr fontId="19" type="noConversion"/>
  </si>
  <si>
    <t>衣帽间试装组</t>
    <phoneticPr fontId="19" type="noConversion"/>
  </si>
  <si>
    <t>平米</t>
    <phoneticPr fontId="19" type="noConversion"/>
  </si>
  <si>
    <t>五金配套组</t>
    <phoneticPr fontId="19" type="noConversion"/>
  </si>
  <si>
    <t>单</t>
    <phoneticPr fontId="19" type="noConversion"/>
  </si>
  <si>
    <t>家具高光线</t>
    <phoneticPr fontId="19" type="noConversion"/>
  </si>
  <si>
    <t>机涂组</t>
    <phoneticPr fontId="19" type="noConversion"/>
  </si>
  <si>
    <t>高光喷漆组</t>
    <phoneticPr fontId="19" type="noConversion"/>
  </si>
  <si>
    <t>包装线</t>
    <phoneticPr fontId="19" type="noConversion"/>
  </si>
  <si>
    <t>家具包装组</t>
    <phoneticPr fontId="19" type="noConversion"/>
  </si>
  <si>
    <t>内门线</t>
    <phoneticPr fontId="4" type="noConversion"/>
  </si>
  <si>
    <t>混油打磨组</t>
    <phoneticPr fontId="4" type="noConversion"/>
  </si>
  <si>
    <t>平米</t>
    <phoneticPr fontId="19" type="noConversion"/>
  </si>
  <si>
    <t>清油打磨组</t>
    <phoneticPr fontId="4" type="noConversion"/>
  </si>
  <si>
    <t>产品类型</t>
    <phoneticPr fontId="24" type="noConversion"/>
  </si>
  <si>
    <t>厨浴柜</t>
    <phoneticPr fontId="24" type="noConversion"/>
  </si>
  <si>
    <t>木皮线</t>
    <phoneticPr fontId="19" type="noConversion"/>
  </si>
  <si>
    <t>裁切木皮组</t>
    <phoneticPr fontId="19" type="noConversion"/>
  </si>
  <si>
    <t>块</t>
    <phoneticPr fontId="19" type="noConversion"/>
  </si>
  <si>
    <t>板材</t>
    <phoneticPr fontId="4" type="noConversion"/>
  </si>
  <si>
    <t>1.发光镜子的灯相关物料需要开在组装；</t>
    <phoneticPr fontId="4" type="noConversion"/>
  </si>
  <si>
    <t>2.所有水盆、电器的物料需开在组装；</t>
    <phoneticPr fontId="4" type="noConversion"/>
  </si>
  <si>
    <t xml:space="preserve">护套线 </t>
    <phoneticPr fontId="37" type="noConversion"/>
  </si>
  <si>
    <t>米</t>
    <phoneticPr fontId="37" type="noConversion"/>
  </si>
  <si>
    <t>名称</t>
    <phoneticPr fontId="4" type="noConversion"/>
  </si>
  <si>
    <t>凯光射灯GX53-CFL3U（2700K暖光）</t>
    <phoneticPr fontId="37" type="noConversion"/>
  </si>
  <si>
    <t>个</t>
    <phoneticPr fontId="37" type="noConversion"/>
  </si>
  <si>
    <t>整件发货柜体个数：</t>
    <phoneticPr fontId="4" type="noConversion"/>
  </si>
  <si>
    <t>触碰开关（PSC-01）</t>
    <phoneticPr fontId="37" type="noConversion"/>
  </si>
  <si>
    <t>套</t>
    <phoneticPr fontId="37" type="noConversion"/>
  </si>
  <si>
    <t>2选一</t>
    <phoneticPr fontId="37" type="noConversion"/>
  </si>
  <si>
    <t>偏心件总个数</t>
    <phoneticPr fontId="4" type="noConversion"/>
  </si>
  <si>
    <t>整件发货偏心件个数：</t>
    <phoneticPr fontId="4" type="noConversion"/>
  </si>
  <si>
    <t>门控开关（PSC-01-B0.8M）</t>
    <phoneticPr fontId="37" type="noConversion"/>
  </si>
  <si>
    <t>套</t>
    <phoneticPr fontId="4" type="noConversion"/>
  </si>
  <si>
    <t>木榫总个数</t>
    <phoneticPr fontId="4" type="noConversion"/>
  </si>
  <si>
    <t>整件发货木榫个数：</t>
    <phoneticPr fontId="4" type="noConversion"/>
  </si>
  <si>
    <t>瓷白</t>
    <phoneticPr fontId="4" type="noConversion"/>
  </si>
  <si>
    <t>透明</t>
    <phoneticPr fontId="4" type="noConversion"/>
  </si>
  <si>
    <t>1个UN30+尼龙胀塞8*60 1个+3.5*12自攻钉 3个</t>
    <phoneticPr fontId="4" type="noConversion"/>
  </si>
  <si>
    <t>电器水盆</t>
    <phoneticPr fontId="4" type="noConversion"/>
  </si>
  <si>
    <t>水盆套餐</t>
    <phoneticPr fontId="4" type="noConversion"/>
  </si>
  <si>
    <t>水盆配件包</t>
    <phoneticPr fontId="4" type="noConversion"/>
  </si>
  <si>
    <t>对丝八字阀等下水附件</t>
    <phoneticPr fontId="4" type="noConversion"/>
  </si>
  <si>
    <t>客户姓名</t>
    <phoneticPr fontId="4" type="noConversion"/>
  </si>
  <si>
    <t>订单编号：</t>
    <phoneticPr fontId="4" type="noConversion"/>
  </si>
  <si>
    <t>项目</t>
    <phoneticPr fontId="4" type="noConversion"/>
  </si>
  <si>
    <t>序号</t>
    <phoneticPr fontId="4" type="noConversion"/>
  </si>
  <si>
    <t>数量</t>
    <phoneticPr fontId="4" type="noConversion"/>
  </si>
  <si>
    <t>单位</t>
    <phoneticPr fontId="4" type="noConversion"/>
  </si>
  <si>
    <t>装箱确认</t>
    <phoneticPr fontId="4" type="noConversion"/>
  </si>
  <si>
    <t>张</t>
    <phoneticPr fontId="4" type="noConversion"/>
  </si>
  <si>
    <t>安装基础五金</t>
    <phoneticPr fontId="4" type="noConversion"/>
  </si>
  <si>
    <t>套</t>
    <phoneticPr fontId="4" type="noConversion"/>
  </si>
  <si>
    <t>个</t>
    <phoneticPr fontId="4" type="noConversion"/>
  </si>
  <si>
    <t>米</t>
    <phoneticPr fontId="4" type="noConversion"/>
  </si>
  <si>
    <t>防尘角</t>
    <phoneticPr fontId="4" type="noConversion"/>
  </si>
  <si>
    <t>吊码片</t>
    <phoneticPr fontId="4" type="noConversion"/>
  </si>
  <si>
    <t>组装基础五金</t>
    <phoneticPr fontId="4" type="noConversion"/>
  </si>
  <si>
    <t>根</t>
    <phoneticPr fontId="4" type="noConversion"/>
  </si>
  <si>
    <t>小角铁</t>
    <phoneticPr fontId="4" type="noConversion"/>
  </si>
  <si>
    <t>时尚下水口(防水底漏)</t>
    <phoneticPr fontId="4" type="noConversion"/>
  </si>
  <si>
    <t>不锈钢连接片</t>
    <phoneticPr fontId="4" type="noConversion"/>
  </si>
  <si>
    <t>组装五金</t>
    <phoneticPr fontId="4" type="noConversion"/>
  </si>
  <si>
    <t>瓷白</t>
    <phoneticPr fontId="4" type="noConversion"/>
  </si>
  <si>
    <t>瓶</t>
    <phoneticPr fontId="4" type="noConversion"/>
  </si>
  <si>
    <t>铰链</t>
    <phoneticPr fontId="4" type="noConversion"/>
  </si>
  <si>
    <t>BLUM直臂铰链100°</t>
    <phoneticPr fontId="4" type="noConversion"/>
  </si>
  <si>
    <t>BLUM美式带框门铰链</t>
    <phoneticPr fontId="4" type="noConversion"/>
  </si>
  <si>
    <t>BLUM小曲铰链107°</t>
    <phoneticPr fontId="4" type="noConversion"/>
  </si>
  <si>
    <t>BLUM 双折门铰链</t>
    <phoneticPr fontId="4" type="noConversion"/>
  </si>
  <si>
    <t>拉篮
米箱
垃圾筒</t>
    <phoneticPr fontId="4" type="noConversion"/>
  </si>
  <si>
    <t>支撑</t>
    <phoneticPr fontId="4" type="noConversion"/>
  </si>
  <si>
    <t>黑陶随意停（右）</t>
    <phoneticPr fontId="4" type="noConversion"/>
  </si>
  <si>
    <t>黑陶随意停（左）</t>
    <phoneticPr fontId="4" type="noConversion"/>
  </si>
  <si>
    <t>块</t>
    <phoneticPr fontId="4" type="noConversion"/>
  </si>
  <si>
    <t>拉手</t>
    <phoneticPr fontId="4" type="noConversion"/>
  </si>
  <si>
    <t>大料角码</t>
    <phoneticPr fontId="4" type="noConversion"/>
  </si>
  <si>
    <t>角码螺丝M4*8</t>
    <phoneticPr fontId="4" type="noConversion"/>
  </si>
  <si>
    <t>铝框门玻璃压条</t>
    <phoneticPr fontId="4" type="noConversion"/>
  </si>
  <si>
    <t>灯具</t>
    <phoneticPr fontId="4" type="noConversion"/>
  </si>
  <si>
    <t>外</t>
    <phoneticPr fontId="4" type="noConversion"/>
  </si>
  <si>
    <t>门控开关（PSC-01-B0.8M）</t>
    <phoneticPr fontId="4" type="noConversion"/>
  </si>
  <si>
    <t>内</t>
    <phoneticPr fontId="4" type="noConversion"/>
  </si>
  <si>
    <t xml:space="preserve">   拆解员：                                                 </t>
    <phoneticPr fontId="4" type="noConversion"/>
  </si>
  <si>
    <t xml:space="preserve">
玻璃
</t>
    <phoneticPr fontId="4" type="noConversion"/>
  </si>
  <si>
    <t>铝材</t>
    <phoneticPr fontId="4" type="noConversion"/>
  </si>
  <si>
    <t>领料单——</t>
    <phoneticPr fontId="4" type="noConversion"/>
  </si>
  <si>
    <t>抽屉</t>
    <phoneticPr fontId="4" type="noConversion"/>
  </si>
  <si>
    <t>鱼嘴夹（中号）</t>
    <phoneticPr fontId="4" type="noConversion"/>
  </si>
  <si>
    <t>个</t>
    <phoneticPr fontId="4" type="noConversion"/>
  </si>
  <si>
    <t>沙溪挂件（大）</t>
  </si>
  <si>
    <t>套</t>
    <phoneticPr fontId="4" type="noConversion"/>
  </si>
  <si>
    <t>BLUM内置阻尼平门铰链95°</t>
    <phoneticPr fontId="4" type="noConversion"/>
  </si>
  <si>
    <t>BLUM上翻门支撑（20K2700.BL）</t>
    <phoneticPr fontId="4" type="noConversion"/>
  </si>
  <si>
    <t>150宽拉篮柜对口箱（三层瓦楞纸)170*630*750</t>
    <phoneticPr fontId="19" type="noConversion"/>
  </si>
  <si>
    <t>450宽拉篮、抽屉对口箱（三层瓦楞纸)470*630*750</t>
    <phoneticPr fontId="19" type="noConversion"/>
  </si>
  <si>
    <t>600宽拉篮、抽屉对口箱（三层瓦楞纸)620*630*750</t>
    <phoneticPr fontId="19" type="noConversion"/>
  </si>
  <si>
    <t>自攻钉3.0*16</t>
    <phoneticPr fontId="4" type="noConversion"/>
  </si>
  <si>
    <t>自攻钉3.5*16</t>
    <phoneticPr fontId="4" type="noConversion"/>
  </si>
  <si>
    <t>自攻钉4*30</t>
    <phoneticPr fontId="4" type="noConversion"/>
  </si>
  <si>
    <t>悍高地柜调味品架306051H</t>
    <phoneticPr fontId="4" type="noConversion"/>
  </si>
  <si>
    <t>BLUM高帮抽（D高度）350mm</t>
    <phoneticPr fontId="4" type="noConversion"/>
  </si>
  <si>
    <t>BLUM低帮抽（M高度）350mm</t>
    <phoneticPr fontId="4" type="noConversion"/>
  </si>
  <si>
    <t>U型阻水条</t>
    <phoneticPr fontId="4" type="noConversion"/>
  </si>
  <si>
    <t>BLUM高帮抽（D高度）450mm</t>
    <phoneticPr fontId="4" type="noConversion"/>
  </si>
  <si>
    <t>BLUM低帮抽（M高度）450mm</t>
    <phoneticPr fontId="4" type="noConversion"/>
  </si>
  <si>
    <t>销售点：</t>
    <phoneticPr fontId="4" type="noConversion"/>
  </si>
  <si>
    <t>尼龙胀塞8*60</t>
    <phoneticPr fontId="4" type="noConversion"/>
  </si>
  <si>
    <t>自攻钉3.5*12</t>
    <phoneticPr fontId="4" type="noConversion"/>
  </si>
  <si>
    <t>中性玻璃胶</t>
    <phoneticPr fontId="4" type="noConversion"/>
  </si>
  <si>
    <t>铝踢脚板连接件</t>
    <phoneticPr fontId="4" type="noConversion"/>
  </si>
  <si>
    <t>拉手螺丝4*30</t>
    <phoneticPr fontId="4" type="noConversion"/>
  </si>
  <si>
    <t xml:space="preserve">
</t>
    <phoneticPr fontId="4" type="noConversion"/>
  </si>
  <si>
    <t>透明玻璃</t>
    <phoneticPr fontId="4" type="noConversion"/>
  </si>
  <si>
    <t>透明玻璃</t>
    <phoneticPr fontId="4" type="noConversion"/>
  </si>
  <si>
    <t>装箱清单——</t>
    <phoneticPr fontId="4" type="noConversion"/>
  </si>
  <si>
    <t>铝踢脚板（氧化铝</t>
    <phoneticPr fontId="4" type="noConversion"/>
  </si>
  <si>
    <t>条纹形）6米/支</t>
    <phoneticPr fontId="4" type="noConversion"/>
  </si>
  <si>
    <t>铝横梁（氧化铝LC-932）3米/支</t>
    <phoneticPr fontId="4" type="noConversion"/>
  </si>
  <si>
    <t>水柜铝横梁（6米/根）</t>
    <phoneticPr fontId="4" type="noConversion"/>
  </si>
  <si>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phoneticPr fontId="4" type="noConversion"/>
  </si>
  <si>
    <t>偏心件与木榫数量</t>
    <phoneticPr fontId="4" type="noConversion"/>
  </si>
  <si>
    <t>铝扣条</t>
    <phoneticPr fontId="4" type="noConversion"/>
  </si>
  <si>
    <t>铝踢脚板</t>
    <phoneticPr fontId="4" type="noConversion"/>
  </si>
  <si>
    <t>铝横梁</t>
    <phoneticPr fontId="4" type="noConversion"/>
  </si>
  <si>
    <t>天津拉米诺挂件K048</t>
    <phoneticPr fontId="4" type="noConversion"/>
  </si>
  <si>
    <t>防撞缓冲塞∮8*8（灰色）</t>
    <phoneticPr fontId="4" type="noConversion"/>
  </si>
  <si>
    <t>防撞胶粒</t>
    <phoneticPr fontId="4" type="noConversion"/>
  </si>
  <si>
    <t>灯箱底板</t>
    <phoneticPr fontId="4" type="noConversion"/>
  </si>
  <si>
    <t>尺寸</t>
    <phoneticPr fontId="4" type="noConversion"/>
  </si>
  <si>
    <t>刀叉盘</t>
    <phoneticPr fontId="4" type="noConversion"/>
  </si>
  <si>
    <t>灯箱底板</t>
    <phoneticPr fontId="4" type="noConversion"/>
  </si>
  <si>
    <t>3*1830*2440</t>
    <phoneticPr fontId="4" type="noConversion"/>
  </si>
  <si>
    <t>悍高地柜超窄拉篮304101H</t>
    <phoneticPr fontId="4" type="noConversion"/>
  </si>
  <si>
    <t>悍高地柜调味品架306031H</t>
    <phoneticPr fontId="4" type="noConversion"/>
  </si>
  <si>
    <t>名称</t>
    <phoneticPr fontId="4" type="noConversion"/>
  </si>
  <si>
    <t>厚度</t>
    <phoneticPr fontId="4" type="noConversion"/>
  </si>
  <si>
    <t>铣灶台槽</t>
    <phoneticPr fontId="4" type="noConversion"/>
  </si>
  <si>
    <t>款式</t>
    <phoneticPr fontId="4" type="noConversion"/>
  </si>
  <si>
    <t>底板</t>
    <phoneticPr fontId="4" type="noConversion"/>
  </si>
  <si>
    <t>连接板</t>
    <phoneticPr fontId="4" type="noConversion"/>
  </si>
  <si>
    <t>活搁板</t>
    <phoneticPr fontId="4" type="noConversion"/>
  </si>
  <si>
    <t>固搁，梗板等非标板件</t>
    <phoneticPr fontId="4" type="noConversion"/>
  </si>
  <si>
    <t>背板</t>
    <phoneticPr fontId="4" type="noConversion"/>
  </si>
  <si>
    <t>地脚</t>
    <phoneticPr fontId="4" type="noConversion"/>
  </si>
  <si>
    <t>地柜</t>
    <phoneticPr fontId="4" type="noConversion"/>
  </si>
  <si>
    <t>深</t>
    <phoneticPr fontId="4" type="noConversion"/>
  </si>
  <si>
    <t>件数</t>
    <phoneticPr fontId="4" type="noConversion"/>
  </si>
  <si>
    <t>序号</t>
    <phoneticPr fontId="4" type="noConversion"/>
  </si>
  <si>
    <t>合计:</t>
    <phoneticPr fontId="4" type="noConversion"/>
  </si>
  <si>
    <t>总合计：</t>
    <phoneticPr fontId="4" type="noConversion"/>
  </si>
  <si>
    <t>块</t>
    <phoneticPr fontId="4" type="noConversion"/>
  </si>
  <si>
    <t>数量</t>
    <phoneticPr fontId="4" type="noConversion"/>
  </si>
  <si>
    <t>备用条</t>
    <phoneticPr fontId="4" type="noConversion"/>
  </si>
  <si>
    <t>柜宽</t>
    <phoneticPr fontId="4" type="noConversion"/>
  </si>
  <si>
    <t>铝梁数</t>
    <phoneticPr fontId="4" type="noConversion"/>
  </si>
  <si>
    <t>减尺</t>
    <phoneticPr fontId="4" type="noConversion"/>
  </si>
  <si>
    <t>铝材用量</t>
    <phoneticPr fontId="4" type="noConversion"/>
  </si>
  <si>
    <r>
      <t xml:space="preserve">工艺下料单(此单为偏心件结构)(此单所有柜体请按照最新工艺封边、排孔、开槽，背板后空19mm)   </t>
    </r>
    <r>
      <rPr>
        <b/>
        <sz val="14"/>
        <rFont val="微软雅黑"/>
        <family val="2"/>
        <charset val="134"/>
      </rPr>
      <t>(四周1.0PVC)</t>
    </r>
    <phoneticPr fontId="15" type="noConversion"/>
  </si>
  <si>
    <t>材料</t>
    <phoneticPr fontId="4" type="noConversion"/>
  </si>
  <si>
    <t>订单编号</t>
    <phoneticPr fontId="4" type="noConversion"/>
  </si>
  <si>
    <t>版本型录号</t>
    <phoneticPr fontId="4" type="noConversion"/>
  </si>
  <si>
    <t>销售点</t>
    <phoneticPr fontId="4" type="noConversion"/>
  </si>
  <si>
    <t>下单日期</t>
    <phoneticPr fontId="4" type="noConversion"/>
  </si>
  <si>
    <t>应完成日期</t>
    <phoneticPr fontId="4" type="noConversion"/>
  </si>
  <si>
    <t>柜体</t>
    <phoneticPr fontId="4" type="noConversion"/>
  </si>
  <si>
    <t>侧板</t>
    <phoneticPr fontId="4" type="noConversion"/>
  </si>
  <si>
    <t>制单人:</t>
    <phoneticPr fontId="4" type="noConversion"/>
  </si>
  <si>
    <t>审核人:</t>
    <phoneticPr fontId="4" type="noConversion"/>
  </si>
  <si>
    <t>木业橱柜（铝材，玻璃类）作业单</t>
    <phoneticPr fontId="4" type="noConversion"/>
  </si>
  <si>
    <t>序号</t>
    <phoneticPr fontId="4" type="noConversion"/>
  </si>
  <si>
    <t>名 称</t>
    <phoneticPr fontId="4" type="noConversion"/>
  </si>
  <si>
    <t>规格</t>
    <phoneticPr fontId="4" type="noConversion"/>
  </si>
  <si>
    <t>单位</t>
    <phoneticPr fontId="4" type="noConversion"/>
  </si>
  <si>
    <t>根</t>
    <phoneticPr fontId="4" type="noConversion"/>
  </si>
  <si>
    <t>层板铝扣条16mm板用</t>
    <phoneticPr fontId="4" type="noConversion"/>
  </si>
  <si>
    <t>8厘玻璃层板</t>
    <phoneticPr fontId="4" type="noConversion"/>
  </si>
  <si>
    <t>色号</t>
    <phoneticPr fontId="4" type="noConversion"/>
  </si>
  <si>
    <t>排孔塞</t>
    <phoneticPr fontId="4" type="noConversion"/>
  </si>
  <si>
    <t>铝框型号</t>
    <phoneticPr fontId="4" type="noConversion"/>
  </si>
  <si>
    <t>铝材型号</t>
    <phoneticPr fontId="4" type="noConversion"/>
  </si>
  <si>
    <t>布纹玻璃5A</t>
    <phoneticPr fontId="4" type="noConversion"/>
  </si>
  <si>
    <t>LC-032铝框门</t>
    <phoneticPr fontId="4" type="noConversion"/>
  </si>
  <si>
    <t>铝框（氧化铝JF299）3.5米/支</t>
    <phoneticPr fontId="4" type="noConversion"/>
  </si>
  <si>
    <t>透明玻璃5A</t>
    <phoneticPr fontId="4" type="noConversion"/>
  </si>
  <si>
    <t>B06透明夹胶玻璃6A</t>
    <phoneticPr fontId="4" type="noConversion"/>
  </si>
  <si>
    <t>铝框（氧化铝JF383）6米/支</t>
    <phoneticPr fontId="4" type="noConversion"/>
  </si>
  <si>
    <t>B05透光夹胶玻璃6A</t>
    <phoneticPr fontId="4" type="noConversion"/>
  </si>
  <si>
    <t>厨柜</t>
    <phoneticPr fontId="4" type="noConversion"/>
  </si>
  <si>
    <t>总延米</t>
    <phoneticPr fontId="4" type="noConversion"/>
  </si>
  <si>
    <t>小计:</t>
    <phoneticPr fontId="4" type="noConversion"/>
  </si>
  <si>
    <t>总合计:</t>
    <phoneticPr fontId="4" type="noConversion"/>
  </si>
  <si>
    <t>抽屉底</t>
    <phoneticPr fontId="4" type="noConversion"/>
  </si>
  <si>
    <t>抽屉堵</t>
    <phoneticPr fontId="4" type="noConversion"/>
  </si>
  <si>
    <t>抽屉、备用条等</t>
    <phoneticPr fontId="4" type="noConversion"/>
  </si>
  <si>
    <t>垫板</t>
    <phoneticPr fontId="4" type="noConversion"/>
  </si>
  <si>
    <t>备用条</t>
    <phoneticPr fontId="4" type="noConversion"/>
  </si>
  <si>
    <t>件</t>
  </si>
  <si>
    <t>合计:</t>
    <phoneticPr fontId="4" type="noConversion"/>
  </si>
  <si>
    <t>下料</t>
    <phoneticPr fontId="4" type="noConversion"/>
  </si>
  <si>
    <t>封边</t>
    <phoneticPr fontId="4" type="noConversion"/>
  </si>
  <si>
    <t>打孔</t>
    <phoneticPr fontId="4" type="noConversion"/>
  </si>
  <si>
    <t>款式</t>
    <phoneticPr fontId="4" type="noConversion"/>
  </si>
  <si>
    <t>数量</t>
    <phoneticPr fontId="4" type="noConversion"/>
  </si>
  <si>
    <t>加工备注</t>
    <phoneticPr fontId="4" type="noConversion"/>
  </si>
  <si>
    <t>名 称</t>
    <phoneticPr fontId="4" type="noConversion"/>
  </si>
  <si>
    <t>香草天空I</t>
    <phoneticPr fontId="4" type="noConversion"/>
  </si>
  <si>
    <t>西迪布赛</t>
    <phoneticPr fontId="4" type="noConversion"/>
  </si>
  <si>
    <t>悍高飞碟转篮101009（左）</t>
  </si>
  <si>
    <t>悍高飞碟转篮101010（右）</t>
  </si>
  <si>
    <t>悍高阻尼小怪物拉篮101005（右）</t>
  </si>
  <si>
    <t>悍高阻尼小怪物拉篮101005（左）</t>
  </si>
  <si>
    <t>凯斯宝玛180度雅丽娜转篮301</t>
  </si>
  <si>
    <t>凯斯宝玛地柜侧拉篮204L（左）</t>
  </si>
  <si>
    <t>凯斯宝玛地柜调料拉篮222L（左）</t>
  </si>
  <si>
    <t>凯斯宝玛地柜调料拉篮222R（右）</t>
  </si>
  <si>
    <t>凯斯宝玛地柜洗涤用品窄拉篮231</t>
  </si>
  <si>
    <t>凯斯宝玛地柜转篮361</t>
  </si>
  <si>
    <t>凯斯宝玛飞碟转篮327L（左）</t>
  </si>
  <si>
    <t>凯斯宝玛飞碟转篮327R（右）</t>
  </si>
  <si>
    <t>凯斯宝玛飞碟转篮328R（右）</t>
  </si>
  <si>
    <t>凯斯宝玛高柜高身拉篮104</t>
  </si>
  <si>
    <t>凯斯宝玛高柜连动拉蓝134</t>
  </si>
  <si>
    <t>凯斯宝玛高柜连动拉篮133</t>
  </si>
  <si>
    <t>凯斯宝玛高柜连动拉篮134A</t>
  </si>
  <si>
    <t>凯斯宝玛旋转高身拉篮121A</t>
  </si>
  <si>
    <t>凯斯宝玛中柜高身拉篮103</t>
  </si>
  <si>
    <t>凯斯宝玛中柜连动拉篮131</t>
  </si>
  <si>
    <t>凯斯宝玛中柜连动拉篮132A（哑光）</t>
  </si>
  <si>
    <t>凯斯宝玛阻尼小怪物拉篮315L（左）</t>
  </si>
  <si>
    <t>凯斯宝玛阻尼小怪物拉篮315R（右）</t>
  </si>
  <si>
    <t>凯斯宝玛飞碟转篮328L（左）</t>
  </si>
  <si>
    <t>凯斯宝玛地柜窄拉篮232</t>
  </si>
  <si>
    <t>悍高180度金属转篮101106</t>
  </si>
  <si>
    <t>柏丽雅拉手C168-077-家俱公司</t>
  </si>
  <si>
    <t>柏丽雅拉手A631（128mm孔距）银色</t>
  </si>
  <si>
    <t>柏丽雅拉手A658（160mm孔距）</t>
  </si>
  <si>
    <t>柏丽雅拉手A770-082（96mm孔距）</t>
  </si>
  <si>
    <t>柏丽雅拉手A833（160mm孔距）</t>
  </si>
  <si>
    <t>柏丽雅拉手A833（192mm孔距）</t>
  </si>
  <si>
    <t>柏丽雅拉手A841（160mm孔距）</t>
  </si>
  <si>
    <t>柏丽雅拉手A880（96mm孔距）</t>
  </si>
  <si>
    <t>柏丽雅拉手A881（160mm孔距）</t>
  </si>
  <si>
    <t>柏丽雅拉手A9010（128mm孔距）</t>
  </si>
  <si>
    <t>柏丽雅拉手A9014（160mm孔距）</t>
  </si>
  <si>
    <t>柏丽雅拉手A956（128mm孔距）</t>
  </si>
  <si>
    <t>柏丽雅拉手A956（160mm孔距）</t>
  </si>
  <si>
    <t>柏丽雅拉手A956（192mm孔距）</t>
  </si>
  <si>
    <t>柏丽雅拉手A956（256mm孔距）</t>
  </si>
  <si>
    <t>柏丽雅拉手A956（320mm孔距）</t>
  </si>
  <si>
    <t>柏丽雅拉手A956（480mm孔距）</t>
  </si>
  <si>
    <t>柏丽雅拉手A956（960mm孔距）</t>
  </si>
  <si>
    <t>柏丽雅拉手A959（160mm孔距）</t>
  </si>
  <si>
    <t>柏丽雅拉手A959（256mm孔距）</t>
  </si>
  <si>
    <t>柏丽雅拉手A9003（160mm孔距）</t>
  </si>
  <si>
    <t>柏丽雅拉手A9010（96mm孔距）</t>
  </si>
  <si>
    <t>柏丽雅拉手A959（128mm孔距）</t>
  </si>
  <si>
    <t>柏丽雅拉手A959（192mm孔距）</t>
  </si>
  <si>
    <t>柏丽雅拉手A959（96mm孔距）</t>
  </si>
  <si>
    <t>柏丽雅拉手C344</t>
  </si>
  <si>
    <t>柏丽雅拉手C398-1（32mm孔距）</t>
  </si>
  <si>
    <t>柏丽雅拉手C398（32mm孔距）</t>
  </si>
  <si>
    <t>柏丽雅拉手A846（192mm孔距）</t>
  </si>
  <si>
    <t>柏丽雅拉手A846（256mm孔距）</t>
  </si>
  <si>
    <t>图兰朵拉手XY394M（64mm孔距）</t>
  </si>
  <si>
    <t>柏丽雅拉手C397哑铬</t>
  </si>
  <si>
    <t>柏丽雅拉手A846（160mm孔距）</t>
  </si>
  <si>
    <t>柏丽雅拉手A9014（128mm孔距）</t>
  </si>
  <si>
    <t>柏丽雅拉手A843（160mm孔距）</t>
  </si>
  <si>
    <t>图兰朵拉手XY393M（64mm孔距）</t>
  </si>
  <si>
    <t>柏丽雅拉手A631（128mm孔距）金色</t>
  </si>
  <si>
    <t>柏丽雅拉手A9037（160mm孔距）</t>
  </si>
  <si>
    <t>柏丽雅拉手A993（320mm孔距）</t>
  </si>
  <si>
    <t>柏丽雅拉手A993（160mm孔距）</t>
  </si>
  <si>
    <t>柏丽雅拉手A993（192mm孔距）</t>
  </si>
  <si>
    <t>柏丽雅拉手A993（256mm孔距）</t>
  </si>
  <si>
    <t>柏丽雅拉手C397沙钢</t>
  </si>
  <si>
    <t>柏丽雅拉手A760（128mm孔距）</t>
  </si>
  <si>
    <t>柏丽雅拉手A9012（128mm孔距）</t>
  </si>
  <si>
    <t>柏丽雅拉手A664（128mm孔距）</t>
  </si>
  <si>
    <t>柏丽雅拉手A768-075（128mm孔距)</t>
  </si>
  <si>
    <t>柏丽雅拉手A787-008（96mm孔距）</t>
  </si>
  <si>
    <t>柏丽雅拉手A9109-1（32mm孔距）</t>
  </si>
  <si>
    <t>柏丽雅拉手A9154（160mm孔距）</t>
  </si>
  <si>
    <t>柏丽雅拉手A9158（160mm孔距）</t>
  </si>
  <si>
    <t>柏丽雅拉手A9166（32mm孔距)</t>
  </si>
  <si>
    <t>柏丽雅拉手A9202（160mm孔距）</t>
  </si>
  <si>
    <t>柏丽雅拉手A9204（160mm孔距）</t>
  </si>
  <si>
    <t>柏丽雅拉手A9205（160mm孔距）</t>
  </si>
  <si>
    <t>柏丽雅拉手A9206（32mm孔距)</t>
  </si>
  <si>
    <t>柏丽雅拉手A9219（32mm孔距）</t>
  </si>
  <si>
    <t>柏丽雅拉手A9222（32mm孔距）</t>
  </si>
  <si>
    <t>柏丽雅拉手C108-049</t>
  </si>
  <si>
    <t>柏丽雅拉手C146（银）</t>
  </si>
  <si>
    <t>柏丽雅拉手C148-087</t>
  </si>
  <si>
    <t>柏丽雅拉手C168-008</t>
  </si>
  <si>
    <t>柏丽雅拉手A785-069（96mm孔距）光铬色</t>
  </si>
  <si>
    <t>柏丽雅拉手A9169（96mm孔距）</t>
  </si>
  <si>
    <t>柏丽雅拉手C146（金）</t>
  </si>
  <si>
    <t>BLUM低帮抽（M高度）400mm</t>
    <phoneticPr fontId="4" type="noConversion"/>
  </si>
  <si>
    <t>BLUM低帮抽（M高度）450mm</t>
    <phoneticPr fontId="4" type="noConversion"/>
  </si>
  <si>
    <t>BLUM低帮抽（M高度）500mm</t>
    <phoneticPr fontId="4" type="noConversion"/>
  </si>
  <si>
    <t>BLUM高帮U型抽（D高度）450MM</t>
    <phoneticPr fontId="4" type="noConversion"/>
  </si>
  <si>
    <t>BLUM高帮抽（D高度）400mm</t>
    <phoneticPr fontId="4" type="noConversion"/>
  </si>
  <si>
    <t>BLUM高帮抽（D高度）450mm</t>
    <phoneticPr fontId="4" type="noConversion"/>
  </si>
  <si>
    <t>BLUM高帮抽（D高度）500mm</t>
    <phoneticPr fontId="4" type="noConversion"/>
  </si>
  <si>
    <t>BLUM方杆低帮抽350mm（丝光白）</t>
    <phoneticPr fontId="4" type="noConversion"/>
  </si>
  <si>
    <t>BLUM方杆低帮抽400mm（丝光白）</t>
    <phoneticPr fontId="4" type="noConversion"/>
  </si>
  <si>
    <t>BLUM方杆高帮抽450mm（丝光白）</t>
    <phoneticPr fontId="4" type="noConversion"/>
  </si>
  <si>
    <t>BLUM方杆高帮抽500mm（丝光白）</t>
    <phoneticPr fontId="4" type="noConversion"/>
  </si>
  <si>
    <t>BLUM方杆高帮U型抽450MM（丝光白）</t>
    <phoneticPr fontId="4" type="noConversion"/>
  </si>
  <si>
    <t>BLUM方杆低帮U型抽450MM（丝光白）</t>
    <phoneticPr fontId="4" type="noConversion"/>
  </si>
  <si>
    <t>BLUM方杆内置低帮抽450mm（丝光白）</t>
    <phoneticPr fontId="4" type="noConversion"/>
  </si>
  <si>
    <t xml:space="preserve">BLUM方杆高帮抽450MM（丝光白）
</t>
    <phoneticPr fontId="4" type="noConversion"/>
  </si>
  <si>
    <t xml:space="preserve">BLUM方杆低帮抽450MM（丝光白）
</t>
    <phoneticPr fontId="4" type="noConversion"/>
  </si>
  <si>
    <t>拉手</t>
  </si>
  <si>
    <t>BLUM上翻门支撑（20K2500.BL）</t>
    <phoneticPr fontId="4" type="noConversion"/>
  </si>
  <si>
    <t>凯光三角射灯,前开关（2700K暖光）</t>
    <phoneticPr fontId="4" type="noConversion"/>
  </si>
  <si>
    <t>护套线2*2.5</t>
    <phoneticPr fontId="4" type="noConversion"/>
  </si>
  <si>
    <t>凯光射灯GX53-CFL3U（2700K暖光） </t>
    <phoneticPr fontId="4" type="noConversion"/>
  </si>
  <si>
    <t>触碰开关（PSC-01）</t>
    <phoneticPr fontId="4" type="noConversion"/>
  </si>
  <si>
    <t>BLUM直臂铰链100°</t>
  </si>
  <si>
    <t>BLUM铰链155°</t>
    <phoneticPr fontId="4" type="noConversion"/>
  </si>
  <si>
    <t>时尚U型封边条（2.2米/支）-家俱公司</t>
    <phoneticPr fontId="4" type="noConversion"/>
  </si>
  <si>
    <t>套</t>
    <phoneticPr fontId="4" type="noConversion"/>
  </si>
  <si>
    <t>隐藏金属吊码</t>
    <phoneticPr fontId="4" type="noConversion"/>
  </si>
  <si>
    <t>拉米诺挂件（UNO30）</t>
    <phoneticPr fontId="4" type="noConversion"/>
  </si>
  <si>
    <t>海福乐层板销</t>
    <phoneticPr fontId="4" type="noConversion"/>
  </si>
  <si>
    <t>铝转角</t>
    <phoneticPr fontId="4" type="noConversion"/>
  </si>
  <si>
    <t>瀛泰角码（TP-S-60N）</t>
    <phoneticPr fontId="4" type="noConversion"/>
  </si>
  <si>
    <t>隔板销带吸盘</t>
    <phoneticPr fontId="4" type="noConversion"/>
  </si>
  <si>
    <t>B06透明夹胶玻璃6A</t>
  </si>
  <si>
    <t>规格</t>
    <phoneticPr fontId="4" type="noConversion"/>
  </si>
  <si>
    <t>铝扣条（氧化铝16mm板用）6米/支</t>
    <phoneticPr fontId="4" type="noConversion"/>
  </si>
  <si>
    <t>100mm</t>
    <phoneticPr fontId="4" type="noConversion"/>
  </si>
  <si>
    <t>80mm</t>
    <phoneticPr fontId="4" type="noConversion"/>
  </si>
  <si>
    <t>150mm</t>
    <phoneticPr fontId="4" type="noConversion"/>
  </si>
  <si>
    <t>60mm（自制）</t>
  </si>
  <si>
    <t>60mm（自制）</t>
    <phoneticPr fontId="4" type="noConversion"/>
  </si>
  <si>
    <t>塑料可调脚</t>
    <phoneticPr fontId="4" type="noConversion"/>
  </si>
  <si>
    <t>铝梁角码（3021-L）</t>
    <phoneticPr fontId="4" type="noConversion"/>
  </si>
  <si>
    <t>夹板销（16板）</t>
    <phoneticPr fontId="4" type="noConversion"/>
  </si>
  <si>
    <t>隔板三角压块</t>
    <phoneticPr fontId="4" type="noConversion"/>
  </si>
  <si>
    <t>玻璃三角压块</t>
    <phoneticPr fontId="4" type="noConversion"/>
  </si>
  <si>
    <t>个</t>
    <phoneticPr fontId="4" type="noConversion"/>
  </si>
  <si>
    <t>排孔塞（白色）</t>
    <phoneticPr fontId="4" type="noConversion"/>
  </si>
  <si>
    <t>偏心件装饰盖（白色）</t>
    <phoneticPr fontId="4" type="noConversion"/>
  </si>
  <si>
    <t>吊码片盖（白色）</t>
    <phoneticPr fontId="4" type="noConversion"/>
  </si>
  <si>
    <t>偏心件（16板）</t>
    <phoneticPr fontId="4" type="noConversion"/>
  </si>
  <si>
    <t>木榫8*30</t>
    <phoneticPr fontId="4" type="noConversion"/>
  </si>
  <si>
    <t>塑料胀塞∮5-家俱公司</t>
    <phoneticPr fontId="4" type="noConversion"/>
  </si>
  <si>
    <t>A6五金</t>
    <phoneticPr fontId="4" type="noConversion"/>
  </si>
  <si>
    <t>速美五金</t>
    <phoneticPr fontId="4" type="noConversion"/>
  </si>
  <si>
    <t>德丰泰U型塑料挡水</t>
    <phoneticPr fontId="4" type="noConversion"/>
  </si>
  <si>
    <t>开关贴</t>
    <phoneticPr fontId="4" type="noConversion"/>
  </si>
  <si>
    <t>凯光LED电源24W(BSD-1224/A)</t>
    <phoneticPr fontId="4" type="noConversion"/>
  </si>
  <si>
    <t>发光镜子</t>
    <phoneticPr fontId="4" type="noConversion"/>
  </si>
  <si>
    <t>乐卡豪华阻尼低帮抽450MM（595.01.945）</t>
    <phoneticPr fontId="4" type="noConversion"/>
  </si>
  <si>
    <t>DTC平门阻尼铰链（45MM)</t>
    <phoneticPr fontId="4" type="noConversion"/>
  </si>
  <si>
    <t>乐卡豪华阻尼高帮抽450MM（595.05.945）</t>
    <phoneticPr fontId="4" type="noConversion"/>
  </si>
  <si>
    <t>DTC直臂阻尼铰链（45MM)</t>
    <phoneticPr fontId="4" type="noConversion"/>
  </si>
  <si>
    <t>LED防水灯带（BS-L001DSA）暖光-5米/根</t>
    <phoneticPr fontId="4" type="noConversion"/>
  </si>
  <si>
    <t>凯光镜子用触摸开关（BSS-MRT）</t>
    <phoneticPr fontId="4" type="noConversion"/>
  </si>
  <si>
    <t>气垫膜1100mm宽</t>
  </si>
  <si>
    <t>悍高地柜超窄拉篮304101A</t>
  </si>
  <si>
    <t>悍高地柜调味品架306031A</t>
  </si>
  <si>
    <t>悍高地柜调味品架306051A</t>
  </si>
  <si>
    <t>悍高多功能三边篮303103A</t>
  </si>
  <si>
    <t>悍高多功能三边篮303603A</t>
  </si>
  <si>
    <t>悍高多功能四边篮301004A</t>
  </si>
  <si>
    <t>悍高多功能四边篮301603A</t>
  </si>
  <si>
    <t>悍高多功能四边篮301607A</t>
  </si>
  <si>
    <t>背板镜子</t>
    <phoneticPr fontId="4" type="noConversion"/>
  </si>
  <si>
    <t>硬包装</t>
    <phoneticPr fontId="4" type="noConversion"/>
  </si>
  <si>
    <t>LVL单向多层板15*1220*2440</t>
    <phoneticPr fontId="4" type="noConversion"/>
  </si>
  <si>
    <t>12板（板材）</t>
    <phoneticPr fontId="4" type="noConversion"/>
  </si>
  <si>
    <t>25板（板材）</t>
    <phoneticPr fontId="4" type="noConversion"/>
  </si>
  <si>
    <t>总称</t>
    <phoneticPr fontId="4" type="noConversion"/>
  </si>
  <si>
    <t>物料名称</t>
    <phoneticPr fontId="4" type="noConversion"/>
  </si>
  <si>
    <t>布纹玻璃</t>
    <phoneticPr fontId="4" type="noConversion"/>
  </si>
  <si>
    <t>透明夹胶玻璃</t>
    <phoneticPr fontId="4" type="noConversion"/>
  </si>
  <si>
    <t>透光夹胶玻璃</t>
    <phoneticPr fontId="4" type="noConversion"/>
  </si>
  <si>
    <t>抽屉（速美）</t>
    <phoneticPr fontId="4" type="noConversion"/>
  </si>
  <si>
    <t>铰链</t>
    <phoneticPr fontId="4" type="noConversion"/>
  </si>
  <si>
    <t>铰链（速美）</t>
    <phoneticPr fontId="4" type="noConversion"/>
  </si>
  <si>
    <t>铰链（速美）</t>
    <phoneticPr fontId="4" type="noConversion"/>
  </si>
  <si>
    <t>安装五金</t>
    <phoneticPr fontId="4" type="noConversion"/>
  </si>
  <si>
    <t>18板（板材）</t>
    <phoneticPr fontId="4" type="noConversion"/>
  </si>
  <si>
    <t>15板（板材）</t>
    <phoneticPr fontId="4" type="noConversion"/>
  </si>
  <si>
    <t>欧格风防滑垫</t>
    <phoneticPr fontId="4" type="noConversion"/>
  </si>
  <si>
    <t>JBZ-JJ000061</t>
    <phoneticPr fontId="4" type="noConversion"/>
  </si>
  <si>
    <t>气垫膜</t>
    <phoneticPr fontId="19" type="noConversion"/>
  </si>
  <si>
    <t>300宽拉篮、抽屉对口箱（三层瓦楞纸)320*630*750</t>
    <phoneticPr fontId="19" type="noConversion"/>
  </si>
  <si>
    <t>JBZ-JJ000062</t>
    <phoneticPr fontId="4" type="noConversion"/>
  </si>
  <si>
    <t>JBZ-JJ000063</t>
    <phoneticPr fontId="4" type="noConversion"/>
  </si>
  <si>
    <t>JBZ-JJ000064</t>
    <phoneticPr fontId="4" type="noConversion"/>
  </si>
  <si>
    <t>JBZ-JJ000065</t>
    <phoneticPr fontId="4" type="noConversion"/>
  </si>
  <si>
    <t>1.所有背板包装以本包最大尺寸为准选择包装材料及用量
2.所有背板包使用蜂窝纸板</t>
    <phoneticPr fontId="19" type="noConversion"/>
  </si>
  <si>
    <t>蜂窝纸板1250*800*15</t>
    <phoneticPr fontId="4" type="noConversion"/>
  </si>
  <si>
    <t>JBZ-JJ000057</t>
    <phoneticPr fontId="4" type="noConversion"/>
  </si>
  <si>
    <t>蜂窝纸板2200*650*15</t>
    <phoneticPr fontId="4" type="noConversion"/>
  </si>
  <si>
    <t>JBZ-JJ000058</t>
    <phoneticPr fontId="4" type="noConversion"/>
  </si>
  <si>
    <t>硬包装板</t>
    <phoneticPr fontId="4" type="noConversion"/>
  </si>
  <si>
    <t>柜体板面积</t>
    <phoneticPr fontId="4" type="noConversion"/>
  </si>
  <si>
    <t>背板面积</t>
    <phoneticPr fontId="4" type="noConversion"/>
  </si>
  <si>
    <t>砂糖白JG01</t>
    <phoneticPr fontId="4" type="noConversion"/>
  </si>
  <si>
    <t>桦木白JG14</t>
    <phoneticPr fontId="4" type="noConversion"/>
  </si>
  <si>
    <t>绒灰JG09</t>
    <phoneticPr fontId="4" type="noConversion"/>
  </si>
  <si>
    <t>榛果褐JG08</t>
    <phoneticPr fontId="4" type="noConversion"/>
  </si>
  <si>
    <t>鹰灰JG10</t>
    <phoneticPr fontId="4" type="noConversion"/>
  </si>
  <si>
    <t>淡山茱萸粉JG07</t>
    <phoneticPr fontId="4" type="noConversion"/>
  </si>
  <si>
    <t>淡蓝JG02</t>
    <phoneticPr fontId="4" type="noConversion"/>
  </si>
  <si>
    <t>轻雾蓝JG03</t>
    <phoneticPr fontId="4" type="noConversion"/>
  </si>
  <si>
    <t>岩青JG04</t>
    <phoneticPr fontId="4" type="noConversion"/>
  </si>
  <si>
    <t>瓦拉塔蓝JG16</t>
    <phoneticPr fontId="4" type="noConversion"/>
  </si>
  <si>
    <t>深湖蓝JG18</t>
    <phoneticPr fontId="4" type="noConversion"/>
  </si>
  <si>
    <t>深牡丹蓝JG21</t>
    <phoneticPr fontId="4" type="noConversion"/>
  </si>
  <si>
    <t>橄榄绿JG06</t>
    <phoneticPr fontId="4" type="noConversion"/>
  </si>
  <si>
    <t>羽衣甘蓝绿JG17</t>
    <phoneticPr fontId="4" type="noConversion"/>
  </si>
  <si>
    <t>陶俑红JG13</t>
    <phoneticPr fontId="4" type="noConversion"/>
  </si>
  <si>
    <t>火焰红JG19</t>
    <phoneticPr fontId="4" type="noConversion"/>
  </si>
  <si>
    <t>砂糖白JL01</t>
    <phoneticPr fontId="4" type="noConversion"/>
  </si>
  <si>
    <t>桦木白JL14</t>
    <phoneticPr fontId="4" type="noConversion"/>
  </si>
  <si>
    <t>绒灰JL09</t>
    <phoneticPr fontId="4" type="noConversion"/>
  </si>
  <si>
    <t>榛果褐JL08</t>
    <phoneticPr fontId="4" type="noConversion"/>
  </si>
  <si>
    <t>鹰灰JL10</t>
    <phoneticPr fontId="4" type="noConversion"/>
  </si>
  <si>
    <t>淡山茱萸粉JL07</t>
    <phoneticPr fontId="4" type="noConversion"/>
  </si>
  <si>
    <t>淡蓝JL02</t>
    <phoneticPr fontId="4" type="noConversion"/>
  </si>
  <si>
    <t>轻雾蓝JL03</t>
    <phoneticPr fontId="4" type="noConversion"/>
  </si>
  <si>
    <t>岩青JL04</t>
    <phoneticPr fontId="4" type="noConversion"/>
  </si>
  <si>
    <t>瓦拉塔蓝JL16</t>
    <phoneticPr fontId="4" type="noConversion"/>
  </si>
  <si>
    <t>深湖蓝JL18</t>
    <phoneticPr fontId="4" type="noConversion"/>
  </si>
  <si>
    <t>深牡丹蓝JL21</t>
    <phoneticPr fontId="4" type="noConversion"/>
  </si>
  <si>
    <t>橄榄绿JL06</t>
    <phoneticPr fontId="4" type="noConversion"/>
  </si>
  <si>
    <t>羽衣甘蓝绿JL17</t>
    <phoneticPr fontId="4" type="noConversion"/>
  </si>
  <si>
    <t>陶俑红JL13</t>
    <phoneticPr fontId="4" type="noConversion"/>
  </si>
  <si>
    <t>火焰红JL19</t>
    <phoneticPr fontId="4" type="noConversion"/>
  </si>
  <si>
    <t>砂糖白JG01</t>
  </si>
  <si>
    <t>素E1级镂铣中密度板12*1220*2440</t>
    <phoneticPr fontId="4" type="noConversion"/>
  </si>
  <si>
    <t>素三威E0级中密度板25*1220*2440</t>
    <phoneticPr fontId="4" type="noConversion"/>
  </si>
  <si>
    <t>素三威E0级中密度板18*1220*2440</t>
    <phoneticPr fontId="4" type="noConversion"/>
  </si>
  <si>
    <t>素三威E0级中密度板15*1220*2440</t>
    <phoneticPr fontId="4" type="noConversion"/>
  </si>
  <si>
    <t>BLUM直臂阻尼器973A0500</t>
    <phoneticPr fontId="4" type="noConversion"/>
  </si>
  <si>
    <t>玻璃拉手长垫片6.7mm</t>
  </si>
  <si>
    <t>玻璃拉手长垫片6.7mm</t>
    <phoneticPr fontId="4" type="noConversion"/>
  </si>
  <si>
    <t>玻璃拉手长垫片6mm</t>
    <phoneticPr fontId="4" type="noConversion"/>
  </si>
  <si>
    <t>玻璃拉手圆垫片6mm</t>
    <phoneticPr fontId="4" type="noConversion"/>
  </si>
  <si>
    <t>玻璃拉手圆垫片6.7mm</t>
    <phoneticPr fontId="4" type="noConversion"/>
  </si>
  <si>
    <t>木业有限公司包装材料单 （外地包装）  (免漆产品包装）</t>
    <phoneticPr fontId="4" type="noConversion"/>
  </si>
  <si>
    <t>订单编号：</t>
    <phoneticPr fontId="4" type="noConversion"/>
  </si>
  <si>
    <t>客户姓名</t>
    <phoneticPr fontId="4" type="noConversion"/>
  </si>
  <si>
    <t>下单日期</t>
    <phoneticPr fontId="4" type="noConversion"/>
  </si>
  <si>
    <t>应完成日期</t>
    <phoneticPr fontId="4" type="noConversion"/>
  </si>
  <si>
    <t>三、整件发货部分（功能柜）</t>
    <phoneticPr fontId="19" type="noConversion"/>
  </si>
  <si>
    <r>
      <t>1.整件包装---可使用对口箱的柜体（抽屉柜、拉篮柜）</t>
    </r>
    <r>
      <rPr>
        <b/>
        <sz val="10"/>
        <color rgb="FFFF0000"/>
        <rFont val="宋体"/>
        <family val="3"/>
        <charset val="134"/>
        <scheme val="minor"/>
      </rPr>
      <t>（备注：所有整柜包装需增加蜂窝纸板)</t>
    </r>
    <phoneticPr fontId="19" type="noConversion"/>
  </si>
  <si>
    <t>宽度</t>
    <phoneticPr fontId="19" type="noConversion"/>
  </si>
  <si>
    <t>高度</t>
    <phoneticPr fontId="19" type="noConversion"/>
  </si>
  <si>
    <t>深度</t>
    <phoneticPr fontId="19" type="noConversion"/>
  </si>
  <si>
    <t>柜型</t>
    <phoneticPr fontId="19" type="noConversion"/>
  </si>
  <si>
    <t>包装材料名称</t>
    <phoneticPr fontId="19" type="noConversion"/>
  </si>
  <si>
    <t>物料编码</t>
    <phoneticPr fontId="19" type="noConversion"/>
  </si>
  <si>
    <t>拉篮柜</t>
    <phoneticPr fontId="19" type="noConversion"/>
  </si>
  <si>
    <t>150宽拉篮柜对口箱（三层瓦楞纸)170*630*750</t>
    <phoneticPr fontId="19" type="noConversion"/>
  </si>
  <si>
    <t>个</t>
    <phoneticPr fontId="19" type="noConversion"/>
  </si>
  <si>
    <t>图兰朵拉篮柜无法使用，使用大纸板包装</t>
    <phoneticPr fontId="19" type="noConversion"/>
  </si>
  <si>
    <t>FC-BZ010962</t>
    <phoneticPr fontId="19" type="noConversion"/>
  </si>
  <si>
    <t>气垫膜1100mm宽</t>
    <phoneticPr fontId="4" type="noConversion"/>
  </si>
  <si>
    <t>蜂窝纸板1250*800*15</t>
    <phoneticPr fontId="19" type="noConversion"/>
  </si>
  <si>
    <t>张</t>
    <phoneticPr fontId="19" type="noConversion"/>
  </si>
  <si>
    <t>包装纸板1500mm*2400mm（三层瓦楞纸)</t>
    <phoneticPr fontId="19" type="noConversion"/>
  </si>
  <si>
    <t>图兰朵拉篮柜专用</t>
    <phoneticPr fontId="19" type="noConversion"/>
  </si>
  <si>
    <t>300宽拉篮、抽屉对口箱（三层瓦楞纸)320*630*750</t>
    <phoneticPr fontId="19" type="noConversion"/>
  </si>
  <si>
    <t>拉篮柜
抽屉柜</t>
    <phoneticPr fontId="19" type="noConversion"/>
  </si>
  <si>
    <t>450宽拉篮、抽屉对口箱（三层瓦楞纸)470*630*750</t>
    <phoneticPr fontId="19" type="noConversion"/>
  </si>
  <si>
    <t>个</t>
    <phoneticPr fontId="19" type="noConversion"/>
  </si>
  <si>
    <t>FC-BZ010962</t>
    <phoneticPr fontId="19" type="noConversion"/>
  </si>
  <si>
    <t>气垫膜1100mm宽</t>
    <phoneticPr fontId="4" type="noConversion"/>
  </si>
  <si>
    <t>米</t>
    <phoneticPr fontId="19" type="noConversion"/>
  </si>
  <si>
    <t>蜂窝纸板1250*800*15</t>
    <phoneticPr fontId="19" type="noConversion"/>
  </si>
  <si>
    <t>张</t>
    <phoneticPr fontId="19" type="noConversion"/>
  </si>
  <si>
    <t>600宽拉篮、抽屉对口箱（三层瓦楞纸)620*630*750</t>
    <phoneticPr fontId="19" type="noConversion"/>
  </si>
  <si>
    <t>平板苯板</t>
    <phoneticPr fontId="19" type="noConversion"/>
  </si>
  <si>
    <t>车间调配</t>
    <phoneticPr fontId="19" type="noConversion"/>
  </si>
  <si>
    <t>玻璃门板时增加此项</t>
    <phoneticPr fontId="19" type="noConversion"/>
  </si>
  <si>
    <t>900宽拉篮、抽屉对口箱（三层瓦楞纸)920*630*750</t>
    <phoneticPr fontId="19" type="noConversion"/>
  </si>
  <si>
    <r>
      <t>2.整件包装--所有无法使用对口箱的所有柜体</t>
    </r>
    <r>
      <rPr>
        <b/>
        <sz val="10"/>
        <color rgb="FFFF0000"/>
        <rFont val="宋体"/>
        <family val="3"/>
        <charset val="134"/>
        <scheme val="minor"/>
      </rPr>
      <t>（备注：所有整柜包装需增加蜂窝纸板)</t>
    </r>
    <phoneticPr fontId="19" type="noConversion"/>
  </si>
  <si>
    <t>宽度</t>
    <phoneticPr fontId="19" type="noConversion"/>
  </si>
  <si>
    <t>高度</t>
    <phoneticPr fontId="19" type="noConversion"/>
  </si>
  <si>
    <t>深度</t>
    <phoneticPr fontId="19" type="noConversion"/>
  </si>
  <si>
    <t>柜型</t>
    <phoneticPr fontId="19" type="noConversion"/>
  </si>
  <si>
    <t>包装材料名称</t>
    <phoneticPr fontId="19" type="noConversion"/>
  </si>
  <si>
    <t>物料编码</t>
    <phoneticPr fontId="19" type="noConversion"/>
  </si>
  <si>
    <t>备注</t>
    <phoneticPr fontId="19" type="noConversion"/>
  </si>
  <si>
    <t>W≤600</t>
    <phoneticPr fontId="19" type="noConversion"/>
  </si>
  <si>
    <t>—</t>
    <phoneticPr fontId="19" type="noConversion"/>
  </si>
  <si>
    <t>拉篮、抽屉柜、特殊柜</t>
    <phoneticPr fontId="19" type="noConversion"/>
  </si>
  <si>
    <t>包装纸板1500mm*2400mm（三层瓦楞纸)</t>
    <phoneticPr fontId="19" type="noConversion"/>
  </si>
  <si>
    <t>FC-BZ011016</t>
    <phoneticPr fontId="19" type="noConversion"/>
  </si>
  <si>
    <t>W＞600</t>
    <phoneticPr fontId="19" type="noConversion"/>
  </si>
  <si>
    <t>散件包装的柜体---可使用一片成型包装箱的明细</t>
    <phoneticPr fontId="19" type="noConversion"/>
  </si>
  <si>
    <t>包装编号</t>
    <phoneticPr fontId="19" type="noConversion"/>
  </si>
  <si>
    <t>适用范围</t>
    <phoneticPr fontId="19" type="noConversion"/>
  </si>
  <si>
    <t>数量</t>
    <phoneticPr fontId="19" type="noConversion"/>
  </si>
  <si>
    <t>单位</t>
    <phoneticPr fontId="19" type="noConversion"/>
  </si>
  <si>
    <t>1#柜体散件包装</t>
    <phoneticPr fontId="19" type="noConversion"/>
  </si>
  <si>
    <t>≤600</t>
    <phoneticPr fontId="19" type="noConversion"/>
  </si>
  <si>
    <t>地柜散件柜体</t>
    <phoneticPr fontId="19" type="noConversion"/>
  </si>
  <si>
    <t>600宽地柜一片成型包装箱（三层瓦楞纸)A型</t>
    <phoneticPr fontId="19" type="noConversion"/>
  </si>
  <si>
    <t>FC-BZ011010</t>
    <phoneticPr fontId="19" type="noConversion"/>
  </si>
  <si>
    <t>硬纸护角41mm高</t>
    <phoneticPr fontId="19" type="noConversion"/>
  </si>
  <si>
    <t>2#柜体散件包装</t>
    <phoneticPr fontId="19" type="noConversion"/>
  </si>
  <si>
    <t>601-900</t>
    <phoneticPr fontId="19" type="noConversion"/>
  </si>
  <si>
    <t>900宽地柜一片成型包装箱（三层瓦楞纸)A型</t>
    <phoneticPr fontId="19" type="noConversion"/>
  </si>
  <si>
    <t>FC-BZ011011</t>
    <phoneticPr fontId="19" type="noConversion"/>
  </si>
  <si>
    <t>3#柜体散件包装</t>
    <phoneticPr fontId="19" type="noConversion"/>
  </si>
  <si>
    <t>901-1200</t>
    <phoneticPr fontId="19" type="noConversion"/>
  </si>
  <si>
    <t>1200宽地柜一片成型包装箱（三层瓦楞纸)A型</t>
    <phoneticPr fontId="19" type="noConversion"/>
  </si>
  <si>
    <t>FC-BZ011012</t>
    <phoneticPr fontId="19" type="noConversion"/>
  </si>
  <si>
    <t>4#柜体散件包装</t>
    <phoneticPr fontId="19" type="noConversion"/>
  </si>
  <si>
    <t>≤350</t>
    <phoneticPr fontId="19" type="noConversion"/>
  </si>
  <si>
    <t>吊柜散包柜体</t>
    <phoneticPr fontId="19" type="noConversion"/>
  </si>
  <si>
    <t>300宽吊柜一片成型包装箱（三层瓦楞纸)A型</t>
    <phoneticPr fontId="19" type="noConversion"/>
  </si>
  <si>
    <t>FC-BZ011013</t>
    <phoneticPr fontId="19" type="noConversion"/>
  </si>
  <si>
    <t>5#柜体散件包装</t>
    <phoneticPr fontId="19" type="noConversion"/>
  </si>
  <si>
    <t>351-600</t>
    <phoneticPr fontId="19" type="noConversion"/>
  </si>
  <si>
    <t>600宽吊柜一片成型包装箱（三层瓦楞纸)A型</t>
    <phoneticPr fontId="19" type="noConversion"/>
  </si>
  <si>
    <t>6#柜体散件包装</t>
    <phoneticPr fontId="19" type="noConversion"/>
  </si>
  <si>
    <t>吊柜散件柜体</t>
    <phoneticPr fontId="19" type="noConversion"/>
  </si>
  <si>
    <t>900宽吊柜一片成型包装箱（三层瓦楞纸)A型</t>
    <phoneticPr fontId="19" type="noConversion"/>
  </si>
  <si>
    <t>FC-BZ011014</t>
    <phoneticPr fontId="19" type="noConversion"/>
  </si>
  <si>
    <t>7#柜体散件包装</t>
    <phoneticPr fontId="19" type="noConversion"/>
  </si>
  <si>
    <t>1200宽吊柜一片成型包装箱（三层瓦楞纸)A型</t>
    <phoneticPr fontId="19" type="noConversion"/>
  </si>
  <si>
    <t>FC-BZ011015</t>
    <phoneticPr fontId="19" type="noConversion"/>
  </si>
  <si>
    <t>高柜散包柜体不适用高身拉篮及内置冰箱高柜</t>
    <phoneticPr fontId="19" type="noConversion"/>
  </si>
  <si>
    <t>2160高柜一片成型包装箱（三层瓦楞纸)A型</t>
    <phoneticPr fontId="19" type="noConversion"/>
  </si>
  <si>
    <t>注：以上包装箱适用地柜560深、720高散件柜体；吊柜300深、720高柜体；高柜560深2160高的散件柜体（除特定两种柜形外），外地所有玻璃层板单独包装</t>
    <phoneticPr fontId="19" type="noConversion"/>
  </si>
  <si>
    <t>散件包装的柜体--所有无法使用一片成型包装箱的柜体散件（玻璃层板单独包装）</t>
    <phoneticPr fontId="19" type="noConversion"/>
  </si>
  <si>
    <t>吊柜</t>
    <phoneticPr fontId="19" type="noConversion"/>
  </si>
  <si>
    <t>地柜</t>
    <phoneticPr fontId="19" type="noConversion"/>
  </si>
  <si>
    <t>D≤300</t>
    <phoneticPr fontId="19" type="noConversion"/>
  </si>
  <si>
    <t>半高柜、台上柜</t>
    <phoneticPr fontId="19" type="noConversion"/>
  </si>
  <si>
    <t>D＞300</t>
    <phoneticPr fontId="19" type="noConversion"/>
  </si>
  <si>
    <t>高柜</t>
    <phoneticPr fontId="19" type="noConversion"/>
  </si>
  <si>
    <t>散件包装柜体的背板</t>
    <phoneticPr fontId="19" type="noConversion"/>
  </si>
  <si>
    <t>无限制</t>
    <phoneticPr fontId="19" type="noConversion"/>
  </si>
  <si>
    <t>H≤720</t>
    <phoneticPr fontId="19" type="noConversion"/>
  </si>
  <si>
    <t>每套</t>
    <phoneticPr fontId="19" type="noConversion"/>
  </si>
  <si>
    <t>无半高柜、高柜的订单</t>
    <phoneticPr fontId="19" type="noConversion"/>
  </si>
  <si>
    <t>1.所有背板包装以本包最大尺寸为准选择包装材料及用量
2.所有背板包使用固定架保护，固定架使用多层板</t>
    <phoneticPr fontId="19" type="noConversion"/>
  </si>
  <si>
    <t>蜂窝纸板1250*800*15</t>
    <phoneticPr fontId="4" type="noConversion"/>
  </si>
  <si>
    <t>H＞720</t>
    <phoneticPr fontId="19" type="noConversion"/>
  </si>
  <si>
    <t>含半高柜、高柜的订单</t>
    <phoneticPr fontId="19" type="noConversion"/>
  </si>
  <si>
    <t>蜂窝纸板2200*650*15</t>
    <phoneticPr fontId="4" type="noConversion"/>
  </si>
  <si>
    <t>二、散件门板部分</t>
    <phoneticPr fontId="19" type="noConversion"/>
  </si>
  <si>
    <t>1.散件包装的门板---可使用一片成型包装箱的明细</t>
    <phoneticPr fontId="19" type="noConversion"/>
  </si>
  <si>
    <t>厚度</t>
    <phoneticPr fontId="19" type="noConversion"/>
  </si>
  <si>
    <t>包装标准</t>
    <phoneticPr fontId="19" type="noConversion"/>
  </si>
  <si>
    <t>1#门板散件包装</t>
    <phoneticPr fontId="19" type="noConversion"/>
  </si>
  <si>
    <t>≤447</t>
    <phoneticPr fontId="19" type="noConversion"/>
  </si>
  <si>
    <t>≤720</t>
    <phoneticPr fontId="19" type="noConversion"/>
  </si>
  <si>
    <t>18/22/25</t>
    <phoneticPr fontId="19" type="noConversion"/>
  </si>
  <si>
    <t>门板材质散包18A：5层/每包、22A：4层/包、25A：3层/包，每层可置多块板件，需保证底层为适合此包装箱规格的最大尺寸门板，25A门板包装时增加一层苯板。</t>
    <phoneticPr fontId="19" type="noConversion"/>
  </si>
  <si>
    <t>450宽门板一片成型包装箱（三层瓦楞纸)A型</t>
    <phoneticPr fontId="19" type="noConversion"/>
  </si>
  <si>
    <t>保证每包最底层门板为此包装箱最大尺寸门板</t>
    <phoneticPr fontId="19" type="noConversion"/>
  </si>
  <si>
    <t>平板苯板18mm厚</t>
    <phoneticPr fontId="19" type="noConversion"/>
  </si>
  <si>
    <t>448-597</t>
    <phoneticPr fontId="19" type="noConversion"/>
  </si>
  <si>
    <t>600宽门板一片成型包装箱（三层瓦楞纸)A型</t>
    <phoneticPr fontId="19" type="noConversion"/>
  </si>
  <si>
    <t>2.散件包装的门板--所有无法使用一片成型包装箱的门板散件</t>
    <phoneticPr fontId="19" type="noConversion"/>
  </si>
  <si>
    <t>-</t>
    <phoneticPr fontId="19" type="noConversion"/>
  </si>
  <si>
    <t>地柜、吊柜、半高柜、台上柜、高柜：4块/包</t>
    <phoneticPr fontId="19" type="noConversion"/>
  </si>
  <si>
    <t>四、装饰部件部分（本地、外地通用）</t>
    <phoneticPr fontId="19" type="noConversion"/>
  </si>
  <si>
    <t>名称</t>
    <phoneticPr fontId="19" type="noConversion"/>
  </si>
  <si>
    <t>罗马柱箱体</t>
    <phoneticPr fontId="19" type="noConversion"/>
  </si>
  <si>
    <t>H≤840</t>
    <phoneticPr fontId="19" type="noConversion"/>
  </si>
  <si>
    <t>W≤350</t>
    <phoneticPr fontId="19" type="noConversion"/>
  </si>
  <si>
    <t>1个</t>
    <phoneticPr fontId="19" type="noConversion"/>
  </si>
  <si>
    <t>25侧板U型护边280*2600</t>
    <phoneticPr fontId="19" type="noConversion"/>
  </si>
  <si>
    <t>硬纸护角54mm高</t>
    <phoneticPr fontId="19" type="noConversion"/>
  </si>
  <si>
    <t>350＜W≤600</t>
    <phoneticPr fontId="19" type="noConversion"/>
  </si>
  <si>
    <t>25侧板U型护边350*2600</t>
    <phoneticPr fontId="19" type="noConversion"/>
  </si>
  <si>
    <t>840＜H≤2260</t>
    <phoneticPr fontId="19" type="noConversion"/>
  </si>
  <si>
    <t>200＜W≤350</t>
    <phoneticPr fontId="19" type="noConversion"/>
  </si>
  <si>
    <t>2个</t>
    <phoneticPr fontId="19" type="noConversion"/>
  </si>
  <si>
    <t>50、75、150</t>
    <phoneticPr fontId="19" type="noConversion"/>
  </si>
  <si>
    <t>单体罗马柱、顶线、灯线、踢脚板、图兰朵边框</t>
    <phoneticPr fontId="19" type="noConversion"/>
  </si>
  <si>
    <t>W≤2400</t>
    <phoneticPr fontId="19" type="noConversion"/>
  </si>
  <si>
    <t>4层/包</t>
    <phoneticPr fontId="19" type="noConversion"/>
  </si>
  <si>
    <t>L型苯板护角</t>
    <phoneticPr fontId="19" type="noConversion"/>
  </si>
  <si>
    <t>根</t>
    <phoneticPr fontId="19" type="noConversion"/>
  </si>
  <si>
    <t>浴室镜</t>
    <phoneticPr fontId="19" type="noConversion"/>
  </si>
  <si>
    <t>W≤1300</t>
    <phoneticPr fontId="19" type="noConversion"/>
  </si>
  <si>
    <t>H≤1200</t>
    <phoneticPr fontId="19" type="noConversion"/>
  </si>
  <si>
    <t>1块</t>
    <phoneticPr fontId="19" type="noConversion"/>
  </si>
  <si>
    <t>加硬包装</t>
    <phoneticPr fontId="19" type="noConversion"/>
  </si>
  <si>
    <t>1300＜W≤1600</t>
    <phoneticPr fontId="19" type="noConversion"/>
  </si>
  <si>
    <t>烟机罩</t>
    <phoneticPr fontId="19" type="noConversion"/>
  </si>
  <si>
    <t>——</t>
    <phoneticPr fontId="19" type="noConversion"/>
  </si>
  <si>
    <t>图兰朵盖板</t>
    <phoneticPr fontId="19" type="noConversion"/>
  </si>
  <si>
    <t>W≤1200</t>
    <phoneticPr fontId="19" type="noConversion"/>
  </si>
  <si>
    <t>D≤350</t>
    <phoneticPr fontId="19" type="noConversion"/>
  </si>
  <si>
    <t>1层</t>
    <phoneticPr fontId="19" type="noConversion"/>
  </si>
  <si>
    <t>1200＜W≤2400</t>
    <phoneticPr fontId="19" type="noConversion"/>
  </si>
  <si>
    <t>350＜D≤650</t>
    <phoneticPr fontId="19" type="noConversion"/>
  </si>
  <si>
    <t>酒架、调料盒、碗盘架、墙上搁架</t>
    <phoneticPr fontId="19" type="noConversion"/>
  </si>
  <si>
    <t>墙上层板</t>
    <phoneticPr fontId="19" type="noConversion"/>
  </si>
  <si>
    <t>4层</t>
    <phoneticPr fontId="19" type="noConversion"/>
  </si>
  <si>
    <t>装饰墙板</t>
    <phoneticPr fontId="19" type="noConversion"/>
  </si>
  <si>
    <t>H≤2400</t>
    <phoneticPr fontId="19" type="noConversion"/>
  </si>
  <si>
    <t>2层</t>
    <phoneticPr fontId="19" type="noConversion"/>
  </si>
  <si>
    <t>根据板件高度选择硬纸护角的高度（41/54）</t>
    <phoneticPr fontId="19" type="noConversion"/>
  </si>
  <si>
    <t>硬纸护角</t>
    <phoneticPr fontId="19" type="noConversion"/>
  </si>
  <si>
    <t>600＜W≤900</t>
    <phoneticPr fontId="19" type="noConversion"/>
  </si>
  <si>
    <t>半成品</t>
    <phoneticPr fontId="4" type="noConversion"/>
  </si>
  <si>
    <t>硬包装专用板条2440*100*18</t>
    <phoneticPr fontId="4" type="noConversion"/>
  </si>
  <si>
    <t>LVL撑板专用板条15*120*2440mm</t>
    <phoneticPr fontId="19" type="noConversion"/>
  </si>
  <si>
    <t>备注：灯箱底板、拉篮、含玻璃镜子的板件都需要打硬包装</t>
    <phoneticPr fontId="4" type="noConversion"/>
  </si>
  <si>
    <t xml:space="preserve">木业有限公司包装材料单 （外地包装）（免漆产品包装）    </t>
    <phoneticPr fontId="4" type="noConversion"/>
  </si>
  <si>
    <r>
      <t>1.整件包装---可使用对口箱的柜体（抽屉柜、拉篮柜）（</t>
    </r>
    <r>
      <rPr>
        <b/>
        <sz val="10"/>
        <color rgb="FFFF0000"/>
        <rFont val="宋体"/>
        <family val="3"/>
        <charset val="134"/>
        <scheme val="minor"/>
      </rPr>
      <t>备注：所有速美整柜包装需增加蜂窝纸板及配一根同柜体材质拉带</t>
    </r>
    <r>
      <rPr>
        <b/>
        <sz val="10"/>
        <color theme="1"/>
        <rFont val="宋体"/>
        <family val="3"/>
        <charset val="134"/>
        <scheme val="minor"/>
      </rPr>
      <t>）</t>
    </r>
    <phoneticPr fontId="19" type="noConversion"/>
  </si>
  <si>
    <t>横纹锯齿双贴备用条16*86*1220</t>
  </si>
  <si>
    <t>蜂窝纸板1250*800*15</t>
    <phoneticPr fontId="19" type="noConversion"/>
  </si>
  <si>
    <t>暖白双贴备用条16*86*1220</t>
    <phoneticPr fontId="19" type="noConversion"/>
  </si>
  <si>
    <t>配半成品拉带</t>
    <phoneticPr fontId="19" type="noConversion"/>
  </si>
  <si>
    <r>
      <t>2.整件包装--所有无法使用对口箱的所有柜体</t>
    </r>
    <r>
      <rPr>
        <b/>
        <sz val="10"/>
        <color rgb="FFFF0000"/>
        <rFont val="宋体"/>
        <family val="3"/>
        <charset val="134"/>
        <scheme val="minor"/>
      </rPr>
      <t>（备注：所有速美整柜包装需增加蜂窝纸板及配一根同柜体材质拉带）</t>
    </r>
    <phoneticPr fontId="19" type="noConversion"/>
  </si>
  <si>
    <t>包装纸板1500mm*2400mm（五层瓦楞纸)</t>
    <phoneticPr fontId="19" type="noConversion"/>
  </si>
  <si>
    <t>包装纸板1500mm*2400mm（五层瓦楞纸)</t>
  </si>
  <si>
    <t>450宽门板一片成型包装箱（五层瓦楞纸)A型</t>
    <phoneticPr fontId="19" type="noConversion"/>
  </si>
  <si>
    <t>600宽门板一片成型包装箱（五层瓦楞纸)A型</t>
    <phoneticPr fontId="19" type="noConversion"/>
  </si>
  <si>
    <t>半成品</t>
    <phoneticPr fontId="4" type="noConversion"/>
  </si>
  <si>
    <t>硬包装专用板条2440*100*18</t>
    <phoneticPr fontId="4" type="noConversion"/>
  </si>
  <si>
    <t>LVL撑板专用板条15*120*2440mm</t>
    <phoneticPr fontId="19" type="noConversion"/>
  </si>
  <si>
    <t>豪美丽773</t>
    <phoneticPr fontId="4" type="noConversion"/>
  </si>
  <si>
    <t>豪美丽367</t>
    <phoneticPr fontId="4" type="noConversion"/>
  </si>
  <si>
    <t>LC-003拉手</t>
    <phoneticPr fontId="4" type="noConversion"/>
  </si>
  <si>
    <t>外置拉手</t>
    <phoneticPr fontId="4" type="noConversion"/>
  </si>
  <si>
    <t>减尺规则</t>
    <phoneticPr fontId="4" type="noConversion"/>
  </si>
  <si>
    <t>拉手类型</t>
    <phoneticPr fontId="4" type="noConversion"/>
  </si>
  <si>
    <t>订单减尺</t>
    <phoneticPr fontId="4" type="noConversion"/>
  </si>
  <si>
    <t>门板材质</t>
    <phoneticPr fontId="4" type="noConversion"/>
  </si>
  <si>
    <t>拆解人</t>
    <phoneticPr fontId="4" type="noConversion"/>
  </si>
  <si>
    <t>如有材质、颜色、尺寸不明请和工艺组联系并确认！</t>
    <phoneticPr fontId="4" type="noConversion"/>
  </si>
  <si>
    <t>无拉手装饰板</t>
    <phoneticPr fontId="4" type="noConversion"/>
  </si>
  <si>
    <t>投影面积</t>
    <phoneticPr fontId="4" type="noConversion"/>
  </si>
  <si>
    <t>材质汇总</t>
    <phoneticPr fontId="4" type="noConversion"/>
  </si>
  <si>
    <t>材质备注</t>
    <phoneticPr fontId="4" type="noConversion"/>
  </si>
  <si>
    <t>门板描述</t>
    <phoneticPr fontId="4" type="noConversion"/>
  </si>
  <si>
    <t>总数量</t>
    <phoneticPr fontId="4" type="noConversion"/>
  </si>
  <si>
    <t>无毒系列</t>
    <phoneticPr fontId="4" type="noConversion"/>
  </si>
  <si>
    <t>LC-003拉手</t>
  </si>
  <si>
    <t>产品类型</t>
    <phoneticPr fontId="4" type="noConversion"/>
  </si>
  <si>
    <t>+</t>
    <phoneticPr fontId="4" type="noConversion"/>
  </si>
  <si>
    <t>门板生产作业单</t>
    <phoneticPr fontId="4" type="noConversion"/>
  </si>
  <si>
    <t>拆解人</t>
    <phoneticPr fontId="4" type="noConversion"/>
  </si>
  <si>
    <t>门板
拉手
外协</t>
    <phoneticPr fontId="4" type="noConversion"/>
  </si>
  <si>
    <t>支</t>
    <phoneticPr fontId="4" type="noConversion"/>
  </si>
  <si>
    <t>普施宝免钉胶（300ml/支）</t>
    <phoneticPr fontId="4" type="noConversion"/>
  </si>
  <si>
    <t>米</t>
    <phoneticPr fontId="4" type="noConversion"/>
  </si>
  <si>
    <t>铝拉手（氧化铝XY-156）LC-003（3米/支）</t>
    <phoneticPr fontId="4" type="noConversion"/>
  </si>
  <si>
    <t>拉手</t>
    <phoneticPr fontId="4" type="noConversion"/>
  </si>
  <si>
    <t>张</t>
    <phoneticPr fontId="4" type="noConversion"/>
  </si>
  <si>
    <t>素三威E0级中密度板18*1220*2440</t>
    <phoneticPr fontId="4" type="noConversion"/>
  </si>
  <si>
    <t>门板基材</t>
    <phoneticPr fontId="4" type="noConversion"/>
  </si>
  <si>
    <t>装箱确认</t>
    <phoneticPr fontId="4" type="noConversion"/>
  </si>
  <si>
    <t>单位</t>
    <phoneticPr fontId="4" type="noConversion"/>
  </si>
  <si>
    <t>数量</t>
    <phoneticPr fontId="4" type="noConversion"/>
  </si>
  <si>
    <t>物料描述</t>
    <phoneticPr fontId="4" type="noConversion"/>
  </si>
  <si>
    <t>序号</t>
    <phoneticPr fontId="4" type="noConversion"/>
  </si>
  <si>
    <t>项目</t>
    <phoneticPr fontId="4" type="noConversion"/>
  </si>
  <si>
    <t>版本型录号</t>
    <phoneticPr fontId="4" type="noConversion"/>
  </si>
  <si>
    <t>订单编号</t>
    <phoneticPr fontId="4" type="noConversion"/>
  </si>
  <si>
    <t>客户姓名</t>
    <phoneticPr fontId="4" type="noConversion"/>
  </si>
  <si>
    <t>领料单——无毒平板</t>
    <phoneticPr fontId="4" type="noConversion"/>
  </si>
  <si>
    <t>块</t>
    <phoneticPr fontId="19" type="noConversion"/>
  </si>
  <si>
    <t>家具包装组</t>
    <phoneticPr fontId="19" type="noConversion"/>
  </si>
  <si>
    <t>包装线</t>
    <phoneticPr fontId="19" type="noConversion"/>
  </si>
  <si>
    <t>平米</t>
    <phoneticPr fontId="19" type="noConversion"/>
  </si>
  <si>
    <t>清油打磨组</t>
    <phoneticPr fontId="4" type="noConversion"/>
  </si>
  <si>
    <t>混油打磨组</t>
    <phoneticPr fontId="4" type="noConversion"/>
  </si>
  <si>
    <t>内门线</t>
    <phoneticPr fontId="4" type="noConversion"/>
  </si>
  <si>
    <t>高光喷漆组</t>
    <phoneticPr fontId="19" type="noConversion"/>
  </si>
  <si>
    <t>机涂组</t>
    <phoneticPr fontId="19" type="noConversion"/>
  </si>
  <si>
    <t>家具高光线</t>
    <phoneticPr fontId="19" type="noConversion"/>
  </si>
  <si>
    <t>单</t>
    <phoneticPr fontId="19" type="noConversion"/>
  </si>
  <si>
    <t>五金配套组</t>
    <phoneticPr fontId="19" type="noConversion"/>
  </si>
  <si>
    <t>衣帽间试装组</t>
    <phoneticPr fontId="19" type="noConversion"/>
  </si>
  <si>
    <t>延米</t>
    <phoneticPr fontId="19" type="noConversion"/>
  </si>
  <si>
    <t>橱柜试装组</t>
    <phoneticPr fontId="19" type="noConversion"/>
  </si>
  <si>
    <t>试装线</t>
    <phoneticPr fontId="19" type="noConversion"/>
  </si>
  <si>
    <t>铝材拼框组</t>
    <phoneticPr fontId="19" type="noConversion"/>
  </si>
  <si>
    <t>打磨组</t>
    <phoneticPr fontId="19" type="noConversion"/>
  </si>
  <si>
    <t>吸塑组</t>
    <phoneticPr fontId="19" type="noConversion"/>
  </si>
  <si>
    <t>机加组</t>
    <phoneticPr fontId="19" type="noConversion"/>
  </si>
  <si>
    <t>吸塑线</t>
    <phoneticPr fontId="19" type="noConversion"/>
  </si>
  <si>
    <t>钻铣组3</t>
    <phoneticPr fontId="19" type="noConversion"/>
  </si>
  <si>
    <t>下料冷压封边组</t>
    <phoneticPr fontId="19" type="noConversion"/>
  </si>
  <si>
    <t>门板线</t>
    <phoneticPr fontId="19" type="noConversion"/>
  </si>
  <si>
    <t>裁切木皮组</t>
    <phoneticPr fontId="19" type="noConversion"/>
  </si>
  <si>
    <t>木皮线</t>
    <phoneticPr fontId="19" type="noConversion"/>
  </si>
  <si>
    <t>钻铣组2</t>
    <phoneticPr fontId="19" type="noConversion"/>
  </si>
  <si>
    <t>下料组</t>
    <phoneticPr fontId="19" type="noConversion"/>
  </si>
  <si>
    <t>家具线</t>
    <phoneticPr fontId="19" type="noConversion"/>
  </si>
  <si>
    <t>钻铣组1</t>
    <phoneticPr fontId="19" type="noConversion"/>
  </si>
  <si>
    <t>橱柜线</t>
    <phoneticPr fontId="19" type="noConversion"/>
  </si>
  <si>
    <t>备注</t>
    <phoneticPr fontId="19" type="noConversion"/>
  </si>
  <si>
    <t>质检</t>
    <phoneticPr fontId="19" type="noConversion"/>
  </si>
  <si>
    <t>主机手</t>
    <phoneticPr fontId="19" type="noConversion"/>
  </si>
  <si>
    <t>完成日期</t>
    <phoneticPr fontId="19" type="noConversion"/>
  </si>
  <si>
    <t>接单日期</t>
    <phoneticPr fontId="19" type="noConversion"/>
  </si>
  <si>
    <t>单位</t>
    <phoneticPr fontId="19" type="noConversion"/>
  </si>
  <si>
    <t>成品数量</t>
    <phoneticPr fontId="19" type="noConversion"/>
  </si>
  <si>
    <t>工序名称</t>
    <phoneticPr fontId="19" type="noConversion"/>
  </si>
  <si>
    <t>工段班组</t>
    <phoneticPr fontId="19" type="noConversion"/>
  </si>
  <si>
    <t>序号</t>
    <phoneticPr fontId="19" type="noConversion"/>
  </si>
  <si>
    <t>生产周期</t>
    <phoneticPr fontId="19" type="noConversion"/>
  </si>
  <si>
    <t>标准吊柜</t>
    <phoneticPr fontId="19" type="noConversion"/>
  </si>
  <si>
    <t>标准地柜</t>
    <phoneticPr fontId="19" type="noConversion"/>
  </si>
  <si>
    <t>厨浴柜</t>
    <phoneticPr fontId="4" type="noConversion"/>
  </si>
  <si>
    <t>生产类型</t>
    <phoneticPr fontId="4" type="noConversion"/>
  </si>
  <si>
    <t>铝框</t>
    <phoneticPr fontId="19" type="noConversion"/>
  </si>
  <si>
    <t>免漆</t>
    <phoneticPr fontId="19" type="noConversion"/>
  </si>
  <si>
    <t>吸塑</t>
    <phoneticPr fontId="19" type="noConversion"/>
  </si>
  <si>
    <t>清油</t>
    <phoneticPr fontId="19" type="noConversion"/>
  </si>
  <si>
    <t>混油</t>
    <phoneticPr fontId="19" type="noConversion"/>
  </si>
  <si>
    <t>实木</t>
    <phoneticPr fontId="19" type="noConversion"/>
  </si>
  <si>
    <t>产品系列</t>
    <phoneticPr fontId="19" type="noConversion"/>
  </si>
  <si>
    <t>应完成日期</t>
    <phoneticPr fontId="19" type="noConversion"/>
  </si>
  <si>
    <t>版本型号录号</t>
    <phoneticPr fontId="19" type="noConversion"/>
  </si>
  <si>
    <t>销售点</t>
    <phoneticPr fontId="19" type="noConversion"/>
  </si>
  <si>
    <t>下单日期</t>
    <phoneticPr fontId="19" type="noConversion"/>
  </si>
  <si>
    <t>材质/色号</t>
    <phoneticPr fontId="19" type="noConversion"/>
  </si>
  <si>
    <t>款式名称</t>
    <phoneticPr fontId="19" type="noConversion"/>
  </si>
  <si>
    <t>订单编号</t>
    <phoneticPr fontId="19" type="noConversion"/>
  </si>
  <si>
    <t>客户姓名</t>
    <phoneticPr fontId="19" type="noConversion"/>
  </si>
  <si>
    <t>家具班组转序交接表</t>
    <phoneticPr fontId="19" type="noConversion"/>
  </si>
  <si>
    <t>拆解员</t>
    <phoneticPr fontId="4" type="noConversion"/>
  </si>
  <si>
    <t>通长铝拉手</t>
    <phoneticPr fontId="4" type="noConversion"/>
  </si>
  <si>
    <t xml:space="preserve">如有材质、颜色、尺寸不明请和工艺组联系并确认！ </t>
    <phoneticPr fontId="4" type="noConversion"/>
  </si>
  <si>
    <t>此单分下料尺寸和成型尺寸2种，请生产各工段注意！</t>
    <phoneticPr fontId="4" type="noConversion"/>
  </si>
  <si>
    <t>说明：按照2012新工艺铣型</t>
    <phoneticPr fontId="4" type="noConversion"/>
  </si>
  <si>
    <t>18A</t>
    <phoneticPr fontId="4" type="noConversion"/>
  </si>
  <si>
    <t>25A</t>
    <phoneticPr fontId="4" type="noConversion"/>
  </si>
  <si>
    <t>一个罗马柱两个</t>
    <phoneticPr fontId="4" type="noConversion"/>
  </si>
  <si>
    <t>罗马柱小方块</t>
    <phoneticPr fontId="4" type="noConversion"/>
  </si>
  <si>
    <t>25A</t>
    <phoneticPr fontId="4" type="noConversion"/>
  </si>
  <si>
    <t>罗马柱础</t>
    <phoneticPr fontId="4" type="noConversion"/>
  </si>
  <si>
    <t>罗马柱</t>
    <phoneticPr fontId="4" type="noConversion"/>
  </si>
  <si>
    <t>平板无刀型</t>
    <phoneticPr fontId="4" type="noConversion"/>
  </si>
  <si>
    <t>踢脚板</t>
    <phoneticPr fontId="4" type="noConversion"/>
  </si>
  <si>
    <t>玻璃门</t>
    <phoneticPr fontId="4" type="noConversion"/>
  </si>
  <si>
    <t>无拉手装饰板</t>
    <phoneticPr fontId="4" type="noConversion"/>
  </si>
  <si>
    <t>现代</t>
    <phoneticPr fontId="4" type="noConversion"/>
  </si>
  <si>
    <t>古典-直边</t>
    <phoneticPr fontId="4" type="noConversion"/>
  </si>
  <si>
    <t>古典-弧边</t>
    <phoneticPr fontId="4" type="noConversion"/>
  </si>
  <si>
    <t>最终减尺规则</t>
    <phoneticPr fontId="4" type="noConversion"/>
  </si>
  <si>
    <t>浮士德</t>
    <phoneticPr fontId="4" type="noConversion"/>
  </si>
  <si>
    <t>香草天空Ⅱ</t>
    <phoneticPr fontId="4" type="noConversion"/>
  </si>
  <si>
    <t>款式减尺</t>
    <phoneticPr fontId="4" type="noConversion"/>
  </si>
  <si>
    <t>3mm背板</t>
    <phoneticPr fontId="4" type="noConversion"/>
  </si>
  <si>
    <t>按技术部下发文件加工</t>
    <phoneticPr fontId="4" type="noConversion"/>
  </si>
  <si>
    <t>镜子背板12mm</t>
    <phoneticPr fontId="4" type="noConversion"/>
  </si>
  <si>
    <t>整板铣型，严格按照技术部下发图纸加工</t>
    <phoneticPr fontId="4" type="noConversion"/>
  </si>
  <si>
    <t>古典镜子</t>
    <phoneticPr fontId="4" type="noConversion"/>
  </si>
  <si>
    <t>LC-003</t>
    <phoneticPr fontId="4" type="noConversion"/>
  </si>
  <si>
    <t>总数量</t>
    <phoneticPr fontId="4" type="noConversion"/>
  </si>
  <si>
    <t>门板压条</t>
    <phoneticPr fontId="4" type="noConversion"/>
  </si>
  <si>
    <t>门板张数</t>
    <phoneticPr fontId="4" type="noConversion"/>
  </si>
  <si>
    <t>数量</t>
    <phoneticPr fontId="4" type="noConversion"/>
  </si>
  <si>
    <t>高度</t>
    <phoneticPr fontId="4" type="noConversion"/>
  </si>
  <si>
    <t>宽度</t>
    <phoneticPr fontId="4" type="noConversion"/>
  </si>
  <si>
    <t>厚度</t>
    <phoneticPr fontId="4" type="noConversion"/>
  </si>
  <si>
    <t>名称</t>
    <phoneticPr fontId="4" type="noConversion"/>
  </si>
  <si>
    <t>箱体序号</t>
    <phoneticPr fontId="4" type="noConversion"/>
  </si>
  <si>
    <t>备注</t>
    <phoneticPr fontId="4" type="noConversion"/>
  </si>
  <si>
    <t>下料尺寸</t>
    <phoneticPr fontId="4" type="noConversion"/>
  </si>
  <si>
    <t>成型尺寸</t>
    <phoneticPr fontId="4" type="noConversion"/>
  </si>
  <si>
    <t>说明</t>
    <phoneticPr fontId="4" type="noConversion"/>
  </si>
  <si>
    <t>P02米黄</t>
    <phoneticPr fontId="4" type="noConversion"/>
  </si>
  <si>
    <t>门板描述</t>
    <phoneticPr fontId="4" type="noConversion"/>
  </si>
  <si>
    <t>款式</t>
    <phoneticPr fontId="4" type="noConversion"/>
  </si>
  <si>
    <t>通长铝拉手</t>
  </si>
  <si>
    <t>拉手类型</t>
    <phoneticPr fontId="4" type="noConversion"/>
  </si>
  <si>
    <t>版本型录号</t>
    <phoneticPr fontId="4" type="noConversion"/>
  </si>
  <si>
    <t>订单编号</t>
    <phoneticPr fontId="4" type="noConversion"/>
  </si>
  <si>
    <t>厨柜</t>
    <phoneticPr fontId="4" type="noConversion"/>
  </si>
  <si>
    <t>产品类型</t>
    <phoneticPr fontId="4" type="noConversion"/>
  </si>
  <si>
    <t>销售点</t>
    <phoneticPr fontId="4" type="noConversion"/>
  </si>
  <si>
    <t>门板生产作业单</t>
    <phoneticPr fontId="4" type="noConversion"/>
  </si>
  <si>
    <t>拆解人</t>
    <phoneticPr fontId="4" type="noConversion"/>
  </si>
  <si>
    <t>支</t>
    <phoneticPr fontId="4" type="noConversion"/>
  </si>
  <si>
    <t>普施宝免钉胶</t>
    <phoneticPr fontId="4" type="noConversion"/>
  </si>
  <si>
    <t>米</t>
    <phoneticPr fontId="4" type="noConversion"/>
  </si>
  <si>
    <t>铝拉手（氧化铝XY-156）LC-003（3米/支）</t>
    <phoneticPr fontId="4" type="noConversion"/>
  </si>
  <si>
    <t>个</t>
    <phoneticPr fontId="4" type="noConversion"/>
  </si>
  <si>
    <t>自攻钉3.5*12</t>
    <phoneticPr fontId="4" type="noConversion"/>
  </si>
  <si>
    <t>平米</t>
    <phoneticPr fontId="4" type="noConversion"/>
  </si>
  <si>
    <t>波音软片(灰色)</t>
    <phoneticPr fontId="4" type="noConversion"/>
  </si>
  <si>
    <t>暖白双贴三聚氰胺E1级中密度板</t>
  </si>
  <si>
    <t>3*1220*2440</t>
  </si>
  <si>
    <t>门板</t>
    <phoneticPr fontId="4" type="noConversion"/>
  </si>
  <si>
    <t>套</t>
    <phoneticPr fontId="4" type="noConversion"/>
  </si>
  <si>
    <t>拉米诺挂件UNO30</t>
    <phoneticPr fontId="4" type="noConversion"/>
  </si>
  <si>
    <t>暖白玻璃压条</t>
  </si>
  <si>
    <t>张</t>
    <phoneticPr fontId="4" type="noConversion"/>
  </si>
  <si>
    <t>素高林E1级中密度</t>
    <phoneticPr fontId="4" type="noConversion"/>
  </si>
  <si>
    <t>12*1220*2440</t>
    <phoneticPr fontId="4" type="noConversion"/>
  </si>
  <si>
    <t>玻璃</t>
    <phoneticPr fontId="4" type="noConversion"/>
  </si>
  <si>
    <t>水银镜5*1830*2440</t>
    <phoneticPr fontId="4" type="noConversion"/>
  </si>
  <si>
    <t>玉砂玻璃5*1830*2440</t>
    <phoneticPr fontId="4" type="noConversion"/>
  </si>
  <si>
    <t>门板顶线罗马柱</t>
    <phoneticPr fontId="4" type="noConversion"/>
  </si>
  <si>
    <t>透明玻璃5*1830*2440</t>
    <phoneticPr fontId="4" type="noConversion"/>
  </si>
  <si>
    <t>装箱清单</t>
    <phoneticPr fontId="4" type="noConversion"/>
  </si>
  <si>
    <t>单位</t>
    <phoneticPr fontId="4" type="noConversion"/>
  </si>
  <si>
    <t>物料描述</t>
    <phoneticPr fontId="4" type="noConversion"/>
  </si>
  <si>
    <t>序号</t>
    <phoneticPr fontId="4" type="noConversion"/>
  </si>
  <si>
    <t>项目</t>
    <phoneticPr fontId="4" type="noConversion"/>
  </si>
  <si>
    <t>玻璃平米</t>
    <phoneticPr fontId="4" type="noConversion"/>
  </si>
  <si>
    <t>高</t>
    <phoneticPr fontId="4" type="noConversion"/>
  </si>
  <si>
    <t>宽</t>
    <phoneticPr fontId="4" type="noConversion"/>
  </si>
  <si>
    <t>块</t>
    <phoneticPr fontId="19" type="noConversion"/>
  </si>
  <si>
    <t>钻铣组1</t>
    <phoneticPr fontId="19" type="noConversion"/>
  </si>
  <si>
    <t>家具线</t>
    <phoneticPr fontId="19" type="noConversion"/>
  </si>
  <si>
    <t>下料组</t>
    <phoneticPr fontId="19" type="noConversion"/>
  </si>
  <si>
    <t>钻铣组2</t>
    <phoneticPr fontId="19" type="noConversion"/>
  </si>
  <si>
    <t>木皮线</t>
    <phoneticPr fontId="19" type="noConversion"/>
  </si>
  <si>
    <t>裁切木皮组</t>
    <phoneticPr fontId="19" type="noConversion"/>
  </si>
  <si>
    <t>门板线</t>
    <phoneticPr fontId="19" type="noConversion"/>
  </si>
  <si>
    <t>下料冷压封边组</t>
    <phoneticPr fontId="19" type="noConversion"/>
  </si>
  <si>
    <t>钻铣组3</t>
    <phoneticPr fontId="19" type="noConversion"/>
  </si>
  <si>
    <t>吸塑线</t>
    <phoneticPr fontId="19" type="noConversion"/>
  </si>
  <si>
    <t>机加组</t>
    <phoneticPr fontId="19" type="noConversion"/>
  </si>
  <si>
    <t>吸塑组</t>
    <phoneticPr fontId="19" type="noConversion"/>
  </si>
  <si>
    <t>打磨组</t>
    <phoneticPr fontId="19" type="noConversion"/>
  </si>
  <si>
    <t>铝材拼框组</t>
    <phoneticPr fontId="19" type="noConversion"/>
  </si>
  <si>
    <t>试装线</t>
    <phoneticPr fontId="19" type="noConversion"/>
  </si>
  <si>
    <t>橱柜试装组</t>
    <phoneticPr fontId="19" type="noConversion"/>
  </si>
  <si>
    <t>延米</t>
    <phoneticPr fontId="19" type="noConversion"/>
  </si>
  <si>
    <t>衣帽间试装组</t>
    <phoneticPr fontId="19" type="noConversion"/>
  </si>
  <si>
    <t>平米</t>
    <phoneticPr fontId="19" type="noConversion"/>
  </si>
  <si>
    <t>五金配套组</t>
    <phoneticPr fontId="19" type="noConversion"/>
  </si>
  <si>
    <t>单</t>
    <phoneticPr fontId="19" type="noConversion"/>
  </si>
  <si>
    <t>家具高光线</t>
    <phoneticPr fontId="19" type="noConversion"/>
  </si>
  <si>
    <t>机涂组</t>
    <phoneticPr fontId="19" type="noConversion"/>
  </si>
  <si>
    <t>高光喷漆组</t>
    <phoneticPr fontId="19" type="noConversion"/>
  </si>
  <si>
    <t>内门线</t>
    <phoneticPr fontId="4" type="noConversion"/>
  </si>
  <si>
    <t>混油打磨组</t>
    <phoneticPr fontId="4" type="noConversion"/>
  </si>
  <si>
    <t>清油打磨组</t>
    <phoneticPr fontId="4" type="noConversion"/>
  </si>
  <si>
    <t>包装线</t>
    <phoneticPr fontId="19" type="noConversion"/>
  </si>
  <si>
    <t>家具包装组</t>
    <phoneticPr fontId="19" type="noConversion"/>
  </si>
  <si>
    <t>领料单——无毒古典系列</t>
    <phoneticPr fontId="4" type="noConversion"/>
  </si>
  <si>
    <t>赵蕊</t>
    <phoneticPr fontId="4" type="noConversion"/>
  </si>
  <si>
    <t>廊坊</t>
    <phoneticPr fontId="4" type="noConversion"/>
  </si>
  <si>
    <t>橱柜款式</t>
    <phoneticPr fontId="4" type="noConversion"/>
  </si>
  <si>
    <t>透明玻璃5*1830*2440</t>
  </si>
  <si>
    <t>素三威E0级中密度板18*1220*2440</t>
    <phoneticPr fontId="76" type="noConversion"/>
  </si>
  <si>
    <t>素E1级镂铣中密度板25*1220*2440</t>
    <phoneticPr fontId="76" type="noConversion"/>
  </si>
  <si>
    <t>珍珠白-高光JG22</t>
  </si>
  <si>
    <t>象牙白-高光JG23</t>
  </si>
  <si>
    <t>法拉利红-高光JG24</t>
  </si>
  <si>
    <t>酒红-高光JG25</t>
  </si>
  <si>
    <t>纯黑-高光JG26</t>
  </si>
  <si>
    <t>珍珠白-砂纹JL22</t>
  </si>
  <si>
    <t>象牙白-砂纹JL23</t>
  </si>
  <si>
    <t>法拉利红-砂纹JL24</t>
  </si>
  <si>
    <t>酒红-砂纹JL25</t>
  </si>
  <si>
    <t>纯黑-砂纹JL26</t>
  </si>
  <si>
    <t>砂糖白-哑光JY01</t>
  </si>
  <si>
    <t>桦木白-哑光JY14</t>
  </si>
  <si>
    <t>绒灰-哑光JY09</t>
  </si>
  <si>
    <t>榛果褐-哑光JY08</t>
  </si>
  <si>
    <t>鹰灰-哑光JY10</t>
  </si>
  <si>
    <t>淡山茱萸粉-哑光JY07</t>
  </si>
  <si>
    <t>淡蓝-哑光JY02</t>
  </si>
  <si>
    <t>轻雾蓝-哑光JY03</t>
  </si>
  <si>
    <t>岩青-哑光JY04</t>
  </si>
  <si>
    <t>深湖蓝-哑光JY18</t>
  </si>
  <si>
    <t>深牡丹蓝-哑光JY21</t>
  </si>
  <si>
    <t>暖橄榄绿-哑光JY06</t>
  </si>
  <si>
    <t>羽衣甘蓝绿-哑光JY17</t>
  </si>
  <si>
    <t>陶俑红-哑光JY13</t>
  </si>
  <si>
    <t>火焰红-哑光JY19</t>
  </si>
  <si>
    <t>瓦拉塔蓝-哑光JY16</t>
  </si>
  <si>
    <t>珍珠白-哑光JY22</t>
  </si>
  <si>
    <t>象牙白-哑光JY23</t>
  </si>
  <si>
    <t>法拉利红-哑光JY24</t>
  </si>
  <si>
    <t>酒红-哑光JY25</t>
  </si>
  <si>
    <t>纯黑-哑光JY26</t>
  </si>
  <si>
    <t>家具班组转序交接表</t>
    <phoneticPr fontId="4" type="noConversion"/>
  </si>
  <si>
    <t>客户姓名</t>
    <phoneticPr fontId="4" type="noConversion"/>
  </si>
  <si>
    <t>订单编号</t>
    <phoneticPr fontId="4" type="noConversion"/>
  </si>
  <si>
    <t>接单日期</t>
    <phoneticPr fontId="4" type="noConversion"/>
  </si>
  <si>
    <t>橱柜款式</t>
    <phoneticPr fontId="4" type="noConversion"/>
  </si>
  <si>
    <t>材质/色号</t>
    <phoneticPr fontId="4" type="noConversion"/>
  </si>
  <si>
    <t>下单日期</t>
    <phoneticPr fontId="4" type="noConversion"/>
  </si>
  <si>
    <t>销售点</t>
    <phoneticPr fontId="4" type="noConversion"/>
  </si>
  <si>
    <t>版本型号录号</t>
    <phoneticPr fontId="4" type="noConversion"/>
  </si>
  <si>
    <t>应完成日期</t>
    <phoneticPr fontId="4" type="noConversion"/>
  </si>
  <si>
    <t>产品系列</t>
    <phoneticPr fontId="4" type="noConversion"/>
  </si>
  <si>
    <t>实木</t>
    <phoneticPr fontId="4" type="noConversion"/>
  </si>
  <si>
    <t>混油</t>
    <phoneticPr fontId="4" type="noConversion"/>
  </si>
  <si>
    <t>清油</t>
    <phoneticPr fontId="4" type="noConversion"/>
  </si>
  <si>
    <t>吸塑</t>
    <phoneticPr fontId="4" type="noConversion"/>
  </si>
  <si>
    <t>免漆</t>
    <phoneticPr fontId="4" type="noConversion"/>
  </si>
  <si>
    <t>铝框</t>
    <phoneticPr fontId="4" type="noConversion"/>
  </si>
  <si>
    <t>生产类型</t>
    <phoneticPr fontId="4" type="noConversion"/>
  </si>
  <si>
    <t>厨浴柜</t>
    <phoneticPr fontId="4" type="noConversion"/>
  </si>
  <si>
    <t>标准地柜</t>
    <phoneticPr fontId="4" type="noConversion"/>
  </si>
  <si>
    <t>标准吊柜</t>
    <phoneticPr fontId="4" type="noConversion"/>
  </si>
  <si>
    <t>生产周期</t>
    <phoneticPr fontId="4" type="noConversion"/>
  </si>
  <si>
    <t>序号</t>
    <phoneticPr fontId="4" type="noConversion"/>
  </si>
  <si>
    <t>工段班组</t>
    <phoneticPr fontId="4" type="noConversion"/>
  </si>
  <si>
    <t>工序名称</t>
    <phoneticPr fontId="4" type="noConversion"/>
  </si>
  <si>
    <t>成品数量</t>
    <phoneticPr fontId="4" type="noConversion"/>
  </si>
  <si>
    <t>单位</t>
    <phoneticPr fontId="4" type="noConversion"/>
  </si>
  <si>
    <t>完成日期</t>
    <phoneticPr fontId="4" type="noConversion"/>
  </si>
  <si>
    <t>主机手</t>
    <phoneticPr fontId="4" type="noConversion"/>
  </si>
  <si>
    <t>质检</t>
    <phoneticPr fontId="4" type="noConversion"/>
  </si>
  <si>
    <t>备注</t>
    <phoneticPr fontId="4" type="noConversion"/>
  </si>
  <si>
    <t>橱柜线</t>
    <phoneticPr fontId="4" type="noConversion"/>
  </si>
  <si>
    <t>下料组</t>
    <phoneticPr fontId="4" type="noConversion"/>
  </si>
  <si>
    <t>块</t>
    <phoneticPr fontId="4" type="noConversion"/>
  </si>
  <si>
    <t>钻铣组1</t>
    <phoneticPr fontId="4" type="noConversion"/>
  </si>
  <si>
    <t>块</t>
    <phoneticPr fontId="4" type="noConversion"/>
  </si>
  <si>
    <t>家具线</t>
    <phoneticPr fontId="4" type="noConversion"/>
  </si>
  <si>
    <t>下料组</t>
    <phoneticPr fontId="4" type="noConversion"/>
  </si>
  <si>
    <t>块</t>
    <phoneticPr fontId="4" type="noConversion"/>
  </si>
  <si>
    <t>钻铣组2</t>
    <phoneticPr fontId="4" type="noConversion"/>
  </si>
  <si>
    <t>木皮线</t>
    <phoneticPr fontId="4" type="noConversion"/>
  </si>
  <si>
    <t>裁切木皮组</t>
    <phoneticPr fontId="4" type="noConversion"/>
  </si>
  <si>
    <t>门板线</t>
    <phoneticPr fontId="4" type="noConversion"/>
  </si>
  <si>
    <t>下料冷压封边组</t>
    <phoneticPr fontId="4" type="noConversion"/>
  </si>
  <si>
    <t>钻铣组3</t>
    <phoneticPr fontId="4" type="noConversion"/>
  </si>
  <si>
    <t>吸塑线</t>
    <phoneticPr fontId="4" type="noConversion"/>
  </si>
  <si>
    <t>机加组</t>
    <phoneticPr fontId="4" type="noConversion"/>
  </si>
  <si>
    <t>吸塑组</t>
    <phoneticPr fontId="4" type="noConversion"/>
  </si>
  <si>
    <t>打磨组</t>
    <phoneticPr fontId="4" type="noConversion"/>
  </si>
  <si>
    <t>铝材拼框组</t>
    <phoneticPr fontId="4" type="noConversion"/>
  </si>
  <si>
    <t>试装线</t>
    <phoneticPr fontId="4" type="noConversion"/>
  </si>
  <si>
    <t>橱柜试装组</t>
    <phoneticPr fontId="4" type="noConversion"/>
  </si>
  <si>
    <t>延米</t>
    <phoneticPr fontId="4" type="noConversion"/>
  </si>
  <si>
    <t>衣帽间试装组</t>
    <phoneticPr fontId="4" type="noConversion"/>
  </si>
  <si>
    <t>平米</t>
    <phoneticPr fontId="4" type="noConversion"/>
  </si>
  <si>
    <t>五金配套组</t>
    <phoneticPr fontId="4" type="noConversion"/>
  </si>
  <si>
    <t>单</t>
    <phoneticPr fontId="4" type="noConversion"/>
  </si>
  <si>
    <t>家具高光线</t>
    <phoneticPr fontId="4" type="noConversion"/>
  </si>
  <si>
    <t>机涂组</t>
    <phoneticPr fontId="4" type="noConversion"/>
  </si>
  <si>
    <t>高光喷漆组</t>
    <phoneticPr fontId="4" type="noConversion"/>
  </si>
  <si>
    <t>内门线</t>
    <phoneticPr fontId="4" type="noConversion"/>
  </si>
  <si>
    <t>混油打磨组</t>
    <phoneticPr fontId="4" type="noConversion"/>
  </si>
  <si>
    <t>清油打磨组</t>
    <phoneticPr fontId="4" type="noConversion"/>
  </si>
  <si>
    <t>包装线</t>
    <phoneticPr fontId="4" type="noConversion"/>
  </si>
  <si>
    <t>家具包装组</t>
    <phoneticPr fontId="4" type="noConversion"/>
  </si>
  <si>
    <t>客户姓名</t>
  </si>
  <si>
    <t>总数量：</t>
    <phoneticPr fontId="4" type="noConversion"/>
  </si>
  <si>
    <t>应完成日期</t>
  </si>
  <si>
    <t>款式名称</t>
  </si>
  <si>
    <t>成型尺寸</t>
    <phoneticPr fontId="4" type="noConversion"/>
  </si>
  <si>
    <t>高度</t>
    <phoneticPr fontId="4" type="noConversion"/>
  </si>
  <si>
    <t>数量</t>
    <phoneticPr fontId="4" type="noConversion"/>
  </si>
  <si>
    <t>名称</t>
    <phoneticPr fontId="4" type="noConversion"/>
  </si>
  <si>
    <t>厚</t>
    <phoneticPr fontId="4" type="noConversion"/>
  </si>
  <si>
    <t>宽度</t>
    <phoneticPr fontId="4" type="noConversion"/>
  </si>
  <si>
    <t>西迪布赛刀型</t>
  </si>
  <si>
    <t>西迪布赛边框刀型</t>
  </si>
  <si>
    <t>此单分下料尺寸和成型尺寸2种，请生产各工段注意！</t>
    <phoneticPr fontId="4" type="noConversion"/>
  </si>
  <si>
    <t>冬用</t>
    <phoneticPr fontId="4" type="noConversion"/>
  </si>
  <si>
    <t>项目</t>
    <phoneticPr fontId="4" type="noConversion"/>
  </si>
  <si>
    <t>物料描述</t>
    <phoneticPr fontId="4" type="noConversion"/>
  </si>
  <si>
    <t>门板基材</t>
    <phoneticPr fontId="4" type="noConversion"/>
  </si>
  <si>
    <t>张</t>
    <phoneticPr fontId="4" type="noConversion"/>
  </si>
  <si>
    <t>素E1级中密度板12*1220*2440</t>
    <phoneticPr fontId="4" type="noConversion"/>
  </si>
  <si>
    <t>暖白单贴三聚氰胺E1级中密度板9*1220*2440</t>
    <phoneticPr fontId="4" type="noConversion"/>
  </si>
  <si>
    <t>UV清底</t>
    <phoneticPr fontId="4" type="noConversion"/>
  </si>
  <si>
    <t>千克</t>
    <phoneticPr fontId="4" type="noConversion"/>
  </si>
  <si>
    <t>以下区域勿动</t>
    <phoneticPr fontId="4" type="noConversion"/>
  </si>
  <si>
    <t>其他材料</t>
    <phoneticPr fontId="4" type="noConversion"/>
  </si>
  <si>
    <t>暖白玻璃压条</t>
    <phoneticPr fontId="4" type="noConversion"/>
  </si>
  <si>
    <t>米</t>
    <phoneticPr fontId="4" type="noConversion"/>
  </si>
  <si>
    <t>玉砂玻璃5*1830*2440</t>
    <phoneticPr fontId="4" type="noConversion"/>
  </si>
  <si>
    <t>平米</t>
    <phoneticPr fontId="4" type="noConversion"/>
  </si>
  <si>
    <t>波音软片(灰色)</t>
    <phoneticPr fontId="4" type="noConversion"/>
  </si>
  <si>
    <t>拆解员</t>
    <phoneticPr fontId="4" type="noConversion"/>
  </si>
  <si>
    <t>家具班组转序交接表</t>
    <phoneticPr fontId="19" type="noConversion"/>
  </si>
  <si>
    <t>客户姓名</t>
    <phoneticPr fontId="19" type="noConversion"/>
  </si>
  <si>
    <t>订单编号</t>
    <phoneticPr fontId="19" type="noConversion"/>
  </si>
  <si>
    <t>接单日期</t>
    <phoneticPr fontId="19" type="noConversion"/>
  </si>
  <si>
    <t>款式名称</t>
    <phoneticPr fontId="19" type="noConversion"/>
  </si>
  <si>
    <t>材质/色号</t>
    <phoneticPr fontId="19" type="noConversion"/>
  </si>
  <si>
    <t>下单日期</t>
    <phoneticPr fontId="19" type="noConversion"/>
  </si>
  <si>
    <t>销售点</t>
    <phoneticPr fontId="19" type="noConversion"/>
  </si>
  <si>
    <t>版本型号录号</t>
    <phoneticPr fontId="19" type="noConversion"/>
  </si>
  <si>
    <t>应完成日期</t>
    <phoneticPr fontId="19" type="noConversion"/>
  </si>
  <si>
    <t>产品系列</t>
    <phoneticPr fontId="19" type="noConversion"/>
  </si>
  <si>
    <t>实木</t>
    <phoneticPr fontId="19" type="noConversion"/>
  </si>
  <si>
    <t>混油</t>
    <phoneticPr fontId="19" type="noConversion"/>
  </si>
  <si>
    <t>清油</t>
    <phoneticPr fontId="19" type="noConversion"/>
  </si>
  <si>
    <t>吸塑</t>
    <phoneticPr fontId="19" type="noConversion"/>
  </si>
  <si>
    <t>免漆</t>
    <phoneticPr fontId="19" type="noConversion"/>
  </si>
  <si>
    <t>铝框</t>
    <phoneticPr fontId="19" type="noConversion"/>
  </si>
  <si>
    <t>标准地柜</t>
    <phoneticPr fontId="19" type="noConversion"/>
  </si>
  <si>
    <t>标准吊柜</t>
    <phoneticPr fontId="19" type="noConversion"/>
  </si>
  <si>
    <t>生产周期</t>
    <phoneticPr fontId="19" type="noConversion"/>
  </si>
  <si>
    <t>序号</t>
    <phoneticPr fontId="19" type="noConversion"/>
  </si>
  <si>
    <t>工段班组</t>
    <phoneticPr fontId="19" type="noConversion"/>
  </si>
  <si>
    <t>工序名称</t>
    <phoneticPr fontId="19" type="noConversion"/>
  </si>
  <si>
    <t>成品数量</t>
    <phoneticPr fontId="19" type="noConversion"/>
  </si>
  <si>
    <t>单位</t>
    <phoneticPr fontId="19" type="noConversion"/>
  </si>
  <si>
    <t>完成日期</t>
    <phoneticPr fontId="19" type="noConversion"/>
  </si>
  <si>
    <t>主机手</t>
    <phoneticPr fontId="19" type="noConversion"/>
  </si>
  <si>
    <t>质检</t>
    <phoneticPr fontId="19" type="noConversion"/>
  </si>
  <si>
    <t>备注</t>
    <phoneticPr fontId="19" type="noConversion"/>
  </si>
  <si>
    <t>橱柜线</t>
    <phoneticPr fontId="19" type="noConversion"/>
  </si>
  <si>
    <t>下料组</t>
    <phoneticPr fontId="19" type="noConversion"/>
  </si>
  <si>
    <t>块</t>
    <phoneticPr fontId="19" type="noConversion"/>
  </si>
  <si>
    <t>钻铣组1</t>
    <phoneticPr fontId="19" type="noConversion"/>
  </si>
  <si>
    <t>家具线</t>
    <phoneticPr fontId="19" type="noConversion"/>
  </si>
  <si>
    <t>钻铣组2</t>
    <phoneticPr fontId="19" type="noConversion"/>
  </si>
  <si>
    <t>木皮线</t>
    <phoneticPr fontId="19" type="noConversion"/>
  </si>
  <si>
    <t>裁切木皮组</t>
    <phoneticPr fontId="19" type="noConversion"/>
  </si>
  <si>
    <t>门板线</t>
    <phoneticPr fontId="19" type="noConversion"/>
  </si>
  <si>
    <t>下料冷压封边组</t>
    <phoneticPr fontId="19" type="noConversion"/>
  </si>
  <si>
    <t>钻铣组3</t>
    <phoneticPr fontId="19" type="noConversion"/>
  </si>
  <si>
    <t>吸塑线</t>
    <phoneticPr fontId="19" type="noConversion"/>
  </si>
  <si>
    <t>机加组</t>
    <phoneticPr fontId="19" type="noConversion"/>
  </si>
  <si>
    <t>吸塑组</t>
    <phoneticPr fontId="19" type="noConversion"/>
  </si>
  <si>
    <t>打磨组</t>
    <phoneticPr fontId="19" type="noConversion"/>
  </si>
  <si>
    <t>铝材拼框组</t>
    <phoneticPr fontId="19" type="noConversion"/>
  </si>
  <si>
    <t>试装线</t>
    <phoneticPr fontId="19" type="noConversion"/>
  </si>
  <si>
    <t>橱柜试装组</t>
    <phoneticPr fontId="19" type="noConversion"/>
  </si>
  <si>
    <t>延米</t>
    <phoneticPr fontId="19" type="noConversion"/>
  </si>
  <si>
    <t>衣帽间试装组</t>
    <phoneticPr fontId="19" type="noConversion"/>
  </si>
  <si>
    <t>平米</t>
    <phoneticPr fontId="19" type="noConversion"/>
  </si>
  <si>
    <t>五金配套组</t>
    <phoneticPr fontId="19" type="noConversion"/>
  </si>
  <si>
    <t>单</t>
    <phoneticPr fontId="19" type="noConversion"/>
  </si>
  <si>
    <t>家具高光线</t>
    <phoneticPr fontId="19" type="noConversion"/>
  </si>
  <si>
    <t>机涂组</t>
    <phoneticPr fontId="19" type="noConversion"/>
  </si>
  <si>
    <t>高光喷漆组</t>
    <phoneticPr fontId="19" type="noConversion"/>
  </si>
  <si>
    <t>内门线</t>
    <phoneticPr fontId="4" type="noConversion"/>
  </si>
  <si>
    <t>混油打磨组</t>
    <phoneticPr fontId="4" type="noConversion"/>
  </si>
  <si>
    <t>清油打磨组</t>
    <phoneticPr fontId="4" type="noConversion"/>
  </si>
  <si>
    <t>包装线</t>
    <phoneticPr fontId="19" type="noConversion"/>
  </si>
  <si>
    <t>家具包装组</t>
    <phoneticPr fontId="19" type="noConversion"/>
  </si>
  <si>
    <t>图兰朵Ⅱ</t>
    <phoneticPr fontId="4" type="noConversion"/>
  </si>
  <si>
    <t>橱柜款式</t>
    <phoneticPr fontId="4" type="noConversion"/>
  </si>
  <si>
    <t>自攻钉</t>
    <phoneticPr fontId="4" type="noConversion"/>
  </si>
  <si>
    <t>四边抽面</t>
    <phoneticPr fontId="4" type="noConversion"/>
  </si>
  <si>
    <t>四边刀型</t>
    <phoneticPr fontId="4" type="noConversion"/>
  </si>
  <si>
    <t>一宽两高边铣型</t>
    <phoneticPr fontId="4" type="noConversion"/>
  </si>
  <si>
    <t>玻璃门板</t>
    <phoneticPr fontId="4" type="noConversion"/>
  </si>
  <si>
    <t>一宽一高边铣型(整板镂空)</t>
    <phoneticPr fontId="4" type="noConversion"/>
  </si>
  <si>
    <t>组合贴莽皮门板</t>
    <phoneticPr fontId="4" type="noConversion"/>
  </si>
  <si>
    <t>两高边铣型贴莽皮</t>
    <phoneticPr fontId="4" type="noConversion"/>
  </si>
  <si>
    <t>装饰侧板</t>
    <phoneticPr fontId="4" type="noConversion"/>
  </si>
  <si>
    <t>单面烤漆,单面倒R3圆角</t>
    <phoneticPr fontId="4" type="noConversion"/>
  </si>
  <si>
    <t>不做漆,贴1.0mm厚的拉丝铝板（两长边封1.0PVC ）</t>
    <phoneticPr fontId="4" type="noConversion"/>
  </si>
  <si>
    <t>15A暖白单贴三聚氰胺中密度E1级</t>
    <phoneticPr fontId="4" type="noConversion"/>
  </si>
  <si>
    <t>拉篮罗马柱</t>
    <phoneticPr fontId="4" type="noConversion"/>
  </si>
  <si>
    <t>后贴板</t>
    <phoneticPr fontId="4" type="noConversion"/>
  </si>
  <si>
    <t>前贴板    (第一次下料)</t>
    <phoneticPr fontId="4" type="noConversion"/>
  </si>
  <si>
    <t>四面刨铣型，推台锯二次下料</t>
    <phoneticPr fontId="4" type="noConversion"/>
  </si>
  <si>
    <t>36A密度板(2*18A楼铣板)</t>
    <phoneticPr fontId="4" type="noConversion"/>
  </si>
  <si>
    <t>罗马柱前贴板   （二次下料）</t>
    <phoneticPr fontId="4" type="noConversion"/>
  </si>
  <si>
    <t>罗马柱前贴板</t>
    <phoneticPr fontId="4" type="noConversion"/>
  </si>
  <si>
    <t>二次裁切后，前贴板需打连接孔</t>
    <phoneticPr fontId="4" type="noConversion"/>
  </si>
  <si>
    <t>35厚拱形密度板</t>
    <phoneticPr fontId="4" type="noConversion"/>
  </si>
  <si>
    <t>直角转角门板</t>
    <phoneticPr fontId="4" type="noConversion"/>
  </si>
  <si>
    <t>125*125*715</t>
    <phoneticPr fontId="4" type="noConversion"/>
  </si>
  <si>
    <t>转角组合门板</t>
    <phoneticPr fontId="4" type="noConversion"/>
  </si>
  <si>
    <t>二次加工见图纸流程</t>
    <phoneticPr fontId="4" type="noConversion"/>
  </si>
  <si>
    <t>油漆平米数：</t>
    <phoneticPr fontId="4" type="noConversion"/>
  </si>
  <si>
    <t>夏用（无慢干水）</t>
    <phoneticPr fontId="4" type="noConversion"/>
  </si>
  <si>
    <t>稀料PX705</t>
    <phoneticPr fontId="4" type="noConversion"/>
  </si>
  <si>
    <t>夏用（慢干水）</t>
    <phoneticPr fontId="4" type="noConversion"/>
  </si>
  <si>
    <t>慢干水PZ807</t>
    <phoneticPr fontId="4" type="noConversion"/>
  </si>
  <si>
    <t>暖白单贴三聚氰胺E1级中密度板15*1220*2440</t>
    <phoneticPr fontId="4" type="noConversion"/>
  </si>
  <si>
    <t>封边</t>
    <phoneticPr fontId="4" type="noConversion"/>
  </si>
  <si>
    <t>暖白PVC封边条1.0*20</t>
    <phoneticPr fontId="4" type="noConversion"/>
  </si>
  <si>
    <t>拉丝铝板1*1220*2440</t>
    <phoneticPr fontId="4" type="noConversion"/>
  </si>
  <si>
    <t>玻璃磨边</t>
    <phoneticPr fontId="4" type="noConversion"/>
  </si>
  <si>
    <t>透明玻璃5*1830*2440</t>
    <phoneticPr fontId="4" type="noConversion"/>
  </si>
  <si>
    <t>抛光液</t>
    <phoneticPr fontId="4" type="noConversion"/>
  </si>
  <si>
    <t>白细蜡P971-399</t>
  </si>
  <si>
    <t>五金</t>
    <phoneticPr fontId="4" type="noConversion"/>
  </si>
  <si>
    <t>门板电镀件（中）</t>
    <phoneticPr fontId="4" type="noConversion"/>
  </si>
  <si>
    <t>447X26X8</t>
    <phoneticPr fontId="4" type="noConversion"/>
  </si>
  <si>
    <t>个</t>
    <phoneticPr fontId="4" type="noConversion"/>
  </si>
  <si>
    <t>门板电镀件（下）</t>
    <phoneticPr fontId="4" type="noConversion"/>
  </si>
  <si>
    <t>897X26X8</t>
    <phoneticPr fontId="4" type="noConversion"/>
  </si>
  <si>
    <t>597X26X8</t>
    <phoneticPr fontId="4" type="noConversion"/>
  </si>
  <si>
    <t>岛柜转角电镀件（中）</t>
    <phoneticPr fontId="4" type="noConversion"/>
  </si>
  <si>
    <t>125X125X8</t>
    <phoneticPr fontId="4" type="noConversion"/>
  </si>
  <si>
    <t>岛柜转角电镀件（下）</t>
    <phoneticPr fontId="4" type="noConversion"/>
  </si>
  <si>
    <t>罗马柱电镀件(中)</t>
    <phoneticPr fontId="4" type="noConversion"/>
  </si>
  <si>
    <t>罗马柱电镀件(下)</t>
    <phoneticPr fontId="4" type="noConversion"/>
  </si>
  <si>
    <t>罗马柱电镀件(拉手）</t>
    <phoneticPr fontId="4" type="noConversion"/>
  </si>
  <si>
    <t>木榫</t>
    <phoneticPr fontId="4" type="noConversion"/>
  </si>
  <si>
    <t>8*60</t>
    <phoneticPr fontId="4" type="noConversion"/>
  </si>
  <si>
    <t>自功钉</t>
    <phoneticPr fontId="4" type="noConversion"/>
  </si>
  <si>
    <t>4*30</t>
    <phoneticPr fontId="4" type="noConversion"/>
  </si>
  <si>
    <t>自攻钉</t>
    <phoneticPr fontId="4" type="noConversion"/>
  </si>
  <si>
    <t>3.5*16</t>
    <phoneticPr fontId="4" type="noConversion"/>
  </si>
  <si>
    <t>其他</t>
    <phoneticPr fontId="4" type="noConversion"/>
  </si>
  <si>
    <t>蟒皮</t>
    <phoneticPr fontId="4" type="noConversion"/>
  </si>
  <si>
    <t>配料：</t>
    <phoneticPr fontId="4" type="noConversion"/>
  </si>
  <si>
    <t>审核人：</t>
    <phoneticPr fontId="4" type="noConversion"/>
  </si>
  <si>
    <t>（图兰朵清油黑檀装饰板）下料单</t>
    <phoneticPr fontId="4" type="noConversion"/>
  </si>
  <si>
    <t>下单日期：</t>
    <phoneticPr fontId="4" type="noConversion"/>
  </si>
  <si>
    <t>门板描述</t>
    <phoneticPr fontId="4" type="noConversion"/>
  </si>
  <si>
    <r>
      <t>黑檀木皮</t>
    </r>
    <r>
      <rPr>
        <sz val="10"/>
        <rFont val="Times New Roman"/>
        <family val="1"/>
      </rPr>
      <t>T02</t>
    </r>
    <r>
      <rPr>
        <sz val="11"/>
        <rFont val="宋体"/>
        <family val="3"/>
        <charset val="134"/>
      </rPr>
      <t/>
    </r>
    <phoneticPr fontId="4" type="noConversion"/>
  </si>
  <si>
    <r>
      <t>（贴皮方式详见龙骨图）</t>
    </r>
    <r>
      <rPr>
        <sz val="10"/>
        <rFont val="Times New Roman"/>
        <family val="1"/>
      </rPr>
      <t xml:space="preserve"> </t>
    </r>
    <r>
      <rPr>
        <sz val="10"/>
        <rFont val="宋体"/>
        <family val="3"/>
        <charset val="134"/>
      </rPr>
      <t>高光</t>
    </r>
    <phoneticPr fontId="4" type="noConversion"/>
  </si>
  <si>
    <t>款式：</t>
    <phoneticPr fontId="4" type="noConversion"/>
  </si>
  <si>
    <t>说明</t>
    <phoneticPr fontId="4" type="noConversion"/>
  </si>
  <si>
    <t>下料尺寸</t>
    <phoneticPr fontId="4" type="noConversion"/>
  </si>
  <si>
    <t>加工备注</t>
    <phoneticPr fontId="4" type="noConversion"/>
  </si>
  <si>
    <t>位置说明</t>
    <phoneticPr fontId="4" type="noConversion"/>
  </si>
  <si>
    <t>材料名称</t>
    <phoneticPr fontId="4" type="noConversion"/>
  </si>
  <si>
    <t>装饰板型号</t>
    <phoneticPr fontId="4" type="noConversion"/>
  </si>
  <si>
    <t>层板销数量</t>
    <phoneticPr fontId="4" type="noConversion"/>
  </si>
  <si>
    <t>蜂窝纸</t>
    <phoneticPr fontId="4" type="noConversion"/>
  </si>
  <si>
    <t>6A素中密度</t>
    <phoneticPr fontId="4" type="noConversion"/>
  </si>
  <si>
    <t>12A素中密度</t>
    <phoneticPr fontId="4" type="noConversion"/>
  </si>
  <si>
    <t>25A素刨花板</t>
    <phoneticPr fontId="4" type="noConversion"/>
  </si>
  <si>
    <t>25A素镂铣</t>
    <phoneticPr fontId="4" type="noConversion"/>
  </si>
  <si>
    <t>黑檀木皮</t>
    <phoneticPr fontId="4" type="noConversion"/>
  </si>
  <si>
    <t>平衡木皮</t>
    <phoneticPr fontId="4" type="noConversion"/>
  </si>
  <si>
    <t>面油漆平米</t>
    <phoneticPr fontId="4" type="noConversion"/>
  </si>
  <si>
    <t>边平米</t>
    <phoneticPr fontId="4" type="noConversion"/>
  </si>
  <si>
    <t>龙骨根数</t>
  </si>
  <si>
    <t>50厚装饰板</t>
    <phoneticPr fontId="4" type="noConversion"/>
  </si>
  <si>
    <t>6mm中密度</t>
    <phoneticPr fontId="4" type="noConversion"/>
  </si>
  <si>
    <t xml:space="preserve">          DT-01                             上面：三边黑檀木皮+非洲核桃直纹木皮          
下面：三边黑檀木皮+非洲核桃直纹木皮</t>
    <phoneticPr fontId="4" type="noConversion"/>
  </si>
  <si>
    <t>无</t>
    <phoneticPr fontId="4" type="noConversion"/>
  </si>
  <si>
    <t>龙骨半成品LG-03</t>
    <phoneticPr fontId="4" type="noConversion"/>
  </si>
  <si>
    <t xml:space="preserve">          DT-02                             上面：三边黑檀木皮+非洲核桃直纹木皮       
下面：整面黑檀木皮</t>
    <phoneticPr fontId="4" type="noConversion"/>
  </si>
  <si>
    <t xml:space="preserve">          DT-01                             上面：三边黑檀木皮+非洲核桃直纹木皮       
 下面：三边黑檀木皮+非洲核桃直纹木皮</t>
    <phoneticPr fontId="4" type="noConversion"/>
  </si>
  <si>
    <t xml:space="preserve">          DT-02                             上面：三边黑檀木皮+非洲核桃直纹木皮      
下面：整面黑檀木皮</t>
    <phoneticPr fontId="4" type="noConversion"/>
  </si>
  <si>
    <t xml:space="preserve">          DT-01                             上面：三边黑檀木皮+非洲核桃直纹木皮      
下面：三边黑檀木皮+非洲核桃直纹木皮</t>
    <phoneticPr fontId="4" type="noConversion"/>
  </si>
  <si>
    <t xml:space="preserve">          DT-03                             上面：四边黑檀木皮+非洲核桃直纹木皮 
下面：四边黑檀木皮+非洲核桃直纹木皮</t>
    <phoneticPr fontId="4" type="noConversion"/>
  </si>
  <si>
    <t xml:space="preserve">          DT-04                             上面：四边黑檀木皮+整面黑檀木皮                  
下面：四边黑檀木皮+整面黑檀木皮</t>
    <phoneticPr fontId="4" type="noConversion"/>
  </si>
  <si>
    <t>100厚装饰板</t>
    <phoneticPr fontId="4" type="noConversion"/>
  </si>
  <si>
    <t>12mm中密度</t>
    <phoneticPr fontId="4" type="noConversion"/>
  </si>
  <si>
    <t>上面：四边黑檀木皮+整面黑檀木皮                
  下面：四边黑檀木皮+整面黑檀木皮</t>
    <phoneticPr fontId="4" type="noConversion"/>
  </si>
  <si>
    <t>25mm素刨花板</t>
    <phoneticPr fontId="4" type="noConversion"/>
  </si>
  <si>
    <t>26mm素刨花板</t>
  </si>
  <si>
    <t>说明:吊柜顶底装饰板贴皮方式不同,请按照型号及工艺文件来加工!</t>
    <phoneticPr fontId="4" type="noConversion"/>
  </si>
  <si>
    <t>门框线条</t>
    <phoneticPr fontId="4" type="noConversion"/>
  </si>
  <si>
    <t>长</t>
    <phoneticPr fontId="4" type="noConversion"/>
  </si>
  <si>
    <t>宽</t>
    <phoneticPr fontId="4" type="noConversion"/>
  </si>
  <si>
    <t>数量</t>
    <phoneticPr fontId="4" type="noConversion"/>
  </si>
  <si>
    <t>说明</t>
    <phoneticPr fontId="4" type="noConversion"/>
  </si>
  <si>
    <t>备注</t>
    <phoneticPr fontId="4" type="noConversion"/>
  </si>
  <si>
    <t>门框线条</t>
    <phoneticPr fontId="4" type="noConversion"/>
  </si>
  <si>
    <t>毛料下料，四面刨铣型，包覆机包覆黑檀木皮</t>
    <phoneticPr fontId="4" type="noConversion"/>
  </si>
  <si>
    <t>25A素高林E1级中密度板</t>
    <phoneticPr fontId="4" type="noConversion"/>
  </si>
  <si>
    <t>第二次裁切，需切斜角对接</t>
    <phoneticPr fontId="4" type="noConversion"/>
  </si>
  <si>
    <t>请参照图纸裁切</t>
    <phoneticPr fontId="4" type="noConversion"/>
  </si>
  <si>
    <t>注意：龙骨码好后定厚砂光成37.5mm</t>
    <phoneticPr fontId="4" type="noConversion"/>
  </si>
  <si>
    <t>勿动</t>
    <phoneticPr fontId="4" type="noConversion"/>
  </si>
  <si>
    <r>
      <t>如有材质、颜色、尺寸不明请和工艺组联系并确认</t>
    </r>
    <r>
      <rPr>
        <sz val="10"/>
        <rFont val="宋体"/>
        <family val="3"/>
        <charset val="134"/>
      </rPr>
      <t>！</t>
    </r>
    <phoneticPr fontId="4" type="noConversion"/>
  </si>
  <si>
    <t>黑檀平米</t>
    <phoneticPr fontId="4" type="noConversion"/>
  </si>
  <si>
    <t>水曲柳平米</t>
    <phoneticPr fontId="4" type="noConversion"/>
  </si>
  <si>
    <t>黑檀装饰板平米数：</t>
    <phoneticPr fontId="4" type="noConversion"/>
  </si>
  <si>
    <t>制单人：</t>
    <phoneticPr fontId="4" type="noConversion"/>
  </si>
  <si>
    <t>装饰板由两层6A素罗宾中密度板，+39.7蜂窝纸+木皮</t>
    <phoneticPr fontId="4" type="noConversion"/>
  </si>
  <si>
    <t xml:space="preserve"> </t>
    <phoneticPr fontId="4" type="noConversion"/>
  </si>
  <si>
    <t>DT01</t>
    <phoneticPr fontId="4" type="noConversion"/>
  </si>
  <si>
    <t>吊柜顶及地柜底   三边饰边 两面对称加工</t>
    <phoneticPr fontId="4" type="noConversion"/>
  </si>
  <si>
    <t>DT02</t>
    <phoneticPr fontId="4" type="noConversion"/>
  </si>
  <si>
    <t>吊柜底及烟机顶</t>
    <phoneticPr fontId="4" type="noConversion"/>
  </si>
  <si>
    <t>一面三边饰边 ，一面整面</t>
    <phoneticPr fontId="4" type="noConversion"/>
  </si>
  <si>
    <t>DT03</t>
    <phoneticPr fontId="4" type="noConversion"/>
  </si>
  <si>
    <t>岛台用</t>
    <phoneticPr fontId="4" type="noConversion"/>
  </si>
  <si>
    <t>四边饰边  两面对称加工</t>
    <phoneticPr fontId="4" type="noConversion"/>
  </si>
  <si>
    <t xml:space="preserve">DT04  </t>
    <phoneticPr fontId="4" type="noConversion"/>
  </si>
  <si>
    <t>装饰层板   两面整面黑檀</t>
    <phoneticPr fontId="4" type="noConversion"/>
  </si>
  <si>
    <t>龙骨用LG-04  18+25=43厚龙骨</t>
    <phoneticPr fontId="4" type="noConversion"/>
  </si>
  <si>
    <r>
      <t>（图兰朵清油黑檀装饰板）领料单</t>
    </r>
    <r>
      <rPr>
        <b/>
        <sz val="20"/>
        <rFont val="宋体"/>
        <family val="3"/>
        <charset val="134"/>
      </rPr>
      <t>UV辊边工艺</t>
    </r>
    <phoneticPr fontId="4" type="noConversion"/>
  </si>
  <si>
    <t>夏用（慢干水）</t>
  </si>
  <si>
    <t>订单编号：</t>
    <phoneticPr fontId="4" type="noConversion"/>
  </si>
  <si>
    <t>稀料PX707</t>
    <phoneticPr fontId="4" type="noConversion"/>
  </si>
  <si>
    <t>橱柜款式：</t>
    <phoneticPr fontId="4" type="noConversion"/>
  </si>
  <si>
    <t>型号、规格</t>
    <phoneticPr fontId="4" type="noConversion"/>
  </si>
  <si>
    <t>型号.规格.颜色</t>
    <phoneticPr fontId="4" type="noConversion"/>
  </si>
  <si>
    <t>板材</t>
    <phoneticPr fontId="4" type="noConversion"/>
  </si>
  <si>
    <t>素E1级中密度板6*1220*2440</t>
    <phoneticPr fontId="4" type="noConversion"/>
  </si>
  <si>
    <t>黑檀直纹木皮封边条1.0*56</t>
    <phoneticPr fontId="4" type="noConversion"/>
  </si>
  <si>
    <r>
      <t>稀料PX</t>
    </r>
    <r>
      <rPr>
        <sz val="12"/>
        <rFont val="宋体"/>
        <family val="3"/>
        <charset val="134"/>
      </rPr>
      <t>903</t>
    </r>
    <phoneticPr fontId="4" type="noConversion"/>
  </si>
  <si>
    <t>转换成平米</t>
    <phoneticPr fontId="4" type="noConversion"/>
  </si>
  <si>
    <t>封边自制</t>
    <phoneticPr fontId="4" type="noConversion"/>
  </si>
  <si>
    <r>
      <t>稀料PX</t>
    </r>
    <r>
      <rPr>
        <sz val="12"/>
        <rFont val="宋体"/>
        <family val="3"/>
        <charset val="134"/>
      </rPr>
      <t>807</t>
    </r>
    <phoneticPr fontId="4" type="noConversion"/>
  </si>
  <si>
    <t>素E0级刨花板25*1220*2440</t>
    <phoneticPr fontId="4" type="noConversion"/>
  </si>
  <si>
    <t>素E1级中密度板25*1220*2440</t>
    <phoneticPr fontId="4" type="noConversion"/>
  </si>
  <si>
    <t>UV1832</t>
    <phoneticPr fontId="4" type="noConversion"/>
  </si>
  <si>
    <t>半成品</t>
    <phoneticPr fontId="4" type="noConversion"/>
  </si>
  <si>
    <t>LG-03龙骨</t>
    <phoneticPr fontId="4" type="noConversion"/>
  </si>
  <si>
    <t>根</t>
    <phoneticPr fontId="4" type="noConversion"/>
  </si>
  <si>
    <t>UV5012</t>
    <phoneticPr fontId="4" type="noConversion"/>
  </si>
  <si>
    <t>油漆</t>
    <phoneticPr fontId="4" type="noConversion"/>
  </si>
  <si>
    <t>UA4032</t>
    <phoneticPr fontId="4" type="noConversion"/>
  </si>
  <si>
    <t>边的平米</t>
    <phoneticPr fontId="4" type="noConversion"/>
  </si>
  <si>
    <t>面平米数</t>
    <phoneticPr fontId="4" type="noConversion"/>
  </si>
  <si>
    <t>总数</t>
    <phoneticPr fontId="4" type="noConversion"/>
  </si>
  <si>
    <t>高光g/m2</t>
    <phoneticPr fontId="4" type="noConversion"/>
  </si>
  <si>
    <t>UV辊边</t>
    <phoneticPr fontId="4" type="noConversion"/>
  </si>
  <si>
    <t>UA1832</t>
  </si>
  <si>
    <t>千克</t>
    <phoneticPr fontId="4" type="noConversion"/>
  </si>
  <si>
    <t>UA4032</t>
  </si>
  <si>
    <t>木皮</t>
    <phoneticPr fontId="4" type="noConversion"/>
  </si>
  <si>
    <t xml:space="preserve">黑檀直纹木皮0.5mm厚 </t>
    <phoneticPr fontId="4" type="noConversion"/>
  </si>
  <si>
    <t>平米</t>
    <phoneticPr fontId="4" type="noConversion"/>
  </si>
  <si>
    <t>非洲核桃直纹木皮0.5mm厚</t>
    <phoneticPr fontId="4" type="noConversion"/>
  </si>
  <si>
    <t>PU清底</t>
    <phoneticPr fontId="4" type="noConversion"/>
  </si>
  <si>
    <t>PD3200</t>
    <phoneticPr fontId="4" type="noConversion"/>
  </si>
  <si>
    <t>PR66</t>
    <phoneticPr fontId="4" type="noConversion"/>
  </si>
  <si>
    <t>胶</t>
    <phoneticPr fontId="4" type="noConversion"/>
  </si>
  <si>
    <t>热熔胶</t>
    <phoneticPr fontId="4" type="noConversion"/>
  </si>
  <si>
    <t>丽凯8803A</t>
    <phoneticPr fontId="4" type="noConversion"/>
  </si>
  <si>
    <t>克</t>
    <phoneticPr fontId="4" type="noConversion"/>
  </si>
  <si>
    <t>PX707/PX705</t>
    <phoneticPr fontId="4" type="noConversion"/>
  </si>
  <si>
    <t>贴面胶</t>
    <phoneticPr fontId="4" type="noConversion"/>
  </si>
  <si>
    <t>KL3052SR</t>
    <phoneticPr fontId="4" type="noConversion"/>
  </si>
  <si>
    <t>PU清面</t>
    <phoneticPr fontId="4" type="noConversion"/>
  </si>
  <si>
    <t>PG700</t>
    <phoneticPr fontId="4" type="noConversion"/>
  </si>
  <si>
    <t>PR71</t>
    <phoneticPr fontId="4" type="noConversion"/>
  </si>
  <si>
    <t>蜂窝纸</t>
  </si>
  <si>
    <t>38.7mm厚</t>
    <phoneticPr fontId="4" type="noConversion"/>
  </si>
  <si>
    <t>PU修色面漆</t>
    <phoneticPr fontId="4" type="noConversion"/>
  </si>
  <si>
    <t>GT2042</t>
    <phoneticPr fontId="4" type="noConversion"/>
  </si>
  <si>
    <t>PR50</t>
    <phoneticPr fontId="4" type="noConversion"/>
  </si>
  <si>
    <t>配料日期：</t>
    <phoneticPr fontId="4" type="noConversion"/>
  </si>
  <si>
    <t>审核日期：</t>
    <phoneticPr fontId="4" type="noConversion"/>
  </si>
  <si>
    <t>（粉末喷涂西迪布赛）下料单</t>
    <phoneticPr fontId="4" type="noConversion"/>
  </si>
  <si>
    <t>L02象牙白</t>
    <phoneticPr fontId="4" type="noConversion"/>
  </si>
  <si>
    <t>L12纯白（CRF55085A9）</t>
    <phoneticPr fontId="4" type="noConversion"/>
  </si>
  <si>
    <t>请严格按照技术部下发图纸及加工流程加工,此单如有任何结构问题请联系技术部</t>
    <phoneticPr fontId="4" type="noConversion"/>
  </si>
  <si>
    <t>精裁尺寸</t>
    <phoneticPr fontId="4" type="noConversion"/>
  </si>
  <si>
    <t>厚</t>
    <phoneticPr fontId="4" type="noConversion"/>
  </si>
  <si>
    <t>边框</t>
    <phoneticPr fontId="4" type="noConversion"/>
  </si>
  <si>
    <t>拉篮门板</t>
    <phoneticPr fontId="4" type="noConversion"/>
  </si>
  <si>
    <t>小抽面</t>
    <phoneticPr fontId="4" type="noConversion"/>
  </si>
  <si>
    <t>芯板</t>
    <phoneticPr fontId="4" type="noConversion"/>
  </si>
  <si>
    <t>倒圆角，见图纸</t>
    <phoneticPr fontId="4" type="noConversion"/>
  </si>
  <si>
    <t>玉砂玻璃芯板</t>
    <phoneticPr fontId="4" type="noConversion"/>
  </si>
  <si>
    <t>固定门板</t>
    <phoneticPr fontId="4" type="noConversion"/>
  </si>
  <si>
    <t>装饰门板</t>
    <phoneticPr fontId="4" type="noConversion"/>
  </si>
  <si>
    <t>有线型装饰侧板</t>
    <phoneticPr fontId="4" type="noConversion"/>
  </si>
  <si>
    <t>玻璃芯板</t>
    <phoneticPr fontId="4" type="noConversion"/>
  </si>
  <si>
    <t>托板灯线</t>
    <phoneticPr fontId="4" type="noConversion"/>
  </si>
  <si>
    <t>面板</t>
    <phoneticPr fontId="4" type="noConversion"/>
  </si>
  <si>
    <t>30A</t>
    <phoneticPr fontId="4" type="noConversion"/>
  </si>
  <si>
    <t>横龙骨</t>
    <phoneticPr fontId="4" type="noConversion"/>
  </si>
  <si>
    <t>竖龙骨</t>
    <phoneticPr fontId="4" type="noConversion"/>
  </si>
  <si>
    <t>吊柜底托</t>
    <phoneticPr fontId="4" type="noConversion"/>
  </si>
  <si>
    <t>50A</t>
    <phoneticPr fontId="4" type="noConversion"/>
  </si>
  <si>
    <t>有线型装饰侧板配100高踢脚</t>
    <phoneticPr fontId="4" type="noConversion"/>
  </si>
  <si>
    <t>装饰侧板和踢脚用木榫加胶连接</t>
    <phoneticPr fontId="4" type="noConversion"/>
  </si>
  <si>
    <t>踢脚</t>
    <phoneticPr fontId="4" type="noConversion"/>
  </si>
  <si>
    <t>装饰板</t>
    <phoneticPr fontId="4" type="noConversion"/>
  </si>
  <si>
    <t>含3根引机料</t>
    <phoneticPr fontId="4" type="noConversion"/>
  </si>
  <si>
    <t>顶线垫板</t>
    <phoneticPr fontId="4" type="noConversion"/>
  </si>
  <si>
    <t>玻璃压条</t>
    <phoneticPr fontId="4" type="noConversion"/>
  </si>
  <si>
    <t>订单编号</t>
    <phoneticPr fontId="76" type="noConversion"/>
  </si>
  <si>
    <t>版本型录号</t>
    <phoneticPr fontId="4" type="noConversion"/>
  </si>
  <si>
    <t>（粉末喷涂西迪布赛）领料单</t>
    <phoneticPr fontId="4" type="noConversion"/>
  </si>
  <si>
    <t>产品类型</t>
    <phoneticPr fontId="76" type="noConversion"/>
  </si>
  <si>
    <t>厨柜</t>
    <phoneticPr fontId="76" type="noConversion"/>
  </si>
  <si>
    <t>刀型</t>
    <phoneticPr fontId="76" type="noConversion"/>
  </si>
  <si>
    <t xml:space="preserve">此单分下料尺寸和成型尺寸2种，请生产各工段注意！
如有材质、颜色、尺寸不明请和工艺组联系并确认！  </t>
    <phoneticPr fontId="4" type="noConversion"/>
  </si>
  <si>
    <t>加工备注</t>
    <phoneticPr fontId="76" type="noConversion"/>
  </si>
  <si>
    <t>板材张数</t>
    <phoneticPr fontId="4" type="noConversion"/>
  </si>
  <si>
    <t>素三威E0级中密度板22*1220*2440</t>
    <phoneticPr fontId="4" type="noConversion"/>
  </si>
  <si>
    <t>素E1级镂铣中密度板25*1220*2440</t>
    <phoneticPr fontId="4" type="noConversion"/>
  </si>
  <si>
    <t>22素</t>
    <phoneticPr fontId="4" type="noConversion"/>
  </si>
  <si>
    <t>9单贴</t>
    <phoneticPr fontId="4" type="noConversion"/>
  </si>
  <si>
    <t>18素</t>
    <phoneticPr fontId="4" type="noConversion"/>
  </si>
  <si>
    <t>15素</t>
    <phoneticPr fontId="4" type="noConversion"/>
  </si>
  <si>
    <t>12素</t>
    <phoneticPr fontId="4" type="noConversion"/>
  </si>
  <si>
    <t>25素</t>
    <phoneticPr fontId="4" type="noConversion"/>
  </si>
  <si>
    <t>图兰朵</t>
    <phoneticPr fontId="76" type="noConversion"/>
  </si>
  <si>
    <t>（粉末喷涂图兰朵）领料单</t>
    <phoneticPr fontId="4" type="noConversion"/>
  </si>
  <si>
    <t>客户姓名</t>
    <phoneticPr fontId="76" type="noConversion"/>
  </si>
  <si>
    <t>素三威E0级中密度板15*1830*2440</t>
    <phoneticPr fontId="4" type="noConversion"/>
  </si>
  <si>
    <t>粉末喷涂</t>
    <phoneticPr fontId="4" type="noConversion"/>
  </si>
  <si>
    <t xml:space="preserve">如有材质、颜色、尺寸不明请和工艺组联系并确认！  </t>
    <phoneticPr fontId="4" type="noConversion"/>
  </si>
  <si>
    <t>25A素E1级镂铣中密度板</t>
    <phoneticPr fontId="4" type="noConversion"/>
  </si>
  <si>
    <t>15A素E1级镂铣中密度板</t>
    <phoneticPr fontId="4" type="noConversion"/>
  </si>
  <si>
    <t>刀型</t>
    <phoneticPr fontId="76" type="noConversion"/>
  </si>
  <si>
    <t>装饰侧板</t>
    <phoneticPr fontId="4" type="noConversion"/>
  </si>
  <si>
    <t>图兰朵</t>
    <phoneticPr fontId="4" type="noConversion"/>
  </si>
  <si>
    <t>材质</t>
    <phoneticPr fontId="76" type="noConversion"/>
  </si>
  <si>
    <t>名称</t>
    <phoneticPr fontId="76" type="noConversion"/>
  </si>
  <si>
    <t>踢脚封边</t>
    <phoneticPr fontId="4" type="noConversion"/>
  </si>
  <si>
    <t>18素</t>
    <phoneticPr fontId="76" type="noConversion"/>
  </si>
  <si>
    <t>15素</t>
    <phoneticPr fontId="76" type="noConversion"/>
  </si>
  <si>
    <t>25素</t>
    <phoneticPr fontId="76" type="noConversion"/>
  </si>
  <si>
    <t>15单贴</t>
    <phoneticPr fontId="76" type="noConversion"/>
  </si>
  <si>
    <t>（粉末喷涂图兰朵）下料单</t>
    <phoneticPr fontId="4" type="noConversion"/>
  </si>
  <si>
    <t>制单人：</t>
    <phoneticPr fontId="4" type="noConversion"/>
  </si>
  <si>
    <t>制单人：</t>
  </si>
  <si>
    <t>制单人</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</si>
</sst>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 #,##0.00_ ;_ * \-#,##0.00_ ;_ * &quot;-&quot;??_ ;_ @_ "/>
    <numFmt numFmtId="176" formatCode="0.000_ "/>
    <numFmt numFmtId="177" formatCode="0_ "/>
    <numFmt numFmtId="178" formatCode="0.00_ "/>
    <numFmt numFmtId="179" formatCode="0.0_ "/>
    <numFmt numFmtId="180" formatCode="yyyy&quot;年&quot;m&quot;月&quot;d&quot;日&quot;;@"/>
    <numFmt numFmtId="181" formatCode="0_);\(0\)"/>
    <numFmt numFmtId="182" formatCode="[$-F800]dddd\,\ mmmm\ dd\,\ yyyy"/>
    <numFmt numFmtId="183" formatCode="0_);[Red]\(0\)"/>
    <numFmt numFmtId="184" formatCode="0.0_);[Red]\(0.0\)"/>
    <numFmt numFmtId="185" formatCode="0&quot;高&quot;"/>
    <numFmt numFmtId="186" formatCode="0.00_);[Red]\(0.00\)"/>
    <numFmt numFmtId="187" formatCode="0&quot;A板材&quot;"/>
    <numFmt numFmtId="188" formatCode="0.00;_䠀"/>
    <numFmt numFmtId="189" formatCode="0;_ఀ"/>
  </numFmts>
  <fonts count="99">
    <font>
      <sz val="12"/>
      <name val="宋体"/>
      <charset val="134"/>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4"/>
      <name val="宋体"/>
      <family val="3"/>
      <charset val="134"/>
    </font>
    <font>
      <sz val="10"/>
      <name val="宋体"/>
      <family val="3"/>
      <charset val="134"/>
    </font>
    <font>
      <sz val="11"/>
      <name val="宋体"/>
      <family val="3"/>
      <charset val="134"/>
    </font>
    <font>
      <sz val="9"/>
      <color indexed="81"/>
      <name val="宋体"/>
      <family val="3"/>
      <charset val="134"/>
    </font>
    <font>
      <b/>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sz val="9"/>
      <color indexed="81"/>
      <name val="Tahoma"/>
      <family val="2"/>
    </font>
    <font>
      <sz val="10"/>
      <color rgb="FFFF0000"/>
      <name val="宋体"/>
      <family val="3"/>
      <charset val="134"/>
      <scheme val="minor"/>
    </font>
    <font>
      <sz val="12"/>
      <name val="宋体"/>
      <family val="3"/>
      <charset val="134"/>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9"/>
      <color theme="1"/>
      <name val="宋体"/>
      <family val="3"/>
      <charset val="134"/>
      <scheme val="minor"/>
    </font>
    <font>
      <sz val="11"/>
      <name val="宋体"/>
      <family val="3"/>
      <charset val="134"/>
      <scheme val="minor"/>
    </font>
    <font>
      <sz val="8"/>
      <color theme="1"/>
      <name val="宋体"/>
      <family val="3"/>
      <charset val="134"/>
      <scheme val="minor"/>
    </font>
    <font>
      <b/>
      <sz val="10"/>
      <color theme="1"/>
      <name val="华文细黑"/>
      <family val="3"/>
      <charset val="134"/>
    </font>
    <font>
      <sz val="16"/>
      <name val="宋体"/>
      <family val="3"/>
      <charset val="134"/>
    </font>
    <font>
      <sz val="9"/>
      <name val="宋体"/>
      <family val="3"/>
      <charset val="134"/>
    </font>
    <font>
      <sz val="12"/>
      <name val="宋体"/>
      <family val="3"/>
      <charset val="134"/>
    </font>
    <font>
      <sz val="11"/>
      <color theme="1"/>
      <name val="宋体"/>
      <family val="3"/>
      <charset val="134"/>
      <scheme val="minor"/>
    </font>
    <font>
      <sz val="12"/>
      <name val="宋体"/>
      <family val="3"/>
      <charset val="134"/>
    </font>
    <font>
      <b/>
      <sz val="9"/>
      <name val="微软雅黑"/>
      <family val="2"/>
      <charset val="134"/>
    </font>
    <font>
      <b/>
      <sz val="10"/>
      <name val="微软雅黑"/>
      <family val="2"/>
      <charset val="134"/>
    </font>
    <font>
      <sz val="8"/>
      <name val="微软雅黑"/>
      <family val="2"/>
      <charset val="134"/>
    </font>
    <font>
      <b/>
      <sz val="16"/>
      <name val="宋体"/>
      <family val="3"/>
      <charset val="134"/>
    </font>
    <font>
      <b/>
      <sz val="18"/>
      <color indexed="8"/>
      <name val="宋体"/>
      <family val="3"/>
      <charset val="134"/>
    </font>
    <font>
      <b/>
      <sz val="9"/>
      <color indexed="81"/>
      <name val="Tahoma"/>
      <family val="2"/>
    </font>
    <font>
      <b/>
      <sz val="11"/>
      <color theme="1"/>
      <name val="宋体"/>
      <family val="3"/>
      <charset val="134"/>
      <scheme val="minor"/>
    </font>
    <font>
      <sz val="10"/>
      <name val="微软雅黑"/>
      <family val="2"/>
      <charset val="134"/>
    </font>
    <font>
      <sz val="9"/>
      <color theme="1"/>
      <name val="微软雅黑"/>
      <family val="2"/>
      <charset val="134"/>
    </font>
    <font>
      <sz val="9"/>
      <name val="微软雅黑"/>
      <family val="2"/>
      <charset val="134"/>
    </font>
    <font>
      <sz val="9"/>
      <color theme="0"/>
      <name val="微软雅黑"/>
      <family val="2"/>
      <charset val="134"/>
    </font>
    <font>
      <sz val="9"/>
      <color theme="2"/>
      <name val="微软雅黑"/>
      <family val="2"/>
      <charset val="134"/>
    </font>
    <font>
      <sz val="9"/>
      <color rgb="FFF0F0F0"/>
      <name val="微软雅黑"/>
      <family val="2"/>
      <charset val="134"/>
    </font>
    <font>
      <sz val="14"/>
      <name val="微软雅黑"/>
      <family val="2"/>
      <charset val="134"/>
    </font>
    <font>
      <sz val="12"/>
      <name val="微软雅黑"/>
      <family val="2"/>
      <charset val="134"/>
    </font>
    <font>
      <b/>
      <sz val="14"/>
      <name val="微软雅黑"/>
      <family val="2"/>
      <charset val="134"/>
    </font>
    <font>
      <sz val="9"/>
      <color rgb="FFFF0000"/>
      <name val="微软雅黑"/>
      <family val="2"/>
      <charset val="134"/>
    </font>
    <font>
      <sz val="11"/>
      <name val="微软雅黑"/>
      <family val="2"/>
      <charset val="134"/>
    </font>
    <font>
      <sz val="14"/>
      <color theme="1"/>
      <name val="宋体"/>
      <family val="2"/>
      <charset val="134"/>
      <scheme val="minor"/>
    </font>
    <font>
      <sz val="14"/>
      <color theme="1"/>
      <name val="宋体"/>
      <family val="3"/>
      <charset val="134"/>
      <scheme val="minor"/>
    </font>
    <font>
      <sz val="11"/>
      <color theme="1"/>
      <name val="微软雅黑"/>
      <family val="2"/>
      <charset val="134"/>
    </font>
    <font>
      <sz val="10"/>
      <color theme="1"/>
      <name val="微软雅黑"/>
      <family val="2"/>
      <charset val="134"/>
    </font>
    <font>
      <sz val="11"/>
      <color rgb="FF9C0006"/>
      <name val="宋体"/>
      <family val="2"/>
      <charset val="134"/>
      <scheme val="minor"/>
    </font>
    <font>
      <b/>
      <sz val="10"/>
      <color rgb="FFFF0000"/>
      <name val="宋体"/>
      <family val="3"/>
      <charset val="134"/>
      <scheme val="minor"/>
    </font>
    <font>
      <sz val="12"/>
      <color rgb="FFFF0000"/>
      <name val="微软雅黑"/>
      <family val="2"/>
      <charset val="134"/>
    </font>
    <font>
      <b/>
      <sz val="9"/>
      <color indexed="8"/>
      <name val="微软雅黑"/>
      <family val="2"/>
      <charset val="134"/>
    </font>
    <font>
      <sz val="9"/>
      <color indexed="8"/>
      <name val="微软雅黑"/>
      <family val="2"/>
      <charset val="134"/>
    </font>
    <font>
      <b/>
      <sz val="9"/>
      <color theme="1"/>
      <name val="微软雅黑"/>
      <family val="2"/>
      <charset val="134"/>
    </font>
    <font>
      <sz val="10"/>
      <color rgb="FFFF0000"/>
      <name val="微软雅黑"/>
      <family val="2"/>
      <charset val="134"/>
    </font>
    <font>
      <b/>
      <sz val="10"/>
      <color rgb="FF7030A0"/>
      <name val="微软雅黑"/>
      <family val="2"/>
      <charset val="134"/>
    </font>
    <font>
      <sz val="10"/>
      <color rgb="FF7030A0"/>
      <name val="微软雅黑"/>
      <family val="2"/>
      <charset val="134"/>
    </font>
    <font>
      <sz val="9"/>
      <color rgb="FF7030A0"/>
      <name val="微软雅黑"/>
      <family val="2"/>
      <charset val="134"/>
    </font>
    <font>
      <sz val="9"/>
      <color rgb="FFFF0000"/>
      <name val="宋体"/>
      <family val="3"/>
      <charset val="134"/>
    </font>
    <font>
      <b/>
      <sz val="12"/>
      <name val="微软雅黑"/>
      <family val="2"/>
      <charset val="134"/>
    </font>
    <font>
      <b/>
      <sz val="9"/>
      <color theme="3" tint="-0.249977111117893"/>
      <name val="微软雅黑"/>
      <family val="2"/>
      <charset val="134"/>
    </font>
    <font>
      <sz val="9"/>
      <name val="宋体"/>
      <family val="3"/>
      <charset val="134"/>
    </font>
    <font>
      <b/>
      <sz val="10"/>
      <color rgb="FFFF0000"/>
      <name val="微软雅黑"/>
      <family val="2"/>
      <charset val="134"/>
    </font>
    <font>
      <b/>
      <sz val="10"/>
      <color indexed="8"/>
      <name val="微软雅黑"/>
      <family val="2"/>
      <charset val="134"/>
    </font>
    <font>
      <sz val="9"/>
      <name val="宋体"/>
      <family val="3"/>
      <charset val="134"/>
      <scheme val="minor"/>
    </font>
    <font>
      <b/>
      <sz val="16"/>
      <color theme="1"/>
      <name val="宋体"/>
      <family val="3"/>
      <charset val="134"/>
      <scheme val="minor"/>
    </font>
    <font>
      <sz val="10"/>
      <color rgb="FF0070C0"/>
      <name val="微软雅黑"/>
      <family val="2"/>
      <charset val="134"/>
    </font>
    <font>
      <b/>
      <shadow/>
      <sz val="10"/>
      <color rgb="FFF4F1E3"/>
      <name val="微软雅黑"/>
      <family val="2"/>
      <charset val="134"/>
    </font>
    <font>
      <sz val="10"/>
      <color indexed="10"/>
      <name val="微软雅黑"/>
      <family val="2"/>
      <charset val="134"/>
    </font>
    <font>
      <sz val="9"/>
      <color theme="2" tint="-9.9978637043366805E-2"/>
      <name val="宋体"/>
      <family val="3"/>
      <charset val="134"/>
    </font>
    <font>
      <b/>
      <sz val="20"/>
      <name val="宋体"/>
      <family val="3"/>
      <charset val="134"/>
    </font>
    <font>
      <sz val="10"/>
      <name val="Times New Roman"/>
      <family val="1"/>
    </font>
    <font>
      <b/>
      <sz val="10"/>
      <name val="宋体"/>
      <family val="3"/>
      <charset val="134"/>
    </font>
    <font>
      <sz val="10"/>
      <name val="华文行楷"/>
      <family val="3"/>
      <charset val="134"/>
    </font>
    <font>
      <sz val="16"/>
      <name val="微软雅黑"/>
      <family val="2"/>
      <charset val="134"/>
    </font>
    <font>
      <b/>
      <i/>
      <sz val="10"/>
      <name val="微软雅黑"/>
      <family val="2"/>
      <charset val="134"/>
    </font>
    <font>
      <sz val="10"/>
      <color indexed="10"/>
      <name val="宋体"/>
      <family val="3"/>
      <charset val="134"/>
    </font>
    <font>
      <sz val="10"/>
      <name val="华文细黑"/>
      <family val="3"/>
      <charset val="134"/>
    </font>
    <font>
      <b/>
      <i/>
      <sz val="10"/>
      <name val="宋体"/>
      <family val="3"/>
      <charset val="134"/>
    </font>
    <font>
      <sz val="9"/>
      <color indexed="10"/>
      <name val="微软雅黑"/>
      <family val="2"/>
      <charset val="134"/>
    </font>
    <font>
      <b/>
      <sz val="20"/>
      <name val="微软雅黑"/>
      <family val="2"/>
      <charset val="134"/>
    </font>
    <font>
      <sz val="10"/>
      <color theme="0"/>
      <name val="微软雅黑"/>
      <family val="2"/>
      <charset val="134"/>
    </font>
    <font>
      <sz val="10"/>
      <color rgb="FFC00000"/>
      <name val="微软雅黑"/>
      <family val="2"/>
      <charset val="134"/>
    </font>
    <font>
      <sz val="10"/>
      <color theme="1"/>
      <name val="宋体"/>
      <family val="3"/>
      <charset val="134"/>
    </font>
  </fonts>
  <fills count="2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indexed="10"/>
        <bgColor indexed="64"/>
      </patternFill>
    </fill>
    <fill>
      <patternFill patternType="solid">
        <fgColor rgb="FFFFC7CE"/>
      </patternFill>
    </fill>
    <fill>
      <patternFill patternType="solid">
        <fgColor theme="4" tint="0.59999389629810485"/>
        <bgColor indexed="64"/>
      </patternFill>
    </fill>
    <fill>
      <patternFill patternType="solid">
        <fgColor rgb="FFFF0000"/>
        <bgColor indexed="64"/>
      </patternFill>
    </fill>
    <fill>
      <patternFill patternType="solid">
        <fgColor theme="0" tint="-9.9978637043366805E-2"/>
        <bgColor indexed="64"/>
      </patternFill>
    </fill>
    <fill>
      <patternFill patternType="solid">
        <fgColor theme="9" tint="0.39997558519241921"/>
        <bgColor indexed="64"/>
      </patternFill>
    </fill>
    <fill>
      <patternFill patternType="solid">
        <fgColor rgb="FFFFFF99"/>
        <bgColor indexed="64"/>
      </patternFill>
    </fill>
    <fill>
      <patternFill patternType="solid">
        <fgColor indexed="47"/>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indexed="4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indexed="49"/>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style="medium">
        <color indexed="64"/>
      </bottom>
      <diagonal/>
    </border>
    <border>
      <left style="hair">
        <color indexed="64"/>
      </left>
      <right/>
      <top style="medium">
        <color indexed="64"/>
      </top>
      <bottom style="hair">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hair">
        <color indexed="64"/>
      </left>
      <right/>
      <top style="hair">
        <color indexed="64"/>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indexed="64"/>
      </top>
      <bottom/>
      <diagonal/>
    </border>
    <border>
      <left style="medium">
        <color indexed="64"/>
      </left>
      <right style="hair">
        <color indexed="64"/>
      </right>
      <top/>
      <bottom style="hair">
        <color indexed="64"/>
      </bottom>
      <diagonal/>
    </border>
    <border>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diagonal/>
    </border>
    <border>
      <left style="thin">
        <color indexed="64"/>
      </left>
      <right style="hair">
        <color indexed="64"/>
      </right>
      <top style="hair">
        <color indexed="64"/>
      </top>
      <bottom style="thin">
        <color indexed="64"/>
      </bottom>
      <diagonal/>
    </border>
    <border>
      <left style="medium">
        <color indexed="64"/>
      </left>
      <right/>
      <top style="hair">
        <color indexed="64"/>
      </top>
      <bottom style="hair">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bottom style="medium">
        <color indexed="64"/>
      </bottom>
      <diagonal/>
    </border>
  </borders>
  <cellStyleXfs count="44">
    <xf numFmtId="0" fontId="0" fillId="0" borderId="0">
      <alignment vertical="center"/>
    </xf>
    <xf numFmtId="0" fontId="16" fillId="0" borderId="0">
      <alignment vertical="center"/>
    </xf>
    <xf numFmtId="0" fontId="3" fillId="0" borderId="0">
      <alignment vertical="center"/>
    </xf>
    <xf numFmtId="0" fontId="23" fillId="0" borderId="0"/>
    <xf numFmtId="0" fontId="23" fillId="0" borderId="0">
      <alignment vertical="center"/>
    </xf>
    <xf numFmtId="0" fontId="26" fillId="4" borderId="0" applyNumberFormat="0" applyBorder="0" applyAlignment="0" applyProtection="0">
      <alignment vertical="center"/>
    </xf>
    <xf numFmtId="0" fontId="23" fillId="0" borderId="0"/>
    <xf numFmtId="0" fontId="23" fillId="0" borderId="0"/>
    <xf numFmtId="0" fontId="23" fillId="0" borderId="0"/>
    <xf numFmtId="0" fontId="23" fillId="0" borderId="0"/>
    <xf numFmtId="0" fontId="27" fillId="0" borderId="0">
      <alignment vertical="center"/>
    </xf>
    <xf numFmtId="0" fontId="28" fillId="0" borderId="0">
      <alignment vertical="center"/>
    </xf>
    <xf numFmtId="0" fontId="23"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3" fillId="0" borderId="0"/>
    <xf numFmtId="0" fontId="28" fillId="0" borderId="0">
      <alignment vertical="center"/>
    </xf>
    <xf numFmtId="0" fontId="27" fillId="0" borderId="0">
      <alignment vertical="center"/>
    </xf>
    <xf numFmtId="0" fontId="27" fillId="0" borderId="0">
      <alignment vertical="center"/>
    </xf>
    <xf numFmtId="0" fontId="30" fillId="5" borderId="0" applyNumberFormat="0" applyBorder="0" applyAlignment="0" applyProtection="0">
      <alignment vertical="center"/>
    </xf>
    <xf numFmtId="0" fontId="30" fillId="5" borderId="0" applyNumberFormat="0" applyBorder="0" applyAlignment="0" applyProtection="0">
      <alignment vertical="center"/>
    </xf>
    <xf numFmtId="0" fontId="2" fillId="0" borderId="0">
      <alignment vertical="center"/>
    </xf>
    <xf numFmtId="0" fontId="38" fillId="0" borderId="0"/>
    <xf numFmtId="0" fontId="39" fillId="0" borderId="0">
      <alignment vertical="center"/>
    </xf>
    <xf numFmtId="0" fontId="38" fillId="0" borderId="0"/>
    <xf numFmtId="0" fontId="38" fillId="0" borderId="0">
      <alignment vertical="center"/>
    </xf>
    <xf numFmtId="0" fontId="38" fillId="0" borderId="0"/>
    <xf numFmtId="0" fontId="3" fillId="0" borderId="0"/>
    <xf numFmtId="0" fontId="40" fillId="0" borderId="0"/>
    <xf numFmtId="0" fontId="40" fillId="0" borderId="0">
      <alignment vertical="center"/>
    </xf>
    <xf numFmtId="0" fontId="40" fillId="0" borderId="0"/>
    <xf numFmtId="0" fontId="40" fillId="0" borderId="0"/>
    <xf numFmtId="0" fontId="29" fillId="0" borderId="0">
      <alignment vertical="center"/>
    </xf>
    <xf numFmtId="0" fontId="40" fillId="0" borderId="0"/>
    <xf numFmtId="0" fontId="3" fillId="0" borderId="0"/>
    <xf numFmtId="0" fontId="16" fillId="0" borderId="0">
      <alignment vertical="center"/>
    </xf>
    <xf numFmtId="0" fontId="63" fillId="14" borderId="0" applyNumberFormat="0" applyBorder="0" applyAlignment="0" applyProtection="0">
      <alignment vertical="center"/>
    </xf>
    <xf numFmtId="43" fontId="3" fillId="0" borderId="0" applyFont="0" applyFill="0" applyBorder="0" applyAlignment="0" applyProtection="0">
      <alignment vertical="center"/>
    </xf>
    <xf numFmtId="0" fontId="29" fillId="0" borderId="0">
      <alignment vertical="center"/>
    </xf>
    <xf numFmtId="0" fontId="3" fillId="0" borderId="0"/>
  </cellStyleXfs>
  <cellXfs count="1205">
    <xf numFmtId="0" fontId="0" fillId="0" borderId="0" xfId="0">
      <alignment vertical="center"/>
    </xf>
    <xf numFmtId="0" fontId="0" fillId="0" borderId="1" xfId="0" applyBorder="1">
      <alignment vertical="center"/>
    </xf>
    <xf numFmtId="0" fontId="3" fillId="0" borderId="1" xfId="0" applyFont="1"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11" fillId="0" borderId="4" xfId="0" applyFont="1" applyBorder="1" applyAlignment="1">
      <alignment horizontal="center" vertical="center"/>
    </xf>
    <xf numFmtId="0" fontId="12" fillId="0" borderId="1" xfId="0" applyFont="1" applyBorder="1" applyAlignment="1">
      <alignment horizontal="center" vertical="center"/>
    </xf>
    <xf numFmtId="0" fontId="5" fillId="0" borderId="1" xfId="0" applyFont="1" applyBorder="1" applyAlignment="1">
      <alignment horizontal="center" vertical="center"/>
    </xf>
    <xf numFmtId="0" fontId="13" fillId="0" borderId="1" xfId="0" applyFont="1" applyBorder="1" applyAlignment="1">
      <alignment horizontal="center" vertical="center"/>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17" xfId="0" applyFont="1" applyBorder="1" applyAlignment="1">
      <alignment horizontal="center" vertical="center"/>
    </xf>
    <xf numFmtId="0" fontId="11" fillId="0" borderId="0" xfId="0" applyFont="1" applyBorder="1" applyAlignment="1">
      <alignment horizontal="right" vertical="center"/>
    </xf>
    <xf numFmtId="0" fontId="14" fillId="0" borderId="0" xfId="0" applyFont="1" applyAlignment="1">
      <alignment horizontal="center" vertical="center"/>
    </xf>
    <xf numFmtId="0" fontId="18" fillId="0" borderId="1" xfId="0" applyFont="1" applyBorder="1">
      <alignment vertical="center"/>
    </xf>
    <xf numFmtId="0" fontId="11" fillId="0" borderId="4" xfId="0" applyFont="1" applyBorder="1" applyAlignment="1">
      <alignment horizontal="center" vertical="center"/>
    </xf>
    <xf numFmtId="177" fontId="13" fillId="0" borderId="1" xfId="0" applyNumberFormat="1" applyFont="1" applyBorder="1" applyAlignment="1">
      <alignment horizontal="center" vertical="center"/>
    </xf>
    <xf numFmtId="0" fontId="32" fillId="0" borderId="1" xfId="0" applyFont="1" applyFill="1" applyBorder="1" applyAlignment="1">
      <alignment horizontal="center" vertical="center" wrapText="1"/>
    </xf>
    <xf numFmtId="0" fontId="2" fillId="0" borderId="0" xfId="25" applyFill="1">
      <alignment vertical="center"/>
    </xf>
    <xf numFmtId="0" fontId="18" fillId="0" borderId="38" xfId="25" applyFont="1" applyFill="1" applyBorder="1">
      <alignment vertical="center"/>
    </xf>
    <xf numFmtId="0" fontId="33" fillId="0" borderId="0" xfId="25" applyFont="1" applyFill="1">
      <alignment vertical="center"/>
    </xf>
    <xf numFmtId="0" fontId="18" fillId="2" borderId="38" xfId="25" applyFont="1" applyFill="1" applyBorder="1" applyAlignment="1">
      <alignment horizontal="center" vertical="center" wrapText="1"/>
    </xf>
    <xf numFmtId="0" fontId="34" fillId="0" borderId="38" xfId="25" applyFont="1" applyFill="1" applyBorder="1" applyAlignment="1">
      <alignment horizontal="center" vertical="center" wrapText="1"/>
    </xf>
    <xf numFmtId="0" fontId="18" fillId="0" borderId="38" xfId="25" applyFont="1" applyFill="1" applyBorder="1" applyAlignment="1">
      <alignment vertical="center" wrapText="1"/>
    </xf>
    <xf numFmtId="0" fontId="18" fillId="0" borderId="39" xfId="25" applyFont="1" applyFill="1" applyBorder="1" applyAlignment="1">
      <alignment horizontal="left" vertical="center" wrapText="1"/>
    </xf>
    <xf numFmtId="0" fontId="0" fillId="0" borderId="0" xfId="32" applyFont="1" applyBorder="1"/>
    <xf numFmtId="0" fontId="0" fillId="0" borderId="0" xfId="32" applyFont="1" applyFill="1" applyBorder="1"/>
    <xf numFmtId="186" fontId="0" fillId="0" borderId="0" xfId="32" applyNumberFormat="1" applyFont="1" applyFill="1" applyBorder="1"/>
    <xf numFmtId="186" fontId="0" fillId="0" borderId="0" xfId="32" applyNumberFormat="1" applyFont="1" applyBorder="1"/>
    <xf numFmtId="0" fontId="5" fillId="0" borderId="0" xfId="32" applyFont="1" applyAlignment="1">
      <alignment vertical="center"/>
    </xf>
    <xf numFmtId="0" fontId="0" fillId="0" borderId="0" xfId="32" applyFont="1" applyBorder="1" applyAlignment="1">
      <alignment horizontal="center" vertical="center"/>
    </xf>
    <xf numFmtId="0" fontId="3" fillId="0" borderId="0" xfId="32" applyFont="1" applyBorder="1"/>
    <xf numFmtId="0" fontId="6" fillId="0" borderId="0" xfId="32" applyFont="1" applyBorder="1" applyAlignment="1">
      <alignment vertical="center"/>
    </xf>
    <xf numFmtId="0" fontId="16" fillId="0" borderId="1" xfId="0" applyFont="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Border="1">
      <alignment vertical="center"/>
    </xf>
    <xf numFmtId="0" fontId="16" fillId="0" borderId="1" xfId="0" applyFont="1" applyFill="1" applyBorder="1" applyAlignment="1">
      <alignment horizontal="center" vertical="center"/>
    </xf>
    <xf numFmtId="0" fontId="33" fillId="0" borderId="1" xfId="0" applyFont="1" applyFill="1" applyBorder="1" applyAlignment="1">
      <alignment horizontal="center" vertical="center" wrapText="1"/>
    </xf>
    <xf numFmtId="0" fontId="7" fillId="0" borderId="1" xfId="38" applyFont="1" applyFill="1" applyBorder="1" applyAlignment="1">
      <alignment horizontal="center" vertical="center" wrapText="1"/>
    </xf>
    <xf numFmtId="0" fontId="16"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16" fillId="0" borderId="1" xfId="0" applyFont="1" applyBorder="1" applyAlignment="1">
      <alignment horizontal="center" vertical="center" wrapText="1"/>
    </xf>
    <xf numFmtId="0" fontId="16" fillId="0" borderId="0" xfId="0" applyFont="1" applyBorder="1" applyAlignment="1">
      <alignment horizontal="center" vertical="center"/>
    </xf>
    <xf numFmtId="0" fontId="33" fillId="0" borderId="0" xfId="0" applyFont="1" applyFill="1" applyBorder="1" applyAlignment="1">
      <alignment horizontal="center" vertical="center" wrapText="1"/>
    </xf>
    <xf numFmtId="0" fontId="16" fillId="0" borderId="0" xfId="0" applyFont="1" applyBorder="1">
      <alignment vertical="center"/>
    </xf>
    <xf numFmtId="0" fontId="33" fillId="0" borderId="0" xfId="0" applyFont="1" applyFill="1" applyBorder="1" applyAlignment="1">
      <alignment horizontal="center" wrapText="1"/>
    </xf>
    <xf numFmtId="0" fontId="7" fillId="0" borderId="0" xfId="38"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NumberFormat="1" applyFont="1" applyBorder="1" applyAlignment="1">
      <alignment horizontal="center" vertical="center" wrapText="1"/>
    </xf>
    <xf numFmtId="0" fontId="7" fillId="0" borderId="0" xfId="0" applyFont="1" applyBorder="1">
      <alignment vertical="center"/>
    </xf>
    <xf numFmtId="0" fontId="7" fillId="0" borderId="0" xfId="0" applyFont="1" applyBorder="1" applyAlignment="1">
      <alignment horizontal="center" vertical="center"/>
    </xf>
    <xf numFmtId="0" fontId="7" fillId="0" borderId="0" xfId="0" applyFont="1" applyAlignment="1">
      <alignment horizontal="center" vertical="center"/>
    </xf>
    <xf numFmtId="179" fontId="16" fillId="0" borderId="1" xfId="0" applyNumberFormat="1" applyFont="1" applyBorder="1" applyAlignment="1">
      <alignment horizontal="center" vertical="center"/>
    </xf>
    <xf numFmtId="0" fontId="18" fillId="0" borderId="1" xfId="0" applyFont="1" applyBorder="1" applyAlignment="1">
      <alignment horizontal="center" vertical="center"/>
    </xf>
    <xf numFmtId="0" fontId="6" fillId="0" borderId="1" xfId="38" applyFont="1" applyFill="1" applyBorder="1" applyAlignment="1">
      <alignment horizontal="center" vertical="center" wrapText="1"/>
    </xf>
    <xf numFmtId="0" fontId="6" fillId="0" borderId="0" xfId="0" applyFont="1">
      <alignment vertical="center"/>
    </xf>
    <xf numFmtId="0" fontId="50" fillId="0" borderId="0" xfId="0" applyFont="1" applyFill="1" applyBorder="1">
      <alignment vertical="center"/>
    </xf>
    <xf numFmtId="0" fontId="16" fillId="0" borderId="1"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Fill="1" applyBorder="1" applyAlignment="1">
      <alignment horizontal="center" vertical="center" wrapText="1"/>
    </xf>
    <xf numFmtId="0" fontId="48" fillId="0" borderId="0" xfId="0" applyFont="1" applyFill="1" applyBorder="1" applyAlignment="1">
      <alignment horizontal="center" vertical="center" wrapText="1"/>
    </xf>
    <xf numFmtId="0" fontId="58" fillId="0" borderId="0" xfId="0" applyFont="1" applyFill="1" applyBorder="1">
      <alignment vertical="center"/>
    </xf>
    <xf numFmtId="0" fontId="59" fillId="0" borderId="0" xfId="25" applyFont="1" applyFill="1">
      <alignment vertical="center"/>
    </xf>
    <xf numFmtId="0" fontId="60" fillId="0" borderId="0" xfId="25" applyFont="1" applyFill="1">
      <alignment vertical="center"/>
    </xf>
    <xf numFmtId="0" fontId="60" fillId="2" borderId="0" xfId="25" applyFont="1" applyFill="1">
      <alignment vertical="center"/>
    </xf>
    <xf numFmtId="0" fontId="18" fillId="3" borderId="38" xfId="25" applyFont="1" applyFill="1" applyBorder="1" applyAlignment="1">
      <alignment horizontal="left" vertical="center" wrapText="1"/>
    </xf>
    <xf numFmtId="0" fontId="50" fillId="0" borderId="6" xfId="0" applyFont="1" applyFill="1" applyBorder="1" applyAlignment="1">
      <alignment horizontal="center" vertical="center" wrapText="1"/>
    </xf>
    <xf numFmtId="0" fontId="50" fillId="0" borderId="1" xfId="0" applyFont="1" applyFill="1" applyBorder="1" applyAlignment="1">
      <alignment horizontal="center" vertical="center" wrapText="1"/>
    </xf>
    <xf numFmtId="0" fontId="48" fillId="0" borderId="1" xfId="0" applyFont="1" applyFill="1" applyBorder="1" applyAlignment="1">
      <alignment horizontal="center" vertical="center" wrapText="1"/>
    </xf>
    <xf numFmtId="0" fontId="50" fillId="0" borderId="0" xfId="0" applyFont="1" applyFill="1" applyBorder="1" applyAlignment="1">
      <alignment horizontal="center" vertical="center"/>
    </xf>
    <xf numFmtId="0" fontId="55" fillId="0" borderId="0" xfId="0" applyFont="1" applyFill="1" applyBorder="1">
      <alignment vertical="center"/>
    </xf>
    <xf numFmtId="0" fontId="55" fillId="0" borderId="0" xfId="0" applyFont="1" applyFill="1" applyBorder="1" applyAlignment="1">
      <alignment horizontal="center" vertical="center"/>
    </xf>
    <xf numFmtId="183" fontId="48" fillId="0" borderId="1" xfId="0" applyNumberFormat="1" applyFont="1" applyFill="1" applyBorder="1" applyAlignment="1">
      <alignment horizontal="center" vertical="center"/>
    </xf>
    <xf numFmtId="0" fontId="48" fillId="0" borderId="1" xfId="0" applyFont="1" applyFill="1" applyBorder="1" applyAlignment="1">
      <alignment horizontal="center" vertical="center"/>
    </xf>
    <xf numFmtId="0" fontId="50" fillId="0" borderId="6" xfId="0" applyFont="1" applyFill="1" applyBorder="1" applyAlignment="1">
      <alignment horizontal="center" vertical="center"/>
    </xf>
    <xf numFmtId="0" fontId="43" fillId="0" borderId="0" xfId="0" applyFont="1" applyFill="1" applyBorder="1">
      <alignment vertical="center"/>
    </xf>
    <xf numFmtId="0" fontId="41" fillId="0" borderId="0" xfId="0" applyFont="1" applyFill="1" applyBorder="1" applyAlignment="1">
      <alignment horizontal="center" vertical="center"/>
    </xf>
    <xf numFmtId="0" fontId="61" fillId="0" borderId="0" xfId="39" applyFont="1" applyFill="1" applyAlignment="1">
      <alignment horizontal="left" vertical="center" wrapText="1"/>
    </xf>
    <xf numFmtId="0" fontId="56" fillId="0" borderId="0" xfId="0" applyFont="1" applyFill="1" applyBorder="1">
      <alignment vertical="center"/>
    </xf>
    <xf numFmtId="179" fontId="50" fillId="0" borderId="6" xfId="0" applyNumberFormat="1" applyFont="1" applyFill="1" applyBorder="1" applyAlignment="1">
      <alignment horizontal="center" vertical="center" wrapText="1"/>
    </xf>
    <xf numFmtId="0" fontId="55" fillId="0" borderId="6" xfId="0" applyFont="1" applyFill="1" applyBorder="1">
      <alignment vertical="center"/>
    </xf>
    <xf numFmtId="0" fontId="55" fillId="0" borderId="6" xfId="0" applyFont="1" applyFill="1" applyBorder="1" applyAlignment="1">
      <alignment horizontal="center" vertical="center"/>
    </xf>
    <xf numFmtId="0" fontId="55" fillId="0" borderId="6" xfId="0" applyFont="1" applyFill="1" applyBorder="1" applyAlignment="1">
      <alignment vertical="center" wrapText="1"/>
    </xf>
    <xf numFmtId="0" fontId="55" fillId="0" borderId="6" xfId="0" applyFont="1" applyFill="1" applyBorder="1" applyAlignment="1">
      <alignment horizontal="center" vertical="center" wrapText="1"/>
    </xf>
    <xf numFmtId="183" fontId="50" fillId="0" borderId="6" xfId="0" applyNumberFormat="1" applyFont="1" applyFill="1" applyBorder="1" applyAlignment="1">
      <alignment horizontal="center" vertical="center" wrapText="1"/>
    </xf>
    <xf numFmtId="0" fontId="53" fillId="0" borderId="6" xfId="0" applyFont="1" applyFill="1" applyBorder="1" applyAlignment="1">
      <alignment horizontal="center" vertical="center" wrapText="1"/>
    </xf>
    <xf numFmtId="0" fontId="50" fillId="0" borderId="6" xfId="0" applyFont="1" applyFill="1" applyBorder="1" applyAlignment="1">
      <alignment vertical="center" wrapText="1"/>
    </xf>
    <xf numFmtId="176" fontId="50" fillId="0" borderId="6" xfId="0" applyNumberFormat="1" applyFont="1" applyFill="1" applyBorder="1" applyAlignment="1">
      <alignment horizontal="center" vertical="center" wrapText="1"/>
    </xf>
    <xf numFmtId="0" fontId="51" fillId="0" borderId="6" xfId="0" applyFont="1" applyFill="1" applyBorder="1" applyAlignment="1">
      <alignment horizontal="center" vertical="center" wrapText="1"/>
    </xf>
    <xf numFmtId="0" fontId="50" fillId="0" borderId="6" xfId="0" quotePrefix="1" applyFont="1" applyFill="1" applyBorder="1" applyAlignment="1">
      <alignment horizontal="center" vertical="center" wrapText="1"/>
    </xf>
    <xf numFmtId="0" fontId="50" fillId="0" borderId="6" xfId="40" applyFont="1" applyFill="1" applyBorder="1" applyAlignment="1">
      <alignment horizontal="center" vertical="center" wrapText="1"/>
    </xf>
    <xf numFmtId="181" fontId="50" fillId="0" borderId="6" xfId="0" applyNumberFormat="1" applyFont="1" applyFill="1" applyBorder="1" applyAlignment="1">
      <alignment horizontal="center" vertical="center" wrapText="1"/>
    </xf>
    <xf numFmtId="0" fontId="52" fillId="0" borderId="6" xfId="0" applyFont="1" applyFill="1" applyBorder="1" applyAlignment="1">
      <alignment horizontal="center" vertical="center" wrapText="1"/>
    </xf>
    <xf numFmtId="0" fontId="50" fillId="0" borderId="6" xfId="40" applyFont="1" applyFill="1" applyBorder="1" applyAlignment="1">
      <alignment vertical="center" wrapText="1"/>
    </xf>
    <xf numFmtId="0" fontId="50" fillId="0" borderId="37" xfId="0" applyFont="1" applyFill="1" applyBorder="1" applyAlignment="1">
      <alignment vertical="center" wrapText="1"/>
    </xf>
    <xf numFmtId="0" fontId="62" fillId="0" borderId="0" xfId="39" applyFont="1" applyFill="1" applyAlignment="1">
      <alignment horizontal="left" vertical="center" wrapText="1"/>
    </xf>
    <xf numFmtId="0" fontId="50" fillId="0" borderId="1" xfId="0" applyFont="1" applyFill="1" applyBorder="1" applyAlignment="1">
      <alignment horizontal="center" vertical="center"/>
    </xf>
    <xf numFmtId="0" fontId="49" fillId="0" borderId="1" xfId="39" applyFont="1" applyFill="1" applyBorder="1" applyAlignment="1">
      <alignment horizontal="center" vertical="center" wrapText="1"/>
    </xf>
    <xf numFmtId="0" fontId="50" fillId="0" borderId="1" xfId="0" applyFont="1" applyFill="1" applyBorder="1" applyAlignment="1">
      <alignment vertical="center" wrapText="1"/>
    </xf>
    <xf numFmtId="0" fontId="55" fillId="0" borderId="1" xfId="0" applyFont="1" applyFill="1" applyBorder="1" applyAlignment="1">
      <alignment horizontal="center" vertical="center"/>
    </xf>
    <xf numFmtId="0" fontId="55" fillId="0" borderId="1" xfId="0" applyFont="1" applyFill="1" applyBorder="1">
      <alignment vertical="center"/>
    </xf>
    <xf numFmtId="0" fontId="50" fillId="0" borderId="0" xfId="0" applyFont="1" applyFill="1" applyBorder="1" applyAlignment="1">
      <alignment horizontal="center" vertical="center" wrapText="1"/>
    </xf>
    <xf numFmtId="0" fontId="43" fillId="0" borderId="0" xfId="0" applyFont="1" applyFill="1" applyBorder="1" applyAlignment="1">
      <alignment horizontal="center" vertical="center" wrapText="1"/>
    </xf>
    <xf numFmtId="0" fontId="43" fillId="0" borderId="1" xfId="0" applyFont="1" applyFill="1" applyBorder="1" applyAlignment="1">
      <alignment horizontal="center" vertical="center" wrapText="1"/>
    </xf>
    <xf numFmtId="0" fontId="50" fillId="0" borderId="1" xfId="0" applyFont="1" applyFill="1" applyBorder="1">
      <alignment vertical="center"/>
    </xf>
    <xf numFmtId="0" fontId="57" fillId="0" borderId="1" xfId="0" applyFont="1" applyFill="1" applyBorder="1" applyAlignment="1">
      <alignment horizontal="center" vertical="center"/>
    </xf>
    <xf numFmtId="0" fontId="41" fillId="0" borderId="1" xfId="0" applyFont="1" applyFill="1" applyBorder="1" applyAlignment="1">
      <alignment horizontal="center" vertical="center"/>
    </xf>
    <xf numFmtId="0" fontId="61" fillId="0" borderId="0" xfId="39" applyFont="1" applyFill="1" applyAlignment="1">
      <alignment horizontal="center" vertical="center" wrapText="1"/>
    </xf>
    <xf numFmtId="0" fontId="62" fillId="0" borderId="0" xfId="39" applyFont="1" applyFill="1" applyAlignment="1">
      <alignment horizontal="center" vertical="center" wrapText="1"/>
    </xf>
    <xf numFmtId="0" fontId="50" fillId="0" borderId="32" xfId="0" applyFont="1" applyFill="1" applyBorder="1" applyAlignment="1">
      <alignment horizontal="center" vertical="center"/>
    </xf>
    <xf numFmtId="0" fontId="50" fillId="0" borderId="33" xfId="0" applyFont="1" applyFill="1" applyBorder="1" applyAlignment="1">
      <alignment horizontal="center" vertical="center"/>
    </xf>
    <xf numFmtId="0" fontId="50" fillId="0" borderId="34" xfId="0" applyFont="1" applyFill="1" applyBorder="1" applyAlignment="1">
      <alignment horizontal="center" vertical="center"/>
    </xf>
    <xf numFmtId="0" fontId="50" fillId="0" borderId="34" xfId="0" applyFont="1" applyFill="1" applyBorder="1" applyAlignment="1">
      <alignment horizontal="center" vertical="center" wrapText="1"/>
    </xf>
    <xf numFmtId="186" fontId="48" fillId="10" borderId="1" xfId="0" applyNumberFormat="1" applyFont="1" applyFill="1" applyBorder="1" applyAlignment="1">
      <alignment horizontal="center" vertical="center"/>
    </xf>
    <xf numFmtId="0" fontId="48" fillId="0" borderId="1" xfId="26" applyFont="1" applyBorder="1" applyAlignment="1">
      <alignment horizontal="center" vertical="center"/>
    </xf>
    <xf numFmtId="0" fontId="48" fillId="10" borderId="0" xfId="0" applyFont="1" applyFill="1" applyBorder="1" applyAlignment="1">
      <alignment horizontal="center" vertical="center"/>
    </xf>
    <xf numFmtId="186" fontId="48" fillId="10" borderId="0" xfId="0" applyNumberFormat="1" applyFont="1" applyFill="1" applyBorder="1" applyAlignment="1">
      <alignment horizontal="center" vertical="center"/>
    </xf>
    <xf numFmtId="0" fontId="48" fillId="10" borderId="0" xfId="0" applyFont="1" applyFill="1" applyBorder="1">
      <alignment vertical="center"/>
    </xf>
    <xf numFmtId="0" fontId="48" fillId="0" borderId="0" xfId="0" applyFont="1" applyBorder="1">
      <alignment vertical="center"/>
    </xf>
    <xf numFmtId="0" fontId="48" fillId="10" borderId="24" xfId="0" applyFont="1" applyFill="1" applyBorder="1" applyAlignment="1">
      <alignment horizontal="center" vertical="center"/>
    </xf>
    <xf numFmtId="0" fontId="48" fillId="10" borderId="0" xfId="0" applyFont="1" applyFill="1" applyBorder="1" applyAlignment="1">
      <alignment vertical="center"/>
    </xf>
    <xf numFmtId="0" fontId="48" fillId="0" borderId="0" xfId="0" applyFont="1" applyBorder="1" applyAlignment="1">
      <alignment vertical="center"/>
    </xf>
    <xf numFmtId="0" fontId="48" fillId="0" borderId="0" xfId="0" applyFont="1" applyFill="1" applyBorder="1">
      <alignment vertical="center"/>
    </xf>
    <xf numFmtId="186" fontId="48" fillId="11" borderId="1" xfId="0" applyNumberFormat="1" applyFont="1" applyFill="1" applyBorder="1" applyAlignment="1">
      <alignment horizontal="center" vertical="center"/>
    </xf>
    <xf numFmtId="0" fontId="42" fillId="10" borderId="24" xfId="0" applyFont="1" applyFill="1" applyBorder="1" applyAlignment="1">
      <alignment horizontal="center" vertical="center"/>
    </xf>
    <xf numFmtId="0" fontId="42" fillId="10" borderId="0" xfId="0" applyFont="1" applyFill="1" applyBorder="1" applyAlignment="1">
      <alignment horizontal="center" vertical="center"/>
    </xf>
    <xf numFmtId="186" fontId="42" fillId="1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8" fillId="0" borderId="0" xfId="0" applyFont="1" applyAlignment="1">
      <alignment horizontal="center" vertical="center"/>
    </xf>
    <xf numFmtId="0" fontId="48" fillId="10" borderId="0" xfId="0" applyFont="1" applyFill="1" applyBorder="1" applyAlignment="1">
      <alignment horizontal="center" vertical="center"/>
    </xf>
    <xf numFmtId="186" fontId="48" fillId="10" borderId="0" xfId="0" applyNumberFormat="1" applyFont="1" applyFill="1" applyBorder="1">
      <alignment vertical="center"/>
    </xf>
    <xf numFmtId="0" fontId="48" fillId="10" borderId="0" xfId="0" applyFont="1" applyFill="1" applyBorder="1" applyAlignment="1">
      <alignment horizontal="left" vertical="center"/>
    </xf>
    <xf numFmtId="186" fontId="48" fillId="10" borderId="0" xfId="0" applyNumberFormat="1" applyFont="1" applyFill="1" applyBorder="1" applyAlignment="1">
      <alignment horizontal="left" vertical="center"/>
    </xf>
    <xf numFmtId="186" fontId="48" fillId="10" borderId="0" xfId="0" applyNumberFormat="1" applyFont="1" applyFill="1" applyBorder="1" applyAlignment="1">
      <alignment vertical="center"/>
    </xf>
    <xf numFmtId="0" fontId="48" fillId="0" borderId="0" xfId="0" applyFont="1" applyBorder="1" applyAlignment="1">
      <alignment horizontal="left" vertical="center"/>
    </xf>
    <xf numFmtId="0" fontId="50" fillId="0" borderId="0" xfId="0" applyFont="1" applyBorder="1" applyAlignment="1">
      <alignment horizontal="center" vertical="center"/>
    </xf>
    <xf numFmtId="0" fontId="50" fillId="8" borderId="22" xfId="0" applyFont="1" applyFill="1" applyBorder="1" applyAlignment="1">
      <alignment horizontal="left" vertical="center"/>
    </xf>
    <xf numFmtId="0" fontId="50" fillId="8" borderId="23" xfId="0" applyFont="1" applyFill="1" applyBorder="1" applyAlignment="1">
      <alignment horizontal="left" vertical="center"/>
    </xf>
    <xf numFmtId="0" fontId="50" fillId="8" borderId="17" xfId="0" applyFont="1" applyFill="1" applyBorder="1" applyAlignment="1">
      <alignment horizontal="left" vertical="center"/>
    </xf>
    <xf numFmtId="0" fontId="50" fillId="8" borderId="23" xfId="0" applyFont="1" applyFill="1" applyBorder="1" applyAlignment="1">
      <alignment horizontal="left" vertical="center" wrapText="1"/>
    </xf>
    <xf numFmtId="180" fontId="50" fillId="8" borderId="17" xfId="0" applyNumberFormat="1" applyFont="1" applyFill="1" applyBorder="1" applyAlignment="1">
      <alignment horizontal="left" vertical="center"/>
    </xf>
    <xf numFmtId="180" fontId="50" fillId="8" borderId="23" xfId="0" applyNumberFormat="1" applyFont="1" applyFill="1" applyBorder="1" applyAlignment="1">
      <alignment horizontal="left" vertical="center"/>
    </xf>
    <xf numFmtId="180" fontId="50" fillId="8" borderId="22" xfId="0" applyNumberFormat="1" applyFont="1" applyFill="1" applyBorder="1" applyAlignment="1">
      <alignment horizontal="left" vertical="center"/>
    </xf>
    <xf numFmtId="14" fontId="50" fillId="8" borderId="17" xfId="0" applyNumberFormat="1" applyFont="1" applyFill="1" applyBorder="1" applyAlignment="1">
      <alignment horizontal="left" vertical="center"/>
    </xf>
    <xf numFmtId="0" fontId="50" fillId="0" borderId="42" xfId="0" applyFont="1" applyBorder="1" applyAlignment="1">
      <alignment horizontal="center" vertical="center"/>
    </xf>
    <xf numFmtId="0" fontId="50" fillId="0" borderId="6" xfId="0" applyFont="1" applyBorder="1" applyAlignment="1">
      <alignment horizontal="center" vertical="center"/>
    </xf>
    <xf numFmtId="0" fontId="50" fillId="0" borderId="42" xfId="0" applyFont="1" applyFill="1" applyBorder="1" applyAlignment="1">
      <alignment horizontal="center" vertical="center"/>
    </xf>
    <xf numFmtId="177" fontId="50" fillId="0" borderId="6" xfId="0" applyNumberFormat="1" applyFont="1" applyBorder="1" applyAlignment="1">
      <alignment horizontal="center" vertical="center"/>
    </xf>
    <xf numFmtId="177" fontId="50" fillId="0" borderId="6" xfId="0" applyNumberFormat="1" applyFont="1" applyFill="1" applyBorder="1" applyAlignment="1">
      <alignment horizontal="center" vertical="center"/>
    </xf>
    <xf numFmtId="0" fontId="50" fillId="0" borderId="46" xfId="0" applyFont="1" applyFill="1" applyBorder="1" applyAlignment="1">
      <alignment horizontal="center" vertical="center"/>
    </xf>
    <xf numFmtId="0" fontId="41" fillId="9" borderId="44" xfId="0" applyFont="1" applyFill="1" applyBorder="1" applyAlignment="1">
      <alignment horizontal="center" vertical="center"/>
    </xf>
    <xf numFmtId="0" fontId="50" fillId="0" borderId="6" xfId="0" applyFont="1" applyBorder="1" applyAlignment="1">
      <alignment horizontal="center" vertical="center"/>
    </xf>
    <xf numFmtId="0" fontId="50" fillId="0" borderId="47" xfId="0" applyFont="1" applyBorder="1" applyAlignment="1">
      <alignment horizontal="center" vertical="center"/>
    </xf>
    <xf numFmtId="0" fontId="50" fillId="0" borderId="6" xfId="0" applyFont="1" applyFill="1" applyBorder="1" applyAlignment="1">
      <alignment horizontal="center" vertical="center"/>
    </xf>
    <xf numFmtId="0" fontId="50" fillId="0" borderId="6" xfId="0" applyFont="1" applyFill="1" applyBorder="1" applyAlignment="1">
      <alignment vertical="center"/>
    </xf>
    <xf numFmtId="0" fontId="41" fillId="9" borderId="6" xfId="0" applyFont="1" applyFill="1" applyBorder="1" applyAlignment="1">
      <alignment horizontal="center" vertical="center"/>
    </xf>
    <xf numFmtId="0" fontId="41" fillId="0" borderId="0" xfId="0" applyFont="1" applyBorder="1" applyAlignment="1">
      <alignment horizontal="center" vertical="center"/>
    </xf>
    <xf numFmtId="0" fontId="50" fillId="0" borderId="6" xfId="0" applyFont="1" applyFill="1" applyBorder="1" applyAlignment="1">
      <alignment horizontal="center" vertical="center" wrapText="1"/>
    </xf>
    <xf numFmtId="0" fontId="50" fillId="0" borderId="8" xfId="0" applyFont="1" applyFill="1" applyBorder="1" applyAlignment="1">
      <alignment horizontal="center" vertical="center"/>
    </xf>
    <xf numFmtId="0" fontId="50" fillId="0" borderId="18" xfId="0" applyFont="1" applyFill="1" applyBorder="1" applyAlignment="1">
      <alignment horizontal="center" vertical="center"/>
    </xf>
    <xf numFmtId="0" fontId="50" fillId="0" borderId="9" xfId="0" applyFont="1" applyFill="1" applyBorder="1" applyAlignment="1">
      <alignment horizontal="center" vertical="center"/>
    </xf>
    <xf numFmtId="0" fontId="50" fillId="0" borderId="5" xfId="0" applyFont="1" applyFill="1" applyBorder="1" applyAlignment="1">
      <alignment horizontal="center" vertical="center"/>
    </xf>
    <xf numFmtId="0" fontId="50" fillId="0" borderId="13" xfId="0" applyFont="1" applyFill="1" applyBorder="1" applyAlignment="1">
      <alignment horizontal="center" vertical="center"/>
    </xf>
    <xf numFmtId="0" fontId="50" fillId="0" borderId="0" xfId="0" applyFont="1" applyBorder="1">
      <alignment vertical="center"/>
    </xf>
    <xf numFmtId="180" fontId="50" fillId="0" borderId="0" xfId="0" applyNumberFormat="1" applyFont="1" applyBorder="1" applyAlignment="1">
      <alignment horizontal="center" vertical="center"/>
    </xf>
    <xf numFmtId="0" fontId="50" fillId="0" borderId="0" xfId="0" applyFont="1" applyFill="1" applyBorder="1" applyAlignment="1">
      <alignment horizontal="center" vertical="center"/>
    </xf>
    <xf numFmtId="0" fontId="50" fillId="10" borderId="0" xfId="0" applyFont="1" applyFill="1" applyBorder="1">
      <alignment vertical="center"/>
    </xf>
    <xf numFmtId="0" fontId="50" fillId="10" borderId="0" xfId="0" applyFont="1" applyFill="1" applyBorder="1" applyAlignment="1">
      <alignment horizontal="center" vertical="center"/>
    </xf>
    <xf numFmtId="0" fontId="50" fillId="10" borderId="0" xfId="0" applyFont="1" applyFill="1" applyBorder="1" applyAlignment="1">
      <alignment vertical="center"/>
    </xf>
    <xf numFmtId="0" fontId="50" fillId="10" borderId="0" xfId="0" applyFont="1" applyFill="1" applyBorder="1" applyAlignment="1">
      <alignment horizontal="left" vertical="center"/>
    </xf>
    <xf numFmtId="0" fontId="50" fillId="10" borderId="1" xfId="0" applyFont="1" applyFill="1" applyBorder="1" applyAlignment="1">
      <alignment horizontal="left" vertical="center"/>
    </xf>
    <xf numFmtId="0" fontId="50" fillId="0" borderId="8" xfId="0" applyFont="1" applyBorder="1" applyAlignment="1">
      <alignment horizontal="center" vertical="center"/>
    </xf>
    <xf numFmtId="0" fontId="50" fillId="0" borderId="56" xfId="0" applyFont="1" applyFill="1" applyBorder="1" applyAlignment="1">
      <alignment horizontal="center" vertical="center"/>
    </xf>
    <xf numFmtId="0" fontId="41" fillId="9" borderId="45" xfId="0" applyFont="1" applyFill="1" applyBorder="1" applyAlignment="1">
      <alignment horizontal="center" vertical="center"/>
    </xf>
    <xf numFmtId="0" fontId="68" fillId="10" borderId="0" xfId="0" applyFont="1" applyFill="1" applyBorder="1" applyAlignment="1">
      <alignment horizontal="left" vertical="center"/>
    </xf>
    <xf numFmtId="0" fontId="41" fillId="10" borderId="0" xfId="0" applyFont="1" applyFill="1" applyBorder="1" applyAlignment="1">
      <alignment horizontal="left" vertical="center"/>
    </xf>
    <xf numFmtId="0" fontId="50" fillId="0" borderId="0" xfId="0" applyFont="1" applyBorder="1" applyAlignment="1">
      <alignment vertical="center"/>
    </xf>
    <xf numFmtId="0" fontId="50" fillId="0" borderId="0" xfId="0" applyFont="1" applyFill="1" applyBorder="1" applyAlignment="1">
      <alignment vertical="center"/>
    </xf>
    <xf numFmtId="0" fontId="50" fillId="0" borderId="0" xfId="0" applyFont="1" applyBorder="1" applyAlignment="1">
      <alignment horizontal="right" vertical="center"/>
    </xf>
    <xf numFmtId="180" fontId="50" fillId="0" borderId="0" xfId="0" applyNumberFormat="1" applyFont="1" applyBorder="1" applyAlignment="1">
      <alignment vertical="center"/>
    </xf>
    <xf numFmtId="186" fontId="48" fillId="8" borderId="1" xfId="0" applyNumberFormat="1" applyFont="1" applyFill="1" applyBorder="1" applyAlignment="1">
      <alignment horizontal="center" vertical="center"/>
    </xf>
    <xf numFmtId="186" fontId="69" fillId="11" borderId="1" xfId="0" applyNumberFormat="1" applyFont="1" applyFill="1" applyBorder="1" applyAlignment="1">
      <alignment horizontal="center" vertical="center"/>
    </xf>
    <xf numFmtId="186" fontId="69" fillId="10" borderId="1" xfId="0" applyNumberFormat="1" applyFont="1" applyFill="1" applyBorder="1" applyAlignment="1">
      <alignment horizontal="center" vertical="center"/>
    </xf>
    <xf numFmtId="186" fontId="70" fillId="11" borderId="1" xfId="0" applyNumberFormat="1" applyFont="1" applyFill="1" applyBorder="1" applyAlignment="1">
      <alignment horizontal="center" vertical="center"/>
    </xf>
    <xf numFmtId="0" fontId="41" fillId="9" borderId="43" xfId="0" applyFont="1" applyFill="1" applyBorder="1" applyAlignment="1">
      <alignment horizontal="left" vertical="center"/>
    </xf>
    <xf numFmtId="0" fontId="41" fillId="0" borderId="6" xfId="0" applyFont="1" applyFill="1" applyBorder="1" applyAlignment="1">
      <alignment horizontal="center" vertical="center"/>
    </xf>
    <xf numFmtId="0" fontId="50" fillId="0" borderId="8" xfId="0" applyFont="1" applyFill="1" applyBorder="1" applyAlignment="1">
      <alignment vertical="center"/>
    </xf>
    <xf numFmtId="0" fontId="50" fillId="0" borderId="18" xfId="0" applyFont="1" applyFill="1" applyBorder="1" applyAlignment="1">
      <alignment vertical="center"/>
    </xf>
    <xf numFmtId="0" fontId="50" fillId="0" borderId="9" xfId="0" applyFont="1" applyFill="1" applyBorder="1" applyAlignment="1">
      <alignment vertical="center"/>
    </xf>
    <xf numFmtId="0" fontId="50" fillId="0" borderId="6" xfId="0" applyFont="1" applyBorder="1" applyAlignment="1">
      <alignment vertical="center"/>
    </xf>
    <xf numFmtId="0" fontId="50" fillId="0" borderId="6" xfId="0" applyFont="1" applyBorder="1">
      <alignment vertical="center"/>
    </xf>
    <xf numFmtId="0" fontId="50" fillId="9" borderId="3" xfId="0" applyFont="1" applyFill="1" applyBorder="1">
      <alignment vertical="center"/>
    </xf>
    <xf numFmtId="0" fontId="50" fillId="9" borderId="20" xfId="0" applyFont="1" applyFill="1" applyBorder="1">
      <alignment vertical="center"/>
    </xf>
    <xf numFmtId="0" fontId="50" fillId="9" borderId="19" xfId="0" applyFont="1" applyFill="1" applyBorder="1">
      <alignment vertical="center"/>
    </xf>
    <xf numFmtId="0" fontId="41" fillId="9" borderId="20" xfId="0" applyFont="1" applyFill="1" applyBorder="1" applyAlignment="1">
      <alignment vertical="center"/>
    </xf>
    <xf numFmtId="0" fontId="41" fillId="9" borderId="19" xfId="0" applyFont="1" applyFill="1" applyBorder="1" applyAlignment="1">
      <alignment vertical="center"/>
    </xf>
    <xf numFmtId="0" fontId="41" fillId="9" borderId="20" xfId="0" applyFont="1" applyFill="1" applyBorder="1" applyAlignment="1">
      <alignment horizontal="center" vertical="center"/>
    </xf>
    <xf numFmtId="0" fontId="41" fillId="0" borderId="6" xfId="0" applyFont="1" applyFill="1" applyBorder="1" applyAlignment="1">
      <alignment vertical="center"/>
    </xf>
    <xf numFmtId="0" fontId="50" fillId="0" borderId="11" xfId="0" applyFont="1" applyBorder="1" applyAlignment="1">
      <alignment vertical="center"/>
    </xf>
    <xf numFmtId="0" fontId="50" fillId="0" borderId="33" xfId="0" applyFont="1" applyBorder="1" applyAlignment="1">
      <alignment vertical="center"/>
    </xf>
    <xf numFmtId="0" fontId="50" fillId="0" borderId="33" xfId="0" applyFont="1" applyBorder="1" applyAlignment="1">
      <alignment horizontal="center" vertical="center"/>
    </xf>
    <xf numFmtId="0" fontId="50" fillId="0" borderId="33" xfId="0" applyFont="1" applyFill="1" applyBorder="1" applyAlignment="1">
      <alignment vertical="center"/>
    </xf>
    <xf numFmtId="0" fontId="50" fillId="0" borderId="37" xfId="0" applyFont="1" applyFill="1" applyBorder="1" applyAlignment="1">
      <alignment horizontal="center" vertical="center"/>
    </xf>
    <xf numFmtId="0" fontId="50" fillId="0" borderId="50" xfId="0" applyFont="1" applyFill="1" applyBorder="1" applyAlignment="1">
      <alignment vertical="center"/>
    </xf>
    <xf numFmtId="14" fontId="50" fillId="0" borderId="37" xfId="0" applyNumberFormat="1" applyFont="1" applyFill="1" applyBorder="1" applyAlignment="1">
      <alignment vertical="center"/>
    </xf>
    <xf numFmtId="0" fontId="50" fillId="7" borderId="8" xfId="0" applyFont="1" applyFill="1" applyBorder="1" applyAlignment="1">
      <alignment vertical="center"/>
    </xf>
    <xf numFmtId="0" fontId="50" fillId="7" borderId="18" xfId="0" applyFont="1" applyFill="1" applyBorder="1" applyAlignment="1">
      <alignment vertical="center"/>
    </xf>
    <xf numFmtId="0" fontId="50" fillId="7" borderId="50" xfId="0" applyFont="1" applyFill="1" applyBorder="1" applyAlignment="1">
      <alignment vertical="center"/>
    </xf>
    <xf numFmtId="0" fontId="50" fillId="0" borderId="47" xfId="0" applyFont="1" applyFill="1" applyBorder="1" applyAlignment="1">
      <alignment horizontal="center" vertical="center"/>
    </xf>
    <xf numFmtId="185" fontId="50" fillId="0" borderId="8" xfId="0" applyNumberFormat="1" applyFont="1" applyFill="1" applyBorder="1" applyAlignment="1">
      <alignment vertical="center"/>
    </xf>
    <xf numFmtId="0" fontId="48" fillId="8" borderId="0" xfId="0" applyFont="1" applyFill="1" applyBorder="1" applyAlignment="1">
      <alignment horizontal="center" vertical="center"/>
    </xf>
    <xf numFmtId="0" fontId="48" fillId="8" borderId="0" xfId="0" applyNumberFormat="1" applyFont="1" applyFill="1" applyBorder="1" applyAlignment="1">
      <alignment horizontal="center" vertical="center"/>
    </xf>
    <xf numFmtId="0" fontId="50" fillId="0" borderId="60" xfId="0" applyFont="1" applyBorder="1">
      <alignment vertical="center"/>
    </xf>
    <xf numFmtId="0" fontId="50" fillId="0" borderId="27" xfId="0" applyFont="1" applyBorder="1">
      <alignment vertical="center"/>
    </xf>
    <xf numFmtId="0" fontId="50" fillId="0" borderId="34" xfId="0" applyFont="1" applyBorder="1" applyAlignment="1">
      <alignment vertical="center"/>
    </xf>
    <xf numFmtId="0" fontId="50" fillId="0" borderId="34" xfId="0" applyFont="1" applyBorder="1" applyAlignment="1">
      <alignment horizontal="center" vertical="center"/>
    </xf>
    <xf numFmtId="0" fontId="50" fillId="0" borderId="34" xfId="0" applyFont="1" applyBorder="1">
      <alignment vertical="center"/>
    </xf>
    <xf numFmtId="0" fontId="50" fillId="0" borderId="34" xfId="0" applyFont="1" applyFill="1" applyBorder="1" applyAlignment="1">
      <alignment vertical="center"/>
    </xf>
    <xf numFmtId="0" fontId="41" fillId="9" borderId="1" xfId="0" applyFont="1" applyFill="1" applyBorder="1" applyAlignment="1">
      <alignment vertical="center"/>
    </xf>
    <xf numFmtId="0" fontId="41" fillId="9" borderId="1" xfId="0" applyFont="1" applyFill="1" applyBorder="1" applyAlignment="1">
      <alignment horizontal="center" vertical="center"/>
    </xf>
    <xf numFmtId="0" fontId="67" fillId="9" borderId="1" xfId="0" applyFont="1" applyFill="1" applyBorder="1" applyAlignment="1">
      <alignment horizontal="center" vertical="center"/>
    </xf>
    <xf numFmtId="0" fontId="50" fillId="9" borderId="1" xfId="0" applyFont="1" applyFill="1" applyBorder="1" applyAlignment="1">
      <alignment horizontal="center" vertical="center"/>
    </xf>
    <xf numFmtId="177" fontId="50" fillId="0" borderId="34" xfId="0" applyNumberFormat="1" applyFont="1" applyBorder="1" applyAlignment="1">
      <alignment horizontal="center" vertical="center"/>
    </xf>
    <xf numFmtId="0" fontId="66" fillId="9" borderId="1" xfId="0" applyFont="1" applyFill="1" applyBorder="1" applyAlignment="1">
      <alignment horizontal="center" vertical="center" wrapText="1"/>
    </xf>
    <xf numFmtId="0" fontId="66" fillId="9" borderId="21" xfId="0" applyFont="1" applyFill="1" applyBorder="1" applyAlignment="1">
      <alignment horizontal="center" vertical="center" wrapText="1"/>
    </xf>
    <xf numFmtId="0" fontId="67" fillId="9" borderId="21" xfId="0" applyFont="1" applyFill="1" applyBorder="1" applyAlignment="1">
      <alignment horizontal="center" vertical="center"/>
    </xf>
    <xf numFmtId="0" fontId="41" fillId="9" borderId="3" xfId="0" applyFont="1" applyFill="1" applyBorder="1" applyAlignment="1">
      <alignment horizontal="center" vertical="center"/>
    </xf>
    <xf numFmtId="0" fontId="50" fillId="0" borderId="0" xfId="0" applyFont="1" applyFill="1" applyBorder="1" applyAlignment="1">
      <alignment horizontal="left" vertical="center" wrapText="1"/>
    </xf>
    <xf numFmtId="0" fontId="50" fillId="0" borderId="0" xfId="0" applyFont="1" applyFill="1" applyBorder="1" applyAlignment="1">
      <alignment horizontal="left" vertical="center"/>
    </xf>
    <xf numFmtId="0" fontId="41" fillId="0" borderId="0" xfId="0" applyFont="1" applyBorder="1" applyAlignment="1">
      <alignment vertical="center"/>
    </xf>
    <xf numFmtId="0" fontId="72" fillId="0" borderId="6" xfId="0" applyFont="1" applyFill="1" applyBorder="1" applyAlignment="1">
      <alignment horizontal="center" vertical="center"/>
    </xf>
    <xf numFmtId="0" fontId="6" fillId="0" borderId="42" xfId="0" applyFont="1" applyBorder="1" applyAlignment="1">
      <alignment horizontal="center" vertical="center"/>
    </xf>
    <xf numFmtId="0" fontId="6" fillId="0" borderId="6" xfId="0" applyFont="1" applyBorder="1" applyAlignment="1">
      <alignment horizontal="center" vertical="center"/>
    </xf>
    <xf numFmtId="0" fontId="50" fillId="0" borderId="46" xfId="0" applyFont="1" applyBorder="1" applyAlignment="1">
      <alignment horizontal="center" vertical="center"/>
    </xf>
    <xf numFmtId="0" fontId="6" fillId="0" borderId="32" xfId="0" applyFont="1" applyBorder="1" applyAlignment="1">
      <alignment horizontal="center" vertical="center"/>
    </xf>
    <xf numFmtId="0" fontId="50" fillId="0" borderId="32" xfId="0" applyFont="1" applyBorder="1" applyAlignment="1">
      <alignment horizontal="center" vertical="center"/>
    </xf>
    <xf numFmtId="177" fontId="50" fillId="0" borderId="32" xfId="0" applyNumberFormat="1" applyFont="1" applyBorder="1" applyAlignment="1">
      <alignment horizontal="center" vertical="center"/>
    </xf>
    <xf numFmtId="0" fontId="50" fillId="0" borderId="56" xfId="0" applyFont="1" applyBorder="1" applyAlignment="1">
      <alignment horizontal="center" vertical="center"/>
    </xf>
    <xf numFmtId="0" fontId="50" fillId="0" borderId="49" xfId="0" applyFont="1" applyFill="1" applyBorder="1" applyAlignment="1">
      <alignment vertical="center"/>
    </xf>
    <xf numFmtId="0" fontId="41" fillId="0" borderId="1" xfId="0" applyFont="1" applyBorder="1" applyAlignment="1">
      <alignment horizontal="center" vertical="center"/>
    </xf>
    <xf numFmtId="0" fontId="48" fillId="0" borderId="0" xfId="0" applyFont="1" applyBorder="1" applyAlignment="1">
      <alignment horizontal="center" vertical="center"/>
    </xf>
    <xf numFmtId="0" fontId="68" fillId="10" borderId="1" xfId="0" applyFont="1" applyFill="1" applyBorder="1" applyAlignment="1">
      <alignment horizontal="center" vertical="center"/>
    </xf>
    <xf numFmtId="0" fontId="49" fillId="10" borderId="1" xfId="0" applyFont="1" applyFill="1" applyBorder="1" applyAlignment="1">
      <alignment horizontal="center" vertical="center"/>
    </xf>
    <xf numFmtId="178" fontId="49" fillId="10" borderId="1" xfId="0" applyNumberFormat="1" applyFont="1" applyFill="1" applyBorder="1" applyAlignment="1">
      <alignment horizontal="center" vertical="center"/>
    </xf>
    <xf numFmtId="0" fontId="48" fillId="0" borderId="21" xfId="0" applyFont="1" applyBorder="1" applyAlignment="1">
      <alignment horizontal="center" vertical="center"/>
    </xf>
    <xf numFmtId="0" fontId="48" fillId="0" borderId="1" xfId="0" applyFont="1" applyBorder="1" applyAlignment="1">
      <alignment horizontal="center" vertical="center"/>
    </xf>
    <xf numFmtId="0" fontId="49" fillId="10" borderId="6" xfId="0" applyFont="1" applyFill="1" applyBorder="1" applyAlignment="1">
      <alignment horizontal="center" vertical="center"/>
    </xf>
    <xf numFmtId="178" fontId="49" fillId="10" borderId="34" xfId="0" applyNumberFormat="1" applyFont="1" applyFill="1" applyBorder="1" applyAlignment="1">
      <alignment horizontal="left" vertical="center"/>
    </xf>
    <xf numFmtId="0" fontId="49" fillId="10" borderId="34" xfId="0" applyFont="1" applyFill="1" applyBorder="1" applyAlignment="1">
      <alignment horizontal="center" vertical="center"/>
    </xf>
    <xf numFmtId="184" fontId="49" fillId="10" borderId="34" xfId="0" applyNumberFormat="1" applyFont="1" applyFill="1" applyBorder="1" applyAlignment="1">
      <alignment horizontal="center" vertical="center"/>
    </xf>
    <xf numFmtId="0" fontId="50" fillId="0" borderId="32" xfId="0" applyFont="1" applyFill="1" applyBorder="1" applyAlignment="1">
      <alignment horizontal="center" vertical="center" wrapText="1"/>
    </xf>
    <xf numFmtId="0" fontId="57" fillId="2" borderId="0" xfId="0" applyFont="1" applyFill="1" applyBorder="1" applyAlignment="1">
      <alignment horizontal="center" vertical="center"/>
    </xf>
    <xf numFmtId="0" fontId="73" fillId="2" borderId="0" xfId="0" applyFont="1" applyFill="1" applyAlignment="1">
      <alignment horizontal="center" vertical="center"/>
    </xf>
    <xf numFmtId="0" fontId="73" fillId="0" borderId="0" xfId="0" applyFont="1" applyAlignment="1">
      <alignment horizontal="center" vertical="center"/>
    </xf>
    <xf numFmtId="0" fontId="56" fillId="0" borderId="0" xfId="0" applyFont="1" applyFill="1" applyBorder="1" applyAlignment="1">
      <alignment horizontal="center" vertical="center"/>
    </xf>
    <xf numFmtId="0" fontId="28" fillId="2" borderId="1" xfId="0" applyFont="1" applyFill="1" applyBorder="1" applyAlignment="1">
      <alignment horizontal="center" vertical="center"/>
    </xf>
    <xf numFmtId="0" fontId="28" fillId="0" borderId="1" xfId="0" applyFont="1" applyBorder="1" applyAlignment="1">
      <alignment horizontal="center" vertical="center"/>
    </xf>
    <xf numFmtId="0" fontId="48" fillId="0" borderId="0" xfId="0" applyFont="1" applyFill="1" applyBorder="1" applyAlignment="1">
      <alignment vertical="center" wrapText="1"/>
    </xf>
    <xf numFmtId="0" fontId="50" fillId="0" borderId="32" xfId="0" applyFont="1" applyFill="1" applyBorder="1" applyAlignment="1">
      <alignment vertical="center" wrapText="1"/>
    </xf>
    <xf numFmtId="0" fontId="55" fillId="0" borderId="32" xfId="0" applyFont="1" applyFill="1" applyBorder="1" applyAlignment="1">
      <alignment horizontal="center" vertical="center" wrapText="1"/>
    </xf>
    <xf numFmtId="0" fontId="55" fillId="0" borderId="32" xfId="0" applyFont="1" applyFill="1" applyBorder="1" applyAlignment="1">
      <alignment vertical="center" wrapText="1"/>
    </xf>
    <xf numFmtId="0" fontId="50" fillId="0" borderId="1" xfId="0" applyNumberFormat="1" applyFont="1" applyFill="1" applyBorder="1" applyAlignment="1">
      <alignment horizontal="center" vertical="center"/>
    </xf>
    <xf numFmtId="0" fontId="50" fillId="0" borderId="0" xfId="0" applyFont="1" applyBorder="1" applyAlignment="1">
      <alignment horizontal="center" vertical="center"/>
    </xf>
    <xf numFmtId="0" fontId="41" fillId="0" borderId="0" xfId="0" applyFont="1" applyBorder="1" applyAlignment="1">
      <alignment horizontal="center" vertical="center"/>
    </xf>
    <xf numFmtId="0" fontId="50" fillId="0" borderId="19" xfId="0" applyFont="1" applyFill="1" applyBorder="1" applyAlignment="1">
      <alignment horizontal="center" vertical="center"/>
    </xf>
    <xf numFmtId="0" fontId="50" fillId="0" borderId="6" xfId="0" applyFont="1" applyFill="1" applyBorder="1" applyAlignment="1">
      <alignment horizontal="center" vertical="center" wrapText="1"/>
    </xf>
    <xf numFmtId="0" fontId="50" fillId="0" borderId="32" xfId="0" applyFont="1" applyFill="1" applyBorder="1" applyAlignment="1">
      <alignment horizontal="center" vertical="center"/>
    </xf>
    <xf numFmtId="0" fontId="50" fillId="0" borderId="34" xfId="0" applyFont="1" applyFill="1" applyBorder="1" applyAlignment="1">
      <alignment horizontal="center" vertical="center"/>
    </xf>
    <xf numFmtId="0" fontId="50" fillId="0" borderId="32" xfId="0" applyFont="1" applyFill="1" applyBorder="1" applyAlignment="1">
      <alignment horizontal="center" vertical="center" wrapText="1"/>
    </xf>
    <xf numFmtId="0" fontId="50" fillId="0" borderId="34" xfId="0" applyFont="1" applyFill="1" applyBorder="1" applyAlignment="1">
      <alignment horizontal="center" vertical="center" wrapText="1"/>
    </xf>
    <xf numFmtId="0" fontId="50" fillId="0" borderId="8" xfId="0" applyFont="1" applyFill="1" applyBorder="1" applyAlignment="1">
      <alignment horizontal="center" vertical="center" wrapText="1"/>
    </xf>
    <xf numFmtId="0" fontId="50" fillId="0" borderId="10" xfId="0" applyFont="1" applyFill="1" applyBorder="1" applyAlignment="1">
      <alignment horizontal="center" vertical="center"/>
    </xf>
    <xf numFmtId="0" fontId="50" fillId="0" borderId="56" xfId="0" applyFont="1" applyFill="1" applyBorder="1" applyAlignment="1">
      <alignment vertical="center"/>
    </xf>
    <xf numFmtId="0" fontId="50" fillId="0" borderId="48" xfId="0" applyFont="1" applyFill="1" applyBorder="1" applyAlignment="1">
      <alignment horizontal="center" vertical="center"/>
    </xf>
    <xf numFmtId="0" fontId="50" fillId="7" borderId="47" xfId="0" applyFont="1" applyFill="1" applyBorder="1" applyAlignment="1">
      <alignment vertical="center"/>
    </xf>
    <xf numFmtId="0" fontId="50" fillId="0" borderId="47" xfId="0" applyFont="1" applyFill="1" applyBorder="1" applyAlignment="1">
      <alignment vertical="center"/>
    </xf>
    <xf numFmtId="14" fontId="50" fillId="0" borderId="0" xfId="0" applyNumberFormat="1" applyFont="1" applyFill="1" applyBorder="1" applyAlignment="1">
      <alignment vertical="center"/>
    </xf>
    <xf numFmtId="14" fontId="50" fillId="0" borderId="18" xfId="0" applyNumberFormat="1" applyFont="1" applyFill="1" applyBorder="1" applyAlignment="1">
      <alignment vertical="center"/>
    </xf>
    <xf numFmtId="14" fontId="50" fillId="0" borderId="6" xfId="0" applyNumberFormat="1" applyFont="1" applyFill="1" applyBorder="1" applyAlignment="1">
      <alignment horizontal="center" vertical="center" wrapText="1"/>
    </xf>
    <xf numFmtId="0" fontId="50" fillId="7" borderId="6" xfId="0" applyFont="1" applyFill="1" applyBorder="1" applyAlignment="1">
      <alignment vertical="center"/>
    </xf>
    <xf numFmtId="0" fontId="50" fillId="15" borderId="1" xfId="0" applyFont="1" applyFill="1" applyBorder="1" applyAlignment="1">
      <alignment horizontal="center" vertical="center"/>
    </xf>
    <xf numFmtId="180" fontId="50" fillId="15" borderId="1" xfId="0" applyNumberFormat="1" applyFont="1" applyFill="1" applyBorder="1" applyAlignment="1">
      <alignment horizontal="center" vertical="center"/>
    </xf>
    <xf numFmtId="14" fontId="50" fillId="15" borderId="1" xfId="0" applyNumberFormat="1" applyFont="1" applyFill="1" applyBorder="1" applyAlignment="1">
      <alignment horizontal="center" vertical="center"/>
    </xf>
    <xf numFmtId="0" fontId="0" fillId="15" borderId="1" xfId="0" applyFill="1" applyBorder="1">
      <alignment vertical="center"/>
    </xf>
    <xf numFmtId="181" fontId="50" fillId="0" borderId="6" xfId="40" applyNumberFormat="1" applyFont="1" applyFill="1" applyBorder="1" applyAlignment="1">
      <alignment horizontal="center" vertical="center" wrapText="1"/>
    </xf>
    <xf numFmtId="0" fontId="50" fillId="0" borderId="6" xfId="40" quotePrefix="1" applyFont="1" applyFill="1" applyBorder="1" applyAlignment="1">
      <alignment horizontal="center" vertical="center" wrapText="1"/>
    </xf>
    <xf numFmtId="0" fontId="74" fillId="0" borderId="0" xfId="0" applyFont="1" applyFill="1" applyBorder="1" applyAlignment="1">
      <alignment horizontal="center" vertical="center"/>
    </xf>
    <xf numFmtId="14" fontId="50" fillId="7" borderId="0" xfId="0" applyNumberFormat="1" applyFont="1" applyFill="1" applyBorder="1" applyAlignment="1">
      <alignment vertical="center"/>
    </xf>
    <xf numFmtId="0" fontId="50" fillId="7" borderId="34" xfId="0" applyFont="1" applyFill="1" applyBorder="1" applyAlignment="1">
      <alignment vertical="center"/>
    </xf>
    <xf numFmtId="0" fontId="50" fillId="7" borderId="32" xfId="0" applyFont="1" applyFill="1" applyBorder="1" applyAlignment="1">
      <alignment vertical="center"/>
    </xf>
    <xf numFmtId="0" fontId="49" fillId="0" borderId="6" xfId="0" applyFont="1" applyFill="1" applyBorder="1" applyAlignment="1">
      <alignment horizontal="center" vertical="center" wrapText="1"/>
    </xf>
    <xf numFmtId="186" fontId="69" fillId="10" borderId="3" xfId="0" applyNumberFormat="1" applyFont="1" applyFill="1" applyBorder="1" applyAlignment="1">
      <alignment horizontal="center" vertical="center"/>
    </xf>
    <xf numFmtId="186" fontId="71" fillId="11" borderId="21" xfId="0" applyNumberFormat="1" applyFont="1" applyFill="1" applyBorder="1" applyAlignment="1">
      <alignment horizontal="center" vertical="center"/>
    </xf>
    <xf numFmtId="186" fontId="48" fillId="10" borderId="3" xfId="0" applyNumberFormat="1" applyFont="1" applyFill="1" applyBorder="1" applyAlignment="1">
      <alignment horizontal="center" vertical="center"/>
    </xf>
    <xf numFmtId="0" fontId="50" fillId="0" borderId="0" xfId="0" applyFont="1" applyFill="1" applyBorder="1" applyAlignment="1">
      <alignment vertical="center" wrapText="1"/>
    </xf>
    <xf numFmtId="179" fontId="50" fillId="0" borderId="32" xfId="0" applyNumberFormat="1" applyFont="1" applyFill="1" applyBorder="1" applyAlignment="1">
      <alignment horizontal="center" vertical="center" wrapText="1"/>
    </xf>
    <xf numFmtId="179" fontId="50" fillId="0" borderId="34" xfId="0" applyNumberFormat="1" applyFont="1" applyFill="1" applyBorder="1" applyAlignment="1">
      <alignment horizontal="center" vertical="center" wrapText="1"/>
    </xf>
    <xf numFmtId="14" fontId="50" fillId="0" borderId="1" xfId="0" applyNumberFormat="1" applyFont="1" applyFill="1" applyBorder="1" applyAlignment="1">
      <alignment horizontal="center" vertical="center" wrapText="1"/>
    </xf>
    <xf numFmtId="0" fontId="50" fillId="10" borderId="1" xfId="0" applyFont="1" applyFill="1" applyBorder="1" applyAlignment="1">
      <alignment horizontal="center" vertical="center"/>
    </xf>
    <xf numFmtId="0" fontId="4" fillId="0" borderId="0" xfId="0" applyFont="1">
      <alignment vertical="center"/>
    </xf>
    <xf numFmtId="0" fontId="4" fillId="0" borderId="0" xfId="0" applyFont="1" applyFill="1" applyBorder="1">
      <alignment vertical="center"/>
    </xf>
    <xf numFmtId="186" fontId="50" fillId="0" borderId="0" xfId="0" applyNumberFormat="1" applyFont="1" applyFill="1" applyBorder="1" applyAlignment="1">
      <alignment vertical="center" wrapText="1"/>
    </xf>
    <xf numFmtId="186" fontId="50" fillId="0" borderId="0" xfId="0" applyNumberFormat="1" applyFont="1" applyFill="1" applyBorder="1" applyAlignment="1">
      <alignment horizontal="center" vertical="center"/>
    </xf>
    <xf numFmtId="186" fontId="50" fillId="0" borderId="1" xfId="0" applyNumberFormat="1" applyFont="1" applyFill="1" applyBorder="1" applyAlignment="1">
      <alignment horizontal="center" vertical="center"/>
    </xf>
    <xf numFmtId="186" fontId="50" fillId="10" borderId="1" xfId="0" applyNumberFormat="1" applyFont="1" applyFill="1" applyBorder="1" applyAlignment="1">
      <alignment horizontal="center" vertical="center"/>
    </xf>
    <xf numFmtId="0" fontId="4" fillId="0" borderId="1" xfId="0" applyFont="1" applyBorder="1">
      <alignment vertical="center"/>
    </xf>
    <xf numFmtId="186" fontId="50" fillId="0" borderId="16" xfId="0" applyNumberFormat="1" applyFont="1" applyFill="1" applyBorder="1" applyAlignment="1">
      <alignment horizontal="center" vertical="center"/>
    </xf>
    <xf numFmtId="186" fontId="50" fillId="0" borderId="3" xfId="0" applyNumberFormat="1" applyFont="1" applyFill="1" applyBorder="1" applyAlignment="1">
      <alignment horizontal="center" vertical="center"/>
    </xf>
    <xf numFmtId="0" fontId="4" fillId="0" borderId="0" xfId="0" applyFont="1" applyAlignment="1">
      <alignment horizontal="center" vertical="center"/>
    </xf>
    <xf numFmtId="0" fontId="50" fillId="10" borderId="19" xfId="0" applyFont="1" applyFill="1" applyBorder="1" applyAlignment="1">
      <alignment horizontal="center" vertical="center"/>
    </xf>
    <xf numFmtId="0" fontId="57" fillId="10" borderId="1" xfId="0" applyFont="1" applyFill="1" applyBorder="1" applyAlignment="1">
      <alignment horizontal="left" vertical="center"/>
    </xf>
    <xf numFmtId="0" fontId="57" fillId="10" borderId="1" xfId="0" applyFont="1" applyFill="1" applyBorder="1" applyAlignment="1">
      <alignment horizontal="center" vertical="center"/>
    </xf>
    <xf numFmtId="186" fontId="50" fillId="10" borderId="0" xfId="0" applyNumberFormat="1" applyFont="1" applyFill="1" applyBorder="1" applyAlignment="1">
      <alignment horizontal="center" vertical="center"/>
    </xf>
    <xf numFmtId="0" fontId="57" fillId="0" borderId="1" xfId="0" applyNumberFormat="1" applyFont="1" applyFill="1" applyBorder="1" applyAlignment="1">
      <alignment horizontal="center" vertical="center"/>
    </xf>
    <xf numFmtId="186" fontId="75" fillId="10" borderId="0" xfId="0" applyNumberFormat="1" applyFont="1" applyFill="1" applyBorder="1" applyAlignment="1">
      <alignment horizontal="center" vertical="center"/>
    </xf>
    <xf numFmtId="186" fontId="50" fillId="10" borderId="0" xfId="0" applyNumberFormat="1" applyFont="1" applyFill="1" applyBorder="1" applyAlignment="1">
      <alignment horizontal="left" vertical="center"/>
    </xf>
    <xf numFmtId="0" fontId="18" fillId="3" borderId="38" xfId="25" applyFont="1" applyFill="1" applyBorder="1">
      <alignment vertical="center"/>
    </xf>
    <xf numFmtId="0" fontId="25" fillId="0" borderId="38" xfId="25" applyFont="1" applyFill="1" applyBorder="1" applyAlignment="1">
      <alignment horizontal="left" vertical="center" wrapText="1"/>
    </xf>
    <xf numFmtId="0" fontId="25" fillId="0" borderId="38" xfId="25" applyFont="1" applyFill="1" applyBorder="1">
      <alignment vertical="center"/>
    </xf>
    <xf numFmtId="0" fontId="25" fillId="6" borderId="4" xfId="25" applyNumberFormat="1" applyFont="1" applyFill="1" applyBorder="1" applyAlignment="1">
      <alignment horizontal="center" vertical="center"/>
    </xf>
    <xf numFmtId="0" fontId="57" fillId="0" borderId="6" xfId="0" applyFont="1" applyFill="1" applyBorder="1" applyAlignment="1">
      <alignment horizontal="center" vertical="center" wrapText="1"/>
    </xf>
    <xf numFmtId="0" fontId="50" fillId="0" borderId="6" xfId="0" applyFont="1" applyFill="1" applyBorder="1" applyAlignment="1">
      <alignment horizontal="center" vertical="center" wrapText="1"/>
    </xf>
    <xf numFmtId="0" fontId="48" fillId="0" borderId="0" xfId="26" applyFont="1" applyBorder="1" applyAlignment="1">
      <alignment horizontal="center" vertical="center"/>
    </xf>
    <xf numFmtId="0" fontId="48" fillId="0" borderId="0" xfId="32" applyFont="1" applyFill="1" applyBorder="1" applyAlignment="1">
      <alignment horizontal="center" vertical="center" wrapText="1"/>
    </xf>
    <xf numFmtId="0" fontId="50" fillId="0" borderId="0" xfId="0" quotePrefix="1" applyFont="1" applyFill="1" applyBorder="1" applyAlignment="1">
      <alignment horizontal="center" vertical="center" wrapText="1"/>
    </xf>
    <xf numFmtId="0" fontId="50" fillId="0" borderId="6" xfId="0" applyFont="1" applyFill="1" applyBorder="1" applyAlignment="1">
      <alignment horizontal="center" vertical="center" wrapText="1"/>
    </xf>
    <xf numFmtId="0" fontId="18" fillId="0" borderId="6" xfId="25" applyFont="1" applyFill="1" applyBorder="1" applyAlignment="1">
      <alignment horizontal="left" vertical="center" wrapText="1"/>
    </xf>
    <xf numFmtId="0" fontId="25" fillId="0" borderId="6" xfId="25" applyFont="1" applyFill="1" applyBorder="1">
      <alignment vertical="center"/>
    </xf>
    <xf numFmtId="0" fontId="50" fillId="0" borderId="6" xfId="0" applyFont="1" applyFill="1" applyBorder="1" applyAlignment="1">
      <alignment horizontal="center" vertical="center" wrapText="1"/>
    </xf>
    <xf numFmtId="0" fontId="50" fillId="0" borderId="34" xfId="0" applyFont="1" applyFill="1" applyBorder="1" applyAlignment="1">
      <alignment horizontal="center" vertical="center"/>
    </xf>
    <xf numFmtId="0" fontId="50" fillId="0" borderId="61" xfId="0" applyFont="1" applyFill="1" applyBorder="1" applyAlignment="1">
      <alignment horizontal="center" vertical="center"/>
    </xf>
    <xf numFmtId="185" fontId="50" fillId="0" borderId="47" xfId="0" applyNumberFormat="1" applyFont="1" applyFill="1" applyBorder="1" applyAlignment="1">
      <alignment vertical="center"/>
    </xf>
    <xf numFmtId="0" fontId="41" fillId="0" borderId="1" xfId="0" applyFont="1" applyFill="1" applyBorder="1" applyAlignment="1">
      <alignment vertical="center"/>
    </xf>
    <xf numFmtId="0" fontId="50" fillId="0" borderId="50" xfId="0" applyFont="1" applyFill="1" applyBorder="1" applyAlignment="1">
      <alignment horizontal="center" vertical="center"/>
    </xf>
    <xf numFmtId="0" fontId="41" fillId="0" borderId="16" xfId="0" applyFont="1" applyFill="1" applyBorder="1" applyAlignment="1">
      <alignment horizontal="center" vertical="center"/>
    </xf>
    <xf numFmtId="0" fontId="48" fillId="0" borderId="3"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50" fillId="0" borderId="6" xfId="0" applyFont="1" applyFill="1" applyBorder="1" applyAlignment="1">
      <alignment horizontal="center" vertical="center" wrapText="1"/>
    </xf>
    <xf numFmtId="0" fontId="18" fillId="0" borderId="38" xfId="25" applyFont="1" applyFill="1" applyBorder="1" applyAlignment="1">
      <alignment horizontal="center" vertical="center" wrapText="1"/>
    </xf>
    <xf numFmtId="0" fontId="18" fillId="0" borderId="38" xfId="25" applyFont="1" applyFill="1" applyBorder="1" applyAlignment="1">
      <alignment horizontal="left" vertical="center" wrapText="1"/>
    </xf>
    <xf numFmtId="0" fontId="18" fillId="0" borderId="39" xfId="25" applyFont="1" applyFill="1" applyBorder="1" applyAlignment="1">
      <alignment horizontal="center" vertical="center" wrapText="1"/>
    </xf>
    <xf numFmtId="0" fontId="18" fillId="0" borderId="41" xfId="25"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6" xfId="25" applyFont="1" applyFill="1" applyBorder="1" applyAlignment="1">
      <alignment horizontal="center" vertical="center" wrapText="1"/>
    </xf>
    <xf numFmtId="0" fontId="25" fillId="0" borderId="38" xfId="25" applyFont="1" applyFill="1" applyBorder="1" applyAlignment="1">
      <alignment horizontal="center" vertical="center" wrapText="1"/>
    </xf>
    <xf numFmtId="0" fontId="50" fillId="0" borderId="34"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5" fillId="6" borderId="4" xfId="25" applyFont="1" applyFill="1" applyBorder="1" applyAlignment="1">
      <alignment vertical="center"/>
    </xf>
    <xf numFmtId="0" fontId="18" fillId="0" borderId="38" xfId="25" applyFont="1" applyFill="1" applyBorder="1" applyAlignment="1">
      <alignment horizontal="left" vertical="center"/>
    </xf>
    <xf numFmtId="0" fontId="18" fillId="0" borderId="58" xfId="25" applyFont="1" applyFill="1" applyBorder="1">
      <alignment vertical="center"/>
    </xf>
    <xf numFmtId="0" fontId="34" fillId="0" borderId="59" xfId="25" applyFont="1" applyFill="1" applyBorder="1" applyAlignment="1">
      <alignment horizontal="center" vertical="center" wrapText="1"/>
    </xf>
    <xf numFmtId="0" fontId="1" fillId="0" borderId="6" xfId="25" applyFont="1" applyFill="1" applyBorder="1">
      <alignment vertical="center"/>
    </xf>
    <xf numFmtId="0" fontId="1" fillId="2" borderId="6" xfId="25" applyFont="1" applyFill="1" applyBorder="1">
      <alignment vertical="center"/>
    </xf>
    <xf numFmtId="0" fontId="1" fillId="0" borderId="6" xfId="25" applyFont="1" applyFill="1" applyBorder="1" applyAlignment="1">
      <alignment horizontal="center" vertical="center"/>
    </xf>
    <xf numFmtId="0" fontId="1" fillId="0" borderId="0" xfId="25" applyFont="1" applyFill="1">
      <alignment vertical="center"/>
    </xf>
    <xf numFmtId="0" fontId="1" fillId="0" borderId="0" xfId="25" applyFont="1" applyFill="1" applyAlignment="1">
      <alignment horizontal="center" vertical="center"/>
    </xf>
    <xf numFmtId="0" fontId="1" fillId="2" borderId="0" xfId="25" applyFont="1" applyFill="1">
      <alignment vertical="center"/>
    </xf>
    <xf numFmtId="0" fontId="18" fillId="2" borderId="38" xfId="25" applyFont="1" applyFill="1" applyBorder="1" applyAlignment="1">
      <alignment horizontal="left" vertical="center" wrapText="1"/>
    </xf>
    <xf numFmtId="0" fontId="3" fillId="0" borderId="0" xfId="0" applyFont="1">
      <alignment vertical="center"/>
    </xf>
    <xf numFmtId="0" fontId="48" fillId="0" borderId="0" xfId="37" applyFont="1" applyBorder="1" applyAlignment="1">
      <alignment wrapText="1"/>
    </xf>
    <xf numFmtId="0" fontId="48" fillId="0" borderId="0" xfId="37" applyFont="1" applyBorder="1" applyAlignment="1">
      <alignment horizontal="left" wrapText="1"/>
    </xf>
    <xf numFmtId="0" fontId="48" fillId="0" borderId="0" xfId="37" applyFont="1" applyBorder="1" applyAlignment="1">
      <alignment horizontal="center" wrapText="1"/>
    </xf>
    <xf numFmtId="0" fontId="48" fillId="0" borderId="0" xfId="35" applyFont="1" applyBorder="1" applyAlignment="1">
      <alignment horizontal="center" wrapText="1"/>
    </xf>
    <xf numFmtId="0" fontId="48" fillId="0" borderId="0" xfId="37" applyFont="1" applyBorder="1" applyAlignment="1">
      <alignment horizontal="center" vertical="center" wrapText="1"/>
    </xf>
    <xf numFmtId="0" fontId="48" fillId="0" borderId="0" xfId="30" applyFont="1" applyBorder="1" applyAlignment="1">
      <alignment horizontal="center" wrapText="1"/>
    </xf>
    <xf numFmtId="0" fontId="77" fillId="16" borderId="0" xfId="35" applyFont="1" applyFill="1" applyBorder="1" applyAlignment="1">
      <alignment horizontal="center" wrapText="1"/>
    </xf>
    <xf numFmtId="0" fontId="69" fillId="0" borderId="0" xfId="30" applyFont="1" applyBorder="1" applyAlignment="1">
      <alignment horizontal="center" wrapText="1"/>
    </xf>
    <xf numFmtId="0" fontId="48" fillId="0" borderId="0" xfId="32" applyFont="1" applyBorder="1" applyAlignment="1">
      <alignment horizontal="center" vertical="center" wrapText="1"/>
    </xf>
    <xf numFmtId="0" fontId="77" fillId="0" borderId="0" xfId="35" applyFont="1" applyBorder="1" applyAlignment="1">
      <alignment horizontal="center" vertical="center" wrapText="1"/>
    </xf>
    <xf numFmtId="0" fontId="48" fillId="0" borderId="0" xfId="37" applyFont="1" applyBorder="1" applyAlignment="1">
      <alignment horizontal="center" vertical="center"/>
    </xf>
    <xf numFmtId="0" fontId="48" fillId="0" borderId="0" xfId="37" applyFont="1" applyBorder="1" applyAlignment="1">
      <alignment vertical="center"/>
    </xf>
    <xf numFmtId="0" fontId="48" fillId="0" borderId="0" xfId="37" applyNumberFormat="1" applyFont="1" applyBorder="1" applyAlignment="1">
      <alignment horizontal="center" vertical="center"/>
    </xf>
    <xf numFmtId="0" fontId="77" fillId="0" borderId="0" xfId="35" applyFont="1" applyBorder="1" applyAlignment="1">
      <alignment horizontal="center" wrapText="1"/>
    </xf>
    <xf numFmtId="0" fontId="48" fillId="0" borderId="0" xfId="37" applyFont="1" applyBorder="1" applyAlignment="1">
      <alignment horizontal="left" vertical="center"/>
    </xf>
    <xf numFmtId="0" fontId="48" fillId="0" borderId="0" xfId="37" applyNumberFormat="1" applyFont="1" applyBorder="1" applyAlignment="1">
      <alignment horizontal="left" vertical="center"/>
    </xf>
    <xf numFmtId="0" fontId="48" fillId="0" borderId="0" xfId="35" applyFont="1" applyBorder="1" applyAlignment="1">
      <alignment wrapText="1"/>
    </xf>
    <xf numFmtId="0" fontId="48" fillId="0" borderId="0" xfId="37" applyFont="1" applyBorder="1" applyAlignment="1">
      <alignment vertical="center" wrapText="1"/>
    </xf>
    <xf numFmtId="178" fontId="77" fillId="0" borderId="0" xfId="35" applyNumberFormat="1" applyFont="1" applyBorder="1" applyAlignment="1">
      <alignment horizontal="center" wrapText="1"/>
    </xf>
    <xf numFmtId="0" fontId="77" fillId="0" borderId="0" xfId="37" applyNumberFormat="1" applyFont="1" applyBorder="1" applyAlignment="1">
      <alignment horizontal="center" vertical="center" wrapText="1"/>
    </xf>
    <xf numFmtId="0" fontId="48" fillId="0" borderId="0" xfId="35" applyFont="1" applyFill="1" applyBorder="1" applyAlignment="1">
      <alignment horizontal="center" vertical="center" wrapText="1"/>
    </xf>
    <xf numFmtId="178" fontId="48" fillId="0" borderId="0" xfId="35" applyNumberFormat="1" applyFont="1" applyBorder="1" applyAlignment="1">
      <alignment horizontal="center" wrapText="1"/>
    </xf>
    <xf numFmtId="178" fontId="69" fillId="0" borderId="1" xfId="37" applyNumberFormat="1" applyFont="1" applyBorder="1" applyAlignment="1">
      <alignment horizontal="center" vertical="center" wrapText="1"/>
    </xf>
    <xf numFmtId="0" fontId="48" fillId="0" borderId="1" xfId="35" applyFont="1" applyBorder="1" applyAlignment="1">
      <alignment horizontal="center" vertical="center" wrapText="1"/>
    </xf>
    <xf numFmtId="0" fontId="48" fillId="0" borderId="1" xfId="37" applyFont="1" applyBorder="1" applyAlignment="1">
      <alignment horizontal="center" vertical="center" wrapText="1"/>
    </xf>
    <xf numFmtId="177" fontId="48" fillId="0" borderId="1" xfId="37" applyNumberFormat="1" applyFont="1" applyBorder="1" applyAlignment="1">
      <alignment horizontal="center" vertical="center" wrapText="1"/>
    </xf>
    <xf numFmtId="0" fontId="48" fillId="0" borderId="1" xfId="37" applyNumberFormat="1" applyFont="1" applyBorder="1" applyAlignment="1">
      <alignment horizontal="center" vertical="center" wrapText="1"/>
    </xf>
    <xf numFmtId="0" fontId="48" fillId="0" borderId="0" xfId="35" applyFont="1" applyBorder="1" applyAlignment="1">
      <alignment horizontal="center" vertical="center" wrapText="1"/>
    </xf>
    <xf numFmtId="0" fontId="69" fillId="0" borderId="0" xfId="35" applyFont="1" applyFill="1" applyBorder="1" applyAlignment="1">
      <alignment horizontal="center" vertical="center" wrapText="1"/>
    </xf>
    <xf numFmtId="0" fontId="48" fillId="0" borderId="0" xfId="35" applyFont="1" applyFill="1" applyBorder="1" applyAlignment="1">
      <alignment horizontal="center" wrapText="1"/>
    </xf>
    <xf numFmtId="0" fontId="48" fillId="0" borderId="21" xfId="37" applyFont="1" applyBorder="1" applyAlignment="1">
      <alignment horizontal="center" vertical="center" wrapText="1"/>
    </xf>
    <xf numFmtId="0" fontId="48" fillId="0" borderId="4" xfId="37" applyFont="1" applyBorder="1" applyAlignment="1">
      <alignment horizontal="center" vertical="center" wrapText="1"/>
    </xf>
    <xf numFmtId="0" fontId="48" fillId="0" borderId="15" xfId="37" applyFont="1" applyBorder="1" applyAlignment="1">
      <alignment horizontal="center" vertical="center" wrapText="1"/>
    </xf>
    <xf numFmtId="0" fontId="62" fillId="0" borderId="26" xfId="37" applyFont="1" applyBorder="1" applyAlignment="1">
      <alignment horizontal="center" vertical="center" wrapText="1"/>
    </xf>
    <xf numFmtId="0" fontId="48" fillId="0" borderId="26" xfId="37" applyFont="1" applyBorder="1" applyAlignment="1">
      <alignment vertical="center" wrapText="1"/>
    </xf>
    <xf numFmtId="0" fontId="48" fillId="0" borderId="4" xfId="37" applyFont="1" applyBorder="1" applyAlignment="1">
      <alignment vertical="center" wrapText="1"/>
    </xf>
    <xf numFmtId="0" fontId="48" fillId="0" borderId="4" xfId="37" applyFont="1" applyBorder="1" applyAlignment="1">
      <alignment vertical="center"/>
    </xf>
    <xf numFmtId="0" fontId="48" fillId="0" borderId="25" xfId="37" applyFont="1" applyBorder="1" applyAlignment="1">
      <alignment vertical="center" wrapText="1"/>
    </xf>
    <xf numFmtId="180" fontId="48" fillId="0" borderId="19" xfId="37" applyNumberFormat="1" applyFont="1" applyFill="1" applyBorder="1" applyAlignment="1">
      <alignment horizontal="center" vertical="center" wrapText="1"/>
    </xf>
    <xf numFmtId="0" fontId="48" fillId="0" borderId="20" xfId="2" applyFont="1" applyFill="1" applyBorder="1" applyAlignment="1">
      <alignment horizontal="center" vertical="center" wrapText="1"/>
    </xf>
    <xf numFmtId="182" fontId="48" fillId="0" borderId="20" xfId="37" applyNumberFormat="1" applyFont="1" applyBorder="1" applyAlignment="1">
      <alignment horizontal="center" vertical="center" wrapText="1"/>
    </xf>
    <xf numFmtId="0" fontId="48" fillId="0" borderId="20" xfId="37" applyFont="1" applyBorder="1" applyAlignment="1">
      <alignment horizontal="center" vertical="center" wrapText="1"/>
    </xf>
    <xf numFmtId="0" fontId="62" fillId="0" borderId="20" xfId="37" applyFont="1" applyBorder="1" applyAlignment="1">
      <alignment horizontal="center" vertical="center" wrapText="1"/>
    </xf>
    <xf numFmtId="180" fontId="62" fillId="0" borderId="20" xfId="37" applyNumberFormat="1" applyFont="1" applyBorder="1" applyAlignment="1">
      <alignment horizontal="center" vertical="center" wrapText="1"/>
    </xf>
    <xf numFmtId="0" fontId="48" fillId="0" borderId="20" xfId="37" applyFont="1" applyBorder="1" applyAlignment="1">
      <alignment horizontal="center" wrapText="1"/>
    </xf>
    <xf numFmtId="0" fontId="48" fillId="0" borderId="3" xfId="37" applyFont="1" applyBorder="1" applyAlignment="1">
      <alignment horizontal="left" vertical="center"/>
    </xf>
    <xf numFmtId="0" fontId="48" fillId="0" borderId="3" xfId="37" applyFont="1" applyBorder="1" applyAlignment="1">
      <alignment horizontal="center" vertical="center" wrapText="1"/>
    </xf>
    <xf numFmtId="180" fontId="48" fillId="2" borderId="16" xfId="37" applyNumberFormat="1" applyFont="1" applyFill="1" applyBorder="1" applyAlignment="1">
      <alignment horizontal="center" vertical="center" wrapText="1"/>
    </xf>
    <xf numFmtId="0" fontId="48" fillId="2" borderId="16" xfId="2" applyFont="1" applyFill="1" applyBorder="1" applyAlignment="1">
      <alignment horizontal="center" vertical="center" wrapText="1"/>
    </xf>
    <xf numFmtId="182" fontId="48" fillId="0" borderId="16" xfId="37" applyNumberFormat="1" applyFont="1" applyBorder="1" applyAlignment="1">
      <alignment horizontal="center" vertical="center" wrapText="1"/>
    </xf>
    <xf numFmtId="0" fontId="48" fillId="0" borderId="16" xfId="37" applyFont="1" applyBorder="1" applyAlignment="1">
      <alignment horizontal="center" vertical="center" wrapText="1"/>
    </xf>
    <xf numFmtId="0" fontId="62" fillId="0" borderId="16" xfId="37" applyFont="1" applyBorder="1" applyAlignment="1">
      <alignment horizontal="center" vertical="center" wrapText="1"/>
    </xf>
    <xf numFmtId="180" fontId="62" fillId="0" borderId="16" xfId="37" applyNumberFormat="1" applyFont="1" applyBorder="1" applyAlignment="1">
      <alignment horizontal="center" vertical="center" wrapText="1"/>
    </xf>
    <xf numFmtId="0" fontId="48" fillId="0" borderId="16" xfId="37" applyFont="1" applyBorder="1" applyAlignment="1">
      <alignment horizontal="center" wrapText="1"/>
    </xf>
    <xf numFmtId="0" fontId="48" fillId="0" borderId="0" xfId="32" applyFont="1" applyBorder="1"/>
    <xf numFmtId="0" fontId="48" fillId="0" borderId="0" xfId="32" applyFont="1" applyBorder="1" applyAlignment="1">
      <alignment horizontal="center" vertical="center"/>
    </xf>
    <xf numFmtId="186" fontId="48" fillId="0" borderId="0" xfId="32" applyNumberFormat="1" applyFont="1" applyBorder="1"/>
    <xf numFmtId="186" fontId="48" fillId="0" borderId="0" xfId="32" applyNumberFormat="1" applyFont="1" applyFill="1" applyBorder="1"/>
    <xf numFmtId="0" fontId="48" fillId="0" borderId="0" xfId="32" applyFont="1" applyFill="1" applyBorder="1"/>
    <xf numFmtId="186" fontId="48" fillId="0" borderId="6" xfId="32" applyNumberFormat="1" applyFont="1" applyFill="1" applyBorder="1" applyAlignment="1">
      <alignment vertical="center"/>
    </xf>
    <xf numFmtId="0" fontId="48" fillId="0" borderId="6" xfId="32" applyFont="1" applyFill="1" applyBorder="1" applyAlignment="1">
      <alignment horizontal="center" vertical="center"/>
    </xf>
    <xf numFmtId="0" fontId="48" fillId="0" borderId="6" xfId="32" applyFont="1" applyFill="1" applyBorder="1"/>
    <xf numFmtId="0" fontId="48" fillId="0" borderId="6" xfId="32" applyFont="1" applyFill="1" applyBorder="1" applyAlignment="1">
      <alignment vertical="center"/>
    </xf>
    <xf numFmtId="186" fontId="48" fillId="0" borderId="6" xfId="32" applyNumberFormat="1" applyFont="1" applyFill="1" applyBorder="1" applyAlignment="1">
      <alignment horizontal="center" vertical="center"/>
    </xf>
    <xf numFmtId="43" fontId="48" fillId="0" borderId="6" xfId="41" applyFont="1" applyFill="1" applyBorder="1" applyAlignment="1">
      <alignment vertical="center" wrapText="1"/>
    </xf>
    <xf numFmtId="43" fontId="48" fillId="0" borderId="6" xfId="41" applyFont="1" applyFill="1" applyBorder="1" applyAlignment="1">
      <alignment horizontal="center" vertical="center" wrapText="1"/>
    </xf>
    <xf numFmtId="0" fontId="48" fillId="0" borderId="6" xfId="32" applyFont="1" applyBorder="1"/>
    <xf numFmtId="0" fontId="48" fillId="0" borderId="0" xfId="32" applyFont="1" applyFill="1" applyBorder="1" applyAlignment="1">
      <alignment horizontal="center" vertical="center"/>
    </xf>
    <xf numFmtId="0" fontId="48" fillId="0" borderId="0" xfId="32" applyFont="1" applyBorder="1" applyAlignment="1">
      <alignment vertical="center" wrapText="1"/>
    </xf>
    <xf numFmtId="0" fontId="48" fillId="0" borderId="6" xfId="32" applyFont="1" applyFill="1" applyBorder="1" applyAlignment="1">
      <alignment horizontal="center" vertical="center" wrapText="1"/>
    </xf>
    <xf numFmtId="0" fontId="48" fillId="0" borderId="0" xfId="32" applyFont="1" applyBorder="1" applyAlignment="1">
      <alignment vertical="center"/>
    </xf>
    <xf numFmtId="0" fontId="48" fillId="0" borderId="6" xfId="32" applyFont="1" applyBorder="1" applyAlignment="1">
      <alignment horizontal="center"/>
    </xf>
    <xf numFmtId="0" fontId="78" fillId="0" borderId="0" xfId="36" applyFont="1" applyProtection="1">
      <alignment vertical="center"/>
      <protection locked="0"/>
    </xf>
    <xf numFmtId="0" fontId="48" fillId="0" borderId="0" xfId="32" applyFont="1" applyAlignment="1">
      <alignment vertical="center"/>
    </xf>
    <xf numFmtId="0" fontId="0" fillId="0" borderId="0" xfId="0"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32" fillId="0" borderId="0" xfId="0" applyFont="1" applyBorder="1">
      <alignment vertical="center"/>
    </xf>
    <xf numFmtId="0" fontId="32" fillId="0" borderId="0" xfId="0" applyFont="1" applyBorder="1" applyAlignment="1">
      <alignment horizontal="center" vertical="center"/>
    </xf>
    <xf numFmtId="0" fontId="32" fillId="0" borderId="0" xfId="0" applyNumberFormat="1" applyFont="1" applyBorder="1" applyAlignment="1">
      <alignment horizontal="center" vertical="center" wrapText="1"/>
    </xf>
    <xf numFmtId="0" fontId="32" fillId="0" borderId="0" xfId="0" applyFont="1" applyFill="1" applyBorder="1" applyAlignment="1">
      <alignment horizontal="center" vertical="center" wrapText="1"/>
    </xf>
    <xf numFmtId="0" fontId="79" fillId="0" borderId="0" xfId="0" applyFont="1" applyFill="1" applyBorder="1" applyAlignment="1">
      <alignment horizontal="center" vertical="center" wrapText="1"/>
    </xf>
    <xf numFmtId="0" fontId="4" fillId="0" borderId="0" xfId="38" applyFont="1" applyFill="1" applyBorder="1" applyAlignment="1">
      <alignment horizontal="center" vertical="center" wrapText="1"/>
    </xf>
    <xf numFmtId="0" fontId="79" fillId="0" borderId="0" xfId="0" applyFont="1" applyFill="1" applyBorder="1" applyAlignment="1">
      <alignment horizontal="center" wrapText="1"/>
    </xf>
    <xf numFmtId="177" fontId="18" fillId="0" borderId="1" xfId="0" applyNumberFormat="1" applyFont="1" applyBorder="1" applyAlignment="1">
      <alignment horizontal="center" vertical="center"/>
    </xf>
    <xf numFmtId="0" fontId="0" fillId="0" borderId="0" xfId="0" applyAlignment="1">
      <alignment vertical="center"/>
    </xf>
    <xf numFmtId="0" fontId="18" fillId="0" borderId="1" xfId="0" applyFont="1" applyBorder="1" applyAlignment="1">
      <alignment horizontal="center" vertical="center" wrapText="1"/>
    </xf>
    <xf numFmtId="0" fontId="48" fillId="0" borderId="0" xfId="26" applyFont="1"/>
    <xf numFmtId="0" fontId="48" fillId="0" borderId="0" xfId="26" applyFont="1" applyAlignment="1">
      <alignment wrapText="1"/>
    </xf>
    <xf numFmtId="0" fontId="48" fillId="0" borderId="0" xfId="26" applyFont="1" applyAlignment="1">
      <alignment horizontal="center"/>
    </xf>
    <xf numFmtId="0" fontId="48" fillId="0" borderId="0" xfId="26" applyFont="1" applyAlignment="1">
      <alignment horizontal="center" vertical="center"/>
    </xf>
    <xf numFmtId="0" fontId="48" fillId="0" borderId="0" xfId="26" applyFont="1" applyAlignment="1">
      <alignment horizontal="center" vertical="center" wrapText="1"/>
    </xf>
    <xf numFmtId="0" fontId="48" fillId="0" borderId="0" xfId="26" applyFont="1" applyBorder="1"/>
    <xf numFmtId="0" fontId="48" fillId="0" borderId="0" xfId="26" applyFont="1" applyBorder="1" applyAlignment="1">
      <alignment horizontal="center"/>
    </xf>
    <xf numFmtId="0" fontId="69" fillId="0" borderId="19" xfId="26" applyFont="1" applyBorder="1" applyAlignment="1">
      <alignment horizontal="center" vertical="center"/>
    </xf>
    <xf numFmtId="0" fontId="69" fillId="2" borderId="0" xfId="26" applyFont="1" applyFill="1" applyBorder="1" applyAlignment="1">
      <alignment horizontal="center" vertical="center"/>
    </xf>
    <xf numFmtId="0" fontId="48" fillId="0" borderId="0" xfId="26" applyFont="1" applyBorder="1" applyAlignment="1">
      <alignment horizontal="left" vertical="center"/>
    </xf>
    <xf numFmtId="0" fontId="48" fillId="0" borderId="19" xfId="26" applyFont="1" applyBorder="1" applyAlignment="1">
      <alignment horizontal="center" vertical="center"/>
    </xf>
    <xf numFmtId="179" fontId="48" fillId="0" borderId="0" xfId="26" applyNumberFormat="1" applyFont="1" applyBorder="1" applyAlignment="1">
      <alignment horizontal="center" vertical="center"/>
    </xf>
    <xf numFmtId="0" fontId="81" fillId="0" borderId="0" xfId="26" applyFont="1" applyBorder="1" applyAlignment="1">
      <alignment horizontal="center" vertical="center"/>
    </xf>
    <xf numFmtId="0" fontId="42" fillId="0" borderId="0" xfId="26" applyFont="1" applyBorder="1" applyAlignment="1">
      <alignment horizontal="left" vertical="center"/>
    </xf>
    <xf numFmtId="0" fontId="42" fillId="0" borderId="0" xfId="26" applyFont="1" applyBorder="1" applyAlignment="1">
      <alignment horizontal="center" vertical="center"/>
    </xf>
    <xf numFmtId="0" fontId="48" fillId="0" borderId="6" xfId="26" applyFont="1" applyBorder="1" applyAlignment="1">
      <alignment horizontal="center" vertical="center"/>
    </xf>
    <xf numFmtId="0" fontId="48" fillId="0" borderId="34" xfId="0" applyFont="1" applyFill="1" applyBorder="1" applyAlignment="1">
      <alignment horizontal="center"/>
    </xf>
    <xf numFmtId="0" fontId="48" fillId="17" borderId="0" xfId="26" applyFont="1" applyFill="1"/>
    <xf numFmtId="0" fontId="48" fillId="17" borderId="0" xfId="26" applyFont="1" applyFill="1" applyAlignment="1">
      <alignment wrapText="1"/>
    </xf>
    <xf numFmtId="0" fontId="48" fillId="17" borderId="0" xfId="26" applyFont="1" applyFill="1" applyAlignment="1">
      <alignment horizontal="center"/>
    </xf>
    <xf numFmtId="0" fontId="48" fillId="17" borderId="0" xfId="26" applyFont="1" applyFill="1" applyAlignment="1">
      <alignment horizontal="center" vertical="center"/>
    </xf>
    <xf numFmtId="0" fontId="48" fillId="17" borderId="0" xfId="26" applyFont="1" applyFill="1" applyAlignment="1">
      <alignment horizontal="center" vertical="center" wrapText="1"/>
    </xf>
    <xf numFmtId="0" fontId="48" fillId="17" borderId="0" xfId="26" applyFont="1" applyFill="1" applyBorder="1" applyAlignment="1">
      <alignment horizontal="center" vertical="center"/>
    </xf>
    <xf numFmtId="0" fontId="48" fillId="17" borderId="6" xfId="26" applyFont="1" applyFill="1" applyBorder="1" applyAlignment="1">
      <alignment horizontal="center" vertical="center"/>
    </xf>
    <xf numFmtId="0" fontId="77" fillId="0" borderId="0" xfId="26" applyFont="1" applyAlignment="1">
      <alignment horizontal="center" vertical="center"/>
    </xf>
    <xf numFmtId="0" fontId="82" fillId="0" borderId="0" xfId="0" applyFont="1" applyAlignment="1">
      <alignment horizontal="center" vertical="center" wrapText="1"/>
    </xf>
    <xf numFmtId="0" fontId="48" fillId="0" borderId="0" xfId="26" applyFont="1" applyBorder="1" applyAlignment="1">
      <alignment wrapText="1"/>
    </xf>
    <xf numFmtId="0" fontId="48" fillId="0" borderId="0" xfId="26" applyFont="1" applyBorder="1" applyAlignment="1">
      <alignment horizontal="center" vertical="center" wrapText="1"/>
    </xf>
    <xf numFmtId="0" fontId="49" fillId="0" borderId="0" xfId="26" applyFont="1" applyBorder="1" applyAlignment="1">
      <alignment horizontal="left" vertical="center" wrapText="1"/>
    </xf>
    <xf numFmtId="0" fontId="50" fillId="0" borderId="0" xfId="26" applyFont="1" applyBorder="1" applyAlignment="1">
      <alignment horizontal="center"/>
    </xf>
    <xf numFmtId="0" fontId="49" fillId="0" borderId="0" xfId="26" applyFont="1" applyBorder="1" applyAlignment="1">
      <alignment horizontal="center" vertical="center"/>
    </xf>
    <xf numFmtId="9" fontId="49" fillId="0" borderId="0" xfId="26" applyNumberFormat="1" applyFont="1" applyBorder="1" applyAlignment="1">
      <alignment horizontal="center" vertical="center"/>
    </xf>
    <xf numFmtId="0" fontId="49" fillId="0" borderId="0" xfId="26" applyFont="1" applyBorder="1" applyAlignment="1">
      <alignment horizontal="center" vertical="center" wrapText="1"/>
    </xf>
    <xf numFmtId="0" fontId="48" fillId="0" borderId="6" xfId="0" applyFont="1" applyFill="1" applyBorder="1" applyAlignment="1">
      <alignment horizontal="center" vertical="center"/>
    </xf>
    <xf numFmtId="0" fontId="48" fillId="0" borderId="6" xfId="0" applyFont="1" applyFill="1" applyBorder="1" applyAlignment="1">
      <alignment vertical="center"/>
    </xf>
    <xf numFmtId="0" fontId="48" fillId="0" borderId="6" xfId="0" applyFont="1" applyFill="1" applyBorder="1" applyAlignment="1">
      <alignment horizontal="center"/>
    </xf>
    <xf numFmtId="0" fontId="48" fillId="0" borderId="6" xfId="0" applyFont="1" applyFill="1" applyBorder="1" applyAlignment="1">
      <alignment horizontal="center" vertical="center" wrapText="1"/>
    </xf>
    <xf numFmtId="0" fontId="48" fillId="0" borderId="34" xfId="0" applyFont="1" applyFill="1" applyBorder="1" applyAlignment="1"/>
    <xf numFmtId="0" fontId="48" fillId="0" borderId="34" xfId="0" applyFont="1" applyFill="1" applyBorder="1" applyAlignment="1">
      <alignment horizontal="center" vertical="center" wrapText="1"/>
    </xf>
    <xf numFmtId="0" fontId="42" fillId="0" borderId="34" xfId="0" applyFont="1" applyFill="1" applyBorder="1" applyAlignment="1">
      <alignment horizontal="center"/>
    </xf>
    <xf numFmtId="0" fontId="48" fillId="0" borderId="1" xfId="26" applyFont="1" applyFill="1" applyBorder="1" applyAlignment="1">
      <alignment horizontal="center" vertical="center"/>
    </xf>
    <xf numFmtId="0" fontId="48" fillId="0" borderId="3" xfId="26" applyFont="1" applyFill="1" applyBorder="1" applyAlignment="1">
      <alignment horizontal="center" vertical="center"/>
    </xf>
    <xf numFmtId="0" fontId="48" fillId="0" borderId="21" xfId="26" applyFont="1" applyFill="1" applyBorder="1" applyAlignment="1">
      <alignment horizontal="center" vertical="center"/>
    </xf>
    <xf numFmtId="0" fontId="50" fillId="0" borderId="0" xfId="26" applyFont="1" applyBorder="1" applyAlignment="1">
      <alignment wrapText="1"/>
    </xf>
    <xf numFmtId="0" fontId="50" fillId="0" borderId="0" xfId="26" applyFont="1" applyBorder="1"/>
    <xf numFmtId="0" fontId="50" fillId="0" borderId="0" xfId="26" applyFont="1" applyBorder="1" applyAlignment="1">
      <alignment horizontal="center" vertical="center"/>
    </xf>
    <xf numFmtId="0" fontId="50" fillId="0" borderId="0" xfId="26" applyFont="1" applyBorder="1" applyAlignment="1">
      <alignment horizontal="center" vertical="center" wrapText="1"/>
    </xf>
    <xf numFmtId="180" fontId="48" fillId="0" borderId="23" xfId="26" applyNumberFormat="1" applyFont="1" applyFill="1" applyBorder="1" applyAlignment="1">
      <alignment horizontal="center" vertical="center"/>
    </xf>
    <xf numFmtId="180" fontId="48" fillId="0" borderId="17" xfId="26" applyNumberFormat="1" applyFont="1" applyFill="1" applyBorder="1" applyAlignment="1">
      <alignment horizontal="center" vertical="center"/>
    </xf>
    <xf numFmtId="0" fontId="48" fillId="0" borderId="17" xfId="26" applyFont="1" applyFill="1" applyBorder="1" applyAlignment="1">
      <alignment horizontal="center" vertical="center"/>
    </xf>
    <xf numFmtId="0" fontId="48" fillId="0" borderId="17" xfId="26" applyFont="1" applyBorder="1" applyAlignment="1">
      <alignment horizontal="center"/>
    </xf>
    <xf numFmtId="0" fontId="48" fillId="0" borderId="22" xfId="26" applyFont="1" applyFill="1" applyBorder="1" applyAlignment="1">
      <alignment horizontal="center" vertical="center"/>
    </xf>
    <xf numFmtId="0" fontId="48" fillId="0" borderId="16" xfId="26" applyFont="1" applyFill="1" applyBorder="1" applyAlignment="1">
      <alignment horizontal="center" vertical="center"/>
    </xf>
    <xf numFmtId="14" fontId="48" fillId="0" borderId="16" xfId="26" applyNumberFormat="1" applyFont="1" applyFill="1" applyBorder="1" applyAlignment="1">
      <alignment horizontal="center"/>
    </xf>
    <xf numFmtId="0" fontId="48" fillId="0" borderId="16" xfId="26" applyFont="1" applyFill="1" applyBorder="1" applyAlignment="1">
      <alignment horizontal="center"/>
    </xf>
    <xf numFmtId="0" fontId="83" fillId="0" borderId="16" xfId="26" applyFont="1" applyFill="1" applyBorder="1" applyAlignment="1">
      <alignment horizontal="center" vertical="center"/>
    </xf>
    <xf numFmtId="180" fontId="83" fillId="0" borderId="16" xfId="26" applyNumberFormat="1" applyFont="1" applyFill="1" applyBorder="1" applyAlignment="1">
      <alignment horizontal="center" vertical="center"/>
    </xf>
    <xf numFmtId="0" fontId="4" fillId="0" borderId="0" xfId="26" applyFont="1" applyBorder="1"/>
    <xf numFmtId="0" fontId="4" fillId="0" borderId="0" xfId="26" applyFont="1" applyBorder="1" applyAlignment="1">
      <alignment horizontal="center" vertical="center"/>
    </xf>
    <xf numFmtId="0" fontId="4" fillId="0" borderId="0" xfId="26" applyFont="1" applyBorder="1" applyAlignment="1">
      <alignment horizontal="center"/>
    </xf>
    <xf numFmtId="178" fontId="4" fillId="0" borderId="0" xfId="26" applyNumberFormat="1" applyFont="1" applyBorder="1" applyAlignment="1">
      <alignment horizontal="center" vertical="center"/>
    </xf>
    <xf numFmtId="0" fontId="84" fillId="2" borderId="0" xfId="26" applyFont="1" applyFill="1" applyBorder="1" applyAlignment="1">
      <alignment horizontal="center" vertical="center"/>
    </xf>
    <xf numFmtId="0" fontId="4" fillId="0" borderId="0" xfId="26" applyFont="1" applyFill="1" applyBorder="1" applyAlignment="1">
      <alignment horizontal="center" vertical="center"/>
    </xf>
    <xf numFmtId="0" fontId="4" fillId="0" borderId="0" xfId="26" applyFont="1" applyFill="1"/>
    <xf numFmtId="0" fontId="32" fillId="0" borderId="0" xfId="27" applyFont="1" applyFill="1" applyBorder="1" applyAlignment="1">
      <alignment horizontal="center" vertical="center" wrapText="1"/>
    </xf>
    <xf numFmtId="0" fontId="4" fillId="0" borderId="0" xfId="26" applyFont="1" applyFill="1" applyBorder="1" applyAlignment="1">
      <alignment horizontal="center" vertical="center" wrapText="1"/>
    </xf>
    <xf numFmtId="179" fontId="4" fillId="0" borderId="0" xfId="26" applyNumberFormat="1" applyFont="1" applyFill="1" applyBorder="1" applyAlignment="1">
      <alignment horizontal="center" vertical="center" wrapText="1"/>
    </xf>
    <xf numFmtId="0" fontId="4" fillId="0" borderId="0" xfId="26" applyFont="1" applyFill="1" applyBorder="1" applyAlignment="1">
      <alignment vertical="center" wrapText="1"/>
    </xf>
    <xf numFmtId="0" fontId="4" fillId="0" borderId="1" xfId="26" applyFont="1" applyFill="1" applyBorder="1" applyAlignment="1">
      <alignment horizontal="center" vertical="center" wrapText="1"/>
    </xf>
    <xf numFmtId="179" fontId="4" fillId="0" borderId="1" xfId="26" applyNumberFormat="1" applyFont="1" applyFill="1" applyBorder="1" applyAlignment="1">
      <alignment horizontal="center" vertical="center" wrapText="1"/>
    </xf>
    <xf numFmtId="0" fontId="4" fillId="0" borderId="1" xfId="26" applyFont="1" applyBorder="1" applyAlignment="1">
      <alignment horizontal="center" vertical="center"/>
    </xf>
    <xf numFmtId="177" fontId="4" fillId="0" borderId="1" xfId="26" applyNumberFormat="1" applyFont="1" applyFill="1" applyBorder="1" applyAlignment="1">
      <alignment horizontal="center" vertical="center" wrapText="1"/>
    </xf>
    <xf numFmtId="0" fontId="73" fillId="0" borderId="1" xfId="26" applyFont="1" applyFill="1" applyBorder="1" applyAlignment="1">
      <alignment horizontal="center" vertical="center" wrapText="1"/>
    </xf>
    <xf numFmtId="0" fontId="4" fillId="0" borderId="0" xfId="0" applyFont="1" applyFill="1" applyBorder="1" applyAlignment="1">
      <alignment horizontal="center" vertical="center" wrapText="1"/>
    </xf>
    <xf numFmtId="178" fontId="4" fillId="0" borderId="0"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84" fontId="4" fillId="0" borderId="0" xfId="26" applyNumberFormat="1" applyFont="1" applyFill="1" applyBorder="1" applyAlignment="1">
      <alignment horizontal="center" vertical="center" wrapText="1"/>
    </xf>
    <xf numFmtId="184" fontId="4" fillId="0" borderId="1" xfId="26" applyNumberFormat="1" applyFont="1" applyFill="1" applyBorder="1" applyAlignment="1">
      <alignment horizontal="center" vertical="center" wrapText="1"/>
    </xf>
    <xf numFmtId="0" fontId="4" fillId="0" borderId="1" xfId="0" quotePrefix="1" applyFont="1" applyFill="1" applyBorder="1" applyAlignment="1">
      <alignment horizontal="center" vertical="center" wrapText="1"/>
    </xf>
    <xf numFmtId="0" fontId="4" fillId="0" borderId="1" xfId="0" applyFont="1" applyFill="1" applyBorder="1" applyAlignment="1">
      <alignment horizontal="center" vertical="center"/>
    </xf>
    <xf numFmtId="0" fontId="49" fillId="0" borderId="6" xfId="26" applyFont="1" applyBorder="1" applyAlignment="1">
      <alignment horizontal="center" vertical="center"/>
    </xf>
    <xf numFmtId="0" fontId="4" fillId="0" borderId="0" xfId="26" applyFont="1" applyBorder="1" applyAlignment="1">
      <alignment vertical="center"/>
    </xf>
    <xf numFmtId="178" fontId="4" fillId="0" borderId="1" xfId="26" applyNumberFormat="1" applyFont="1" applyBorder="1" applyAlignment="1">
      <alignment horizontal="center" vertical="center"/>
    </xf>
    <xf numFmtId="0" fontId="4" fillId="0" borderId="1" xfId="26" applyFont="1" applyBorder="1" applyAlignment="1">
      <alignment horizontal="center"/>
    </xf>
    <xf numFmtId="0" fontId="4" fillId="0" borderId="0" xfId="26" applyFont="1" applyAlignment="1">
      <alignment vertical="center"/>
    </xf>
    <xf numFmtId="0" fontId="4" fillId="0" borderId="0" xfId="26" applyFont="1" applyAlignment="1">
      <alignment vertical="center" wrapText="1"/>
    </xf>
    <xf numFmtId="0" fontId="6" fillId="0" borderId="1" xfId="0" applyFont="1" applyBorder="1" applyAlignment="1">
      <alignment horizontal="center" vertical="center"/>
    </xf>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48" fillId="0" borderId="63" xfId="0" applyNumberFormat="1" applyFont="1" applyFill="1" applyBorder="1" applyAlignment="1">
      <alignment horizontal="center"/>
    </xf>
    <xf numFmtId="0" fontId="48" fillId="0" borderId="64" xfId="0" applyFont="1" applyFill="1" applyBorder="1" applyAlignment="1"/>
    <xf numFmtId="0" fontId="48" fillId="0" borderId="42" xfId="0" applyNumberFormat="1" applyFont="1" applyFill="1" applyBorder="1" applyAlignment="1">
      <alignment horizontal="center" wrapText="1"/>
    </xf>
    <xf numFmtId="0" fontId="48" fillId="0" borderId="42" xfId="0" applyNumberFormat="1" applyFont="1" applyFill="1" applyBorder="1" applyAlignment="1">
      <alignment horizontal="center"/>
    </xf>
    <xf numFmtId="0" fontId="48" fillId="0" borderId="42" xfId="26" applyNumberFormat="1" applyFont="1" applyBorder="1" applyAlignment="1">
      <alignment horizontal="center" vertical="center"/>
    </xf>
    <xf numFmtId="0" fontId="48" fillId="0" borderId="42" xfId="26" applyFont="1" applyBorder="1" applyAlignment="1">
      <alignment horizontal="center" vertical="center"/>
    </xf>
    <xf numFmtId="0" fontId="48" fillId="2" borderId="42" xfId="26" applyNumberFormat="1" applyFont="1" applyFill="1" applyBorder="1" applyAlignment="1">
      <alignment horizontal="center" vertical="center"/>
    </xf>
    <xf numFmtId="0" fontId="48" fillId="17" borderId="42" xfId="26" applyNumberFormat="1" applyFont="1" applyFill="1" applyBorder="1" applyAlignment="1">
      <alignment horizontal="center" vertical="center"/>
    </xf>
    <xf numFmtId="177" fontId="48" fillId="0" borderId="42" xfId="26" applyNumberFormat="1" applyFont="1" applyBorder="1" applyAlignment="1">
      <alignment horizontal="center" vertical="center"/>
    </xf>
    <xf numFmtId="0" fontId="42" fillId="0" borderId="15" xfId="26" applyFont="1" applyBorder="1" applyAlignment="1">
      <alignment horizontal="left" vertical="center"/>
    </xf>
    <xf numFmtId="0" fontId="42" fillId="0" borderId="24" xfId="26" applyFont="1" applyBorder="1" applyAlignment="1">
      <alignment horizontal="left" vertical="center"/>
    </xf>
    <xf numFmtId="0" fontId="48" fillId="0" borderId="15" xfId="26" applyNumberFormat="1" applyFont="1" applyBorder="1" applyAlignment="1">
      <alignment horizontal="left" vertical="center"/>
    </xf>
    <xf numFmtId="0" fontId="48" fillId="0" borderId="24" xfId="26" applyFont="1" applyBorder="1" applyAlignment="1">
      <alignment horizontal="left" vertical="center"/>
    </xf>
    <xf numFmtId="0" fontId="48" fillId="0" borderId="15" xfId="26" applyFont="1" applyBorder="1" applyAlignment="1">
      <alignment horizontal="left" vertical="center"/>
    </xf>
    <xf numFmtId="0" fontId="48" fillId="0" borderId="25" xfId="26" applyNumberFormat="1" applyFont="1" applyBorder="1" applyAlignment="1">
      <alignment horizontal="left"/>
    </xf>
    <xf numFmtId="0" fontId="48" fillId="0" borderId="4" xfId="26" applyFont="1" applyBorder="1" applyAlignment="1">
      <alignment horizontal="center"/>
    </xf>
    <xf numFmtId="0" fontId="48" fillId="0" borderId="4" xfId="26" applyFont="1" applyBorder="1" applyAlignment="1">
      <alignment horizontal="left"/>
    </xf>
    <xf numFmtId="0" fontId="48" fillId="0" borderId="26" xfId="26" applyFont="1" applyBorder="1" applyAlignment="1">
      <alignment horizontal="left"/>
    </xf>
    <xf numFmtId="58" fontId="48" fillId="0" borderId="52" xfId="26" applyNumberFormat="1" applyFont="1" applyBorder="1" applyAlignment="1">
      <alignment horizontal="center"/>
    </xf>
    <xf numFmtId="0" fontId="42" fillId="0" borderId="0" xfId="26" applyFont="1" applyBorder="1" applyAlignment="1">
      <alignment horizontal="center"/>
    </xf>
    <xf numFmtId="0" fontId="4" fillId="0" borderId="15" xfId="26" applyFont="1" applyFill="1" applyBorder="1" applyAlignment="1">
      <alignment horizontal="center" vertical="center" wrapText="1"/>
    </xf>
    <xf numFmtId="0" fontId="4" fillId="0" borderId="24" xfId="26" applyFont="1" applyFill="1" applyBorder="1" applyAlignment="1">
      <alignment horizontal="center" vertical="center" wrapText="1"/>
    </xf>
    <xf numFmtId="0" fontId="4" fillId="0" borderId="15" xfId="26" applyFont="1" applyFill="1" applyBorder="1" applyAlignment="1">
      <alignment vertical="center"/>
    </xf>
    <xf numFmtId="0" fontId="4" fillId="0" borderId="0" xfId="26" applyFont="1" applyFill="1" applyBorder="1" applyAlignment="1">
      <alignment vertical="center"/>
    </xf>
    <xf numFmtId="0" fontId="4" fillId="0" borderId="25" xfId="26" applyFont="1" applyFill="1" applyBorder="1" applyAlignment="1">
      <alignment horizontal="center" vertical="center"/>
    </xf>
    <xf numFmtId="0" fontId="4" fillId="0" borderId="4" xfId="26" applyFont="1" applyFill="1" applyBorder="1" applyAlignment="1">
      <alignment horizontal="center" vertical="center"/>
    </xf>
    <xf numFmtId="0" fontId="4" fillId="0" borderId="26" xfId="26" applyFont="1" applyFill="1" applyBorder="1" applyAlignment="1">
      <alignment horizontal="center" vertical="center"/>
    </xf>
    <xf numFmtId="0" fontId="84" fillId="0" borderId="0" xfId="26" applyFont="1" applyFill="1" applyBorder="1" applyAlignment="1">
      <alignment horizontal="center" vertical="center"/>
    </xf>
    <xf numFmtId="182" fontId="48" fillId="0" borderId="16" xfId="26" applyNumberFormat="1" applyFont="1" applyFill="1" applyBorder="1" applyAlignment="1">
      <alignment horizontal="center" vertical="center"/>
    </xf>
    <xf numFmtId="0" fontId="48" fillId="0" borderId="0" xfId="35" applyFont="1" applyBorder="1" applyAlignment="1">
      <alignment horizontal="left" vertical="center"/>
    </xf>
    <xf numFmtId="0" fontId="48" fillId="0" borderId="1" xfId="32" applyFont="1" applyFill="1" applyBorder="1" applyAlignment="1">
      <alignment horizontal="center" vertical="center" wrapText="1"/>
    </xf>
    <xf numFmtId="178" fontId="48" fillId="0" borderId="1" xfId="37" applyNumberFormat="1" applyFont="1" applyBorder="1" applyAlignment="1">
      <alignment horizontal="center" wrapText="1"/>
    </xf>
    <xf numFmtId="0" fontId="77" fillId="0" borderId="1" xfId="26" applyFont="1" applyBorder="1" applyAlignment="1">
      <alignment horizontal="center" vertical="center"/>
    </xf>
    <xf numFmtId="0" fontId="18" fillId="2" borderId="1" xfId="0" applyFont="1" applyFill="1" applyBorder="1" applyAlignment="1">
      <alignment horizontal="center" vertical="center"/>
    </xf>
    <xf numFmtId="0" fontId="18" fillId="0" borderId="1" xfId="0" applyFont="1" applyBorder="1" applyAlignment="1">
      <alignment vertical="center"/>
    </xf>
    <xf numFmtId="179" fontId="18" fillId="0" borderId="1" xfId="0" applyNumberFormat="1" applyFont="1" applyBorder="1" applyAlignment="1">
      <alignment horizontal="center" vertical="center"/>
    </xf>
    <xf numFmtId="0" fontId="32" fillId="0" borderId="0" xfId="0" applyFont="1" applyBorder="1" applyAlignment="1">
      <alignment vertical="center"/>
    </xf>
    <xf numFmtId="0" fontId="0" fillId="0" borderId="0" xfId="0" applyBorder="1" applyAlignment="1">
      <alignment vertical="center"/>
    </xf>
    <xf numFmtId="0" fontId="5" fillId="10" borderId="0" xfId="0" applyFont="1" applyFill="1" applyAlignment="1">
      <alignment vertical="center"/>
    </xf>
    <xf numFmtId="178" fontId="48" fillId="10" borderId="0" xfId="0" applyNumberFormat="1" applyFont="1" applyFill="1" applyBorder="1" applyAlignment="1">
      <alignment horizontal="center" vertical="center"/>
    </xf>
    <xf numFmtId="0" fontId="0" fillId="10" borderId="0" xfId="0" applyFill="1" applyBorder="1" applyAlignment="1">
      <alignment vertical="center"/>
    </xf>
    <xf numFmtId="0" fontId="6" fillId="10" borderId="0" xfId="0" applyFont="1" applyFill="1" applyBorder="1" applyAlignment="1">
      <alignment vertical="center"/>
    </xf>
    <xf numFmtId="179" fontId="48" fillId="0" borderId="1" xfId="0" applyNumberFormat="1" applyFont="1" applyFill="1" applyBorder="1" applyAlignment="1">
      <alignment horizontal="center" vertical="center"/>
    </xf>
    <xf numFmtId="178" fontId="62" fillId="0" borderId="1" xfId="0" applyNumberFormat="1" applyFont="1" applyFill="1" applyBorder="1" applyAlignment="1">
      <alignment horizontal="center" vertical="center"/>
    </xf>
    <xf numFmtId="178" fontId="48" fillId="0" borderId="1" xfId="0" applyNumberFormat="1" applyFont="1" applyFill="1" applyBorder="1" applyAlignment="1">
      <alignment horizontal="center" vertical="center"/>
    </xf>
    <xf numFmtId="177" fontId="48" fillId="0" borderId="1" xfId="0" applyNumberFormat="1" applyFont="1" applyFill="1" applyBorder="1" applyAlignment="1">
      <alignment horizontal="center" vertical="center"/>
    </xf>
    <xf numFmtId="0" fontId="48" fillId="0" borderId="0" xfId="0" applyFont="1" applyFill="1" applyAlignment="1">
      <alignment horizontal="center" vertical="center"/>
    </xf>
    <xf numFmtId="0" fontId="48" fillId="0" borderId="0" xfId="0" applyFont="1" applyFill="1" applyAlignment="1">
      <alignment vertical="center"/>
    </xf>
    <xf numFmtId="0" fontId="48" fillId="0" borderId="0" xfId="0" applyFont="1" applyFill="1" applyBorder="1" applyAlignment="1">
      <alignment horizontal="right" vertical="center"/>
    </xf>
    <xf numFmtId="0" fontId="0" fillId="10" borderId="0" xfId="0" applyFill="1" applyBorder="1" applyAlignment="1">
      <alignment horizontal="center" vertical="center"/>
    </xf>
    <xf numFmtId="0" fontId="4" fillId="0" borderId="1" xfId="0" applyFont="1" applyBorder="1" applyAlignment="1">
      <alignment horizontal="center" vertical="center"/>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lignment vertical="center"/>
    </xf>
    <xf numFmtId="0" fontId="32" fillId="0" borderId="1" xfId="0" applyFont="1" applyFill="1" applyBorder="1" applyAlignment="1">
      <alignment horizontal="center" vertical="center"/>
    </xf>
    <xf numFmtId="0" fontId="32" fillId="0" borderId="2" xfId="0" applyFont="1" applyFill="1" applyBorder="1" applyAlignment="1">
      <alignment horizontal="center" vertical="center" wrapText="1"/>
    </xf>
    <xf numFmtId="0" fontId="79" fillId="0" borderId="1" xfId="0" applyFont="1" applyFill="1" applyBorder="1" applyAlignment="1">
      <alignment horizontal="center" vertical="center" wrapText="1"/>
    </xf>
    <xf numFmtId="0" fontId="4" fillId="0" borderId="1" xfId="38" applyFont="1" applyFill="1" applyBorder="1" applyAlignment="1">
      <alignment horizontal="center" vertical="center" wrapText="1"/>
    </xf>
    <xf numFmtId="179" fontId="32" fillId="0" borderId="1" xfId="0" applyNumberFormat="1" applyFont="1" applyBorder="1" applyAlignment="1">
      <alignment horizontal="center" vertical="center"/>
    </xf>
    <xf numFmtId="0" fontId="48" fillId="0" borderId="0" xfId="31" applyFont="1"/>
    <xf numFmtId="0" fontId="48" fillId="0" borderId="0" xfId="31" applyFont="1" applyBorder="1"/>
    <xf numFmtId="0" fontId="48" fillId="0" borderId="0" xfId="31" applyFont="1" applyBorder="1" applyAlignment="1">
      <alignment horizontal="center"/>
    </xf>
    <xf numFmtId="0" fontId="48" fillId="0" borderId="0" xfId="31" applyFont="1" applyBorder="1" applyAlignment="1">
      <alignment horizontal="center" vertical="center"/>
    </xf>
    <xf numFmtId="0" fontId="48" fillId="0" borderId="0" xfId="31" applyFont="1" applyAlignment="1">
      <alignment horizontal="center"/>
    </xf>
    <xf numFmtId="0" fontId="48" fillId="0" borderId="0" xfId="31" applyFont="1" applyFill="1" applyBorder="1" applyAlignment="1">
      <alignment horizontal="center" vertical="center"/>
    </xf>
    <xf numFmtId="0" fontId="48" fillId="0" borderId="5" xfId="31" applyFont="1" applyBorder="1" applyAlignment="1">
      <alignment horizontal="center" vertical="center"/>
    </xf>
    <xf numFmtId="0" fontId="48" fillId="0" borderId="6" xfId="31" applyFont="1" applyBorder="1" applyAlignment="1">
      <alignment horizontal="center" vertical="center"/>
    </xf>
    <xf numFmtId="0" fontId="48" fillId="20" borderId="6" xfId="31" applyFont="1" applyFill="1" applyBorder="1" applyAlignment="1">
      <alignment horizontal="center"/>
    </xf>
    <xf numFmtId="0" fontId="48" fillId="0" borderId="0" xfId="43" applyFont="1"/>
    <xf numFmtId="0" fontId="48" fillId="20" borderId="35" xfId="31" applyFont="1" applyFill="1" applyBorder="1" applyAlignment="1">
      <alignment horizontal="center" vertical="center" wrapText="1"/>
    </xf>
    <xf numFmtId="0" fontId="48" fillId="20" borderId="0" xfId="31" applyFont="1" applyFill="1" applyBorder="1" applyAlignment="1">
      <alignment horizontal="center" vertical="center"/>
    </xf>
    <xf numFmtId="0" fontId="48" fillId="20" borderId="0" xfId="31" applyFont="1" applyFill="1"/>
    <xf numFmtId="0" fontId="48" fillId="21" borderId="6" xfId="31" applyFont="1" applyFill="1" applyBorder="1" applyAlignment="1">
      <alignment horizontal="center"/>
    </xf>
    <xf numFmtId="0" fontId="48" fillId="0" borderId="35" xfId="31" applyFont="1" applyBorder="1" applyAlignment="1">
      <alignment horizontal="center" vertical="center"/>
    </xf>
    <xf numFmtId="0" fontId="48" fillId="22" borderId="6" xfId="31" applyFont="1" applyFill="1" applyBorder="1" applyAlignment="1">
      <alignment horizontal="center"/>
    </xf>
    <xf numFmtId="0" fontId="48" fillId="0" borderId="61" xfId="31" applyFont="1" applyBorder="1" applyAlignment="1">
      <alignment horizontal="center" vertical="center"/>
    </xf>
    <xf numFmtId="0" fontId="48" fillId="23" borderId="6" xfId="31" applyFont="1" applyFill="1" applyBorder="1" applyAlignment="1">
      <alignment horizontal="center"/>
    </xf>
    <xf numFmtId="0" fontId="48" fillId="22" borderId="35" xfId="31" applyFont="1" applyFill="1" applyBorder="1" applyAlignment="1">
      <alignment horizontal="center" vertical="center" wrapText="1"/>
    </xf>
    <xf numFmtId="0" fontId="48" fillId="22" borderId="9" xfId="31" applyFont="1" applyFill="1" applyBorder="1" applyAlignment="1">
      <alignment horizontal="center" vertical="center"/>
    </xf>
    <xf numFmtId="0" fontId="48" fillId="22" borderId="6" xfId="31" applyFont="1" applyFill="1" applyBorder="1" applyAlignment="1">
      <alignment horizontal="center" vertical="center"/>
    </xf>
    <xf numFmtId="0" fontId="48" fillId="20" borderId="6" xfId="43" applyFont="1" applyFill="1" applyBorder="1" applyAlignment="1">
      <alignment horizontal="center"/>
    </xf>
    <xf numFmtId="0" fontId="83" fillId="20" borderId="6" xfId="43" applyFont="1" applyFill="1" applyBorder="1" applyAlignment="1">
      <alignment horizontal="center"/>
    </xf>
    <xf numFmtId="177" fontId="48" fillId="20" borderId="9" xfId="43" applyNumberFormat="1" applyFont="1" applyFill="1" applyBorder="1" applyAlignment="1">
      <alignment horizontal="center" vertical="center" wrapText="1"/>
    </xf>
    <xf numFmtId="0" fontId="83" fillId="24" borderId="6" xfId="43" applyFont="1" applyFill="1" applyBorder="1" applyAlignment="1">
      <alignment horizontal="center" vertical="center"/>
    </xf>
    <xf numFmtId="0" fontId="48" fillId="24" borderId="6" xfId="43" applyFont="1" applyFill="1" applyBorder="1" applyAlignment="1">
      <alignment horizontal="center" vertical="center"/>
    </xf>
    <xf numFmtId="0" fontId="48" fillId="0" borderId="6" xfId="43" applyFont="1" applyFill="1" applyBorder="1" applyAlignment="1">
      <alignment horizontal="center"/>
    </xf>
    <xf numFmtId="0" fontId="48" fillId="0" borderId="13" xfId="31" applyFont="1" applyBorder="1" applyAlignment="1">
      <alignment horizontal="center" vertical="center"/>
    </xf>
    <xf numFmtId="0" fontId="48" fillId="0" borderId="13" xfId="31" applyFont="1" applyBorder="1" applyAlignment="1">
      <alignment horizontal="center"/>
    </xf>
    <xf numFmtId="178" fontId="48" fillId="0" borderId="14" xfId="31" applyNumberFormat="1" applyFont="1" applyBorder="1" applyAlignment="1">
      <alignment horizontal="center" vertical="center"/>
    </xf>
    <xf numFmtId="0" fontId="90" fillId="0" borderId="0" xfId="31" applyFont="1"/>
    <xf numFmtId="0" fontId="6" fillId="0" borderId="0" xfId="31" applyFont="1" applyBorder="1" applyAlignment="1">
      <alignment horizontal="center"/>
    </xf>
    <xf numFmtId="0" fontId="6" fillId="0" borderId="0" xfId="31" applyFont="1" applyBorder="1"/>
    <xf numFmtId="0" fontId="6" fillId="0" borderId="6" xfId="31" applyFont="1" applyFill="1" applyBorder="1" applyAlignment="1">
      <alignment horizontal="center" vertical="center"/>
    </xf>
    <xf numFmtId="0" fontId="6" fillId="0" borderId="34" xfId="31" applyFont="1" applyFill="1" applyBorder="1" applyAlignment="1">
      <alignment horizontal="center" vertical="center"/>
    </xf>
    <xf numFmtId="186" fontId="6" fillId="0" borderId="6" xfId="31" applyNumberFormat="1" applyFont="1" applyFill="1" applyBorder="1" applyAlignment="1">
      <alignment horizontal="center" vertical="center"/>
    </xf>
    <xf numFmtId="0" fontId="6" fillId="0" borderId="42" xfId="31" applyFont="1" applyFill="1" applyBorder="1" applyAlignment="1">
      <alignment horizontal="center" vertical="center"/>
    </xf>
    <xf numFmtId="0" fontId="6" fillId="0" borderId="8" xfId="31" applyFont="1" applyFill="1" applyBorder="1" applyAlignment="1">
      <alignment horizontal="center" vertical="center"/>
    </xf>
    <xf numFmtId="0" fontId="6" fillId="0" borderId="6" xfId="31" applyFont="1" applyFill="1" applyBorder="1" applyAlignment="1">
      <alignment horizontal="center" vertical="center" wrapText="1"/>
    </xf>
    <xf numFmtId="186" fontId="6" fillId="0" borderId="34" xfId="31" applyNumberFormat="1" applyFont="1" applyFill="1" applyBorder="1" applyAlignment="1">
      <alignment horizontal="center" vertical="center"/>
    </xf>
    <xf numFmtId="0" fontId="6" fillId="0" borderId="66" xfId="31" applyFont="1" applyFill="1" applyBorder="1" applyAlignment="1">
      <alignment horizontal="center" vertical="center" wrapText="1"/>
    </xf>
    <xf numFmtId="0" fontId="6" fillId="0" borderId="0" xfId="31" applyFont="1" applyFill="1" applyBorder="1"/>
    <xf numFmtId="0" fontId="6" fillId="0" borderId="0" xfId="31" applyFont="1" applyFill="1" applyBorder="1" applyAlignment="1">
      <alignment horizontal="center"/>
    </xf>
    <xf numFmtId="186" fontId="6" fillId="0" borderId="0" xfId="31" applyNumberFormat="1" applyFont="1" applyFill="1" applyBorder="1"/>
    <xf numFmtId="186" fontId="6" fillId="0" borderId="0" xfId="31" applyNumberFormat="1" applyFont="1" applyBorder="1"/>
    <xf numFmtId="0" fontId="6" fillId="0" borderId="0" xfId="32" applyFont="1" applyBorder="1" applyAlignment="1">
      <alignment vertical="center" wrapText="1"/>
    </xf>
    <xf numFmtId="0" fontId="6" fillId="0" borderId="0" xfId="32" applyFont="1" applyAlignment="1">
      <alignment vertical="center" wrapText="1"/>
    </xf>
    <xf numFmtId="186" fontId="6" fillId="0" borderId="0" xfId="32" applyNumberFormat="1" applyFont="1" applyFill="1" applyBorder="1" applyAlignment="1">
      <alignment vertical="center" wrapText="1"/>
    </xf>
    <xf numFmtId="0" fontId="87" fillId="0" borderId="0" xfId="32" applyFont="1" applyAlignment="1">
      <alignment horizontal="center" vertical="center" wrapText="1"/>
    </xf>
    <xf numFmtId="0" fontId="6" fillId="0" borderId="0" xfId="32" applyFont="1" applyBorder="1" applyAlignment="1">
      <alignment horizontal="center" vertical="center" wrapText="1"/>
    </xf>
    <xf numFmtId="0" fontId="91" fillId="0" borderId="4" xfId="32" applyFont="1" applyBorder="1" applyAlignment="1">
      <alignment horizontal="center" vertical="center" wrapText="1"/>
    </xf>
    <xf numFmtId="0" fontId="91" fillId="0" borderId="0" xfId="32" applyFont="1" applyBorder="1" applyAlignment="1">
      <alignment horizontal="center" vertical="center" wrapText="1"/>
    </xf>
    <xf numFmtId="0" fontId="25" fillId="0" borderId="1" xfId="2" applyFont="1" applyBorder="1" applyAlignment="1">
      <alignment horizontal="center" vertical="center" wrapText="1"/>
    </xf>
    <xf numFmtId="180" fontId="6" fillId="0" borderId="20" xfId="32" applyNumberFormat="1" applyFont="1" applyBorder="1" applyAlignment="1">
      <alignment horizontal="center" vertical="center" wrapText="1"/>
    </xf>
    <xf numFmtId="180" fontId="6" fillId="0" borderId="0" xfId="32" applyNumberFormat="1" applyFont="1" applyBorder="1" applyAlignment="1">
      <alignment horizontal="center" vertical="center" wrapText="1"/>
    </xf>
    <xf numFmtId="0" fontId="6" fillId="0" borderId="0" xfId="32" applyFont="1" applyBorder="1" applyAlignment="1">
      <alignment horizontal="right" vertical="center" wrapText="1"/>
    </xf>
    <xf numFmtId="0" fontId="6" fillId="0" borderId="30" xfId="32" applyFont="1" applyBorder="1" applyAlignment="1">
      <alignment horizontal="center" vertical="center" wrapText="1"/>
    </xf>
    <xf numFmtId="0" fontId="6" fillId="0" borderId="5" xfId="32" applyFont="1" applyBorder="1" applyAlignment="1">
      <alignment horizontal="center" vertical="center" wrapText="1"/>
    </xf>
    <xf numFmtId="0" fontId="6" fillId="0" borderId="6" xfId="32" applyFont="1" applyBorder="1" applyAlignment="1">
      <alignment horizontal="center" vertical="center" wrapText="1"/>
    </xf>
    <xf numFmtId="0" fontId="6" fillId="0" borderId="8" xfId="32" applyFont="1" applyBorder="1" applyAlignment="1">
      <alignment horizontal="center" vertical="center" wrapText="1"/>
    </xf>
    <xf numFmtId="0" fontId="6" fillId="0" borderId="16" xfId="32" applyFont="1" applyBorder="1" applyAlignment="1">
      <alignment horizontal="center" vertical="center" wrapText="1"/>
    </xf>
    <xf numFmtId="186" fontId="6" fillId="25" borderId="1" xfId="32" applyNumberFormat="1" applyFont="1" applyFill="1" applyBorder="1" applyAlignment="1">
      <alignment horizontal="center" vertical="center" wrapText="1"/>
    </xf>
    <xf numFmtId="186" fontId="6" fillId="12" borderId="1" xfId="32" applyNumberFormat="1" applyFont="1" applyFill="1" applyBorder="1" applyAlignment="1">
      <alignment horizontal="center" vertical="center" wrapText="1"/>
    </xf>
    <xf numFmtId="186" fontId="6" fillId="26" borderId="1" xfId="32" applyNumberFormat="1" applyFont="1" applyFill="1" applyBorder="1" applyAlignment="1">
      <alignment horizontal="center" vertical="center" wrapText="1"/>
    </xf>
    <xf numFmtId="186" fontId="6" fillId="25" borderId="3" xfId="32" applyNumberFormat="1" applyFont="1" applyFill="1" applyBorder="1" applyAlignment="1">
      <alignment horizontal="center" vertical="center" wrapText="1"/>
    </xf>
    <xf numFmtId="186" fontId="6" fillId="25" borderId="19" xfId="32" applyNumberFormat="1" applyFont="1" applyFill="1" applyBorder="1" applyAlignment="1">
      <alignment vertical="center" wrapText="1"/>
    </xf>
    <xf numFmtId="0" fontId="6" fillId="25" borderId="1" xfId="32" applyFont="1" applyFill="1" applyBorder="1" applyAlignment="1">
      <alignment vertical="center" wrapText="1"/>
    </xf>
    <xf numFmtId="179" fontId="6" fillId="12" borderId="1" xfId="32" applyNumberFormat="1" applyFont="1" applyFill="1" applyBorder="1" applyAlignment="1">
      <alignment vertical="center" wrapText="1"/>
    </xf>
    <xf numFmtId="179" fontId="6" fillId="25" borderId="1" xfId="32" applyNumberFormat="1" applyFont="1" applyFill="1" applyBorder="1" applyAlignment="1">
      <alignment vertical="center" wrapText="1"/>
    </xf>
    <xf numFmtId="0" fontId="6" fillId="0" borderId="2" xfId="32" applyFont="1" applyBorder="1" applyAlignment="1">
      <alignment horizontal="center" vertical="center" wrapText="1"/>
    </xf>
    <xf numFmtId="0" fontId="87" fillId="0" borderId="2" xfId="32" applyNumberFormat="1" applyFont="1" applyBorder="1" applyAlignment="1">
      <alignment horizontal="center" vertical="center" wrapText="1"/>
    </xf>
    <xf numFmtId="186" fontId="6" fillId="0" borderId="1" xfId="32" applyNumberFormat="1" applyFont="1" applyFill="1" applyBorder="1" applyAlignment="1">
      <alignment vertical="center" wrapText="1"/>
    </xf>
    <xf numFmtId="0" fontId="6" fillId="0" borderId="1" xfId="32" applyFont="1" applyBorder="1" applyAlignment="1">
      <alignment vertical="center" wrapText="1"/>
    </xf>
    <xf numFmtId="0" fontId="6" fillId="0" borderId="51" xfId="32" applyNumberFormat="1" applyFont="1" applyFill="1" applyBorder="1" applyAlignment="1">
      <alignment horizontal="center" vertical="center" wrapText="1"/>
    </xf>
    <xf numFmtId="0" fontId="6" fillId="0" borderId="2" xfId="32" applyNumberFormat="1" applyFont="1" applyFill="1" applyBorder="1" applyAlignment="1">
      <alignment horizontal="center" vertical="center" wrapText="1"/>
    </xf>
    <xf numFmtId="186" fontId="6" fillId="2" borderId="1" xfId="32" applyNumberFormat="1" applyFont="1" applyFill="1" applyBorder="1" applyAlignment="1">
      <alignment horizontal="center" vertical="center" wrapText="1"/>
    </xf>
    <xf numFmtId="179" fontId="6" fillId="2" borderId="1" xfId="32" applyNumberFormat="1" applyFont="1" applyFill="1" applyBorder="1" applyAlignment="1">
      <alignment vertical="center" wrapText="1"/>
    </xf>
    <xf numFmtId="0" fontId="6" fillId="2" borderId="0" xfId="32" applyFont="1" applyFill="1" applyAlignment="1">
      <alignment vertical="center" wrapText="1"/>
    </xf>
    <xf numFmtId="0" fontId="6" fillId="0" borderId="5" xfId="32" applyNumberFormat="1" applyFont="1" applyFill="1" applyBorder="1" applyAlignment="1">
      <alignment horizontal="center" vertical="center" wrapText="1"/>
    </xf>
    <xf numFmtId="0" fontId="6" fillId="0" borderId="6" xfId="32" applyNumberFormat="1" applyFont="1" applyFill="1" applyBorder="1" applyAlignment="1">
      <alignment horizontal="center" vertical="center" wrapText="1"/>
    </xf>
    <xf numFmtId="0" fontId="6" fillId="0" borderId="8" xfId="32" applyNumberFormat="1" applyFont="1" applyFill="1" applyBorder="1" applyAlignment="1">
      <alignment horizontal="center" vertical="center" wrapText="1"/>
    </xf>
    <xf numFmtId="0" fontId="6" fillId="10" borderId="6" xfId="32" applyFont="1" applyFill="1" applyBorder="1" applyAlignment="1">
      <alignment horizontal="center" vertical="center" wrapText="1"/>
    </xf>
    <xf numFmtId="0" fontId="6" fillId="10" borderId="8" xfId="31" applyFont="1" applyFill="1" applyBorder="1" applyAlignment="1">
      <alignment horizontal="center" vertical="center" wrapText="1"/>
    </xf>
    <xf numFmtId="0" fontId="6" fillId="10" borderId="2" xfId="31" applyFont="1" applyFill="1" applyBorder="1" applyAlignment="1">
      <alignment horizontal="center" vertical="center" wrapText="1"/>
    </xf>
    <xf numFmtId="0" fontId="6" fillId="0" borderId="6" xfId="32" applyFont="1" applyFill="1" applyBorder="1" applyAlignment="1">
      <alignment horizontal="center" vertical="center" wrapText="1"/>
    </xf>
    <xf numFmtId="0" fontId="6" fillId="0" borderId="8" xfId="32" applyFont="1" applyFill="1" applyBorder="1" applyAlignment="1">
      <alignment horizontal="center" vertical="center" wrapText="1"/>
    </xf>
    <xf numFmtId="0" fontId="6" fillId="0" borderId="2" xfId="32" applyFont="1" applyFill="1" applyBorder="1" applyAlignment="1">
      <alignment horizontal="center" vertical="center" wrapText="1"/>
    </xf>
    <xf numFmtId="0" fontId="6" fillId="0" borderId="21" xfId="32" applyFont="1" applyFill="1" applyBorder="1" applyAlignment="1">
      <alignment horizontal="center" vertical="center" wrapText="1"/>
    </xf>
    <xf numFmtId="0" fontId="6" fillId="0" borderId="13" xfId="32" applyFont="1" applyFill="1" applyBorder="1" applyAlignment="1">
      <alignment horizontal="center" vertical="center" wrapText="1"/>
    </xf>
    <xf numFmtId="0" fontId="6" fillId="0" borderId="14" xfId="32" applyFont="1" applyFill="1" applyBorder="1" applyAlignment="1">
      <alignment horizontal="center" vertical="center" wrapText="1"/>
    </xf>
    <xf numFmtId="0" fontId="6" fillId="0" borderId="0" xfId="32" applyFont="1" applyFill="1" applyBorder="1" applyAlignment="1">
      <alignment horizontal="center" vertical="center" wrapText="1"/>
    </xf>
    <xf numFmtId="0" fontId="92" fillId="0" borderId="0" xfId="32" applyFont="1" applyBorder="1" applyAlignment="1">
      <alignment horizontal="center" vertical="center" wrapText="1"/>
    </xf>
    <xf numFmtId="186" fontId="6" fillId="16" borderId="0" xfId="32" applyNumberFormat="1" applyFont="1" applyFill="1" applyBorder="1" applyAlignment="1">
      <alignment vertical="center" wrapText="1"/>
    </xf>
    <xf numFmtId="0" fontId="6" fillId="0" borderId="0" xfId="32" applyNumberFormat="1" applyFont="1" applyBorder="1" applyAlignment="1">
      <alignment vertical="center" wrapText="1"/>
    </xf>
    <xf numFmtId="0" fontId="88" fillId="0" borderId="0" xfId="32" applyFont="1" applyBorder="1" applyAlignment="1">
      <alignment horizontal="center" vertical="center" wrapText="1"/>
    </xf>
    <xf numFmtId="186" fontId="6" fillId="12" borderId="0" xfId="32" applyNumberFormat="1" applyFont="1" applyFill="1" applyBorder="1" applyAlignment="1">
      <alignment horizontal="center" vertical="center" wrapText="1"/>
    </xf>
    <xf numFmtId="186" fontId="6" fillId="26" borderId="0" xfId="32" applyNumberFormat="1" applyFont="1" applyFill="1" applyBorder="1" applyAlignment="1">
      <alignment horizontal="center" vertical="center" wrapText="1"/>
    </xf>
    <xf numFmtId="58" fontId="86" fillId="0" borderId="0" xfId="32" applyNumberFormat="1" applyFont="1" applyBorder="1" applyAlignment="1">
      <alignment vertical="center" wrapText="1"/>
    </xf>
    <xf numFmtId="0" fontId="93" fillId="0" borderId="0" xfId="32" applyFont="1" applyAlignment="1">
      <alignment vertical="center" wrapText="1"/>
    </xf>
    <xf numFmtId="0" fontId="86" fillId="0" borderId="0" xfId="32" applyFont="1" applyBorder="1" applyAlignment="1">
      <alignment horizontal="center" vertical="center" wrapText="1"/>
    </xf>
    <xf numFmtId="186" fontId="6" fillId="0" borderId="0" xfId="32" applyNumberFormat="1" applyFont="1" applyAlignment="1">
      <alignment horizontal="left" vertical="center" wrapText="1"/>
    </xf>
    <xf numFmtId="0" fontId="6" fillId="0" borderId="0" xfId="32" applyFont="1" applyAlignment="1">
      <alignment horizontal="left" vertical="center" wrapText="1"/>
    </xf>
    <xf numFmtId="0" fontId="45" fillId="0" borderId="0" xfId="42" applyFont="1" applyProtection="1">
      <alignment vertical="center"/>
      <protection locked="0"/>
    </xf>
    <xf numFmtId="0" fontId="29" fillId="0" borderId="0" xfId="42" applyFont="1" applyProtection="1">
      <alignment vertical="center"/>
      <protection locked="0"/>
    </xf>
    <xf numFmtId="0" fontId="92" fillId="0" borderId="0" xfId="32" applyFont="1" applyBorder="1" applyAlignment="1">
      <alignment horizontal="center" vertical="center"/>
    </xf>
    <xf numFmtId="0" fontId="92" fillId="0" borderId="0" xfId="32" applyFont="1" applyBorder="1"/>
    <xf numFmtId="186" fontId="50" fillId="0" borderId="0" xfId="32" applyNumberFormat="1" applyFont="1" applyFill="1" applyBorder="1" applyAlignment="1">
      <alignment horizontal="center" vertical="center"/>
    </xf>
    <xf numFmtId="0" fontId="0" fillId="0" borderId="0" xfId="31" applyFont="1" applyBorder="1" applyAlignment="1">
      <alignment horizontal="left" vertical="center"/>
    </xf>
    <xf numFmtId="0" fontId="0" fillId="0" borderId="0" xfId="31" applyFont="1" applyBorder="1"/>
    <xf numFmtId="0" fontId="3" fillId="0" borderId="0" xfId="31" applyBorder="1"/>
    <xf numFmtId="0" fontId="50" fillId="0" borderId="5" xfId="32" applyFont="1" applyFill="1" applyBorder="1" applyAlignment="1">
      <alignment horizontal="center" vertical="center"/>
    </xf>
    <xf numFmtId="0" fontId="50" fillId="0" borderId="6" xfId="32" applyFont="1" applyFill="1" applyBorder="1" applyAlignment="1">
      <alignment horizontal="center" vertical="center"/>
    </xf>
    <xf numFmtId="186" fontId="50" fillId="0" borderId="6" xfId="32" applyNumberFormat="1" applyFont="1" applyFill="1" applyBorder="1" applyAlignment="1">
      <alignment horizontal="center" vertical="center"/>
    </xf>
    <xf numFmtId="0" fontId="50" fillId="0" borderId="7" xfId="32" applyFont="1" applyFill="1" applyBorder="1" applyAlignment="1">
      <alignment horizontal="center" vertical="center"/>
    </xf>
    <xf numFmtId="0" fontId="3" fillId="0" borderId="0" xfId="31" applyFont="1" applyBorder="1" applyAlignment="1">
      <alignment horizontal="left" vertical="center"/>
    </xf>
    <xf numFmtId="188" fontId="50" fillId="0" borderId="6" xfId="32" applyNumberFormat="1" applyFont="1" applyFill="1" applyBorder="1" applyAlignment="1">
      <alignment horizontal="center" vertical="center"/>
    </xf>
    <xf numFmtId="183" fontId="50" fillId="0" borderId="6" xfId="32" applyNumberFormat="1" applyFont="1" applyFill="1" applyBorder="1" applyAlignment="1">
      <alignment horizontal="center" vertical="center"/>
    </xf>
    <xf numFmtId="0" fontId="3" fillId="27" borderId="1" xfId="31" applyFont="1" applyFill="1" applyBorder="1" applyAlignment="1">
      <alignment horizontal="center" vertical="center" wrapText="1"/>
    </xf>
    <xf numFmtId="0" fontId="3" fillId="27" borderId="1" xfId="31" applyFont="1" applyFill="1" applyBorder="1" applyAlignment="1">
      <alignment horizontal="center" vertical="center"/>
    </xf>
    <xf numFmtId="0" fontId="3" fillId="27" borderId="1" xfId="31" applyFill="1" applyBorder="1" applyAlignment="1">
      <alignment horizontal="center" vertical="center"/>
    </xf>
    <xf numFmtId="176" fontId="3" fillId="27" borderId="1" xfId="31" applyNumberFormat="1" applyFill="1" applyBorder="1"/>
    <xf numFmtId="178" fontId="92" fillId="0" borderId="0" xfId="32" applyNumberFormat="1" applyFont="1" applyBorder="1" applyAlignment="1">
      <alignment horizontal="center" vertical="center"/>
    </xf>
    <xf numFmtId="178" fontId="92" fillId="0" borderId="0" xfId="32" applyNumberFormat="1" applyFont="1" applyBorder="1"/>
    <xf numFmtId="0" fontId="3" fillId="27" borderId="1" xfId="31" applyFont="1" applyFill="1" applyBorder="1" applyAlignment="1">
      <alignment vertical="center" wrapText="1"/>
    </xf>
    <xf numFmtId="188" fontId="50" fillId="7" borderId="6" xfId="32" applyNumberFormat="1" applyFont="1" applyFill="1" applyBorder="1" applyAlignment="1">
      <alignment horizontal="center" vertical="center"/>
    </xf>
    <xf numFmtId="0" fontId="50" fillId="7" borderId="6" xfId="32" applyFont="1" applyFill="1" applyBorder="1" applyAlignment="1">
      <alignment horizontal="center" vertical="center"/>
    </xf>
    <xf numFmtId="189" fontId="50" fillId="0" borderId="6" xfId="32" applyNumberFormat="1" applyFont="1" applyFill="1" applyBorder="1" applyAlignment="1">
      <alignment horizontal="center" vertical="center"/>
    </xf>
    <xf numFmtId="0" fontId="0" fillId="27" borderId="1" xfId="31" applyFont="1" applyFill="1" applyBorder="1" applyAlignment="1">
      <alignment horizontal="center" vertical="center"/>
    </xf>
    <xf numFmtId="0" fontId="50" fillId="0" borderId="6" xfId="31" applyFont="1" applyFill="1" applyBorder="1" applyAlignment="1">
      <alignment horizontal="center" vertical="center"/>
    </xf>
    <xf numFmtId="0" fontId="50" fillId="0" borderId="13" xfId="32" applyFont="1" applyFill="1" applyBorder="1" applyAlignment="1">
      <alignment horizontal="center" vertical="center"/>
    </xf>
    <xf numFmtId="186" fontId="50" fillId="0" borderId="13" xfId="32" applyNumberFormat="1" applyFont="1" applyFill="1" applyBorder="1" applyAlignment="1">
      <alignment horizontal="center" vertical="center"/>
    </xf>
    <xf numFmtId="189" fontId="50" fillId="0" borderId="13" xfId="32" applyNumberFormat="1" applyFont="1" applyFill="1" applyBorder="1" applyAlignment="1">
      <alignment horizontal="center" vertical="center"/>
    </xf>
    <xf numFmtId="0" fontId="50" fillId="0" borderId="0" xfId="32" applyFont="1" applyFill="1"/>
    <xf numFmtId="186" fontId="50" fillId="0" borderId="0" xfId="32" applyNumberFormat="1" applyFont="1" applyFill="1"/>
    <xf numFmtId="0" fontId="50" fillId="0" borderId="0" xfId="32" applyFont="1" applyFill="1" applyBorder="1"/>
    <xf numFmtId="0" fontId="50" fillId="0" borderId="0" xfId="32" applyFont="1" applyFill="1" applyBorder="1" applyAlignment="1">
      <alignment horizontal="center" vertical="center"/>
    </xf>
    <xf numFmtId="0" fontId="50" fillId="0" borderId="0" xfId="32" applyFont="1" applyFill="1" applyAlignment="1">
      <alignment horizontal="right" vertical="center"/>
    </xf>
    <xf numFmtId="0" fontId="50" fillId="0" borderId="0" xfId="32" applyFont="1" applyFill="1" applyAlignment="1">
      <alignment horizontal="center" vertical="center"/>
    </xf>
    <xf numFmtId="186" fontId="50" fillId="0" borderId="0" xfId="32" applyNumberFormat="1" applyFont="1" applyFill="1" applyAlignment="1">
      <alignment horizontal="center" vertical="center"/>
    </xf>
    <xf numFmtId="0" fontId="50" fillId="0" borderId="0" xfId="32" applyFont="1" applyFill="1" applyAlignment="1">
      <alignment vertical="center"/>
    </xf>
    <xf numFmtId="180" fontId="50" fillId="0" borderId="0" xfId="32" applyNumberFormat="1" applyFont="1" applyFill="1" applyBorder="1" applyAlignment="1">
      <alignment horizontal="center" vertical="center"/>
    </xf>
    <xf numFmtId="0" fontId="96" fillId="0" borderId="6" xfId="0" applyFont="1" applyFill="1" applyBorder="1" applyAlignment="1">
      <alignment horizontal="center" vertical="center"/>
    </xf>
    <xf numFmtId="0" fontId="48" fillId="18" borderId="6" xfId="0" applyFont="1" applyFill="1" applyBorder="1" applyAlignment="1">
      <alignment horizontal="center" vertical="center"/>
    </xf>
    <xf numFmtId="0" fontId="42" fillId="18" borderId="6" xfId="0" applyFont="1" applyFill="1" applyBorder="1" applyAlignment="1">
      <alignment horizontal="center" vertical="center"/>
    </xf>
    <xf numFmtId="0" fontId="48" fillId="2" borderId="6" xfId="0" applyFont="1" applyFill="1" applyBorder="1" applyAlignment="1">
      <alignment horizontal="center" vertical="center"/>
    </xf>
    <xf numFmtId="0" fontId="42" fillId="0" borderId="6" xfId="0" applyFont="1" applyFill="1" applyBorder="1" applyAlignment="1">
      <alignment horizontal="center" vertical="center"/>
    </xf>
    <xf numFmtId="0" fontId="48" fillId="10" borderId="0" xfId="0" applyFont="1" applyFill="1" applyAlignment="1">
      <alignment horizontal="center" vertical="center" wrapText="1"/>
    </xf>
    <xf numFmtId="186" fontId="48" fillId="10" borderId="0" xfId="0" applyNumberFormat="1" applyFont="1" applyFill="1" applyAlignment="1">
      <alignment horizontal="center" vertical="center"/>
    </xf>
    <xf numFmtId="186" fontId="48" fillId="10" borderId="0" xfId="0" applyNumberFormat="1" applyFont="1" applyFill="1" applyAlignment="1">
      <alignment horizontal="center" wrapText="1"/>
    </xf>
    <xf numFmtId="186" fontId="48" fillId="10" borderId="0" xfId="0" applyNumberFormat="1" applyFont="1" applyFill="1" applyAlignment="1">
      <alignment horizontal="center" vertical="center" wrapText="1"/>
    </xf>
    <xf numFmtId="0" fontId="48" fillId="10" borderId="0" xfId="0" applyFont="1" applyFill="1" applyAlignment="1">
      <alignment horizontal="center" vertical="center"/>
    </xf>
    <xf numFmtId="186" fontId="42" fillId="10" borderId="0" xfId="0" applyNumberFormat="1" applyFont="1" applyFill="1" applyAlignment="1">
      <alignment horizontal="center" vertical="center"/>
    </xf>
    <xf numFmtId="186" fontId="48" fillId="10" borderId="0" xfId="0" applyNumberFormat="1" applyFont="1" applyFill="1" applyAlignment="1">
      <alignment horizontal="center"/>
    </xf>
    <xf numFmtId="0" fontId="48" fillId="10" borderId="0" xfId="0" applyFont="1" applyFill="1" applyAlignment="1">
      <alignment horizontal="center"/>
    </xf>
    <xf numFmtId="0" fontId="48" fillId="0" borderId="0" xfId="0" applyFont="1" applyAlignment="1">
      <alignment horizontal="center"/>
    </xf>
    <xf numFmtId="187" fontId="48" fillId="10" borderId="0" xfId="0" applyNumberFormat="1" applyFont="1" applyFill="1" applyBorder="1" applyAlignment="1">
      <alignment horizontal="center" vertical="center"/>
    </xf>
    <xf numFmtId="0" fontId="48" fillId="7" borderId="0" xfId="0" applyFont="1" applyFill="1" applyAlignment="1">
      <alignment horizontal="center"/>
    </xf>
    <xf numFmtId="186" fontId="97" fillId="10" borderId="0" xfId="0" applyNumberFormat="1" applyFont="1" applyFill="1" applyAlignment="1">
      <alignment horizontal="center" vertical="center"/>
    </xf>
    <xf numFmtId="186" fontId="97" fillId="10" borderId="0" xfId="0" applyNumberFormat="1" applyFont="1" applyFill="1" applyAlignment="1">
      <alignment horizontal="center"/>
    </xf>
    <xf numFmtId="0" fontId="97" fillId="10" borderId="0" xfId="0" applyFont="1" applyFill="1" applyAlignment="1">
      <alignment horizontal="center"/>
    </xf>
    <xf numFmtId="0" fontId="97" fillId="0" borderId="0" xfId="0" applyFont="1" applyAlignment="1">
      <alignment horizontal="center"/>
    </xf>
    <xf numFmtId="0" fontId="48" fillId="10" borderId="0" xfId="0" applyFont="1" applyFill="1" applyAlignment="1">
      <alignment horizontal="center" wrapText="1"/>
    </xf>
    <xf numFmtId="0" fontId="48" fillId="10" borderId="0" xfId="0" applyFont="1" applyFill="1" applyAlignment="1">
      <alignment horizontal="right"/>
    </xf>
    <xf numFmtId="0" fontId="48" fillId="0" borderId="0" xfId="0" applyFont="1" applyAlignment="1">
      <alignment horizontal="center" wrapText="1"/>
    </xf>
    <xf numFmtId="0" fontId="48" fillId="0" borderId="3" xfId="0" applyFont="1" applyFill="1" applyBorder="1" applyAlignment="1">
      <alignment vertical="center"/>
    </xf>
    <xf numFmtId="0" fontId="48" fillId="0" borderId="1" xfId="0" applyFont="1" applyFill="1" applyBorder="1" applyAlignment="1">
      <alignment vertical="center" textRotation="255"/>
    </xf>
    <xf numFmtId="0" fontId="48" fillId="0" borderId="1" xfId="0" applyFont="1" applyFill="1" applyBorder="1" applyAlignment="1">
      <alignment vertical="center"/>
    </xf>
    <xf numFmtId="0" fontId="48" fillId="0" borderId="3" xfId="0" applyFont="1" applyFill="1" applyBorder="1" applyAlignment="1">
      <alignment vertical="center" wrapText="1"/>
    </xf>
    <xf numFmtId="0" fontId="48" fillId="0" borderId="25" xfId="0" applyFont="1" applyFill="1" applyBorder="1" applyAlignment="1">
      <alignment vertical="center" wrapText="1"/>
    </xf>
    <xf numFmtId="178" fontId="48" fillId="10" borderId="0" xfId="0" applyNumberFormat="1" applyFont="1" applyFill="1" applyBorder="1" applyAlignment="1">
      <alignment vertical="center"/>
    </xf>
    <xf numFmtId="0" fontId="48" fillId="0" borderId="55" xfId="0" applyFont="1" applyFill="1" applyBorder="1" applyAlignment="1">
      <alignment horizontal="center" vertical="center"/>
    </xf>
    <xf numFmtId="0" fontId="48" fillId="0" borderId="2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186" fontId="42" fillId="10" borderId="0" xfId="0" applyNumberFormat="1" applyFont="1" applyFill="1" applyAlignment="1">
      <alignment vertical="center"/>
    </xf>
    <xf numFmtId="0" fontId="48" fillId="0" borderId="6" xfId="0" applyFont="1" applyBorder="1" applyAlignment="1">
      <alignment horizontal="center"/>
    </xf>
    <xf numFmtId="182" fontId="48" fillId="0" borderId="6" xfId="0" applyNumberFormat="1" applyFont="1" applyFill="1" applyBorder="1" applyAlignment="1">
      <alignment horizontal="center" vertical="center"/>
    </xf>
    <xf numFmtId="180" fontId="48" fillId="0" borderId="6" xfId="0" applyNumberFormat="1" applyFont="1" applyFill="1" applyBorder="1" applyAlignment="1">
      <alignment horizontal="center" vertical="center"/>
    </xf>
    <xf numFmtId="0" fontId="48" fillId="0" borderId="6" xfId="0" applyNumberFormat="1" applyFont="1" applyFill="1" applyBorder="1" applyAlignment="1">
      <alignment horizontal="center" vertical="center" wrapText="1"/>
    </xf>
    <xf numFmtId="0" fontId="48" fillId="18" borderId="6" xfId="0" applyFont="1" applyFill="1" applyBorder="1" applyAlignment="1">
      <alignment vertical="center"/>
    </xf>
    <xf numFmtId="177" fontId="48" fillId="0" borderId="6" xfId="0" applyNumberFormat="1" applyFont="1" applyFill="1" applyBorder="1" applyAlignment="1">
      <alignment horizontal="center" vertical="center" wrapText="1"/>
    </xf>
    <xf numFmtId="0" fontId="97" fillId="0" borderId="6" xfId="0" applyNumberFormat="1" applyFont="1" applyFill="1" applyBorder="1" applyAlignment="1">
      <alignment horizontal="center" vertical="center" wrapText="1"/>
    </xf>
    <xf numFmtId="0" fontId="97" fillId="0" borderId="6" xfId="0" applyFont="1" applyFill="1" applyBorder="1" applyAlignment="1">
      <alignment horizontal="center" vertical="center"/>
    </xf>
    <xf numFmtId="186" fontId="69" fillId="10" borderId="1" xfId="0" applyNumberFormat="1" applyFont="1" applyFill="1" applyBorder="1" applyAlignment="1">
      <alignment horizontal="center"/>
    </xf>
    <xf numFmtId="186" fontId="48" fillId="10" borderId="1" xfId="0" applyNumberFormat="1" applyFont="1" applyFill="1" applyBorder="1" applyAlignment="1">
      <alignment horizontal="center"/>
    </xf>
    <xf numFmtId="0" fontId="48" fillId="10" borderId="1" xfId="0" applyNumberFormat="1" applyFont="1" applyFill="1" applyBorder="1" applyAlignment="1">
      <alignment horizontal="center" vertical="center"/>
    </xf>
    <xf numFmtId="186" fontId="69" fillId="10" borderId="0" xfId="0" applyNumberFormat="1" applyFont="1" applyFill="1" applyBorder="1" applyAlignment="1">
      <alignment horizontal="center"/>
    </xf>
    <xf numFmtId="0" fontId="48" fillId="0" borderId="6" xfId="0" applyFont="1" applyBorder="1" applyAlignment="1">
      <alignment horizontal="center" vertical="center"/>
    </xf>
    <xf numFmtId="0" fontId="48" fillId="0" borderId="6" xfId="0" applyFont="1" applyBorder="1" applyAlignment="1">
      <alignment horizontal="center" vertical="center" wrapText="1"/>
    </xf>
    <xf numFmtId="0" fontId="48" fillId="0" borderId="0" xfId="0" applyFont="1" applyAlignment="1">
      <alignment horizontal="center" vertical="center" wrapText="1"/>
    </xf>
    <xf numFmtId="0" fontId="48" fillId="18" borderId="6" xfId="0" applyFont="1" applyFill="1" applyBorder="1" applyAlignment="1">
      <alignment horizontal="center" vertical="center" wrapText="1"/>
    </xf>
    <xf numFmtId="0" fontId="48" fillId="0" borderId="1" xfId="31" applyFont="1" applyFill="1" applyBorder="1" applyAlignment="1">
      <alignment horizontal="center" vertical="center"/>
    </xf>
    <xf numFmtId="186" fontId="98" fillId="0" borderId="6" xfId="31" applyNumberFormat="1" applyFont="1" applyFill="1" applyBorder="1" applyAlignment="1">
      <alignment horizontal="center" vertical="center"/>
    </xf>
    <xf numFmtId="0" fontId="98" fillId="0" borderId="6" xfId="31" applyFont="1" applyFill="1" applyBorder="1" applyAlignment="1">
      <alignment horizontal="center" vertical="center"/>
    </xf>
    <xf numFmtId="186" fontId="98" fillId="0" borderId="34" xfId="31" applyNumberFormat="1" applyFont="1" applyFill="1" applyBorder="1" applyAlignment="1">
      <alignment horizontal="center" vertical="center"/>
    </xf>
    <xf numFmtId="0" fontId="98" fillId="0" borderId="34" xfId="31" applyFont="1" applyFill="1" applyBorder="1" applyAlignment="1">
      <alignment horizontal="center" vertical="center"/>
    </xf>
    <xf numFmtId="186" fontId="98" fillId="0" borderId="9" xfId="31" applyNumberFormat="1" applyFont="1" applyFill="1" applyBorder="1" applyAlignment="1">
      <alignment horizontal="center" vertical="center"/>
    </xf>
    <xf numFmtId="0" fontId="6" fillId="0" borderId="6" xfId="31" applyFont="1" applyBorder="1"/>
    <xf numFmtId="186" fontId="6" fillId="0" borderId="6" xfId="31" applyNumberFormat="1" applyFont="1" applyBorder="1"/>
    <xf numFmtId="0" fontId="6" fillId="0" borderId="6" xfId="31" applyFont="1" applyFill="1" applyBorder="1" applyAlignment="1">
      <alignment vertical="center"/>
    </xf>
    <xf numFmtId="0" fontId="48" fillId="13" borderId="0" xfId="31" applyFont="1" applyFill="1" applyAlignment="1">
      <alignment horizontal="center" vertical="center"/>
    </xf>
    <xf numFmtId="0" fontId="48" fillId="0" borderId="0" xfId="31" applyFont="1" applyAlignment="1">
      <alignment horizontal="center" vertical="center"/>
    </xf>
    <xf numFmtId="178" fontId="48" fillId="0" borderId="0" xfId="31" applyNumberFormat="1" applyFont="1" applyAlignment="1">
      <alignment horizontal="center" vertical="center"/>
    </xf>
    <xf numFmtId="178" fontId="48" fillId="0" borderId="0" xfId="31" applyNumberFormat="1" applyFont="1" applyBorder="1" applyAlignment="1">
      <alignment horizontal="center" vertical="center"/>
    </xf>
    <xf numFmtId="0" fontId="48" fillId="0" borderId="0" xfId="31" applyFont="1" applyBorder="1" applyAlignment="1">
      <alignment horizontal="left"/>
    </xf>
    <xf numFmtId="0" fontId="48" fillId="0" borderId="47" xfId="31" applyFont="1" applyBorder="1" applyAlignment="1">
      <alignment vertical="center"/>
    </xf>
    <xf numFmtId="0" fontId="48" fillId="0" borderId="49" xfId="31" applyFont="1" applyBorder="1" applyAlignment="1">
      <alignment vertical="center"/>
    </xf>
    <xf numFmtId="0" fontId="48" fillId="20" borderId="8" xfId="31" applyFont="1" applyFill="1" applyBorder="1" applyAlignment="1">
      <alignment vertical="center"/>
    </xf>
    <xf numFmtId="0" fontId="48" fillId="21" borderId="8" xfId="31" applyFont="1" applyFill="1" applyBorder="1" applyAlignment="1">
      <alignment vertical="center"/>
    </xf>
    <xf numFmtId="0" fontId="48" fillId="22" borderId="8" xfId="31" applyFont="1" applyFill="1" applyBorder="1" applyAlignment="1">
      <alignment vertical="center"/>
    </xf>
    <xf numFmtId="0" fontId="48" fillId="23" borderId="8" xfId="31" applyFont="1" applyFill="1" applyBorder="1" applyAlignment="1">
      <alignment vertical="center"/>
    </xf>
    <xf numFmtId="0" fontId="48" fillId="22" borderId="8" xfId="31" applyFont="1" applyFill="1" applyBorder="1" applyAlignment="1">
      <alignment vertical="center" wrapText="1"/>
    </xf>
    <xf numFmtId="0" fontId="48" fillId="20" borderId="8" xfId="43" applyFont="1" applyFill="1" applyBorder="1" applyAlignment="1">
      <alignment vertical="center"/>
    </xf>
    <xf numFmtId="0" fontId="48" fillId="24" borderId="8" xfId="43" applyFont="1" applyFill="1" applyBorder="1" applyAlignment="1">
      <alignment vertical="center" wrapText="1"/>
    </xf>
    <xf numFmtId="0" fontId="48" fillId="0" borderId="8" xfId="43" applyFont="1" applyFill="1" applyBorder="1" applyAlignment="1">
      <alignment vertical="center"/>
    </xf>
    <xf numFmtId="0" fontId="48" fillId="20" borderId="47" xfId="31" applyFont="1" applyFill="1" applyBorder="1" applyAlignment="1">
      <alignment vertical="center"/>
    </xf>
    <xf numFmtId="0" fontId="48" fillId="0" borderId="6" xfId="31" applyFont="1" applyBorder="1"/>
    <xf numFmtId="0" fontId="48" fillId="20" borderId="6" xfId="31" applyFont="1" applyFill="1" applyBorder="1" applyAlignment="1">
      <alignment vertical="center"/>
    </xf>
    <xf numFmtId="0" fontId="48" fillId="0" borderId="6" xfId="31" applyFont="1" applyBorder="1" applyAlignment="1">
      <alignment vertical="center" wrapText="1"/>
    </xf>
    <xf numFmtId="0" fontId="48" fillId="20" borderId="6" xfId="31" applyFont="1" applyFill="1" applyBorder="1" applyAlignment="1">
      <alignment vertical="center" wrapText="1"/>
    </xf>
    <xf numFmtId="0" fontId="48" fillId="20" borderId="6" xfId="43" applyFont="1" applyFill="1" applyBorder="1" applyAlignment="1">
      <alignment vertical="center" wrapText="1"/>
    </xf>
    <xf numFmtId="0" fontId="48" fillId="24" borderId="6" xfId="43" applyFont="1" applyFill="1" applyBorder="1" applyAlignment="1">
      <alignment vertical="center" wrapText="1"/>
    </xf>
    <xf numFmtId="0" fontId="48" fillId="0" borderId="0" xfId="31" applyFont="1" applyBorder="1" applyAlignment="1">
      <alignment horizontal="left" wrapText="1"/>
    </xf>
    <xf numFmtId="0" fontId="48" fillId="0" borderId="0" xfId="31" applyFont="1" applyBorder="1" applyAlignment="1">
      <alignment wrapText="1"/>
    </xf>
    <xf numFmtId="0" fontId="48" fillId="0" borderId="0" xfId="31" applyFont="1" applyAlignment="1">
      <alignment wrapText="1"/>
    </xf>
    <xf numFmtId="0" fontId="48" fillId="0" borderId="67" xfId="31" applyFont="1" applyBorder="1" applyAlignment="1">
      <alignment horizontal="center" vertical="center"/>
    </xf>
    <xf numFmtId="0" fontId="48" fillId="0" borderId="9" xfId="31" applyFont="1" applyBorder="1" applyAlignment="1">
      <alignment horizontal="center" vertical="center"/>
    </xf>
    <xf numFmtId="0" fontId="48" fillId="20" borderId="67" xfId="31" applyFont="1" applyFill="1" applyBorder="1" applyAlignment="1">
      <alignment horizontal="center" vertical="center"/>
    </xf>
    <xf numFmtId="0" fontId="48" fillId="20" borderId="6" xfId="31" applyNumberFormat="1" applyFont="1" applyFill="1" applyBorder="1" applyAlignment="1">
      <alignment horizontal="center" vertical="center"/>
    </xf>
    <xf numFmtId="0" fontId="48" fillId="21" borderId="6" xfId="31" applyNumberFormat="1" applyFont="1" applyFill="1" applyBorder="1" applyAlignment="1">
      <alignment horizontal="center" vertical="center"/>
    </xf>
    <xf numFmtId="0" fontId="48" fillId="23" borderId="5" xfId="31" applyFont="1" applyFill="1" applyBorder="1" applyAlignment="1">
      <alignment horizontal="center" vertical="center"/>
    </xf>
    <xf numFmtId="0" fontId="48" fillId="23" borderId="34" xfId="31" applyNumberFormat="1" applyFont="1" applyFill="1" applyBorder="1" applyAlignment="1">
      <alignment horizontal="center" vertical="center"/>
    </xf>
    <xf numFmtId="177" fontId="48" fillId="20" borderId="9" xfId="43" applyNumberFormat="1" applyFont="1" applyFill="1" applyBorder="1" applyAlignment="1">
      <alignment horizontal="center" vertical="center"/>
    </xf>
    <xf numFmtId="58" fontId="48" fillId="0" borderId="0" xfId="31" applyNumberFormat="1" applyFont="1" applyBorder="1" applyAlignment="1">
      <alignment horizontal="center" vertical="center"/>
    </xf>
    <xf numFmtId="0" fontId="48" fillId="0" borderId="0" xfId="31" applyNumberFormat="1" applyFont="1" applyBorder="1" applyAlignment="1">
      <alignment horizontal="center" vertical="center"/>
    </xf>
    <xf numFmtId="178" fontId="48" fillId="0" borderId="1" xfId="37" applyNumberFormat="1" applyFont="1" applyBorder="1" applyAlignment="1">
      <alignment horizontal="center" vertical="center" wrapText="1"/>
    </xf>
    <xf numFmtId="0" fontId="48" fillId="0" borderId="0" xfId="31" applyFont="1" applyBorder="1" applyAlignment="1">
      <alignment horizontal="left" vertical="center"/>
    </xf>
    <xf numFmtId="0" fontId="48" fillId="19" borderId="0" xfId="43" applyFont="1" applyFill="1" applyBorder="1" applyAlignment="1">
      <alignment horizontal="center" vertical="center"/>
    </xf>
    <xf numFmtId="0" fontId="48" fillId="0" borderId="69" xfId="31" applyFont="1" applyBorder="1" applyAlignment="1">
      <alignment horizontal="center" vertical="center"/>
    </xf>
    <xf numFmtId="0" fontId="48" fillId="0" borderId="48" xfId="31" applyFont="1" applyBorder="1" applyAlignment="1">
      <alignment horizontal="center" vertical="center"/>
    </xf>
    <xf numFmtId="0" fontId="48" fillId="0" borderId="48" xfId="31" applyFont="1" applyBorder="1" applyAlignment="1">
      <alignment vertical="center"/>
    </xf>
    <xf numFmtId="0" fontId="48" fillId="0" borderId="6" xfId="31" applyFont="1" applyBorder="1" applyAlignment="1">
      <alignment horizontal="center"/>
    </xf>
    <xf numFmtId="0" fontId="48" fillId="0" borderId="6" xfId="31" applyFont="1" applyBorder="1" applyAlignment="1">
      <alignment horizontal="center" wrapText="1"/>
    </xf>
    <xf numFmtId="0" fontId="83" fillId="0" borderId="6" xfId="31" applyFont="1" applyBorder="1" applyAlignment="1">
      <alignment horizontal="center"/>
    </xf>
    <xf numFmtId="182" fontId="48" fillId="0" borderId="6" xfId="31" applyNumberFormat="1" applyFont="1" applyBorder="1" applyAlignment="1">
      <alignment horizontal="center"/>
    </xf>
    <xf numFmtId="0" fontId="48" fillId="0" borderId="6" xfId="2" applyFont="1" applyBorder="1" applyAlignment="1">
      <alignment horizontal="center" vertical="center" wrapText="1"/>
    </xf>
    <xf numFmtId="0" fontId="42" fillId="0" borderId="6" xfId="31" applyFont="1" applyBorder="1" applyAlignment="1">
      <alignment horizontal="center"/>
    </xf>
    <xf numFmtId="180" fontId="83" fillId="0" borderId="6" xfId="31" applyNumberFormat="1" applyFont="1" applyBorder="1" applyAlignment="1">
      <alignment horizontal="center"/>
    </xf>
    <xf numFmtId="180" fontId="48" fillId="0" borderId="6" xfId="31" applyNumberFormat="1" applyFont="1" applyFill="1" applyBorder="1" applyAlignment="1">
      <alignment horizontal="center"/>
    </xf>
    <xf numFmtId="0" fontId="48" fillId="0" borderId="1" xfId="31" applyFont="1" applyBorder="1" applyAlignment="1">
      <alignment horizontal="center" vertical="center"/>
    </xf>
    <xf numFmtId="178" fontId="69" fillId="16" borderId="1" xfId="31" applyNumberFormat="1" applyFont="1" applyFill="1" applyBorder="1" applyAlignment="1">
      <alignment horizontal="center" vertical="center"/>
    </xf>
    <xf numFmtId="0" fontId="69" fillId="0" borderId="1" xfId="31" applyFont="1" applyBorder="1" applyAlignment="1">
      <alignment horizontal="center" vertical="center"/>
    </xf>
    <xf numFmtId="178" fontId="69" fillId="0" borderId="1" xfId="31" applyNumberFormat="1" applyFont="1" applyBorder="1" applyAlignment="1">
      <alignment horizontal="center" vertical="center"/>
    </xf>
    <xf numFmtId="178" fontId="69" fillId="0" borderId="0" xfId="31" applyNumberFormat="1" applyFont="1" applyAlignment="1">
      <alignment horizontal="center" vertical="center"/>
    </xf>
    <xf numFmtId="178" fontId="48" fillId="0" borderId="0" xfId="43" applyNumberFormat="1" applyFont="1"/>
    <xf numFmtId="178" fontId="62" fillId="0" borderId="0" xfId="31" applyNumberFormat="1" applyFont="1" applyAlignment="1">
      <alignment horizontal="center" vertical="center"/>
    </xf>
    <xf numFmtId="178" fontId="62" fillId="2" borderId="0" xfId="31" applyNumberFormat="1" applyFont="1" applyFill="1" applyAlignment="1">
      <alignment horizontal="center" vertical="center"/>
    </xf>
    <xf numFmtId="178" fontId="62" fillId="0" borderId="0" xfId="43" applyNumberFormat="1" applyFont="1"/>
    <xf numFmtId="178" fontId="48" fillId="0" borderId="0" xfId="31" applyNumberFormat="1" applyFont="1"/>
    <xf numFmtId="0" fontId="48" fillId="20" borderId="0" xfId="31" applyFont="1" applyFill="1" applyAlignment="1">
      <alignment horizontal="center" vertical="center"/>
    </xf>
    <xf numFmtId="0" fontId="48" fillId="0" borderId="0" xfId="43" applyFont="1" applyAlignment="1">
      <alignment horizontal="center" vertical="center"/>
    </xf>
    <xf numFmtId="0" fontId="48" fillId="0" borderId="1" xfId="31" applyFont="1" applyFill="1" applyBorder="1" applyAlignment="1">
      <alignment horizontal="center" vertical="center"/>
    </xf>
    <xf numFmtId="178" fontId="48" fillId="20" borderId="6" xfId="31" applyNumberFormat="1" applyFont="1" applyFill="1" applyBorder="1" applyAlignment="1">
      <alignment horizontal="center" vertical="center"/>
    </xf>
    <xf numFmtId="178" fontId="48" fillId="24" borderId="6" xfId="43" applyNumberFormat="1" applyFont="1" applyFill="1" applyBorder="1" applyAlignment="1">
      <alignment horizontal="center" vertical="center"/>
    </xf>
    <xf numFmtId="0" fontId="47" fillId="0" borderId="1" xfId="0" applyFont="1" applyBorder="1" applyAlignment="1">
      <alignment horizontal="center" vertical="center"/>
    </xf>
    <xf numFmtId="0" fontId="16" fillId="0" borderId="1" xfId="0" applyFont="1" applyBorder="1" applyAlignment="1">
      <alignment horizontal="center" vertical="center"/>
    </xf>
    <xf numFmtId="182" fontId="18" fillId="0" borderId="1" xfId="0" applyNumberFormat="1" applyFont="1" applyBorder="1" applyAlignment="1">
      <alignment horizontal="center" vertical="center"/>
    </xf>
    <xf numFmtId="0" fontId="16" fillId="2"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21" xfId="0" applyFont="1" applyBorder="1" applyAlignment="1">
      <alignment horizontal="center" vertical="center" wrapText="1"/>
    </xf>
    <xf numFmtId="0" fontId="50" fillId="0" borderId="0" xfId="0" applyFont="1" applyBorder="1" applyAlignment="1">
      <alignment horizontal="center" vertical="center"/>
    </xf>
    <xf numFmtId="180" fontId="50" fillId="0" borderId="0" xfId="0" applyNumberFormat="1" applyFont="1" applyBorder="1" applyAlignment="1">
      <alignment horizontal="center" vertical="center"/>
    </xf>
    <xf numFmtId="0" fontId="54" fillId="0" borderId="4" xfId="0" applyFont="1" applyBorder="1" applyAlignment="1">
      <alignment horizontal="center" vertical="center"/>
    </xf>
    <xf numFmtId="184" fontId="41" fillId="9" borderId="45" xfId="0" applyNumberFormat="1" applyFont="1" applyFill="1" applyBorder="1" applyAlignment="1">
      <alignment horizontal="center" vertical="center"/>
    </xf>
    <xf numFmtId="184" fontId="41" fillId="9" borderId="62" xfId="0" applyNumberFormat="1" applyFont="1" applyFill="1" applyBorder="1" applyAlignment="1">
      <alignment horizontal="center" vertical="center"/>
    </xf>
    <xf numFmtId="0" fontId="50" fillId="8" borderId="3" xfId="0" applyFont="1" applyFill="1" applyBorder="1" applyAlignment="1">
      <alignment horizontal="center" vertical="center"/>
    </xf>
    <xf numFmtId="0" fontId="50" fillId="8" borderId="20" xfId="0" applyFont="1" applyFill="1" applyBorder="1" applyAlignment="1">
      <alignment horizontal="center" vertical="center"/>
    </xf>
    <xf numFmtId="0" fontId="50" fillId="8" borderId="19" xfId="0" applyFont="1" applyFill="1" applyBorder="1" applyAlignment="1">
      <alignment horizontal="center" vertical="center"/>
    </xf>
    <xf numFmtId="14" fontId="50" fillId="8" borderId="3" xfId="0" applyNumberFormat="1" applyFont="1" applyFill="1" applyBorder="1" applyAlignment="1">
      <alignment horizontal="center" vertical="center"/>
    </xf>
    <xf numFmtId="14" fontId="50" fillId="8" borderId="20" xfId="0" applyNumberFormat="1" applyFont="1" applyFill="1" applyBorder="1" applyAlignment="1">
      <alignment horizontal="center" vertical="center"/>
    </xf>
    <xf numFmtId="14" fontId="50" fillId="8" borderId="19" xfId="0" applyNumberFormat="1" applyFont="1" applyFill="1" applyBorder="1" applyAlignment="1">
      <alignment horizontal="center" vertical="center"/>
    </xf>
    <xf numFmtId="180" fontId="50" fillId="8" borderId="3" xfId="0" applyNumberFormat="1" applyFont="1" applyFill="1" applyBorder="1" applyAlignment="1">
      <alignment horizontal="center" vertical="center"/>
    </xf>
    <xf numFmtId="180" fontId="50" fillId="8" borderId="20" xfId="0" applyNumberFormat="1" applyFont="1" applyFill="1" applyBorder="1" applyAlignment="1">
      <alignment horizontal="center" vertical="center"/>
    </xf>
    <xf numFmtId="180" fontId="50" fillId="8" borderId="19" xfId="0" applyNumberFormat="1" applyFont="1" applyFill="1" applyBorder="1" applyAlignment="1">
      <alignment horizontal="center" vertical="center"/>
    </xf>
    <xf numFmtId="0" fontId="41" fillId="0" borderId="0" xfId="0" applyFont="1" applyBorder="1" applyAlignment="1">
      <alignment horizontal="center" vertical="center"/>
    </xf>
    <xf numFmtId="0" fontId="50" fillId="9" borderId="34" xfId="0" applyFont="1" applyFill="1" applyBorder="1" applyAlignment="1">
      <alignment horizontal="center" vertical="center"/>
    </xf>
    <xf numFmtId="0" fontId="50" fillId="9" borderId="6" xfId="0" applyFont="1" applyFill="1" applyBorder="1" applyAlignment="1">
      <alignment horizontal="center" vertical="center"/>
    </xf>
    <xf numFmtId="0" fontId="49" fillId="9" borderId="8" xfId="0" applyFont="1" applyFill="1" applyBorder="1" applyAlignment="1">
      <alignment horizontal="center" vertical="center"/>
    </xf>
    <xf numFmtId="0" fontId="49" fillId="9" borderId="9" xfId="0" applyFont="1" applyFill="1" applyBorder="1" applyAlignment="1">
      <alignment horizontal="center" vertical="center"/>
    </xf>
    <xf numFmtId="0" fontId="50" fillId="0" borderId="56" xfId="0" applyFont="1" applyFill="1" applyBorder="1" applyAlignment="1">
      <alignment horizontal="center" vertical="center" textRotation="255" wrapText="1"/>
    </xf>
    <xf numFmtId="0" fontId="0" fillId="0" borderId="37" xfId="0" applyBorder="1">
      <alignment vertical="center"/>
    </xf>
    <xf numFmtId="0" fontId="0" fillId="0" borderId="33" xfId="0" applyBorder="1">
      <alignment vertical="center"/>
    </xf>
    <xf numFmtId="0" fontId="0" fillId="0" borderId="34" xfId="0" applyBorder="1">
      <alignment vertical="center"/>
    </xf>
    <xf numFmtId="0" fontId="55" fillId="0" borderId="0" xfId="0" applyFont="1" applyFill="1" applyBorder="1" applyAlignment="1">
      <alignment horizontal="left" vertical="center" wrapText="1"/>
    </xf>
    <xf numFmtId="0" fontId="48" fillId="0" borderId="8" xfId="0" applyFont="1" applyFill="1" applyBorder="1" applyAlignment="1">
      <alignment horizontal="left" vertical="center" wrapText="1"/>
    </xf>
    <xf numFmtId="0" fontId="48" fillId="0" borderId="18" xfId="0" applyFont="1" applyFill="1" applyBorder="1" applyAlignment="1">
      <alignment horizontal="left" vertical="center" wrapText="1"/>
    </xf>
    <xf numFmtId="0" fontId="48" fillId="0" borderId="9" xfId="0" applyFont="1" applyFill="1" applyBorder="1" applyAlignment="1">
      <alignment horizontal="left" vertical="center" wrapText="1"/>
    </xf>
    <xf numFmtId="0" fontId="50" fillId="0" borderId="32" xfId="0" applyFont="1" applyFill="1" applyBorder="1" applyAlignment="1">
      <alignment horizontal="center" vertical="center" textRotation="255" wrapText="1"/>
    </xf>
    <xf numFmtId="0" fontId="50" fillId="0" borderId="33" xfId="0" applyFont="1" applyFill="1" applyBorder="1" applyAlignment="1">
      <alignment horizontal="center" vertical="center" textRotation="255" wrapText="1"/>
    </xf>
    <xf numFmtId="0" fontId="50" fillId="0" borderId="34" xfId="0" applyFont="1" applyFill="1" applyBorder="1" applyAlignment="1">
      <alignment horizontal="center" vertical="center" textRotation="255" wrapText="1"/>
    </xf>
    <xf numFmtId="0" fontId="50" fillId="0" borderId="32" xfId="0" applyFont="1" applyFill="1" applyBorder="1" applyAlignment="1">
      <alignment horizontal="center" vertical="center" wrapText="1"/>
    </xf>
    <xf numFmtId="0" fontId="50" fillId="0" borderId="34" xfId="0" applyFont="1" applyFill="1" applyBorder="1" applyAlignment="1">
      <alignment horizontal="center" vertical="center" wrapText="1"/>
    </xf>
    <xf numFmtId="0" fontId="50" fillId="0" borderId="33" xfId="0" applyFont="1" applyFill="1" applyBorder="1" applyAlignment="1">
      <alignment horizontal="center" vertical="center" wrapText="1"/>
    </xf>
    <xf numFmtId="0" fontId="54" fillId="0" borderId="56" xfId="0" applyFont="1" applyFill="1" applyBorder="1" applyAlignment="1">
      <alignment horizontal="center" vertical="center" wrapText="1"/>
    </xf>
    <xf numFmtId="0" fontId="54" fillId="0" borderId="60" xfId="0" applyFont="1" applyFill="1" applyBorder="1" applyAlignment="1">
      <alignment horizontal="center" vertical="center" wrapText="1"/>
    </xf>
    <xf numFmtId="0" fontId="54" fillId="0" borderId="10" xfId="0" applyFont="1" applyFill="1" applyBorder="1" applyAlignment="1">
      <alignment horizontal="center" vertical="center" wrapText="1"/>
    </xf>
    <xf numFmtId="0" fontId="54" fillId="0" borderId="47" xfId="0" applyFont="1" applyFill="1" applyBorder="1" applyAlignment="1">
      <alignment horizontal="center" vertical="center" wrapText="1"/>
    </xf>
    <xf numFmtId="0" fontId="54" fillId="0" borderId="49" xfId="0" applyFont="1" applyFill="1" applyBorder="1" applyAlignment="1">
      <alignment horizontal="center" vertical="center" wrapText="1"/>
    </xf>
    <xf numFmtId="0" fontId="54" fillId="0" borderId="48" xfId="0" applyFont="1" applyFill="1" applyBorder="1" applyAlignment="1">
      <alignment horizontal="center" vertical="center" wrapText="1"/>
    </xf>
    <xf numFmtId="0" fontId="50" fillId="0" borderId="8" xfId="0" applyFont="1" applyFill="1" applyBorder="1" applyAlignment="1">
      <alignment horizontal="center" vertical="center" wrapText="1"/>
    </xf>
    <xf numFmtId="0" fontId="50" fillId="0" borderId="9" xfId="0" applyFont="1" applyFill="1" applyBorder="1" applyAlignment="1">
      <alignment horizontal="center" vertical="center" wrapText="1"/>
    </xf>
    <xf numFmtId="0" fontId="50" fillId="0" borderId="32" xfId="0" applyFont="1" applyFill="1" applyBorder="1" applyAlignment="1">
      <alignment horizontal="center" vertical="center"/>
    </xf>
    <xf numFmtId="0" fontId="50" fillId="0" borderId="34" xfId="0" applyFont="1" applyFill="1" applyBorder="1" applyAlignment="1">
      <alignment horizontal="center" vertical="center"/>
    </xf>
    <xf numFmtId="0" fontId="50" fillId="0" borderId="1" xfId="0" applyFont="1" applyFill="1" applyBorder="1" applyAlignment="1">
      <alignment horizontal="center" vertical="center"/>
    </xf>
    <xf numFmtId="0" fontId="50" fillId="0" borderId="22" xfId="0" applyFont="1" applyFill="1" applyBorder="1" applyAlignment="1">
      <alignment horizontal="center" vertical="center"/>
    </xf>
    <xf numFmtId="0" fontId="50" fillId="0" borderId="23" xfId="0" applyFont="1" applyFill="1" applyBorder="1" applyAlignment="1">
      <alignment horizontal="center" vertical="center"/>
    </xf>
    <xf numFmtId="0" fontId="50" fillId="0" borderId="25" xfId="0" applyFont="1" applyFill="1" applyBorder="1" applyAlignment="1">
      <alignment horizontal="center" vertical="center"/>
    </xf>
    <xf numFmtId="0" fontId="50" fillId="0" borderId="26" xfId="0" applyFont="1" applyFill="1" applyBorder="1" applyAlignment="1">
      <alignment horizontal="center" vertical="center"/>
    </xf>
    <xf numFmtId="0" fontId="65" fillId="0" borderId="4" xfId="0" applyFont="1" applyFill="1" applyBorder="1" applyAlignment="1">
      <alignment horizontal="center" vertical="center"/>
    </xf>
    <xf numFmtId="183" fontId="48" fillId="0" borderId="1" xfId="0" applyNumberFormat="1" applyFont="1" applyFill="1" applyBorder="1" applyAlignment="1">
      <alignment horizontal="center" vertical="center"/>
    </xf>
    <xf numFmtId="0" fontId="50" fillId="0" borderId="6" xfId="0" applyFont="1" applyFill="1" applyBorder="1" applyAlignment="1">
      <alignment horizontal="center" vertical="center" textRotation="255" wrapText="1"/>
    </xf>
    <xf numFmtId="0" fontId="50" fillId="0" borderId="16" xfId="0" applyFont="1" applyFill="1" applyBorder="1" applyAlignment="1">
      <alignment horizontal="center" vertical="center"/>
    </xf>
    <xf numFmtId="0" fontId="50" fillId="0" borderId="21" xfId="0" applyFont="1" applyFill="1" applyBorder="1" applyAlignment="1">
      <alignment horizontal="center" vertical="center"/>
    </xf>
    <xf numFmtId="0" fontId="57" fillId="0" borderId="1" xfId="0" applyFont="1" applyFill="1" applyBorder="1" applyAlignment="1">
      <alignment horizontal="center" vertical="center"/>
    </xf>
    <xf numFmtId="0" fontId="50" fillId="0" borderId="6" xfId="0" applyFont="1" applyFill="1" applyBorder="1" applyAlignment="1">
      <alignment horizontal="center" vertical="center" wrapText="1"/>
    </xf>
    <xf numFmtId="0" fontId="54" fillId="0" borderId="8" xfId="0" applyFont="1" applyFill="1" applyBorder="1" applyAlignment="1">
      <alignment horizontal="center" vertical="center" wrapText="1"/>
    </xf>
    <xf numFmtId="0" fontId="54" fillId="0" borderId="18" xfId="0" applyFont="1" applyFill="1" applyBorder="1" applyAlignment="1">
      <alignment horizontal="center" vertical="center" wrapText="1"/>
    </xf>
    <xf numFmtId="0" fontId="54" fillId="0" borderId="9" xfId="0" applyFont="1" applyFill="1" applyBorder="1" applyAlignment="1">
      <alignment horizontal="center" vertical="center" wrapText="1"/>
    </xf>
    <xf numFmtId="0" fontId="50" fillId="0" borderId="33" xfId="0" applyFont="1" applyFill="1" applyBorder="1" applyAlignment="1">
      <alignment horizontal="center" vertical="center"/>
    </xf>
    <xf numFmtId="0" fontId="50" fillId="0" borderId="47" xfId="0" applyFont="1" applyFill="1" applyBorder="1" applyAlignment="1">
      <alignment horizontal="center" vertical="center" textRotation="255" wrapText="1"/>
    </xf>
    <xf numFmtId="14" fontId="12" fillId="0" borderId="3" xfId="0" applyNumberFormat="1" applyFont="1" applyBorder="1" applyAlignment="1">
      <alignment horizontal="center" vertical="center"/>
    </xf>
    <xf numFmtId="0" fontId="12" fillId="0" borderId="19" xfId="0" applyFont="1" applyBorder="1" applyAlignment="1">
      <alignment horizontal="center" vertical="center"/>
    </xf>
    <xf numFmtId="0" fontId="10" fillId="0" borderId="0" xfId="0" applyFont="1" applyFill="1" applyAlignment="1">
      <alignment horizontal="center" vertical="center"/>
    </xf>
    <xf numFmtId="0" fontId="11" fillId="0" borderId="4" xfId="0" applyFont="1" applyBorder="1" applyAlignment="1">
      <alignment horizontal="right" vertical="center"/>
    </xf>
    <xf numFmtId="0" fontId="11" fillId="0" borderId="4" xfId="0" applyFont="1" applyBorder="1" applyAlignment="1">
      <alignment horizontal="center" vertical="center"/>
    </xf>
    <xf numFmtId="0" fontId="12" fillId="0" borderId="3" xfId="0" applyFont="1" applyBorder="1" applyAlignment="1">
      <alignment horizontal="center" vertical="center"/>
    </xf>
    <xf numFmtId="0" fontId="3" fillId="0" borderId="3" xfId="0" applyFont="1" applyBorder="1" applyAlignment="1">
      <alignment horizontal="center" vertical="center"/>
    </xf>
    <xf numFmtId="0" fontId="3" fillId="0" borderId="19" xfId="0" applyFont="1" applyBorder="1" applyAlignment="1">
      <alignment horizontal="center" vertical="center"/>
    </xf>
    <xf numFmtId="14" fontId="11" fillId="0" borderId="0" xfId="0" applyNumberFormat="1" applyFont="1" applyAlignment="1">
      <alignment horizontal="left" vertical="center"/>
    </xf>
    <xf numFmtId="0" fontId="11" fillId="0" borderId="0" xfId="0" applyFont="1" applyBorder="1" applyAlignment="1">
      <alignment horizontal="right" vertical="center"/>
    </xf>
    <xf numFmtId="0" fontId="25" fillId="6" borderId="4" xfId="25" applyFont="1" applyFill="1" applyBorder="1" applyAlignment="1">
      <alignment horizontal="center" vertical="center"/>
    </xf>
    <xf numFmtId="0" fontId="18" fillId="0" borderId="38" xfId="25" applyFont="1" applyFill="1" applyBorder="1" applyAlignment="1">
      <alignment horizontal="center" vertical="center" wrapText="1"/>
    </xf>
    <xf numFmtId="0" fontId="18" fillId="0" borderId="39" xfId="25" applyFont="1" applyFill="1" applyBorder="1" applyAlignment="1">
      <alignment horizontal="center" vertical="center" wrapText="1"/>
    </xf>
    <xf numFmtId="0" fontId="18" fillId="2" borderId="39" xfId="25" applyFont="1" applyFill="1" applyBorder="1" applyAlignment="1">
      <alignment horizontal="center" vertical="center" wrapText="1"/>
    </xf>
    <xf numFmtId="0" fontId="18" fillId="2" borderId="40" xfId="25" applyFont="1" applyFill="1" applyBorder="1" applyAlignment="1">
      <alignment horizontal="center" vertical="center" wrapText="1"/>
    </xf>
    <xf numFmtId="49" fontId="18" fillId="0" borderId="38" xfId="25" applyNumberFormat="1" applyFont="1" applyFill="1" applyBorder="1" applyAlignment="1">
      <alignment horizontal="center" vertical="center" wrapText="1"/>
    </xf>
    <xf numFmtId="49" fontId="18" fillId="0" borderId="39" xfId="25" applyNumberFormat="1" applyFont="1" applyFill="1" applyBorder="1" applyAlignment="1">
      <alignment horizontal="center" vertical="center" wrapText="1"/>
    </xf>
    <xf numFmtId="0" fontId="18" fillId="0" borderId="6" xfId="25" applyFont="1" applyFill="1" applyBorder="1" applyAlignment="1">
      <alignment horizontal="center" vertical="center" wrapText="1"/>
    </xf>
    <xf numFmtId="0" fontId="18" fillId="2" borderId="6" xfId="25" applyFont="1" applyFill="1" applyBorder="1" applyAlignment="1">
      <alignment horizontal="center" vertical="center" wrapText="1"/>
    </xf>
    <xf numFmtId="49" fontId="18" fillId="0" borderId="6" xfId="25" applyNumberFormat="1" applyFont="1" applyFill="1" applyBorder="1" applyAlignment="1">
      <alignment horizontal="center" vertical="center" wrapText="1"/>
    </xf>
    <xf numFmtId="0" fontId="18" fillId="2" borderId="41" xfId="25" applyFont="1" applyFill="1" applyBorder="1" applyAlignment="1">
      <alignment horizontal="center" vertical="center" wrapText="1"/>
    </xf>
    <xf numFmtId="0" fontId="25" fillId="0" borderId="38" xfId="25" applyFont="1" applyFill="1" applyBorder="1" applyAlignment="1">
      <alignment horizontal="center" vertical="center" wrapText="1"/>
    </xf>
    <xf numFmtId="0" fontId="25" fillId="2" borderId="39" xfId="25" applyFont="1" applyFill="1" applyBorder="1" applyAlignment="1">
      <alignment horizontal="center" vertical="center" wrapText="1"/>
    </xf>
    <xf numFmtId="0" fontId="25" fillId="2" borderId="40" xfId="25" applyFont="1" applyFill="1" applyBorder="1" applyAlignment="1">
      <alignment horizontal="center" vertical="center" wrapText="1"/>
    </xf>
    <xf numFmtId="0" fontId="25" fillId="2" borderId="41" xfId="25" applyFont="1" applyFill="1" applyBorder="1" applyAlignment="1">
      <alignment horizontal="center" vertical="center" wrapText="1"/>
    </xf>
    <xf numFmtId="0" fontId="22" fillId="0" borderId="38" xfId="25" applyFont="1" applyFill="1" applyBorder="1" applyAlignment="1">
      <alignment horizontal="center" vertical="center" wrapText="1"/>
    </xf>
    <xf numFmtId="0" fontId="17" fillId="0" borderId="38" xfId="25" applyFont="1" applyFill="1" applyBorder="1" applyAlignment="1">
      <alignment horizontal="left" vertical="center"/>
    </xf>
    <xf numFmtId="0" fontId="20" fillId="0" borderId="38" xfId="25" applyFont="1" applyFill="1" applyBorder="1" applyAlignment="1">
      <alignment horizontal="left" vertical="center" wrapText="1"/>
    </xf>
    <xf numFmtId="0" fontId="18" fillId="0" borderId="38" xfId="25" applyFont="1" applyFill="1" applyBorder="1" applyAlignment="1">
      <alignment horizontal="left" vertical="center" wrapText="1"/>
    </xf>
    <xf numFmtId="0" fontId="18" fillId="0" borderId="40" xfId="25" applyFont="1" applyFill="1" applyBorder="1" applyAlignment="1">
      <alignment horizontal="center" vertical="center" wrapText="1"/>
    </xf>
    <xf numFmtId="0" fontId="18" fillId="0" borderId="41" xfId="25" applyFont="1" applyFill="1" applyBorder="1" applyAlignment="1">
      <alignment horizontal="center" vertical="center" wrapText="1"/>
    </xf>
    <xf numFmtId="0" fontId="20" fillId="0" borderId="57" xfId="25" applyFont="1" applyFill="1" applyBorder="1" applyAlignment="1">
      <alignment horizontal="left" vertical="center" wrapText="1"/>
    </xf>
    <xf numFmtId="0" fontId="20" fillId="0" borderId="58" xfId="25" applyFont="1" applyFill="1" applyBorder="1" applyAlignment="1">
      <alignment horizontal="left" vertical="center" wrapText="1"/>
    </xf>
    <xf numFmtId="0" fontId="20" fillId="0" borderId="59" xfId="25" applyFont="1" applyFill="1" applyBorder="1" applyAlignment="1">
      <alignment horizontal="left" vertical="center" wrapText="1"/>
    </xf>
    <xf numFmtId="0" fontId="25" fillId="6" borderId="1" xfId="25" applyFont="1" applyFill="1" applyBorder="1" applyAlignment="1">
      <alignment horizontal="center" vertical="center"/>
    </xf>
    <xf numFmtId="180" fontId="25" fillId="6" borderId="1" xfId="25" applyNumberFormat="1" applyFont="1" applyFill="1" applyBorder="1" applyAlignment="1">
      <alignment horizontal="center" vertical="center"/>
    </xf>
    <xf numFmtId="182" fontId="25" fillId="6" borderId="1" xfId="25" applyNumberFormat="1" applyFont="1" applyFill="1" applyBorder="1" applyAlignment="1">
      <alignment horizontal="center" vertical="center"/>
    </xf>
    <xf numFmtId="0" fontId="31" fillId="6" borderId="0" xfId="25" applyFont="1" applyFill="1" applyBorder="1" applyAlignment="1">
      <alignment horizontal="center" vertical="center"/>
    </xf>
    <xf numFmtId="0" fontId="25" fillId="6" borderId="0" xfId="25" applyFont="1" applyFill="1" applyBorder="1" applyAlignment="1">
      <alignment horizontal="center" vertical="center"/>
    </xf>
    <xf numFmtId="0" fontId="35" fillId="0" borderId="38" xfId="25" applyFont="1" applyFill="1" applyBorder="1" applyAlignment="1">
      <alignment horizontal="left" vertical="center" wrapText="1"/>
    </xf>
    <xf numFmtId="0" fontId="25" fillId="6" borderId="22" xfId="25" applyFont="1" applyFill="1" applyBorder="1" applyAlignment="1">
      <alignment horizontal="center" vertical="center"/>
    </xf>
    <xf numFmtId="0" fontId="25" fillId="6" borderId="25" xfId="25" applyFont="1" applyFill="1" applyBorder="1" applyAlignment="1">
      <alignment horizontal="center" vertical="center"/>
    </xf>
    <xf numFmtId="14" fontId="25" fillId="6" borderId="22" xfId="25" applyNumberFormat="1"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80" fillId="0" borderId="1" xfId="0" applyFont="1" applyBorder="1" applyAlignment="1">
      <alignment horizontal="center" vertical="center"/>
    </xf>
    <xf numFmtId="0" fontId="18" fillId="0" borderId="3" xfId="0" applyNumberFormat="1" applyFont="1" applyBorder="1" applyAlignment="1">
      <alignment horizontal="center" vertical="center"/>
    </xf>
    <xf numFmtId="0" fontId="18" fillId="0" borderId="20" xfId="0" applyNumberFormat="1" applyFont="1" applyBorder="1" applyAlignment="1">
      <alignment horizontal="center" vertical="center"/>
    </xf>
    <xf numFmtId="0" fontId="18" fillId="0" borderId="19" xfId="0" applyNumberFormat="1" applyFont="1" applyBorder="1" applyAlignment="1">
      <alignment horizontal="center" vertical="center"/>
    </xf>
    <xf numFmtId="0" fontId="77" fillId="0" borderId="0" xfId="35" applyFont="1" applyBorder="1" applyAlignment="1">
      <alignment horizontal="center" vertical="center" wrapText="1"/>
    </xf>
    <xf numFmtId="0" fontId="42" fillId="0" borderId="1" xfId="37" applyFont="1" applyBorder="1" applyAlignment="1">
      <alignment horizontal="center" vertical="center" wrapText="1"/>
    </xf>
    <xf numFmtId="0" fontId="54" fillId="0" borderId="6" xfId="32" applyFont="1" applyBorder="1" applyAlignment="1">
      <alignment horizontal="center" vertical="center"/>
    </xf>
    <xf numFmtId="186" fontId="48" fillId="0" borderId="32" xfId="32" applyNumberFormat="1" applyFont="1" applyFill="1" applyBorder="1" applyAlignment="1">
      <alignment horizontal="center" vertical="center" wrapText="1"/>
    </xf>
    <xf numFmtId="0" fontId="0" fillId="0" borderId="33" xfId="0" applyBorder="1" applyAlignment="1">
      <alignment vertical="center" wrapText="1"/>
    </xf>
    <xf numFmtId="0" fontId="0" fillId="0" borderId="34" xfId="0" applyBorder="1" applyAlignment="1">
      <alignment vertical="center" wrapText="1"/>
    </xf>
    <xf numFmtId="0" fontId="56" fillId="0" borderId="3" xfId="26" applyFont="1" applyFill="1" applyBorder="1" applyAlignment="1">
      <alignment horizontal="center" vertical="center"/>
    </xf>
    <xf numFmtId="0" fontId="56" fillId="0" borderId="20" xfId="26" applyFont="1" applyFill="1" applyBorder="1" applyAlignment="1">
      <alignment horizontal="center" vertical="center"/>
    </xf>
    <xf numFmtId="0" fontId="56" fillId="0" borderId="19" xfId="26" applyFont="1" applyFill="1" applyBorder="1" applyAlignment="1">
      <alignment horizontal="center" vertical="center"/>
    </xf>
    <xf numFmtId="180" fontId="48" fillId="0" borderId="0" xfId="26" applyNumberFormat="1" applyFont="1" applyBorder="1" applyAlignment="1">
      <alignment horizontal="center"/>
    </xf>
    <xf numFmtId="180" fontId="48" fillId="0" borderId="3" xfId="26" applyNumberFormat="1" applyFont="1" applyFill="1" applyBorder="1" applyAlignment="1">
      <alignment horizontal="center" vertical="center"/>
    </xf>
    <xf numFmtId="180" fontId="48" fillId="0" borderId="19" xfId="26" applyNumberFormat="1" applyFont="1" applyFill="1" applyBorder="1" applyAlignment="1">
      <alignment horizontal="center" vertical="center"/>
    </xf>
    <xf numFmtId="0" fontId="48" fillId="0" borderId="3" xfId="26" applyFont="1" applyFill="1" applyBorder="1" applyAlignment="1">
      <alignment horizontal="center" vertical="center"/>
    </xf>
    <xf numFmtId="0" fontId="48" fillId="0" borderId="20" xfId="26" applyFont="1" applyFill="1" applyBorder="1" applyAlignment="1">
      <alignment horizontal="center" vertical="center"/>
    </xf>
    <xf numFmtId="0" fontId="48" fillId="0" borderId="19" xfId="26" applyFont="1" applyFill="1" applyBorder="1" applyAlignment="1">
      <alignment horizontal="center" vertical="center"/>
    </xf>
    <xf numFmtId="0" fontId="48" fillId="0" borderId="3" xfId="26" applyFont="1" applyBorder="1" applyAlignment="1">
      <alignment horizontal="center" vertical="center"/>
    </xf>
    <xf numFmtId="0" fontId="48" fillId="0" borderId="20" xfId="26" applyFont="1" applyBorder="1" applyAlignment="1">
      <alignment horizontal="center" vertical="center"/>
    </xf>
    <xf numFmtId="0" fontId="48" fillId="0" borderId="19" xfId="26" applyFont="1" applyBorder="1" applyAlignment="1">
      <alignment horizontal="center" vertical="center"/>
    </xf>
    <xf numFmtId="0" fontId="4" fillId="0" borderId="1" xfId="26" applyFont="1" applyFill="1" applyBorder="1" applyAlignment="1">
      <alignment horizontal="center" vertical="center" wrapText="1"/>
    </xf>
    <xf numFmtId="0" fontId="36" fillId="0" borderId="1" xfId="26" applyFont="1" applyBorder="1" applyAlignment="1">
      <alignment horizontal="center" vertical="center" wrapText="1"/>
    </xf>
    <xf numFmtId="178" fontId="4" fillId="0" borderId="0" xfId="0" applyNumberFormat="1" applyFont="1" applyFill="1" applyBorder="1" applyAlignment="1">
      <alignment horizontal="center" vertical="center" wrapText="1"/>
    </xf>
    <xf numFmtId="0" fontId="4" fillId="0" borderId="0" xfId="26" applyFont="1" applyBorder="1" applyAlignment="1">
      <alignment horizontal="center"/>
    </xf>
    <xf numFmtId="0" fontId="4" fillId="0" borderId="0" xfId="0" applyFont="1" applyFill="1" applyBorder="1" applyAlignment="1">
      <alignment horizontal="center" vertical="center" wrapText="1"/>
    </xf>
    <xf numFmtId="0" fontId="84" fillId="0" borderId="0" xfId="26" applyFont="1" applyFill="1" applyBorder="1" applyAlignment="1">
      <alignment horizontal="center" vertical="center"/>
    </xf>
    <xf numFmtId="0" fontId="4" fillId="0" borderId="0" xfId="26" applyFont="1" applyFill="1" applyBorder="1" applyAlignment="1">
      <alignment horizontal="center" vertical="center"/>
    </xf>
    <xf numFmtId="0" fontId="32" fillId="0" borderId="0" xfId="27" applyFont="1" applyFill="1" applyBorder="1" applyAlignment="1">
      <alignment horizontal="center" vertical="center" wrapText="1"/>
    </xf>
    <xf numFmtId="0" fontId="4" fillId="0" borderId="0" xfId="26" applyFont="1" applyFill="1" applyBorder="1" applyAlignment="1">
      <alignment horizontal="center" vertical="center" wrapText="1"/>
    </xf>
    <xf numFmtId="0" fontId="48" fillId="0" borderId="32"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48" fillId="0" borderId="8" xfId="0" applyFont="1" applyFill="1" applyBorder="1" applyAlignment="1">
      <alignment horizontal="center" vertical="center"/>
    </xf>
    <xf numFmtId="0" fontId="48" fillId="0" borderId="18" xfId="0" applyFont="1" applyFill="1" applyBorder="1" applyAlignment="1">
      <alignment horizontal="center" vertical="center"/>
    </xf>
    <xf numFmtId="0" fontId="48" fillId="0" borderId="9" xfId="0" applyFont="1" applyFill="1" applyBorder="1" applyAlignment="1">
      <alignment horizontal="center" vertical="center"/>
    </xf>
    <xf numFmtId="0" fontId="48" fillId="0" borderId="8" xfId="0" applyFont="1" applyFill="1" applyBorder="1" applyAlignment="1">
      <alignment horizontal="center" vertical="center" wrapText="1"/>
    </xf>
    <xf numFmtId="0" fontId="48" fillId="0" borderId="9" xfId="0" applyFont="1" applyFill="1" applyBorder="1" applyAlignment="1">
      <alignment horizontal="center" vertical="center" wrapText="1"/>
    </xf>
    <xf numFmtId="0" fontId="48" fillId="0" borderId="8" xfId="0" applyFont="1" applyFill="1" applyBorder="1" applyAlignment="1">
      <alignment horizontal="left" vertical="center"/>
    </xf>
    <xf numFmtId="0" fontId="48" fillId="0" borderId="18" xfId="0" applyFont="1" applyFill="1" applyBorder="1" applyAlignment="1">
      <alignment horizontal="left" vertical="center"/>
    </xf>
    <xf numFmtId="0" fontId="48" fillId="0" borderId="9" xfId="0" applyFont="1" applyFill="1" applyBorder="1" applyAlignment="1">
      <alignment horizontal="left" vertical="center"/>
    </xf>
    <xf numFmtId="182" fontId="48" fillId="0" borderId="8" xfId="0" applyNumberFormat="1" applyFont="1" applyFill="1" applyBorder="1" applyAlignment="1">
      <alignment horizontal="center" vertical="center"/>
    </xf>
    <xf numFmtId="182" fontId="48" fillId="0" borderId="9" xfId="0" applyNumberFormat="1" applyFont="1" applyFill="1" applyBorder="1" applyAlignment="1">
      <alignment horizontal="center" vertical="center"/>
    </xf>
    <xf numFmtId="0" fontId="42" fillId="0" borderId="8" xfId="0" applyFont="1" applyFill="1" applyBorder="1" applyAlignment="1">
      <alignment horizontal="center" vertical="center"/>
    </xf>
    <xf numFmtId="0" fontId="42" fillId="0" borderId="18" xfId="0" applyFont="1" applyFill="1" applyBorder="1" applyAlignment="1">
      <alignment horizontal="center" vertical="center"/>
    </xf>
    <xf numFmtId="0" fontId="42" fillId="0" borderId="9" xfId="0" applyFont="1" applyFill="1" applyBorder="1" applyAlignment="1">
      <alignment horizontal="center" vertical="center"/>
    </xf>
    <xf numFmtId="0" fontId="48" fillId="0" borderId="32" xfId="0" applyNumberFormat="1" applyFont="1" applyFill="1" applyBorder="1" applyAlignment="1">
      <alignment horizontal="center" vertical="center" wrapText="1"/>
    </xf>
    <xf numFmtId="0" fontId="48" fillId="0" borderId="34" xfId="0" applyNumberFormat="1" applyFont="1" applyFill="1" applyBorder="1" applyAlignment="1">
      <alignment horizontal="center" vertical="center" wrapText="1"/>
    </xf>
    <xf numFmtId="0" fontId="48" fillId="0" borderId="32" xfId="0" applyFont="1" applyFill="1" applyBorder="1" applyAlignment="1">
      <alignment horizontal="center" vertical="center"/>
    </xf>
    <xf numFmtId="0" fontId="48" fillId="0" borderId="34" xfId="0" applyFont="1" applyFill="1" applyBorder="1" applyAlignment="1">
      <alignment horizontal="center" vertical="center"/>
    </xf>
    <xf numFmtId="0" fontId="48" fillId="0" borderId="6" xfId="0" applyFont="1" applyFill="1" applyBorder="1" applyAlignment="1">
      <alignment horizontal="center" vertical="center"/>
    </xf>
    <xf numFmtId="0" fontId="95" fillId="0" borderId="6" xfId="0" applyFont="1" applyFill="1" applyBorder="1" applyAlignment="1">
      <alignment horizontal="center" vertical="center"/>
    </xf>
    <xf numFmtId="0" fontId="48" fillId="0" borderId="33" xfId="0" applyNumberFormat="1" applyFont="1" applyFill="1" applyBorder="1" applyAlignment="1">
      <alignment horizontal="center" vertical="center" wrapText="1"/>
    </xf>
    <xf numFmtId="177" fontId="48" fillId="18" borderId="32" xfId="0" applyNumberFormat="1" applyFont="1" applyFill="1" applyBorder="1" applyAlignment="1">
      <alignment horizontal="center" vertical="center" wrapText="1"/>
    </xf>
    <xf numFmtId="177" fontId="48" fillId="18" borderId="34" xfId="0" applyNumberFormat="1" applyFont="1" applyFill="1" applyBorder="1" applyAlignment="1">
      <alignment horizontal="center" vertical="center" wrapText="1"/>
    </xf>
    <xf numFmtId="177" fontId="48" fillId="18" borderId="33" xfId="0" applyNumberFormat="1" applyFont="1" applyFill="1" applyBorder="1" applyAlignment="1">
      <alignment horizontal="center" vertical="center" wrapText="1"/>
    </xf>
    <xf numFmtId="0" fontId="48" fillId="0" borderId="33" xfId="0" applyFont="1" applyFill="1" applyBorder="1" applyAlignment="1">
      <alignment horizontal="center" vertical="center" wrapText="1"/>
    </xf>
    <xf numFmtId="186" fontId="48" fillId="10" borderId="1" xfId="0" applyNumberFormat="1" applyFont="1" applyFill="1" applyBorder="1" applyAlignment="1">
      <alignment horizontal="center"/>
    </xf>
    <xf numFmtId="0" fontId="48" fillId="0" borderId="32" xfId="35" applyFont="1" applyBorder="1" applyAlignment="1">
      <alignment horizontal="center" vertical="center" wrapText="1"/>
    </xf>
    <xf numFmtId="0" fontId="48" fillId="0" borderId="34" xfId="35" applyFont="1" applyBorder="1" applyAlignment="1">
      <alignment horizontal="center" vertical="center" wrapText="1"/>
    </xf>
    <xf numFmtId="0" fontId="48" fillId="0" borderId="36" xfId="35" applyFont="1" applyBorder="1" applyAlignment="1">
      <alignment horizontal="center" vertical="center" wrapText="1"/>
    </xf>
    <xf numFmtId="0" fontId="48" fillId="0" borderId="64" xfId="35" applyFont="1" applyBorder="1" applyAlignment="1">
      <alignment horizontal="center" vertical="center" wrapText="1"/>
    </xf>
    <xf numFmtId="0" fontId="48" fillId="0" borderId="6" xfId="37" applyFont="1" applyBorder="1" applyAlignment="1">
      <alignment horizontal="center" vertical="center" wrapText="1"/>
    </xf>
    <xf numFmtId="0" fontId="48" fillId="0" borderId="53" xfId="0" applyFont="1" applyFill="1" applyBorder="1" applyAlignment="1">
      <alignment horizontal="center" vertical="center" textRotation="255" wrapText="1"/>
    </xf>
    <xf numFmtId="0" fontId="48" fillId="0" borderId="54" xfId="0" applyFont="1" applyFill="1" applyBorder="1" applyAlignment="1">
      <alignment horizontal="center" vertical="center" textRotation="255" wrapText="1"/>
    </xf>
    <xf numFmtId="0" fontId="48" fillId="0" borderId="55" xfId="0" applyFont="1" applyFill="1" applyBorder="1" applyAlignment="1">
      <alignment horizontal="center" vertical="center" textRotation="255" wrapText="1"/>
    </xf>
    <xf numFmtId="0" fontId="89" fillId="0" borderId="0" xfId="0" applyFont="1" applyAlignment="1">
      <alignment horizontal="center" vertical="center"/>
    </xf>
    <xf numFmtId="0" fontId="32" fillId="0" borderId="1" xfId="0" applyFont="1" applyBorder="1" applyAlignment="1">
      <alignment horizontal="center" vertical="center"/>
    </xf>
    <xf numFmtId="182" fontId="32" fillId="0" borderId="1" xfId="0" applyNumberFormat="1" applyFont="1" applyBorder="1" applyAlignment="1">
      <alignment horizontal="center" vertical="center"/>
    </xf>
    <xf numFmtId="0" fontId="32" fillId="0" borderId="1" xfId="0" applyFont="1" applyBorder="1" applyAlignment="1">
      <alignment horizontal="center" vertical="center" wrapText="1"/>
    </xf>
    <xf numFmtId="0" fontId="32" fillId="0" borderId="16" xfId="0" applyFont="1" applyBorder="1" applyAlignment="1">
      <alignment horizontal="center" vertical="center" wrapText="1"/>
    </xf>
    <xf numFmtId="0" fontId="32" fillId="0" borderId="21" xfId="0" applyFont="1" applyBorder="1" applyAlignment="1">
      <alignment horizontal="center" vertical="center" wrapText="1"/>
    </xf>
    <xf numFmtId="0" fontId="32" fillId="0" borderId="1" xfId="0" applyFont="1" applyFill="1" applyBorder="1" applyAlignment="1">
      <alignment horizontal="center" vertical="center" wrapText="1"/>
    </xf>
    <xf numFmtId="0" fontId="95" fillId="0" borderId="0" xfId="31" applyFont="1" applyAlignment="1">
      <alignment horizontal="center" vertical="center"/>
    </xf>
    <xf numFmtId="0" fontId="48" fillId="22" borderId="32" xfId="31" applyNumberFormat="1" applyFont="1" applyFill="1" applyBorder="1" applyAlignment="1">
      <alignment horizontal="center" vertical="center" wrapText="1"/>
    </xf>
    <xf numFmtId="0" fontId="48" fillId="22" borderId="34" xfId="31" applyNumberFormat="1" applyFont="1" applyFill="1" applyBorder="1" applyAlignment="1">
      <alignment horizontal="center" vertical="center" wrapText="1"/>
    </xf>
    <xf numFmtId="0" fontId="48" fillId="0" borderId="8" xfId="31" applyFont="1" applyBorder="1" applyAlignment="1">
      <alignment horizontal="center" vertical="center"/>
    </xf>
    <xf numFmtId="0" fontId="48" fillId="0" borderId="9" xfId="31" applyFont="1" applyBorder="1" applyAlignment="1">
      <alignment horizontal="center" vertical="center"/>
    </xf>
    <xf numFmtId="0" fontId="42" fillId="0" borderId="8" xfId="31" applyFont="1" applyBorder="1" applyAlignment="1">
      <alignment horizontal="center"/>
    </xf>
    <xf numFmtId="0" fontId="42" fillId="0" borderId="18" xfId="31" applyFont="1" applyBorder="1" applyAlignment="1">
      <alignment horizontal="center"/>
    </xf>
    <xf numFmtId="0" fontId="42" fillId="0" borderId="9" xfId="31" applyFont="1" applyBorder="1" applyAlignment="1">
      <alignment horizontal="center"/>
    </xf>
    <xf numFmtId="0" fontId="62" fillId="0" borderId="8" xfId="31" applyFont="1" applyBorder="1" applyAlignment="1">
      <alignment horizontal="center"/>
    </xf>
    <xf numFmtId="0" fontId="62" fillId="0" borderId="9" xfId="31" applyFont="1" applyBorder="1" applyAlignment="1">
      <alignment horizontal="center"/>
    </xf>
    <xf numFmtId="180" fontId="62" fillId="0" borderId="8" xfId="31" applyNumberFormat="1" applyFont="1" applyFill="1" applyBorder="1" applyAlignment="1">
      <alignment horizontal="center"/>
    </xf>
    <xf numFmtId="180" fontId="62" fillId="0" borderId="9" xfId="31" applyNumberFormat="1" applyFont="1" applyFill="1" applyBorder="1" applyAlignment="1">
      <alignment horizontal="center"/>
    </xf>
    <xf numFmtId="180" fontId="62" fillId="0" borderId="8" xfId="31" applyNumberFormat="1" applyFont="1" applyBorder="1" applyAlignment="1">
      <alignment horizontal="center"/>
    </xf>
    <xf numFmtId="180" fontId="62" fillId="0" borderId="9" xfId="31" applyNumberFormat="1" applyFont="1" applyBorder="1" applyAlignment="1">
      <alignment horizontal="center"/>
    </xf>
    <xf numFmtId="0" fontId="48" fillId="0" borderId="8" xfId="31" applyFont="1" applyBorder="1" applyAlignment="1">
      <alignment horizontal="center"/>
    </xf>
    <xf numFmtId="0" fontId="48" fillId="0" borderId="18" xfId="31" applyFont="1" applyBorder="1" applyAlignment="1">
      <alignment horizontal="center"/>
    </xf>
    <xf numFmtId="0" fontId="48" fillId="0" borderId="9" xfId="31" applyFont="1" applyBorder="1" applyAlignment="1">
      <alignment horizontal="center"/>
    </xf>
    <xf numFmtId="0" fontId="48" fillId="0" borderId="34" xfId="31" applyFont="1" applyBorder="1" applyAlignment="1">
      <alignment horizontal="center" vertical="center"/>
    </xf>
    <xf numFmtId="0" fontId="48" fillId="0" borderId="6" xfId="35" applyFont="1" applyBorder="1" applyAlignment="1">
      <alignment horizontal="center" vertical="center" wrapText="1"/>
    </xf>
    <xf numFmtId="0" fontId="48" fillId="22" borderId="32" xfId="31" applyFont="1" applyFill="1" applyBorder="1" applyAlignment="1">
      <alignment horizontal="center" vertical="center"/>
    </xf>
    <xf numFmtId="0" fontId="48" fillId="22" borderId="34" xfId="31" applyFont="1" applyFill="1" applyBorder="1" applyAlignment="1">
      <alignment horizontal="center" vertical="center"/>
    </xf>
    <xf numFmtId="177" fontId="83" fillId="20" borderId="35" xfId="43" applyNumberFormat="1" applyFont="1" applyFill="1" applyBorder="1" applyAlignment="1">
      <alignment horizontal="center" vertical="center" wrapText="1"/>
    </xf>
    <xf numFmtId="177" fontId="83" fillId="20" borderId="12" xfId="43" applyNumberFormat="1" applyFont="1" applyFill="1" applyBorder="1" applyAlignment="1">
      <alignment horizontal="center" vertical="center" wrapText="1"/>
    </xf>
    <xf numFmtId="177" fontId="83" fillId="20" borderId="61" xfId="43" applyNumberFormat="1" applyFont="1" applyFill="1" applyBorder="1" applyAlignment="1">
      <alignment horizontal="center" vertical="center" wrapText="1"/>
    </xf>
    <xf numFmtId="177" fontId="48" fillId="24" borderId="68" xfId="43" applyNumberFormat="1" applyFont="1" applyFill="1" applyBorder="1" applyAlignment="1">
      <alignment horizontal="center" vertical="center" wrapText="1"/>
    </xf>
    <xf numFmtId="177" fontId="48" fillId="24" borderId="10" xfId="43" applyNumberFormat="1" applyFont="1" applyFill="1" applyBorder="1" applyAlignment="1">
      <alignment horizontal="center" vertical="center" wrapText="1"/>
    </xf>
    <xf numFmtId="177" fontId="48" fillId="24" borderId="52" xfId="43" applyNumberFormat="1" applyFont="1" applyFill="1" applyBorder="1" applyAlignment="1">
      <alignment horizontal="center" vertical="center" wrapText="1"/>
    </xf>
    <xf numFmtId="177" fontId="48" fillId="24" borderId="11" xfId="43" applyNumberFormat="1" applyFont="1" applyFill="1" applyBorder="1" applyAlignment="1">
      <alignment horizontal="center" vertical="center" wrapText="1"/>
    </xf>
    <xf numFmtId="177" fontId="48" fillId="24" borderId="69" xfId="43" applyNumberFormat="1" applyFont="1" applyFill="1" applyBorder="1" applyAlignment="1">
      <alignment horizontal="center" vertical="center" wrapText="1"/>
    </xf>
    <xf numFmtId="177" fontId="48" fillId="24" borderId="48" xfId="43" applyNumberFormat="1" applyFont="1" applyFill="1" applyBorder="1" applyAlignment="1">
      <alignment horizontal="center" vertical="center" wrapText="1"/>
    </xf>
    <xf numFmtId="177" fontId="48" fillId="24" borderId="8" xfId="43" applyNumberFormat="1" applyFont="1" applyFill="1" applyBorder="1" applyAlignment="1">
      <alignment horizontal="center" vertical="center" wrapText="1"/>
    </xf>
    <xf numFmtId="177" fontId="48" fillId="24" borderId="18" xfId="43" applyNumberFormat="1" applyFont="1" applyFill="1" applyBorder="1" applyAlignment="1">
      <alignment horizontal="center" vertical="center" wrapText="1"/>
    </xf>
    <xf numFmtId="177" fontId="48" fillId="24" borderId="9" xfId="43" applyNumberFormat="1" applyFont="1" applyFill="1" applyBorder="1" applyAlignment="1">
      <alignment horizontal="center" vertical="center" wrapText="1"/>
    </xf>
    <xf numFmtId="0" fontId="48" fillId="0" borderId="35" xfId="31" applyFont="1" applyBorder="1" applyAlignment="1">
      <alignment horizontal="center" vertical="center" wrapText="1"/>
    </xf>
    <xf numFmtId="0" fontId="48" fillId="0" borderId="61" xfId="31" applyFont="1" applyBorder="1" applyAlignment="1">
      <alignment horizontal="center" vertical="center" wrapText="1"/>
    </xf>
    <xf numFmtId="0" fontId="48" fillId="22" borderId="56" xfId="31" applyFont="1" applyFill="1" applyBorder="1" applyAlignment="1">
      <alignment horizontal="center" vertical="center"/>
    </xf>
    <xf numFmtId="0" fontId="48" fillId="22" borderId="10" xfId="31" applyFont="1" applyFill="1" applyBorder="1" applyAlignment="1">
      <alignment horizontal="center" vertical="center"/>
    </xf>
    <xf numFmtId="0" fontId="48" fillId="22" borderId="47" xfId="31" applyFont="1" applyFill="1" applyBorder="1" applyAlignment="1">
      <alignment horizontal="center" vertical="center"/>
    </xf>
    <xf numFmtId="0" fontId="48" fillId="22" borderId="48" xfId="31" applyFont="1" applyFill="1" applyBorder="1" applyAlignment="1">
      <alignment horizontal="center" vertical="center"/>
    </xf>
    <xf numFmtId="0" fontId="48" fillId="0" borderId="8" xfId="43" applyFont="1" applyFill="1" applyBorder="1" applyAlignment="1">
      <alignment horizontal="center"/>
    </xf>
    <xf numFmtId="0" fontId="48" fillId="0" borderId="18" xfId="43" applyFont="1" applyFill="1" applyBorder="1" applyAlignment="1">
      <alignment horizontal="center"/>
    </xf>
    <xf numFmtId="0" fontId="48" fillId="0" borderId="9" xfId="43" applyFont="1" applyFill="1" applyBorder="1" applyAlignment="1">
      <alignment horizontal="center"/>
    </xf>
    <xf numFmtId="180" fontId="48" fillId="0" borderId="0" xfId="31" applyNumberFormat="1" applyFont="1" applyBorder="1" applyAlignment="1">
      <alignment horizontal="center"/>
    </xf>
    <xf numFmtId="0" fontId="48" fillId="0" borderId="28" xfId="31" applyFont="1" applyBorder="1" applyAlignment="1">
      <alignment horizontal="center" vertical="center"/>
    </xf>
    <xf numFmtId="0" fontId="48" fillId="0" borderId="13" xfId="31" applyFont="1" applyBorder="1" applyAlignment="1">
      <alignment horizontal="center" vertical="center"/>
    </xf>
    <xf numFmtId="0" fontId="48" fillId="0" borderId="13" xfId="31" applyFont="1" applyBorder="1" applyAlignment="1">
      <alignment horizontal="right" vertical="center"/>
    </xf>
    <xf numFmtId="0" fontId="48" fillId="0" borderId="0" xfId="31" applyFont="1" applyBorder="1" applyAlignment="1">
      <alignment horizontal="center"/>
    </xf>
    <xf numFmtId="0" fontId="48" fillId="0" borderId="1" xfId="31" applyFont="1" applyFill="1" applyBorder="1" applyAlignment="1">
      <alignment horizontal="center" vertical="center"/>
    </xf>
    <xf numFmtId="0" fontId="48" fillId="0" borderId="47" xfId="31" applyFont="1" applyBorder="1" applyAlignment="1">
      <alignment horizontal="center" vertical="center"/>
    </xf>
    <xf numFmtId="0" fontId="48" fillId="0" borderId="49" xfId="31" applyFont="1" applyBorder="1" applyAlignment="1">
      <alignment horizontal="center" vertical="center"/>
    </xf>
    <xf numFmtId="0" fontId="48" fillId="0" borderId="48" xfId="31" applyFont="1" applyBorder="1" applyAlignment="1">
      <alignment horizontal="center" vertical="center"/>
    </xf>
    <xf numFmtId="0" fontId="6" fillId="0" borderId="46" xfId="31" applyFont="1" applyFill="1" applyBorder="1" applyAlignment="1">
      <alignment horizontal="center" vertical="center" wrapText="1"/>
    </xf>
    <xf numFmtId="0" fontId="6" fillId="0" borderId="65" xfId="31" applyFont="1" applyFill="1" applyBorder="1" applyAlignment="1">
      <alignment horizontal="center" vertical="center" wrapText="1"/>
    </xf>
    <xf numFmtId="0" fontId="6" fillId="0" borderId="63" xfId="31" applyFont="1" applyFill="1" applyBorder="1" applyAlignment="1">
      <alignment horizontal="center" vertical="center" wrapText="1"/>
    </xf>
    <xf numFmtId="0" fontId="5" fillId="0" borderId="0" xfId="31" applyFont="1" applyAlignment="1">
      <alignment horizontal="center" vertical="center"/>
    </xf>
    <xf numFmtId="0" fontId="6" fillId="0" borderId="56" xfId="31" applyFont="1" applyFill="1" applyBorder="1" applyAlignment="1">
      <alignment horizontal="center" vertical="center" wrapText="1"/>
    </xf>
    <xf numFmtId="0" fontId="6" fillId="0" borderId="10" xfId="31" applyFont="1" applyFill="1" applyBorder="1" applyAlignment="1">
      <alignment horizontal="center" vertical="center" wrapText="1"/>
    </xf>
    <xf numFmtId="0" fontId="98" fillId="0" borderId="6" xfId="31" applyFont="1" applyFill="1" applyBorder="1" applyAlignment="1">
      <alignment horizontal="center" vertical="center" wrapText="1"/>
    </xf>
    <xf numFmtId="0" fontId="98" fillId="0" borderId="47" xfId="31" applyFont="1" applyFill="1" applyBorder="1" applyAlignment="1">
      <alignment horizontal="center" vertical="center"/>
    </xf>
    <xf numFmtId="0" fontId="98" fillId="0" borderId="48" xfId="31" applyFont="1" applyFill="1" applyBorder="1" applyAlignment="1">
      <alignment horizontal="center" vertical="center"/>
    </xf>
    <xf numFmtId="0" fontId="98" fillId="0" borderId="8" xfId="31" applyFont="1" applyFill="1" applyBorder="1" applyAlignment="1">
      <alignment horizontal="center" vertical="center"/>
    </xf>
    <xf numFmtId="0" fontId="98" fillId="0" borderId="9" xfId="31" applyFont="1" applyFill="1" applyBorder="1" applyAlignment="1">
      <alignment horizontal="center" vertical="center"/>
    </xf>
    <xf numFmtId="0" fontId="6" fillId="0" borderId="0" xfId="32" applyFont="1" applyAlignment="1">
      <alignment horizontal="center" vertical="center" wrapText="1"/>
    </xf>
    <xf numFmtId="0" fontId="86" fillId="0" borderId="20" xfId="32" applyFont="1" applyBorder="1" applyAlignment="1">
      <alignment horizontal="center" vertical="center" wrapText="1"/>
    </xf>
    <xf numFmtId="14" fontId="6" fillId="0" borderId="20" xfId="32" applyNumberFormat="1" applyFont="1" applyBorder="1" applyAlignment="1">
      <alignment horizontal="center" vertical="center" wrapText="1"/>
    </xf>
    <xf numFmtId="0" fontId="6" fillId="0" borderId="20" xfId="32" applyFont="1" applyBorder="1" applyAlignment="1">
      <alignment horizontal="center" vertical="center" wrapText="1"/>
    </xf>
    <xf numFmtId="0" fontId="6" fillId="0" borderId="17" xfId="32" applyFont="1" applyBorder="1" applyAlignment="1">
      <alignment horizontal="right" vertical="center" wrapText="1"/>
    </xf>
    <xf numFmtId="0" fontId="6" fillId="0" borderId="0" xfId="32" applyFont="1" applyBorder="1" applyAlignment="1">
      <alignment horizontal="right" vertical="center" wrapText="1"/>
    </xf>
    <xf numFmtId="0" fontId="44" fillId="0" borderId="0" xfId="32" applyFont="1" applyAlignment="1">
      <alignment horizontal="center" vertical="center" wrapText="1"/>
    </xf>
    <xf numFmtId="0" fontId="6" fillId="0" borderId="0" xfId="32" applyFont="1" applyBorder="1" applyAlignment="1">
      <alignment horizontal="center" vertical="center" wrapText="1"/>
    </xf>
    <xf numFmtId="0" fontId="6" fillId="0" borderId="4" xfId="32" applyFont="1" applyBorder="1" applyAlignment="1">
      <alignment horizontal="center" vertical="center" wrapText="1"/>
    </xf>
    <xf numFmtId="0" fontId="6" fillId="0" borderId="29" xfId="32" applyFont="1" applyBorder="1" applyAlignment="1">
      <alignment horizontal="center" vertical="center" wrapText="1"/>
    </xf>
    <xf numFmtId="0" fontId="91" fillId="0" borderId="29" xfId="32" applyFont="1" applyBorder="1" applyAlignment="1">
      <alignment horizontal="center" vertical="center" wrapText="1"/>
    </xf>
    <xf numFmtId="0" fontId="91" fillId="0" borderId="31" xfId="32" applyFont="1" applyBorder="1" applyAlignment="1">
      <alignment horizontal="center" vertical="center" wrapText="1"/>
    </xf>
    <xf numFmtId="0" fontId="6" fillId="0" borderId="6" xfId="32" applyFont="1" applyBorder="1" applyAlignment="1">
      <alignment horizontal="center" vertical="center" wrapText="1"/>
    </xf>
    <xf numFmtId="0" fontId="6" fillId="0" borderId="5" xfId="32" applyNumberFormat="1" applyFont="1" applyBorder="1" applyAlignment="1">
      <alignment horizontal="center" vertical="center" wrapText="1"/>
    </xf>
    <xf numFmtId="0" fontId="86" fillId="0" borderId="5" xfId="32" applyNumberFormat="1" applyFont="1" applyBorder="1" applyAlignment="1">
      <alignment horizontal="center" vertical="center" wrapText="1"/>
    </xf>
    <xf numFmtId="0" fontId="86" fillId="0" borderId="6" xfId="32" applyFont="1" applyBorder="1" applyAlignment="1">
      <alignment horizontal="center" vertical="center" wrapText="1"/>
    </xf>
    <xf numFmtId="186" fontId="6" fillId="25" borderId="1" xfId="32" applyNumberFormat="1" applyFont="1" applyFill="1" applyBorder="1" applyAlignment="1">
      <alignment horizontal="center" vertical="center" wrapText="1"/>
    </xf>
    <xf numFmtId="186" fontId="6" fillId="12" borderId="1" xfId="32" applyNumberFormat="1" applyFont="1" applyFill="1" applyBorder="1" applyAlignment="1">
      <alignment horizontal="center" vertical="center" wrapText="1"/>
    </xf>
    <xf numFmtId="186" fontId="6" fillId="26" borderId="1" xfId="32" applyNumberFormat="1" applyFont="1" applyFill="1" applyBorder="1" applyAlignment="1">
      <alignment horizontal="center" vertical="center" wrapText="1"/>
    </xf>
    <xf numFmtId="0" fontId="6" fillId="0" borderId="6" xfId="32" applyFont="1" applyBorder="1" applyAlignment="1">
      <alignment horizontal="left" vertical="center" wrapText="1"/>
    </xf>
    <xf numFmtId="0" fontId="6" fillId="0" borderId="8" xfId="32" applyFont="1" applyBorder="1" applyAlignment="1">
      <alignment horizontal="center" vertical="center" wrapText="1"/>
    </xf>
    <xf numFmtId="0" fontId="6" fillId="0" borderId="2" xfId="32" applyFont="1" applyBorder="1" applyAlignment="1">
      <alignment horizontal="center" vertical="center" wrapText="1"/>
    </xf>
    <xf numFmtId="186" fontId="6" fillId="25" borderId="16" xfId="32" applyNumberFormat="1" applyFont="1" applyFill="1" applyBorder="1" applyAlignment="1">
      <alignment horizontal="center" vertical="center" wrapText="1"/>
    </xf>
    <xf numFmtId="186" fontId="6" fillId="25" borderId="2" xfId="32" applyNumberFormat="1" applyFont="1" applyFill="1" applyBorder="1" applyAlignment="1">
      <alignment horizontal="center" vertical="center" wrapText="1"/>
    </xf>
    <xf numFmtId="186" fontId="6" fillId="25" borderId="21" xfId="32" applyNumberFormat="1" applyFont="1" applyFill="1" applyBorder="1" applyAlignment="1">
      <alignment horizontal="center" vertical="center" wrapText="1"/>
    </xf>
    <xf numFmtId="0" fontId="6" fillId="0" borderId="30" xfId="32" applyNumberFormat="1" applyFont="1" applyFill="1" applyBorder="1" applyAlignment="1">
      <alignment horizontal="center" vertical="center" wrapText="1"/>
    </xf>
    <xf numFmtId="0" fontId="6" fillId="0" borderId="29" xfId="32" applyNumberFormat="1" applyFont="1" applyFill="1" applyBorder="1" applyAlignment="1">
      <alignment horizontal="center" vertical="center" wrapText="1"/>
    </xf>
    <xf numFmtId="0" fontId="6" fillId="0" borderId="6" xfId="32" applyNumberFormat="1" applyFont="1" applyFill="1" applyBorder="1" applyAlignment="1">
      <alignment horizontal="center" vertical="center" wrapText="1"/>
    </xf>
    <xf numFmtId="177" fontId="6" fillId="0" borderId="5" xfId="32" applyNumberFormat="1" applyFont="1" applyFill="1" applyBorder="1" applyAlignment="1">
      <alignment horizontal="center" vertical="center" wrapText="1"/>
    </xf>
    <xf numFmtId="177" fontId="6" fillId="0" borderId="28" xfId="32" applyNumberFormat="1" applyFont="1" applyFill="1" applyBorder="1" applyAlignment="1">
      <alignment horizontal="center" vertical="center" wrapText="1"/>
    </xf>
    <xf numFmtId="0" fontId="6" fillId="10" borderId="6" xfId="32" applyFont="1" applyFill="1" applyBorder="1" applyAlignment="1">
      <alignment horizontal="center" vertical="center" wrapText="1"/>
    </xf>
    <xf numFmtId="0" fontId="6" fillId="10" borderId="6" xfId="31" applyFont="1" applyFill="1" applyBorder="1" applyAlignment="1">
      <alignment horizontal="center" vertical="center" wrapText="1"/>
    </xf>
    <xf numFmtId="0" fontId="87" fillId="0" borderId="68" xfId="32" applyNumberFormat="1" applyFont="1" applyBorder="1" applyAlignment="1">
      <alignment horizontal="center" vertical="center" wrapText="1"/>
    </xf>
    <xf numFmtId="0" fontId="87" fillId="0" borderId="60" xfId="32" applyNumberFormat="1" applyFont="1" applyBorder="1" applyAlignment="1">
      <alignment horizontal="center" vertical="center" wrapText="1"/>
    </xf>
    <xf numFmtId="0" fontId="87" fillId="0" borderId="70" xfId="32" applyNumberFormat="1" applyFont="1" applyBorder="1" applyAlignment="1">
      <alignment horizontal="center" vertical="center" wrapText="1"/>
    </xf>
    <xf numFmtId="0" fontId="87" fillId="0" borderId="27" xfId="32" applyNumberFormat="1" applyFont="1" applyBorder="1" applyAlignment="1">
      <alignment horizontal="center" vertical="center" wrapText="1"/>
    </xf>
    <xf numFmtId="0" fontId="88" fillId="0" borderId="0" xfId="32" applyFont="1" applyBorder="1" applyAlignment="1">
      <alignment horizontal="center" vertical="center" wrapText="1"/>
    </xf>
    <xf numFmtId="180" fontId="6" fillId="0" borderId="0" xfId="32" applyNumberFormat="1" applyFont="1" applyBorder="1" applyAlignment="1">
      <alignment horizontal="center" vertical="center" wrapText="1"/>
    </xf>
    <xf numFmtId="0" fontId="6" fillId="0" borderId="6" xfId="32" applyFont="1" applyFill="1" applyBorder="1" applyAlignment="1">
      <alignment horizontal="center" vertical="center" wrapText="1"/>
    </xf>
    <xf numFmtId="0" fontId="6" fillId="0" borderId="13" xfId="32" applyFont="1" applyFill="1" applyBorder="1" applyAlignment="1">
      <alignment horizontal="center" vertical="center" wrapText="1"/>
    </xf>
    <xf numFmtId="0" fontId="92" fillId="0" borderId="0" xfId="32" applyFont="1" applyBorder="1" applyAlignment="1">
      <alignment horizontal="center" vertical="center" wrapText="1"/>
    </xf>
    <xf numFmtId="186" fontId="6" fillId="2" borderId="1" xfId="32" applyNumberFormat="1" applyFont="1" applyFill="1" applyBorder="1" applyAlignment="1">
      <alignment horizontal="center" vertical="center" wrapText="1"/>
    </xf>
    <xf numFmtId="0" fontId="5" fillId="0" borderId="0" xfId="32" applyFont="1" applyAlignment="1">
      <alignment horizontal="center" vertical="center"/>
    </xf>
    <xf numFmtId="0" fontId="50" fillId="0" borderId="0" xfId="32" applyFont="1" applyFill="1" applyBorder="1" applyAlignment="1">
      <alignment horizontal="center" vertical="center"/>
    </xf>
    <xf numFmtId="0" fontId="50" fillId="0" borderId="0" xfId="32" applyFont="1" applyFill="1" applyBorder="1" applyAlignment="1">
      <alignment horizontal="right" vertical="center"/>
    </xf>
    <xf numFmtId="0" fontId="50" fillId="0" borderId="0" xfId="32" applyFont="1" applyFill="1" applyBorder="1" applyAlignment="1">
      <alignment horizontal="left" vertical="center"/>
    </xf>
    <xf numFmtId="180" fontId="50" fillId="0" borderId="0" xfId="32" applyNumberFormat="1" applyFont="1" applyFill="1" applyBorder="1" applyAlignment="1">
      <alignment horizontal="center" vertical="center"/>
    </xf>
    <xf numFmtId="0" fontId="50" fillId="0" borderId="29" xfId="32" applyFont="1" applyFill="1" applyBorder="1" applyAlignment="1">
      <alignment horizontal="center" vertical="center"/>
    </xf>
    <xf numFmtId="0" fontId="50" fillId="0" borderId="6" xfId="32" applyFont="1" applyFill="1" applyBorder="1" applyAlignment="1">
      <alignment horizontal="center" vertical="center"/>
    </xf>
    <xf numFmtId="180" fontId="50" fillId="0" borderId="29" xfId="32" applyNumberFormat="1" applyFont="1" applyFill="1" applyBorder="1" applyAlignment="1">
      <alignment horizontal="center" vertical="center"/>
    </xf>
    <xf numFmtId="0" fontId="50" fillId="0" borderId="31" xfId="32" applyFont="1" applyFill="1" applyBorder="1" applyAlignment="1">
      <alignment horizontal="center" vertical="center"/>
    </xf>
    <xf numFmtId="0" fontId="50" fillId="0" borderId="7" xfId="32" applyFont="1" applyFill="1" applyBorder="1" applyAlignment="1">
      <alignment horizontal="center" vertical="center"/>
    </xf>
    <xf numFmtId="0" fontId="50" fillId="0" borderId="5" xfId="32" applyFont="1" applyFill="1" applyBorder="1" applyAlignment="1">
      <alignment horizontal="center" vertical="center"/>
    </xf>
    <xf numFmtId="180" fontId="50" fillId="0" borderId="6" xfId="32" applyNumberFormat="1" applyFont="1" applyFill="1" applyBorder="1" applyAlignment="1">
      <alignment horizontal="center" vertical="center"/>
    </xf>
    <xf numFmtId="0" fontId="50" fillId="0" borderId="30" xfId="32" applyFont="1" applyFill="1" applyBorder="1" applyAlignment="1">
      <alignment horizontal="center" vertical="center"/>
    </xf>
    <xf numFmtId="0" fontId="50" fillId="0" borderId="29" xfId="32" applyFont="1" applyFill="1" applyBorder="1" applyAlignment="1">
      <alignment horizontal="center" vertical="center" wrapText="1"/>
    </xf>
    <xf numFmtId="0" fontId="50" fillId="0" borderId="6" xfId="32" applyFont="1" applyFill="1" applyBorder="1" applyAlignment="1">
      <alignment horizontal="center" vertical="center" wrapText="1"/>
    </xf>
    <xf numFmtId="186" fontId="50" fillId="0" borderId="29" xfId="32" applyNumberFormat="1" applyFont="1" applyFill="1" applyBorder="1" applyAlignment="1">
      <alignment horizontal="center" vertical="center"/>
    </xf>
    <xf numFmtId="186" fontId="50" fillId="0" borderId="6" xfId="32" applyNumberFormat="1" applyFont="1" applyFill="1" applyBorder="1" applyAlignment="1">
      <alignment horizontal="center" vertical="center"/>
    </xf>
    <xf numFmtId="0" fontId="50" fillId="0" borderId="13" xfId="32" applyFont="1" applyFill="1" applyBorder="1" applyAlignment="1">
      <alignment horizontal="center" vertical="center"/>
    </xf>
    <xf numFmtId="0" fontId="50" fillId="0" borderId="5" xfId="32" applyFont="1" applyFill="1" applyBorder="1" applyAlignment="1">
      <alignment horizontal="center" vertical="center" textRotation="255" wrapText="1"/>
    </xf>
    <xf numFmtId="0" fontId="57" fillId="0" borderId="6" xfId="32" applyFont="1" applyFill="1" applyBorder="1" applyAlignment="1">
      <alignment horizontal="center" vertical="center" wrapText="1"/>
    </xf>
    <xf numFmtId="0" fontId="50" fillId="0" borderId="6" xfId="32" applyFont="1" applyFill="1" applyBorder="1" applyAlignment="1">
      <alignment horizontal="center" vertical="center" textRotation="255" wrapText="1"/>
    </xf>
    <xf numFmtId="0" fontId="50" fillId="2" borderId="8" xfId="32" applyFont="1" applyFill="1" applyBorder="1" applyAlignment="1">
      <alignment horizontal="center" vertical="center" wrapText="1"/>
    </xf>
    <xf numFmtId="0" fontId="50" fillId="2" borderId="18" xfId="32" applyFont="1" applyFill="1" applyBorder="1" applyAlignment="1">
      <alignment horizontal="center" vertical="center" wrapText="1"/>
    </xf>
    <xf numFmtId="0" fontId="50" fillId="2" borderId="9" xfId="32" applyFont="1" applyFill="1" applyBorder="1" applyAlignment="1">
      <alignment horizontal="center" vertical="center" wrapText="1"/>
    </xf>
    <xf numFmtId="0" fontId="94" fillId="0" borderId="6" xfId="32" applyFont="1" applyFill="1" applyBorder="1" applyAlignment="1">
      <alignment horizontal="center" vertical="center"/>
    </xf>
    <xf numFmtId="0" fontId="67" fillId="0" borderId="6" xfId="32" applyFont="1" applyFill="1" applyBorder="1" applyAlignment="1">
      <alignment horizontal="center" vertical="center"/>
    </xf>
    <xf numFmtId="0" fontId="3" fillId="27" borderId="3" xfId="31" applyFont="1" applyFill="1" applyBorder="1" applyAlignment="1">
      <alignment horizontal="center" vertical="center"/>
    </xf>
    <xf numFmtId="0" fontId="3" fillId="27" borderId="20" xfId="31" applyFont="1" applyFill="1" applyBorder="1" applyAlignment="1">
      <alignment horizontal="center" vertical="center"/>
    </xf>
    <xf numFmtId="0" fontId="3" fillId="27" borderId="19" xfId="31" applyFont="1" applyFill="1" applyBorder="1" applyAlignment="1">
      <alignment horizontal="center" vertical="center"/>
    </xf>
    <xf numFmtId="0" fontId="67" fillId="0" borderId="8" xfId="32" applyFont="1" applyFill="1" applyBorder="1" applyAlignment="1">
      <alignment horizontal="center" vertical="center"/>
    </xf>
    <xf numFmtId="0" fontId="67" fillId="0" borderId="18" xfId="32" applyFont="1" applyFill="1" applyBorder="1" applyAlignment="1">
      <alignment horizontal="center" vertical="center"/>
    </xf>
    <xf numFmtId="0" fontId="67" fillId="0" borderId="9" xfId="32" applyFont="1" applyFill="1" applyBorder="1" applyAlignment="1">
      <alignment horizontal="center" vertical="center"/>
    </xf>
    <xf numFmtId="0" fontId="3" fillId="27" borderId="16" xfId="31" applyFont="1" applyFill="1" applyBorder="1" applyAlignment="1">
      <alignment horizontal="center" vertical="center" wrapText="1"/>
    </xf>
    <xf numFmtId="0" fontId="3" fillId="27" borderId="2" xfId="31" applyFont="1" applyFill="1" applyBorder="1" applyAlignment="1">
      <alignment horizontal="center" vertical="center" wrapText="1"/>
    </xf>
    <xf numFmtId="0" fontId="3" fillId="27" borderId="21" xfId="31" applyFont="1" applyFill="1" applyBorder="1" applyAlignment="1">
      <alignment horizontal="center" vertical="center" wrapText="1"/>
    </xf>
    <xf numFmtId="178" fontId="3" fillId="27" borderId="16" xfId="31" applyNumberFormat="1" applyFont="1" applyFill="1" applyBorder="1" applyAlignment="1">
      <alignment horizontal="center" vertical="center" wrapText="1"/>
    </xf>
    <xf numFmtId="0" fontId="57" fillId="2" borderId="6" xfId="32" applyFont="1" applyFill="1" applyBorder="1" applyAlignment="1">
      <alignment horizontal="center" vertical="center"/>
    </xf>
    <xf numFmtId="0" fontId="50" fillId="0" borderId="5" xfId="32" applyFont="1" applyFill="1" applyBorder="1" applyAlignment="1">
      <alignment horizontal="center" vertical="center" wrapText="1"/>
    </xf>
    <xf numFmtId="0" fontId="50" fillId="0" borderId="28" xfId="32" applyFont="1" applyFill="1" applyBorder="1" applyAlignment="1">
      <alignment horizontal="center" vertical="center" wrapText="1"/>
    </xf>
    <xf numFmtId="0" fontId="50" fillId="7" borderId="6" xfId="32" applyFont="1" applyFill="1" applyBorder="1" applyAlignment="1">
      <alignment horizontal="center" vertical="center"/>
    </xf>
    <xf numFmtId="0" fontId="50" fillId="0" borderId="13" xfId="32" applyFont="1" applyFill="1" applyBorder="1" applyAlignment="1">
      <alignment horizontal="center" vertical="center" wrapText="1"/>
    </xf>
    <xf numFmtId="0" fontId="50" fillId="0" borderId="0" xfId="32" applyFont="1" applyFill="1" applyAlignment="1">
      <alignment horizontal="center" vertical="center"/>
    </xf>
    <xf numFmtId="180" fontId="50" fillId="0" borderId="4" xfId="32" applyNumberFormat="1" applyFont="1" applyFill="1" applyBorder="1" applyAlignment="1">
      <alignment horizontal="center" vertical="center"/>
    </xf>
    <xf numFmtId="0" fontId="50" fillId="0" borderId="0" xfId="32" applyFont="1" applyFill="1" applyAlignment="1">
      <alignment horizontal="right" vertical="center"/>
    </xf>
    <xf numFmtId="0" fontId="50" fillId="0" borderId="4" xfId="32" applyFont="1" applyFill="1" applyBorder="1" applyAlignment="1">
      <alignment horizontal="center" vertical="center"/>
    </xf>
    <xf numFmtId="0" fontId="57" fillId="0" borderId="8" xfId="31" applyFont="1" applyFill="1" applyBorder="1" applyAlignment="1">
      <alignment horizontal="center" vertical="center" wrapText="1"/>
    </xf>
    <xf numFmtId="0" fontId="57" fillId="0" borderId="9" xfId="31" applyFont="1" applyFill="1" applyBorder="1" applyAlignment="1">
      <alignment horizontal="center" vertical="center" wrapText="1"/>
    </xf>
    <xf numFmtId="0" fontId="50" fillId="0" borderId="8" xfId="31" applyFont="1" applyFill="1" applyBorder="1" applyAlignment="1">
      <alignment horizontal="center" vertical="center" wrapText="1"/>
    </xf>
    <xf numFmtId="0" fontId="50" fillId="0" borderId="9" xfId="31" applyFont="1" applyFill="1" applyBorder="1" applyAlignment="1">
      <alignment horizontal="center" vertical="center" wrapText="1"/>
    </xf>
    <xf numFmtId="0" fontId="50" fillId="0" borderId="34" xfId="32" applyFont="1" applyFill="1" applyBorder="1" applyAlignment="1">
      <alignment horizontal="center" vertical="center"/>
    </xf>
  </cellXfs>
  <cellStyles count="44">
    <cellStyle name="差" xfId="40" builtinId="27"/>
    <cellStyle name="差_油漆领料单(NEW 2009-3-16)" xfId="5"/>
    <cellStyle name="常规" xfId="0" builtinId="0"/>
    <cellStyle name="常规 10" xfId="32"/>
    <cellStyle name="常规 11" xfId="35"/>
    <cellStyle name="常规 12" xfId="37"/>
    <cellStyle name="常规 13" xfId="43"/>
    <cellStyle name="常规 2" xfId="1"/>
    <cellStyle name="常规 2 2" xfId="2"/>
    <cellStyle name="常规 2 2 2" xfId="6"/>
    <cellStyle name="常规 2 3" xfId="4"/>
    <cellStyle name="常规 2 3 2" xfId="7"/>
    <cellStyle name="常规 2 4" xfId="8"/>
    <cellStyle name="常规 2 4 2" xfId="9"/>
    <cellStyle name="常规 2 4 3" xfId="28"/>
    <cellStyle name="常规 2 4 4" xfId="31"/>
    <cellStyle name="常规 2 4 5" xfId="34"/>
    <cellStyle name="常规 2 5" xfId="29"/>
    <cellStyle name="常规 2 6" xfId="33"/>
    <cellStyle name="常规 21" xfId="39"/>
    <cellStyle name="常规 3" xfId="3"/>
    <cellStyle name="常规 3 2" xfId="10"/>
    <cellStyle name="常规 4" xfId="11"/>
    <cellStyle name="常规 4 2" xfId="12"/>
    <cellStyle name="常规 4 2 2" xfId="13"/>
    <cellStyle name="常规 4 2 2 2" xfId="14"/>
    <cellStyle name="常规 4 2 2 3" xfId="15"/>
    <cellStyle name="常规 4 2 2 3 2" xfId="16"/>
    <cellStyle name="常规 4 2 2 3 2 2" xfId="17"/>
    <cellStyle name="常规 4 2 2 3 3" xfId="18"/>
    <cellStyle name="常规 4 3" xfId="19"/>
    <cellStyle name="常规 4 4" xfId="20"/>
    <cellStyle name="常规 5" xfId="21"/>
    <cellStyle name="常规 6" xfId="22"/>
    <cellStyle name="常规 7" xfId="25"/>
    <cellStyle name="常规 7 2" xfId="27"/>
    <cellStyle name="常规 8" xfId="26"/>
    <cellStyle name="常规 9" xfId="30"/>
    <cellStyle name="常规_6月份不良统计分析_1" xfId="38"/>
    <cellStyle name="常规_领料单试行标准5.21" xfId="36"/>
    <cellStyle name="常规_领料单试行标准5.21 2" xfId="42"/>
    <cellStyle name="好_半成品油漆领料单模板(NEW 2009-4-1)" xfId="23"/>
    <cellStyle name="好_油漆领料单(NEW 2009-3-16)" xfId="24"/>
    <cellStyle name="千位分隔 2" xfId="41"/>
  </cellStyles>
  <dxfs count="8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588;&#20307;+&#20813;&#28422;+&#28165;&#27833;&#38376;&#2649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14-2-28&#29616;&#23384;&#3732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6588;&#20307;+&#28151;&#27833;&#38376;&#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转序单"/>
      <sheetName val="下料单"/>
      <sheetName val="铝材玻璃单"/>
      <sheetName val="领料单"/>
      <sheetName val="A6包装"/>
      <sheetName val="速美包装"/>
      <sheetName val="A6免漆转序单"/>
      <sheetName val="A6免漆下料单"/>
      <sheetName val="A6免漆领料单"/>
      <sheetName val="速美免漆转序单"/>
      <sheetName val="速美免漆下料单"/>
      <sheetName val="速美免漆领料单"/>
      <sheetName val="吸塑门板转序单"/>
      <sheetName val="吸塑门板下料单"/>
      <sheetName val="吸塑门板领料单"/>
      <sheetName val="香颂外协"/>
      <sheetName val="托斯卡纳外协"/>
      <sheetName val="炫彩梦幻外协"/>
      <sheetName val="油漆包装"/>
      <sheetName val="清油平板转序单"/>
      <sheetName val="清油平板下料单"/>
      <sheetName val="清油平板领料单"/>
      <sheetName val="清油平板油漆单"/>
      <sheetName val="帕拉迪奥清油转序单"/>
      <sheetName val="帕拉迪奥清油下料单"/>
      <sheetName val="帕拉迪奥清油领料单"/>
      <sheetName val="帕拉迪奥清油油漆单"/>
      <sheetName val="帕拉迪奥清油外协单"/>
      <sheetName val="东南亚转序单"/>
      <sheetName val="东南亚下料单"/>
      <sheetName val="东南亚领料单"/>
    </sheetNames>
    <sheetDataSet>
      <sheetData sheetId="0">
        <row r="3">
          <cell r="B3" t="str">
            <v>简爱</v>
          </cell>
        </row>
      </sheetData>
      <sheetData sheetId="1">
        <row r="2">
          <cell r="P2" t="str">
            <v>版本型录号</v>
          </cell>
        </row>
      </sheetData>
      <sheetData sheetId="2">
        <row r="2">
          <cell r="L2" t="str">
            <v>简爱</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efreshError="1">
        <row r="2">
          <cell r="L2" t="str">
            <v>版本型录号</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转序单"/>
      <sheetName val="下料单"/>
      <sheetName val="铝材玻璃单"/>
      <sheetName val="领料单"/>
      <sheetName val="A6包装"/>
      <sheetName val="油漆包装"/>
      <sheetName val="混油平板转序单"/>
      <sheetName val="混油平板下料单"/>
      <sheetName val="混油平板领料单"/>
      <sheetName val="帕格尼尼转序单"/>
      <sheetName val="帕格尼尼下料单"/>
      <sheetName val="帕格尼尼领料单"/>
      <sheetName val="香草天空I转序单"/>
      <sheetName val="香草天空I下料单"/>
      <sheetName val="香草天空I领料单"/>
      <sheetName val="混油帕拉迪奥转序单"/>
      <sheetName val="混油帕拉迪奥下料单"/>
      <sheetName val="混油帕拉迪奥领料单"/>
      <sheetName val="混油帕拉迪奥外协单"/>
      <sheetName val="西迪布赛转序单"/>
      <sheetName val="西迪布赛下料单"/>
      <sheetName val="西迪布赛领料单"/>
      <sheetName val="齐彭代尔转序单"/>
      <sheetName val="齐彭代尔下料单"/>
      <sheetName val="齐彭代尔领料单"/>
      <sheetName val="图兰朵混油转序单"/>
      <sheetName val="图兰朵混油下料单"/>
      <sheetName val="图兰朵混油领料单"/>
      <sheetName val="图兰朵黑檀转序单"/>
      <sheetName val="图兰朵黑檀下料单"/>
      <sheetName val="图兰朵黑檀领料单"/>
      <sheetName val="阴角"/>
      <sheetName val="阳角"/>
    </sheetNames>
    <sheetDataSet>
      <sheetData sheetId="0">
        <row r="2">
          <cell r="B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ow r="4">
          <cell r="H4" t="str">
            <v>客户姓名</v>
          </cell>
        </row>
        <row r="5">
          <cell r="M5" t="str">
            <v>西迪布赛</v>
          </cell>
        </row>
      </sheetData>
      <sheetData sheetId="21">
        <row r="3">
          <cell r="I3" t="str">
            <v>西迪布赛</v>
          </cell>
        </row>
      </sheetData>
      <sheetData sheetId="22" refreshError="1"/>
      <sheetData sheetId="23" refreshError="1"/>
      <sheetData sheetId="24" refreshError="1"/>
      <sheetData sheetId="25">
        <row r="2">
          <cell r="B2">
            <v>0</v>
          </cell>
        </row>
      </sheetData>
      <sheetData sheetId="26">
        <row r="3">
          <cell r="C3">
            <v>0</v>
          </cell>
          <cell r="G3" t="str">
            <v>版本型录号</v>
          </cell>
          <cell r="L3">
            <v>10</v>
          </cell>
        </row>
        <row r="5">
          <cell r="G5" t="str">
            <v>G12纯白（PBJ4490）</v>
          </cell>
          <cell r="L5" t="str">
            <v>图兰朵</v>
          </cell>
        </row>
        <row r="113">
          <cell r="L113" t="e">
            <v>#VALUE!</v>
          </cell>
        </row>
      </sheetData>
      <sheetData sheetId="27">
        <row r="4">
          <cell r="G4">
            <v>43076</v>
          </cell>
        </row>
      </sheetData>
      <sheetData sheetId="28" refreshError="1"/>
      <sheetData sheetId="29">
        <row r="4">
          <cell r="C4">
            <v>0</v>
          </cell>
        </row>
        <row r="6">
          <cell r="C6" t="str">
            <v>黑檀木皮T02</v>
          </cell>
        </row>
        <row r="47">
          <cell r="N47">
            <v>0</v>
          </cell>
          <cell r="O47">
            <v>0</v>
          </cell>
          <cell r="P47">
            <v>0</v>
          </cell>
          <cell r="Q47">
            <v>0</v>
          </cell>
          <cell r="R47">
            <v>0</v>
          </cell>
          <cell r="S47">
            <v>0</v>
          </cell>
          <cell r="T47">
            <v>0</v>
          </cell>
          <cell r="U47">
            <v>0</v>
          </cell>
          <cell r="V47">
            <v>0</v>
          </cell>
          <cell r="W47">
            <v>0</v>
          </cell>
        </row>
      </sheetData>
      <sheetData sheetId="30" refreshError="1"/>
      <sheetData sheetId="31" refreshError="1"/>
      <sheetData sheetId="3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view="pageBreakPreview" zoomScale="115" zoomScaleSheetLayoutView="115" workbookViewId="0">
      <selection activeCell="L5" sqref="L5"/>
    </sheetView>
  </sheetViews>
  <sheetFormatPr defaultRowHeight="13.5"/>
  <cols>
    <col min="1" max="1" width="8.5" style="40" customWidth="1"/>
    <col min="2" max="2" width="10.125" style="52" customWidth="1"/>
    <col min="3" max="3" width="13.875" style="52" customWidth="1"/>
    <col min="4" max="4" width="11.875" style="40" customWidth="1"/>
    <col min="5" max="5" width="5.875" style="40" customWidth="1"/>
    <col min="6" max="6" width="7.75" style="40" customWidth="1"/>
    <col min="7" max="7" width="8.625" style="40" customWidth="1"/>
    <col min="8" max="8" width="9.75" style="40" customWidth="1"/>
    <col min="9" max="9" width="5.75" style="40" customWidth="1"/>
    <col min="10" max="10" width="6" style="40" customWidth="1"/>
    <col min="11" max="16384" width="9" style="40"/>
  </cols>
  <sheetData>
    <row r="1" spans="1:10" ht="27" customHeight="1">
      <c r="A1" s="864" t="s">
        <v>262</v>
      </c>
      <c r="B1" s="864"/>
      <c r="C1" s="864"/>
      <c r="D1" s="864"/>
      <c r="E1" s="864"/>
      <c r="F1" s="864"/>
      <c r="G1" s="864"/>
      <c r="H1" s="864"/>
      <c r="I1" s="864"/>
      <c r="J1" s="864"/>
    </row>
    <row r="2" spans="1:10" ht="21" customHeight="1">
      <c r="A2" s="41" t="s">
        <v>263</v>
      </c>
      <c r="B2" s="865" t="str">
        <f>下料单!C2</f>
        <v>赵蕊</v>
      </c>
      <c r="C2" s="865"/>
      <c r="D2" s="33" t="s">
        <v>67</v>
      </c>
      <c r="E2" s="865">
        <f>下料单!H2</f>
        <v>15530608063</v>
      </c>
      <c r="F2" s="865"/>
      <c r="G2" s="865"/>
      <c r="H2" s="33" t="s">
        <v>264</v>
      </c>
      <c r="I2" s="866"/>
      <c r="J2" s="866"/>
    </row>
    <row r="3" spans="1:10" ht="21" customHeight="1">
      <c r="A3" s="33" t="s">
        <v>265</v>
      </c>
      <c r="B3" s="865" t="str">
        <f>下料单!AQ2</f>
        <v>香草天空II</v>
      </c>
      <c r="C3" s="865"/>
      <c r="D3" s="33" t="s">
        <v>266</v>
      </c>
      <c r="E3" s="865" t="str">
        <f>下料单!M2</f>
        <v>砂糖白JG01</v>
      </c>
      <c r="F3" s="865"/>
      <c r="G3" s="865"/>
      <c r="H3" s="33" t="s">
        <v>267</v>
      </c>
      <c r="I3" s="866">
        <f>下料单!AB2</f>
        <v>43129</v>
      </c>
      <c r="J3" s="866"/>
    </row>
    <row r="4" spans="1:10" ht="21" customHeight="1">
      <c r="A4" s="33" t="s">
        <v>268</v>
      </c>
      <c r="B4" s="865" t="str">
        <f>下料单!W2</f>
        <v>廊坊</v>
      </c>
      <c r="C4" s="865"/>
      <c r="D4" s="42" t="s">
        <v>269</v>
      </c>
      <c r="E4" s="869">
        <f>下料单!R2</f>
        <v>123</v>
      </c>
      <c r="F4" s="869"/>
      <c r="G4" s="869"/>
      <c r="H4" s="33" t="s">
        <v>270</v>
      </c>
      <c r="I4" s="866">
        <f>下料单!AG2</f>
        <v>43169</v>
      </c>
      <c r="J4" s="866"/>
    </row>
    <row r="5" spans="1:10" ht="21" customHeight="1">
      <c r="A5" s="33" t="s">
        <v>271</v>
      </c>
      <c r="B5" s="33" t="s">
        <v>272</v>
      </c>
      <c r="C5" s="33" t="s">
        <v>273</v>
      </c>
      <c r="D5" s="33" t="s">
        <v>274</v>
      </c>
      <c r="E5" s="33" t="s">
        <v>275</v>
      </c>
      <c r="F5" s="33" t="s">
        <v>276</v>
      </c>
      <c r="G5" s="33" t="s">
        <v>277</v>
      </c>
      <c r="H5" s="58" t="s">
        <v>321</v>
      </c>
      <c r="I5" s="865" t="s">
        <v>322</v>
      </c>
      <c r="J5" s="865"/>
    </row>
    <row r="6" spans="1:10" ht="21" customHeight="1">
      <c r="A6" s="33" t="s">
        <v>278</v>
      </c>
      <c r="B6" s="865">
        <f>下料单!E21</f>
        <v>1</v>
      </c>
      <c r="C6" s="865"/>
      <c r="D6" s="33" t="s">
        <v>279</v>
      </c>
      <c r="E6" s="865">
        <f>下料单!E33</f>
        <v>2</v>
      </c>
      <c r="F6" s="865"/>
      <c r="G6" s="865"/>
      <c r="H6" s="33" t="s">
        <v>280</v>
      </c>
      <c r="I6" s="865"/>
      <c r="J6" s="865"/>
    </row>
    <row r="7" spans="1:10" ht="21" customHeight="1">
      <c r="A7" s="33" t="s">
        <v>281</v>
      </c>
      <c r="B7" s="33" t="s">
        <v>282</v>
      </c>
      <c r="C7" s="33" t="s">
        <v>283</v>
      </c>
      <c r="D7" s="33" t="s">
        <v>284</v>
      </c>
      <c r="E7" s="33" t="s">
        <v>225</v>
      </c>
      <c r="F7" s="33" t="s">
        <v>264</v>
      </c>
      <c r="G7" s="33" t="s">
        <v>285</v>
      </c>
      <c r="H7" s="33" t="s">
        <v>286</v>
      </c>
      <c r="I7" s="33" t="s">
        <v>287</v>
      </c>
      <c r="J7" s="33" t="s">
        <v>288</v>
      </c>
    </row>
    <row r="8" spans="1:10" ht="21" customHeight="1">
      <c r="A8" s="33">
        <v>1</v>
      </c>
      <c r="B8" s="867" t="s">
        <v>289</v>
      </c>
      <c r="C8" s="34" t="s">
        <v>290</v>
      </c>
      <c r="D8" s="33">
        <f>下料单!F48</f>
        <v>43</v>
      </c>
      <c r="E8" s="33" t="s">
        <v>291</v>
      </c>
      <c r="F8" s="33"/>
      <c r="G8" s="33"/>
      <c r="H8" s="33"/>
      <c r="I8" s="33"/>
      <c r="J8" s="35"/>
    </row>
    <row r="9" spans="1:10" ht="21" customHeight="1">
      <c r="A9" s="33">
        <v>2</v>
      </c>
      <c r="B9" s="867"/>
      <c r="C9" s="34" t="s">
        <v>261</v>
      </c>
      <c r="D9" s="33">
        <f>下料单!I48</f>
        <v>40</v>
      </c>
      <c r="E9" s="33" t="s">
        <v>292</v>
      </c>
      <c r="F9" s="33"/>
      <c r="G9" s="33"/>
      <c r="H9" s="33"/>
      <c r="I9" s="33"/>
      <c r="J9" s="35"/>
    </row>
    <row r="10" spans="1:10" ht="21" customHeight="1">
      <c r="A10" s="33">
        <v>3</v>
      </c>
      <c r="B10" s="867"/>
      <c r="C10" s="36" t="s">
        <v>293</v>
      </c>
      <c r="D10" s="33">
        <f>下料单!L48</f>
        <v>15</v>
      </c>
      <c r="E10" s="33" t="s">
        <v>292</v>
      </c>
      <c r="F10" s="33"/>
      <c r="G10" s="33"/>
      <c r="H10" s="33"/>
      <c r="I10" s="33"/>
      <c r="J10" s="35"/>
    </row>
    <row r="11" spans="1:10" ht="21" customHeight="1">
      <c r="A11" s="33">
        <v>4</v>
      </c>
      <c r="B11" s="868" t="s">
        <v>294</v>
      </c>
      <c r="C11" s="34" t="s">
        <v>295</v>
      </c>
      <c r="D11" s="33"/>
      <c r="E11" s="33" t="s">
        <v>292</v>
      </c>
      <c r="F11" s="33"/>
      <c r="G11" s="33"/>
      <c r="H11" s="33"/>
      <c r="I11" s="33"/>
      <c r="J11" s="35"/>
    </row>
    <row r="12" spans="1:10" ht="21" customHeight="1">
      <c r="A12" s="33">
        <v>5</v>
      </c>
      <c r="B12" s="868"/>
      <c r="C12" s="34" t="s">
        <v>261</v>
      </c>
      <c r="D12" s="33"/>
      <c r="E12" s="33" t="s">
        <v>292</v>
      </c>
      <c r="F12" s="33"/>
      <c r="G12" s="33"/>
      <c r="H12" s="33"/>
      <c r="I12" s="33"/>
      <c r="J12" s="35"/>
    </row>
    <row r="13" spans="1:10" ht="21" customHeight="1">
      <c r="A13" s="33">
        <v>6</v>
      </c>
      <c r="B13" s="868"/>
      <c r="C13" s="36" t="s">
        <v>296</v>
      </c>
      <c r="D13" s="33"/>
      <c r="E13" s="33" t="s">
        <v>292</v>
      </c>
      <c r="F13" s="33"/>
      <c r="G13" s="33"/>
      <c r="H13" s="33"/>
      <c r="I13" s="33"/>
      <c r="J13" s="35"/>
    </row>
    <row r="14" spans="1:10" ht="21" customHeight="1">
      <c r="A14" s="59">
        <v>7</v>
      </c>
      <c r="B14" s="60" t="s">
        <v>323</v>
      </c>
      <c r="C14" s="36" t="s">
        <v>324</v>
      </c>
      <c r="D14" s="59"/>
      <c r="E14" s="59" t="s">
        <v>325</v>
      </c>
      <c r="F14" s="59"/>
      <c r="G14" s="59"/>
      <c r="H14" s="59"/>
      <c r="I14" s="59"/>
      <c r="J14" s="35"/>
    </row>
    <row r="15" spans="1:10" ht="21" customHeight="1">
      <c r="A15" s="59">
        <v>8</v>
      </c>
      <c r="B15" s="868" t="s">
        <v>297</v>
      </c>
      <c r="C15" s="34" t="s">
        <v>298</v>
      </c>
      <c r="D15" s="33"/>
      <c r="E15" s="33" t="s">
        <v>292</v>
      </c>
      <c r="F15" s="33"/>
      <c r="G15" s="33"/>
      <c r="H15" s="33"/>
      <c r="I15" s="33"/>
      <c r="J15" s="35"/>
    </row>
    <row r="16" spans="1:10" ht="21" customHeight="1">
      <c r="A16" s="59">
        <v>9</v>
      </c>
      <c r="B16" s="868"/>
      <c r="C16" s="34" t="s">
        <v>299</v>
      </c>
      <c r="D16" s="33"/>
      <c r="E16" s="33" t="s">
        <v>292</v>
      </c>
      <c r="F16" s="33"/>
      <c r="G16" s="33"/>
      <c r="H16" s="33"/>
      <c r="I16" s="33"/>
      <c r="J16" s="35"/>
    </row>
    <row r="17" spans="1:10" ht="21" customHeight="1">
      <c r="A17" s="59">
        <v>10</v>
      </c>
      <c r="B17" s="868" t="s">
        <v>300</v>
      </c>
      <c r="C17" s="34" t="s">
        <v>301</v>
      </c>
      <c r="D17" s="33"/>
      <c r="E17" s="33" t="s">
        <v>292</v>
      </c>
      <c r="F17" s="33"/>
      <c r="G17" s="33"/>
      <c r="H17" s="33"/>
      <c r="I17" s="33"/>
      <c r="J17" s="35"/>
    </row>
    <row r="18" spans="1:10" ht="21" customHeight="1">
      <c r="A18" s="59">
        <v>11</v>
      </c>
      <c r="B18" s="868"/>
      <c r="C18" s="34" t="s">
        <v>302</v>
      </c>
      <c r="D18" s="33"/>
      <c r="E18" s="33" t="s">
        <v>292</v>
      </c>
      <c r="F18" s="33"/>
      <c r="G18" s="33"/>
      <c r="H18" s="33"/>
      <c r="I18" s="33"/>
      <c r="J18" s="35"/>
    </row>
    <row r="19" spans="1:10" ht="21" customHeight="1">
      <c r="A19" s="59">
        <v>12</v>
      </c>
      <c r="B19" s="868"/>
      <c r="C19" s="34" t="s">
        <v>303</v>
      </c>
      <c r="D19" s="33"/>
      <c r="E19" s="33" t="s">
        <v>292</v>
      </c>
      <c r="F19" s="33"/>
      <c r="G19" s="33"/>
      <c r="H19" s="33"/>
      <c r="I19" s="33"/>
      <c r="J19" s="35"/>
    </row>
    <row r="20" spans="1:10" ht="21" customHeight="1">
      <c r="A20" s="59">
        <v>13</v>
      </c>
      <c r="B20" s="868"/>
      <c r="C20" s="34" t="s">
        <v>304</v>
      </c>
      <c r="D20" s="33"/>
      <c r="E20" s="33" t="s">
        <v>292</v>
      </c>
      <c r="F20" s="33"/>
      <c r="G20" s="33"/>
      <c r="H20" s="33"/>
      <c r="I20" s="33"/>
      <c r="J20" s="35"/>
    </row>
    <row r="21" spans="1:10" ht="21" customHeight="1">
      <c r="A21" s="59">
        <v>14</v>
      </c>
      <c r="B21" s="867" t="s">
        <v>305</v>
      </c>
      <c r="C21" s="34" t="s">
        <v>306</v>
      </c>
      <c r="D21" s="53">
        <f>下料单!C48</f>
        <v>5.0000000000000001E-3</v>
      </c>
      <c r="E21" s="33" t="s">
        <v>307</v>
      </c>
      <c r="F21" s="33"/>
      <c r="G21" s="33"/>
      <c r="H21" s="33"/>
      <c r="I21" s="33"/>
      <c r="J21" s="35"/>
    </row>
    <row r="22" spans="1:10" ht="21" customHeight="1">
      <c r="A22" s="59">
        <v>15</v>
      </c>
      <c r="B22" s="867"/>
      <c r="C22" s="34" t="s">
        <v>308</v>
      </c>
      <c r="D22" s="33"/>
      <c r="E22" s="33" t="s">
        <v>309</v>
      </c>
      <c r="F22" s="33"/>
      <c r="G22" s="33"/>
      <c r="H22" s="33"/>
      <c r="I22" s="33"/>
      <c r="J22" s="35"/>
    </row>
    <row r="23" spans="1:10" ht="21" customHeight="1">
      <c r="A23" s="59">
        <v>16</v>
      </c>
      <c r="B23" s="867"/>
      <c r="C23" s="37" t="s">
        <v>310</v>
      </c>
      <c r="D23" s="33">
        <v>1</v>
      </c>
      <c r="E23" s="33" t="s">
        <v>311</v>
      </c>
      <c r="F23" s="33"/>
      <c r="G23" s="33"/>
      <c r="H23" s="33"/>
      <c r="I23" s="33"/>
      <c r="J23" s="35"/>
    </row>
    <row r="24" spans="1:10" ht="21" customHeight="1">
      <c r="A24" s="59">
        <v>17</v>
      </c>
      <c r="B24" s="869" t="s">
        <v>312</v>
      </c>
      <c r="C24" s="38" t="s">
        <v>313</v>
      </c>
      <c r="D24" s="33"/>
      <c r="E24" s="33" t="s">
        <v>309</v>
      </c>
      <c r="F24" s="33"/>
      <c r="G24" s="33"/>
      <c r="H24" s="33"/>
      <c r="I24" s="33"/>
      <c r="J24" s="35"/>
    </row>
    <row r="25" spans="1:10" ht="21" customHeight="1">
      <c r="A25" s="59">
        <v>18</v>
      </c>
      <c r="B25" s="869"/>
      <c r="C25" s="38" t="s">
        <v>314</v>
      </c>
      <c r="D25" s="33"/>
      <c r="E25" s="33" t="s">
        <v>309</v>
      </c>
      <c r="F25" s="33"/>
      <c r="G25" s="33"/>
      <c r="H25" s="33"/>
      <c r="I25" s="33"/>
      <c r="J25" s="35"/>
    </row>
    <row r="26" spans="1:10" s="56" customFormat="1" ht="20.100000000000001" customHeight="1">
      <c r="A26" s="59">
        <v>19</v>
      </c>
      <c r="B26" s="870" t="s">
        <v>317</v>
      </c>
      <c r="C26" s="55" t="s">
        <v>318</v>
      </c>
      <c r="D26" s="54"/>
      <c r="E26" s="54" t="s">
        <v>319</v>
      </c>
      <c r="F26" s="54"/>
      <c r="G26" s="54"/>
      <c r="H26" s="54"/>
      <c r="I26" s="54"/>
      <c r="J26" s="14"/>
    </row>
    <row r="27" spans="1:10" s="56" customFormat="1" ht="20.100000000000001" customHeight="1">
      <c r="A27" s="59">
        <v>20</v>
      </c>
      <c r="B27" s="871"/>
      <c r="C27" s="55" t="s">
        <v>320</v>
      </c>
      <c r="D27" s="54"/>
      <c r="E27" s="54" t="s">
        <v>319</v>
      </c>
      <c r="F27" s="54"/>
      <c r="G27" s="54"/>
      <c r="H27" s="54"/>
      <c r="I27" s="54"/>
      <c r="J27" s="14"/>
    </row>
    <row r="28" spans="1:10" ht="25.5" customHeight="1">
      <c r="A28" s="59">
        <v>21</v>
      </c>
      <c r="B28" s="39" t="s">
        <v>315</v>
      </c>
      <c r="C28" s="38" t="s">
        <v>316</v>
      </c>
      <c r="D28" s="33" t="str">
        <f>下料单!AN34</f>
        <v>数量</v>
      </c>
      <c r="E28" s="33" t="s">
        <v>292</v>
      </c>
      <c r="F28" s="33"/>
      <c r="G28" s="33"/>
      <c r="H28" s="33"/>
      <c r="I28" s="33"/>
      <c r="J28" s="35"/>
    </row>
    <row r="29" spans="1:10">
      <c r="A29" s="43"/>
      <c r="B29" s="43"/>
      <c r="C29" s="44"/>
      <c r="D29" s="43"/>
      <c r="E29" s="43"/>
      <c r="F29" s="43"/>
      <c r="G29" s="43"/>
      <c r="H29" s="43"/>
      <c r="I29" s="43"/>
      <c r="J29" s="45"/>
    </row>
    <row r="30" spans="1:10">
      <c r="A30" s="43"/>
      <c r="B30" s="43"/>
      <c r="C30" s="46"/>
      <c r="D30" s="43"/>
      <c r="E30" s="43"/>
      <c r="F30" s="43"/>
      <c r="G30" s="43"/>
      <c r="H30" s="43"/>
      <c r="I30" s="43"/>
      <c r="J30" s="45"/>
    </row>
    <row r="31" spans="1:10">
      <c r="A31" s="43"/>
      <c r="B31" s="43"/>
      <c r="C31" s="47"/>
      <c r="D31" s="43"/>
      <c r="E31" s="43"/>
      <c r="F31" s="43"/>
      <c r="G31" s="43"/>
      <c r="H31" s="43"/>
      <c r="I31" s="43"/>
      <c r="J31" s="45"/>
    </row>
    <row r="32" spans="1:10">
      <c r="A32" s="43"/>
      <c r="B32" s="43"/>
      <c r="C32" s="47"/>
      <c r="D32" s="43"/>
      <c r="E32" s="43"/>
      <c r="F32" s="43"/>
      <c r="G32" s="43"/>
      <c r="H32" s="43"/>
      <c r="I32" s="43"/>
      <c r="J32" s="45"/>
    </row>
    <row r="33" spans="1:10">
      <c r="A33" s="43"/>
      <c r="B33" s="43"/>
      <c r="C33" s="43"/>
      <c r="D33" s="43"/>
      <c r="E33" s="43"/>
      <c r="F33" s="43"/>
      <c r="G33" s="43"/>
      <c r="H33" s="43"/>
      <c r="I33" s="43"/>
      <c r="J33" s="45"/>
    </row>
    <row r="34" spans="1:10">
      <c r="A34" s="43"/>
      <c r="B34" s="43"/>
      <c r="C34" s="43"/>
      <c r="D34" s="43"/>
      <c r="E34" s="43"/>
      <c r="F34" s="43"/>
      <c r="G34" s="43"/>
      <c r="H34" s="43"/>
      <c r="I34" s="43"/>
      <c r="J34" s="45"/>
    </row>
    <row r="35" spans="1:10">
      <c r="A35" s="43"/>
      <c r="B35" s="43"/>
      <c r="C35" s="43"/>
      <c r="D35" s="43"/>
      <c r="E35" s="43"/>
      <c r="F35" s="43"/>
      <c r="G35" s="43"/>
      <c r="H35" s="43"/>
      <c r="I35" s="43"/>
      <c r="J35" s="45"/>
    </row>
    <row r="36" spans="1:10">
      <c r="A36" s="43"/>
      <c r="B36" s="43"/>
      <c r="C36" s="43"/>
      <c r="D36" s="43"/>
      <c r="E36" s="43"/>
      <c r="F36" s="43"/>
      <c r="G36" s="43"/>
      <c r="H36" s="43"/>
      <c r="I36" s="43"/>
      <c r="J36" s="45"/>
    </row>
    <row r="37" spans="1:10">
      <c r="A37" s="43"/>
      <c r="B37" s="43"/>
      <c r="C37" s="44"/>
      <c r="D37" s="43"/>
      <c r="E37" s="43"/>
      <c r="F37" s="43"/>
      <c r="G37" s="43"/>
      <c r="H37" s="43"/>
      <c r="I37" s="43"/>
      <c r="J37" s="45"/>
    </row>
    <row r="38" spans="1:10">
      <c r="A38" s="43"/>
      <c r="B38" s="43"/>
      <c r="C38" s="44"/>
      <c r="D38" s="43"/>
      <c r="E38" s="43"/>
      <c r="F38" s="43"/>
      <c r="G38" s="43"/>
      <c r="H38" s="43"/>
      <c r="I38" s="43"/>
      <c r="J38" s="45"/>
    </row>
    <row r="39" spans="1:10" ht="18.75" customHeight="1">
      <c r="A39" s="43"/>
      <c r="B39" s="43"/>
      <c r="C39" s="48"/>
      <c r="D39" s="43"/>
      <c r="E39" s="43"/>
      <c r="F39" s="43"/>
      <c r="G39" s="43"/>
      <c r="H39" s="43"/>
      <c r="I39" s="43"/>
      <c r="J39" s="45"/>
    </row>
    <row r="40" spans="1:10">
      <c r="A40" s="43"/>
      <c r="B40" s="43"/>
      <c r="C40" s="43"/>
      <c r="D40" s="43"/>
      <c r="E40" s="43"/>
      <c r="F40" s="43"/>
      <c r="G40" s="43"/>
      <c r="H40" s="43"/>
      <c r="I40" s="43"/>
      <c r="J40" s="45"/>
    </row>
    <row r="41" spans="1:10">
      <c r="A41" s="43"/>
      <c r="B41" s="43"/>
      <c r="C41" s="43"/>
      <c r="D41" s="43"/>
      <c r="E41" s="43"/>
      <c r="F41" s="43"/>
      <c r="G41" s="43"/>
      <c r="H41" s="43"/>
      <c r="I41" s="43"/>
      <c r="J41" s="45"/>
    </row>
    <row r="42" spans="1:10">
      <c r="A42" s="43"/>
      <c r="B42" s="43"/>
      <c r="C42" s="49"/>
      <c r="D42" s="43"/>
      <c r="E42" s="43"/>
      <c r="F42" s="43"/>
      <c r="G42" s="43"/>
      <c r="H42" s="43"/>
      <c r="I42" s="43"/>
      <c r="J42" s="45"/>
    </row>
    <row r="43" spans="1:10">
      <c r="A43" s="43"/>
      <c r="B43" s="43"/>
      <c r="C43" s="49"/>
      <c r="D43" s="43"/>
      <c r="E43" s="43"/>
      <c r="F43" s="43"/>
      <c r="G43" s="43"/>
      <c r="H43" s="43"/>
      <c r="I43" s="43"/>
      <c r="J43" s="45"/>
    </row>
    <row r="44" spans="1:10">
      <c r="A44" s="43"/>
      <c r="B44" s="43"/>
      <c r="C44" s="43"/>
      <c r="D44" s="43"/>
      <c r="E44" s="43"/>
      <c r="F44" s="43"/>
      <c r="G44" s="43"/>
      <c r="H44" s="43"/>
      <c r="I44" s="43"/>
      <c r="J44" s="45"/>
    </row>
    <row r="45" spans="1:10">
      <c r="A45" s="43"/>
      <c r="B45" s="43"/>
      <c r="C45" s="43"/>
      <c r="D45" s="43"/>
      <c r="E45" s="43"/>
      <c r="F45" s="43"/>
      <c r="G45" s="43"/>
      <c r="H45" s="43"/>
      <c r="I45" s="43"/>
      <c r="J45" s="45"/>
    </row>
    <row r="46" spans="1:10">
      <c r="A46" s="43"/>
      <c r="B46" s="43"/>
      <c r="C46" s="43"/>
      <c r="D46" s="43"/>
      <c r="E46" s="43"/>
      <c r="F46" s="43"/>
      <c r="G46" s="43"/>
      <c r="H46" s="43"/>
      <c r="I46" s="43"/>
      <c r="J46" s="45"/>
    </row>
    <row r="47" spans="1:10">
      <c r="A47" s="50"/>
      <c r="B47" s="51"/>
      <c r="C47" s="51"/>
      <c r="D47" s="50"/>
      <c r="E47" s="50"/>
      <c r="F47" s="50"/>
      <c r="G47" s="50"/>
      <c r="H47" s="50"/>
      <c r="I47" s="50"/>
      <c r="J47" s="50"/>
    </row>
  </sheetData>
  <mergeCells count="21">
    <mergeCell ref="B26:B27"/>
    <mergeCell ref="B17:B20"/>
    <mergeCell ref="B21:B23"/>
    <mergeCell ref="B24:B25"/>
    <mergeCell ref="E6:G6"/>
    <mergeCell ref="I6:J6"/>
    <mergeCell ref="B8:B10"/>
    <mergeCell ref="B11:B13"/>
    <mergeCell ref="B15:B16"/>
    <mergeCell ref="B2:C2"/>
    <mergeCell ref="E4:G4"/>
    <mergeCell ref="I4:J4"/>
    <mergeCell ref="B6:C6"/>
    <mergeCell ref="B4:C4"/>
    <mergeCell ref="I5:J5"/>
    <mergeCell ref="A1:J1"/>
    <mergeCell ref="E2:G2"/>
    <mergeCell ref="I2:J2"/>
    <mergeCell ref="E3:G3"/>
    <mergeCell ref="I3:J3"/>
    <mergeCell ref="B3:C3"/>
  </mergeCells>
  <phoneticPr fontId="24" type="noConversion"/>
  <conditionalFormatting sqref="C18:C19">
    <cfRule type="duplicateValues" dxfId="88" priority="14" stopIfTrue="1"/>
  </conditionalFormatting>
  <conditionalFormatting sqref="C21">
    <cfRule type="duplicateValues" dxfId="87" priority="13" stopIfTrue="1"/>
  </conditionalFormatting>
  <conditionalFormatting sqref="C20 C22">
    <cfRule type="duplicateValues" dxfId="86" priority="12" stopIfTrue="1"/>
  </conditionalFormatting>
  <conditionalFormatting sqref="C20">
    <cfRule type="duplicateValues" dxfId="85" priority="11"/>
  </conditionalFormatting>
  <conditionalFormatting sqref="C13:C17">
    <cfRule type="duplicateValues" dxfId="84" priority="10" stopIfTrue="1"/>
  </conditionalFormatting>
  <conditionalFormatting sqref="C10">
    <cfRule type="duplicateValues" dxfId="83" priority="9" stopIfTrue="1"/>
  </conditionalFormatting>
  <conditionalFormatting sqref="C11">
    <cfRule type="duplicateValues" dxfId="82" priority="8" stopIfTrue="1"/>
  </conditionalFormatting>
  <conditionalFormatting sqref="C12">
    <cfRule type="duplicateValues" dxfId="81" priority="7" stopIfTrue="1"/>
  </conditionalFormatting>
  <conditionalFormatting sqref="C17">
    <cfRule type="duplicateValues" dxfId="80" priority="6" stopIfTrue="1"/>
  </conditionalFormatting>
  <conditionalFormatting sqref="C23">
    <cfRule type="duplicateValues" dxfId="79" priority="5"/>
  </conditionalFormatting>
  <conditionalFormatting sqref="C39">
    <cfRule type="duplicateValues" dxfId="78" priority="4" stopIfTrue="1"/>
  </conditionalFormatting>
  <conditionalFormatting sqref="C13:C14">
    <cfRule type="duplicateValues" dxfId="77" priority="3" stopIfTrue="1"/>
  </conditionalFormatting>
  <conditionalFormatting sqref="C14">
    <cfRule type="duplicateValues" dxfId="76" priority="2" stopIfTrue="1"/>
  </conditionalFormatting>
  <conditionalFormatting sqref="C14">
    <cfRule type="duplicateValues" dxfId="75" priority="1" stopIfTrue="1"/>
  </conditionalFormatting>
  <pageMargins left="0.48" right="0.39370078740157483" top="0.35433070866141736" bottom="0.35433070866141736" header="0.15748031496062992" footer="0.23622047244094491"/>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29"/>
  <sheetViews>
    <sheetView view="pageBreakPreview" zoomScaleSheetLayoutView="100" workbookViewId="0">
      <selection activeCell="D3" sqref="D3"/>
    </sheetView>
  </sheetViews>
  <sheetFormatPr defaultRowHeight="16.5"/>
  <cols>
    <col min="1" max="1" width="9.25" style="418" customWidth="1"/>
    <col min="2" max="2" width="11.75" style="418" customWidth="1"/>
    <col min="3" max="3" width="36.375" style="418" customWidth="1"/>
    <col min="4" max="4" width="11.125" style="418" customWidth="1"/>
    <col min="5" max="5" width="15.5" style="418" customWidth="1"/>
    <col min="6" max="6" width="9.25" style="420" customWidth="1"/>
    <col min="7" max="7" width="11.75" style="418" customWidth="1"/>
    <col min="8" max="8" width="4.75" style="419" customWidth="1"/>
    <col min="9" max="9" width="7.5" style="419" customWidth="1"/>
    <col min="10" max="10" width="18.125" style="418" customWidth="1"/>
    <col min="11" max="11" width="15.625" style="418" customWidth="1"/>
    <col min="12" max="12" width="10" style="418" customWidth="1"/>
    <col min="13" max="13" width="6.625" style="418" customWidth="1"/>
    <col min="14" max="16384" width="9" style="418"/>
  </cols>
  <sheetData>
    <row r="1" spans="1:12" ht="20.25">
      <c r="A1" s="984" t="s">
        <v>978</v>
      </c>
      <c r="B1" s="984"/>
      <c r="C1" s="984"/>
      <c r="D1" s="984"/>
      <c r="E1" s="984"/>
      <c r="F1" s="984"/>
      <c r="G1" s="437"/>
      <c r="I1" s="436"/>
    </row>
    <row r="2" spans="1:12">
      <c r="A2" s="430"/>
      <c r="B2" s="424" t="s">
        <v>977</v>
      </c>
      <c r="C2" s="424" t="str">
        <f>平板门板作业单!B2</f>
        <v>赵蕊</v>
      </c>
      <c r="D2" s="435"/>
      <c r="E2" s="424"/>
      <c r="F2" s="424"/>
      <c r="I2" s="418"/>
    </row>
    <row r="3" spans="1:12">
      <c r="A3" s="430"/>
      <c r="B3" s="424" t="s">
        <v>976</v>
      </c>
      <c r="C3" s="424">
        <f>平板门板作业单!K2</f>
        <v>15530608063</v>
      </c>
      <c r="D3" s="435" t="s">
        <v>975</v>
      </c>
      <c r="E3" s="424">
        <f>平板门板作业单!M2</f>
        <v>123</v>
      </c>
      <c r="F3" s="427"/>
    </row>
    <row r="4" spans="1:12">
      <c r="A4" s="424" t="s">
        <v>974</v>
      </c>
      <c r="B4" s="424" t="s">
        <v>973</v>
      </c>
      <c r="C4" s="433" t="s">
        <v>972</v>
      </c>
      <c r="D4" s="427" t="s">
        <v>971</v>
      </c>
      <c r="E4" s="424" t="s">
        <v>970</v>
      </c>
      <c r="F4" s="435" t="s">
        <v>969</v>
      </c>
      <c r="G4" s="434"/>
    </row>
    <row r="5" spans="1:12">
      <c r="A5" s="433" t="s">
        <v>968</v>
      </c>
      <c r="B5" s="424">
        <v>1</v>
      </c>
      <c r="C5" s="433" t="s">
        <v>967</v>
      </c>
      <c r="D5" s="427">
        <f>+平板门板作业单!N39</f>
        <v>0</v>
      </c>
      <c r="E5" s="424" t="s">
        <v>966</v>
      </c>
      <c r="F5" s="430"/>
      <c r="H5" s="432"/>
      <c r="I5" s="432"/>
    </row>
    <row r="6" spans="1:12">
      <c r="A6" s="433"/>
      <c r="B6" s="424">
        <v>2</v>
      </c>
      <c r="C6" s="424"/>
      <c r="D6" s="427"/>
      <c r="E6" s="424"/>
      <c r="F6" s="430"/>
      <c r="H6" s="432"/>
      <c r="I6" s="432"/>
    </row>
    <row r="7" spans="1:12">
      <c r="A7" s="433"/>
      <c r="B7" s="424">
        <v>3</v>
      </c>
      <c r="C7" s="424"/>
      <c r="D7" s="427"/>
      <c r="E7" s="424"/>
      <c r="F7" s="430"/>
      <c r="H7" s="432"/>
      <c r="I7" s="432"/>
    </row>
    <row r="8" spans="1:12">
      <c r="A8" s="429" t="s">
        <v>965</v>
      </c>
      <c r="B8" s="424">
        <v>1</v>
      </c>
      <c r="C8" s="424" t="s">
        <v>964</v>
      </c>
      <c r="D8" s="427">
        <f>平板门板作业单!P41</f>
        <v>0</v>
      </c>
      <c r="E8" s="424" t="s">
        <v>963</v>
      </c>
      <c r="F8" s="430"/>
      <c r="H8" s="324"/>
      <c r="I8" s="324"/>
      <c r="J8" s="431"/>
      <c r="K8" s="431"/>
      <c r="L8" s="422"/>
    </row>
    <row r="9" spans="1:12">
      <c r="A9" s="429"/>
      <c r="B9" s="424">
        <v>2</v>
      </c>
      <c r="C9" s="424" t="s">
        <v>962</v>
      </c>
      <c r="D9" s="423"/>
      <c r="E9" s="424" t="s">
        <v>961</v>
      </c>
      <c r="F9" s="430"/>
    </row>
    <row r="10" spans="1:12">
      <c r="A10" s="429"/>
      <c r="B10" s="428"/>
      <c r="C10" s="428"/>
      <c r="D10" s="428"/>
      <c r="E10" s="428"/>
      <c r="F10" s="428"/>
    </row>
    <row r="11" spans="1:12" ht="16.5" customHeight="1">
      <c r="A11" s="985" t="s">
        <v>960</v>
      </c>
      <c r="B11" s="424">
        <v>1</v>
      </c>
      <c r="C11" s="424"/>
      <c r="D11" s="426"/>
      <c r="E11" s="426"/>
      <c r="F11" s="423"/>
    </row>
    <row r="12" spans="1:12">
      <c r="A12" s="986"/>
      <c r="B12" s="424">
        <v>2</v>
      </c>
      <c r="C12" s="424"/>
      <c r="D12" s="426"/>
      <c r="E12" s="426"/>
      <c r="F12" s="423"/>
    </row>
    <row r="13" spans="1:12">
      <c r="A13" s="986"/>
      <c r="B13" s="424">
        <v>3</v>
      </c>
      <c r="C13" s="424"/>
      <c r="D13" s="426"/>
      <c r="E13" s="426"/>
      <c r="F13" s="423"/>
    </row>
    <row r="14" spans="1:12">
      <c r="A14" s="986"/>
      <c r="B14" s="424">
        <v>4</v>
      </c>
      <c r="C14" s="424"/>
      <c r="D14" s="426"/>
      <c r="E14" s="426"/>
      <c r="F14" s="423"/>
    </row>
    <row r="15" spans="1:12">
      <c r="A15" s="986"/>
      <c r="B15" s="424">
        <v>5</v>
      </c>
      <c r="C15" s="424"/>
      <c r="D15" s="426"/>
      <c r="E15" s="426"/>
      <c r="F15" s="423"/>
    </row>
    <row r="16" spans="1:12">
      <c r="A16" s="986"/>
      <c r="B16" s="424">
        <v>6</v>
      </c>
      <c r="C16" s="424"/>
      <c r="D16" s="426"/>
      <c r="E16" s="426"/>
      <c r="F16" s="423"/>
    </row>
    <row r="17" spans="1:6">
      <c r="A17" s="986"/>
      <c r="B17" s="424">
        <v>7</v>
      </c>
      <c r="C17" s="424"/>
      <c r="D17" s="426"/>
      <c r="E17" s="426"/>
      <c r="F17" s="423"/>
    </row>
    <row r="18" spans="1:6">
      <c r="A18" s="986"/>
      <c r="B18" s="424">
        <v>8</v>
      </c>
      <c r="C18" s="424"/>
      <c r="D18" s="426"/>
      <c r="E18" s="426"/>
      <c r="F18" s="423"/>
    </row>
    <row r="19" spans="1:6">
      <c r="A19" s="986"/>
      <c r="B19" s="424">
        <v>9</v>
      </c>
      <c r="C19" s="424"/>
      <c r="D19" s="426"/>
      <c r="E19" s="426"/>
      <c r="F19" s="423"/>
    </row>
    <row r="20" spans="1:6">
      <c r="A20" s="986"/>
      <c r="B20" s="424">
        <v>10</v>
      </c>
      <c r="C20" s="424"/>
      <c r="D20" s="426"/>
      <c r="E20" s="426"/>
      <c r="F20" s="423"/>
    </row>
    <row r="21" spans="1:6">
      <c r="A21" s="986"/>
      <c r="B21" s="424">
        <v>11</v>
      </c>
      <c r="C21" s="424"/>
      <c r="D21" s="426"/>
      <c r="E21" s="426"/>
      <c r="F21" s="423"/>
    </row>
    <row r="22" spans="1:6">
      <c r="A22" s="986"/>
      <c r="B22" s="424">
        <v>12</v>
      </c>
      <c r="C22" s="424"/>
      <c r="D22" s="426"/>
      <c r="E22" s="426"/>
      <c r="F22" s="423"/>
    </row>
    <row r="23" spans="1:6">
      <c r="A23" s="986"/>
      <c r="B23" s="424">
        <v>13</v>
      </c>
      <c r="C23" s="424"/>
      <c r="D23" s="426"/>
      <c r="E23" s="426"/>
      <c r="F23" s="423"/>
    </row>
    <row r="24" spans="1:6">
      <c r="A24" s="986"/>
      <c r="B24" s="424">
        <v>14</v>
      </c>
      <c r="C24" s="424"/>
      <c r="D24" s="426"/>
      <c r="E24" s="426"/>
      <c r="F24" s="423"/>
    </row>
    <row r="25" spans="1:6">
      <c r="A25" s="987"/>
      <c r="B25" s="424">
        <v>15</v>
      </c>
      <c r="C25" s="424"/>
      <c r="D25" s="426"/>
      <c r="E25" s="426"/>
      <c r="F25" s="423"/>
    </row>
    <row r="26" spans="1:6">
      <c r="A26" s="425"/>
      <c r="B26" s="424"/>
      <c r="C26" s="424"/>
      <c r="D26" s="424"/>
      <c r="E26" s="424"/>
      <c r="F26" s="423"/>
    </row>
    <row r="27" spans="1:6">
      <c r="A27" s="422"/>
      <c r="B27" s="422"/>
      <c r="C27" s="422"/>
      <c r="D27" s="422"/>
      <c r="E27" s="422"/>
      <c r="F27" s="421"/>
    </row>
    <row r="29" spans="1:6">
      <c r="A29" s="418" t="s">
        <v>959</v>
      </c>
    </row>
  </sheetData>
  <mergeCells count="2">
    <mergeCell ref="A1:F1"/>
    <mergeCell ref="A11:A25"/>
  </mergeCells>
  <phoneticPr fontId="76" type="noConversion"/>
  <printOptions horizontalCentered="1"/>
  <pageMargins left="0.19685039370078741" right="0.19685039370078741" top="0.74803149606299213" bottom="0.74803149606299213" header="0.31496062992125984" footer="0.31496062992125984"/>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J47"/>
  <sheetViews>
    <sheetView view="pageBreakPreview" topLeftCell="A4" zoomScaleSheetLayoutView="100" workbookViewId="0">
      <selection activeCell="N13" sqref="N13"/>
    </sheetView>
  </sheetViews>
  <sheetFormatPr defaultRowHeight="13.5"/>
  <cols>
    <col min="1" max="1" width="9.375" style="40" customWidth="1"/>
    <col min="2" max="2" width="10.125" style="52" customWidth="1"/>
    <col min="3" max="3" width="13.875" style="52" customWidth="1"/>
    <col min="4" max="4" width="11.875" style="40" customWidth="1"/>
    <col min="5" max="5" width="5.875" style="40" customWidth="1"/>
    <col min="6" max="6" width="7.75" style="40" customWidth="1"/>
    <col min="7" max="7" width="8.625" style="40" customWidth="1"/>
    <col min="8" max="8" width="9.75" style="40" customWidth="1"/>
    <col min="9" max="9" width="5.75" style="40" customWidth="1"/>
    <col min="10" max="10" width="6" style="40" customWidth="1"/>
    <col min="11" max="16384" width="9" style="40"/>
  </cols>
  <sheetData>
    <row r="1" spans="1:10" ht="20.100000000000001" customHeight="1">
      <c r="A1" s="864" t="s">
        <v>1040</v>
      </c>
      <c r="B1" s="864"/>
      <c r="C1" s="864"/>
      <c r="D1" s="864"/>
      <c r="E1" s="864"/>
      <c r="F1" s="864"/>
      <c r="G1" s="864"/>
      <c r="H1" s="864"/>
      <c r="I1" s="864"/>
      <c r="J1" s="864"/>
    </row>
    <row r="2" spans="1:10" ht="20.100000000000001" customHeight="1">
      <c r="A2" s="41" t="s">
        <v>1039</v>
      </c>
      <c r="B2" s="865" t="str">
        <f>柜体!B2</f>
        <v>赵蕊</v>
      </c>
      <c r="C2" s="865"/>
      <c r="D2" s="337" t="s">
        <v>1038</v>
      </c>
      <c r="E2" s="865">
        <f>柜体!E2</f>
        <v>15530608063</v>
      </c>
      <c r="F2" s="865"/>
      <c r="G2" s="865"/>
      <c r="H2" s="337" t="s">
        <v>1014</v>
      </c>
      <c r="I2" s="866">
        <f>柜体!I2</f>
        <v>0</v>
      </c>
      <c r="J2" s="866"/>
    </row>
    <row r="3" spans="1:10" ht="20.100000000000001" customHeight="1">
      <c r="A3" s="337" t="s">
        <v>1037</v>
      </c>
      <c r="B3" s="865" t="str">
        <f>古典门板作业单!G3</f>
        <v>香草天空Ⅱ</v>
      </c>
      <c r="C3" s="865"/>
      <c r="D3" s="337" t="s">
        <v>1036</v>
      </c>
      <c r="E3" s="865" t="str">
        <f>柜体!E3</f>
        <v>砂糖白JG01</v>
      </c>
      <c r="F3" s="865"/>
      <c r="G3" s="865"/>
      <c r="H3" s="337" t="s">
        <v>1035</v>
      </c>
      <c r="I3" s="866">
        <f>柜体!I3</f>
        <v>43129</v>
      </c>
      <c r="J3" s="866"/>
    </row>
    <row r="4" spans="1:10" ht="20.100000000000001" customHeight="1">
      <c r="A4" s="337" t="s">
        <v>1034</v>
      </c>
      <c r="B4" s="865" t="str">
        <f>柜体!B4</f>
        <v>廊坊</v>
      </c>
      <c r="C4" s="865"/>
      <c r="D4" s="339" t="s">
        <v>1033</v>
      </c>
      <c r="E4" s="865">
        <f>柜体!E4</f>
        <v>123</v>
      </c>
      <c r="F4" s="865"/>
      <c r="G4" s="865"/>
      <c r="H4" s="337" t="s">
        <v>1032</v>
      </c>
      <c r="I4" s="866">
        <f>柜体!I4</f>
        <v>43169</v>
      </c>
      <c r="J4" s="866"/>
    </row>
    <row r="5" spans="1:10" ht="20.100000000000001" customHeight="1">
      <c r="A5" s="337" t="s">
        <v>1031</v>
      </c>
      <c r="B5" s="337" t="s">
        <v>1030</v>
      </c>
      <c r="C5" s="337" t="s">
        <v>1029</v>
      </c>
      <c r="D5" s="337" t="s">
        <v>1028</v>
      </c>
      <c r="E5" s="337" t="s">
        <v>1027</v>
      </c>
      <c r="F5" s="337" t="s">
        <v>1026</v>
      </c>
      <c r="G5" s="337" t="s">
        <v>1025</v>
      </c>
      <c r="H5" s="337" t="s">
        <v>1024</v>
      </c>
      <c r="I5" s="865" t="s">
        <v>1023</v>
      </c>
      <c r="J5" s="865"/>
    </row>
    <row r="6" spans="1:10" ht="20.100000000000001" customHeight="1">
      <c r="A6" s="337" t="s">
        <v>1022</v>
      </c>
      <c r="B6" s="865"/>
      <c r="C6" s="865"/>
      <c r="D6" s="337" t="s">
        <v>1021</v>
      </c>
      <c r="E6" s="865"/>
      <c r="F6" s="865"/>
      <c r="G6" s="865"/>
      <c r="H6" s="337" t="s">
        <v>1020</v>
      </c>
      <c r="I6" s="865"/>
      <c r="J6" s="865"/>
    </row>
    <row r="7" spans="1:10" ht="20.100000000000001" customHeight="1">
      <c r="A7" s="337" t="s">
        <v>1019</v>
      </c>
      <c r="B7" s="337" t="s">
        <v>1018</v>
      </c>
      <c r="C7" s="337" t="s">
        <v>1017</v>
      </c>
      <c r="D7" s="337" t="s">
        <v>1016</v>
      </c>
      <c r="E7" s="337" t="s">
        <v>1015</v>
      </c>
      <c r="F7" s="337" t="s">
        <v>1014</v>
      </c>
      <c r="G7" s="337" t="s">
        <v>1013</v>
      </c>
      <c r="H7" s="337" t="s">
        <v>1012</v>
      </c>
      <c r="I7" s="337" t="s">
        <v>1011</v>
      </c>
      <c r="J7" s="337" t="s">
        <v>1010</v>
      </c>
    </row>
    <row r="8" spans="1:10" ht="20.100000000000001" customHeight="1">
      <c r="A8" s="337">
        <v>1</v>
      </c>
      <c r="B8" s="868" t="s">
        <v>1009</v>
      </c>
      <c r="C8" s="338" t="s">
        <v>1006</v>
      </c>
      <c r="D8" s="337"/>
      <c r="E8" s="337" t="s">
        <v>979</v>
      </c>
      <c r="F8" s="337"/>
      <c r="G8" s="337"/>
      <c r="H8" s="337"/>
      <c r="I8" s="337"/>
      <c r="J8" s="35"/>
    </row>
    <row r="9" spans="1:10" ht="20.100000000000001" customHeight="1">
      <c r="A9" s="337">
        <v>2</v>
      </c>
      <c r="B9" s="868"/>
      <c r="C9" s="338" t="s">
        <v>261</v>
      </c>
      <c r="D9" s="337"/>
      <c r="E9" s="337" t="s">
        <v>979</v>
      </c>
      <c r="F9" s="337"/>
      <c r="G9" s="337"/>
      <c r="H9" s="337"/>
      <c r="I9" s="337"/>
      <c r="J9" s="35"/>
    </row>
    <row r="10" spans="1:10" ht="20.100000000000001" customHeight="1">
      <c r="A10" s="337">
        <v>3</v>
      </c>
      <c r="B10" s="868"/>
      <c r="C10" s="36" t="s">
        <v>1008</v>
      </c>
      <c r="D10" s="337"/>
      <c r="E10" s="337" t="s">
        <v>979</v>
      </c>
      <c r="F10" s="337"/>
      <c r="G10" s="337"/>
      <c r="H10" s="337"/>
      <c r="I10" s="337"/>
      <c r="J10" s="35"/>
    </row>
    <row r="11" spans="1:10" ht="20.100000000000001" customHeight="1">
      <c r="A11" s="337">
        <v>4</v>
      </c>
      <c r="B11" s="868" t="s">
        <v>1007</v>
      </c>
      <c r="C11" s="338" t="s">
        <v>1006</v>
      </c>
      <c r="D11" s="337"/>
      <c r="E11" s="337" t="s">
        <v>979</v>
      </c>
      <c r="F11" s="337"/>
      <c r="G11" s="337"/>
      <c r="H11" s="337"/>
      <c r="I11" s="337"/>
      <c r="J11" s="35"/>
    </row>
    <row r="12" spans="1:10" ht="20.100000000000001" customHeight="1">
      <c r="A12" s="337">
        <v>5</v>
      </c>
      <c r="B12" s="868"/>
      <c r="C12" s="338" t="s">
        <v>261</v>
      </c>
      <c r="D12" s="337"/>
      <c r="E12" s="337" t="s">
        <v>979</v>
      </c>
      <c r="F12" s="337"/>
      <c r="G12" s="337"/>
      <c r="H12" s="337"/>
      <c r="I12" s="337"/>
      <c r="J12" s="35"/>
    </row>
    <row r="13" spans="1:10" ht="20.100000000000001" customHeight="1">
      <c r="A13" s="337">
        <v>6</v>
      </c>
      <c r="B13" s="868"/>
      <c r="C13" s="36" t="s">
        <v>1005</v>
      </c>
      <c r="D13" s="337"/>
      <c r="E13" s="337" t="s">
        <v>979</v>
      </c>
      <c r="F13" s="337"/>
      <c r="G13" s="337"/>
      <c r="H13" s="337"/>
      <c r="I13" s="337"/>
      <c r="J13" s="35"/>
    </row>
    <row r="14" spans="1:10" ht="20.100000000000001" customHeight="1">
      <c r="A14" s="337">
        <v>7</v>
      </c>
      <c r="B14" s="60" t="s">
        <v>1004</v>
      </c>
      <c r="C14" s="36" t="s">
        <v>1003</v>
      </c>
      <c r="D14" s="337"/>
      <c r="E14" s="337" t="s">
        <v>979</v>
      </c>
      <c r="F14" s="337"/>
      <c r="G14" s="337"/>
      <c r="H14" s="337"/>
      <c r="I14" s="337"/>
      <c r="J14" s="35"/>
    </row>
    <row r="15" spans="1:10" ht="20.100000000000001" customHeight="1">
      <c r="A15" s="337">
        <v>8</v>
      </c>
      <c r="B15" s="868" t="s">
        <v>1002</v>
      </c>
      <c r="C15" s="338" t="s">
        <v>1001</v>
      </c>
      <c r="D15" s="337"/>
      <c r="E15" s="337" t="s">
        <v>979</v>
      </c>
      <c r="F15" s="337"/>
      <c r="G15" s="337"/>
      <c r="H15" s="337"/>
      <c r="I15" s="337"/>
      <c r="J15" s="35"/>
    </row>
    <row r="16" spans="1:10" ht="20.100000000000001" customHeight="1">
      <c r="A16" s="337">
        <v>9</v>
      </c>
      <c r="B16" s="868"/>
      <c r="C16" s="338" t="s">
        <v>1000</v>
      </c>
      <c r="D16" s="337">
        <f>古典门板作业单!I3</f>
        <v>2</v>
      </c>
      <c r="E16" s="337" t="s">
        <v>979</v>
      </c>
      <c r="F16" s="337"/>
      <c r="G16" s="337"/>
      <c r="H16" s="337"/>
      <c r="I16" s="337"/>
      <c r="J16" s="35"/>
    </row>
    <row r="17" spans="1:10" ht="20.100000000000001" customHeight="1">
      <c r="A17" s="337">
        <v>10</v>
      </c>
      <c r="B17" s="868" t="s">
        <v>999</v>
      </c>
      <c r="C17" s="338" t="s">
        <v>998</v>
      </c>
      <c r="D17" s="337">
        <f>古典门板作业单!I3</f>
        <v>2</v>
      </c>
      <c r="E17" s="337" t="s">
        <v>979</v>
      </c>
      <c r="F17" s="337"/>
      <c r="G17" s="337"/>
      <c r="H17" s="337"/>
      <c r="I17" s="337"/>
      <c r="J17" s="35"/>
    </row>
    <row r="18" spans="1:10" ht="20.100000000000001" customHeight="1">
      <c r="A18" s="337">
        <v>11</v>
      </c>
      <c r="B18" s="868"/>
      <c r="C18" s="338" t="s">
        <v>997</v>
      </c>
      <c r="D18" s="337">
        <f>古典门板作业单!I3</f>
        <v>2</v>
      </c>
      <c r="E18" s="337" t="s">
        <v>979</v>
      </c>
      <c r="F18" s="337"/>
      <c r="G18" s="337"/>
      <c r="H18" s="337"/>
      <c r="I18" s="337"/>
      <c r="J18" s="35"/>
    </row>
    <row r="19" spans="1:10" ht="20.100000000000001" customHeight="1">
      <c r="A19" s="337">
        <v>12</v>
      </c>
      <c r="B19" s="868"/>
      <c r="C19" s="338" t="s">
        <v>996</v>
      </c>
      <c r="D19" s="337">
        <f>古典门板作业单!I3</f>
        <v>2</v>
      </c>
      <c r="E19" s="337" t="s">
        <v>979</v>
      </c>
      <c r="F19" s="337"/>
      <c r="G19" s="337"/>
      <c r="H19" s="337"/>
      <c r="I19" s="337"/>
      <c r="J19" s="35"/>
    </row>
    <row r="20" spans="1:10" ht="20.100000000000001" customHeight="1">
      <c r="A20" s="337">
        <v>13</v>
      </c>
      <c r="B20" s="868"/>
      <c r="C20" s="338" t="s">
        <v>995</v>
      </c>
      <c r="D20" s="337"/>
      <c r="E20" s="337" t="s">
        <v>979</v>
      </c>
      <c r="F20" s="337"/>
      <c r="G20" s="337"/>
      <c r="H20" s="337"/>
      <c r="I20" s="337"/>
      <c r="J20" s="35"/>
    </row>
    <row r="21" spans="1:10" ht="20.100000000000001" customHeight="1">
      <c r="A21" s="337">
        <v>14</v>
      </c>
      <c r="B21" s="868" t="s">
        <v>994</v>
      </c>
      <c r="C21" s="338" t="s">
        <v>993</v>
      </c>
      <c r="D21" s="53"/>
      <c r="E21" s="337" t="s">
        <v>992</v>
      </c>
      <c r="F21" s="337"/>
      <c r="G21" s="337"/>
      <c r="H21" s="337"/>
      <c r="I21" s="337"/>
      <c r="J21" s="35"/>
    </row>
    <row r="22" spans="1:10" ht="20.100000000000001" customHeight="1">
      <c r="A22" s="337">
        <v>15</v>
      </c>
      <c r="B22" s="868"/>
      <c r="C22" s="338" t="s">
        <v>991</v>
      </c>
      <c r="D22" s="337"/>
      <c r="E22" s="337" t="s">
        <v>982</v>
      </c>
      <c r="F22" s="337"/>
      <c r="G22" s="337"/>
      <c r="H22" s="337"/>
      <c r="I22" s="337"/>
      <c r="J22" s="35"/>
    </row>
    <row r="23" spans="1:10" ht="20.100000000000001" customHeight="1">
      <c r="A23" s="337">
        <v>16</v>
      </c>
      <c r="B23" s="868"/>
      <c r="C23" s="37" t="s">
        <v>990</v>
      </c>
      <c r="D23" s="337"/>
      <c r="E23" s="337" t="s">
        <v>989</v>
      </c>
      <c r="F23" s="337"/>
      <c r="G23" s="337"/>
      <c r="H23" s="337"/>
      <c r="I23" s="337"/>
      <c r="J23" s="35"/>
    </row>
    <row r="24" spans="1:10" ht="20.100000000000001" customHeight="1">
      <c r="A24" s="337">
        <v>17</v>
      </c>
      <c r="B24" s="869" t="s">
        <v>988</v>
      </c>
      <c r="C24" s="38" t="s">
        <v>987</v>
      </c>
      <c r="D24" s="337"/>
      <c r="E24" s="337" t="s">
        <v>982</v>
      </c>
      <c r="F24" s="337"/>
      <c r="G24" s="337"/>
      <c r="H24" s="337"/>
      <c r="I24" s="337"/>
      <c r="J24" s="35"/>
    </row>
    <row r="25" spans="1:10" ht="20.100000000000001" customHeight="1">
      <c r="A25" s="337">
        <v>18</v>
      </c>
      <c r="B25" s="869"/>
      <c r="C25" s="38" t="s">
        <v>986</v>
      </c>
      <c r="D25" s="337"/>
      <c r="E25" s="337" t="s">
        <v>982</v>
      </c>
      <c r="F25" s="337"/>
      <c r="G25" s="337"/>
      <c r="H25" s="337"/>
      <c r="I25" s="337"/>
      <c r="J25" s="35"/>
    </row>
    <row r="26" spans="1:10" s="56" customFormat="1" ht="20.100000000000001" customHeight="1">
      <c r="A26" s="337">
        <v>19</v>
      </c>
      <c r="B26" s="870" t="s">
        <v>985</v>
      </c>
      <c r="C26" s="55" t="s">
        <v>984</v>
      </c>
      <c r="D26" s="54"/>
      <c r="E26" s="54" t="s">
        <v>982</v>
      </c>
      <c r="F26" s="54"/>
      <c r="G26" s="54"/>
      <c r="H26" s="54"/>
      <c r="I26" s="54"/>
      <c r="J26" s="14"/>
    </row>
    <row r="27" spans="1:10" s="56" customFormat="1" ht="20.100000000000001" customHeight="1">
      <c r="A27" s="337">
        <v>20</v>
      </c>
      <c r="B27" s="871"/>
      <c r="C27" s="55" t="s">
        <v>983</v>
      </c>
      <c r="D27" s="54"/>
      <c r="E27" s="54" t="s">
        <v>982</v>
      </c>
      <c r="F27" s="54"/>
      <c r="G27" s="54"/>
      <c r="H27" s="54"/>
      <c r="I27" s="54"/>
      <c r="J27" s="14"/>
    </row>
    <row r="28" spans="1:10" ht="20.100000000000001" customHeight="1">
      <c r="A28" s="337">
        <v>21</v>
      </c>
      <c r="B28" s="36" t="s">
        <v>981</v>
      </c>
      <c r="C28" s="38" t="s">
        <v>980</v>
      </c>
      <c r="D28" s="337">
        <f>古典门板作业单!I3</f>
        <v>2</v>
      </c>
      <c r="E28" s="337" t="s">
        <v>979</v>
      </c>
      <c r="F28" s="337"/>
      <c r="G28" s="337"/>
      <c r="H28" s="337"/>
      <c r="I28" s="337"/>
      <c r="J28" s="35"/>
    </row>
    <row r="29" spans="1:10">
      <c r="A29" s="43"/>
      <c r="B29" s="43"/>
      <c r="C29" s="44"/>
      <c r="D29" s="43"/>
      <c r="E29" s="43"/>
      <c r="F29" s="43"/>
      <c r="G29" s="43"/>
      <c r="H29" s="43"/>
      <c r="I29" s="43"/>
      <c r="J29" s="45"/>
    </row>
    <row r="30" spans="1:10">
      <c r="A30" s="43"/>
      <c r="B30" s="43"/>
      <c r="C30" s="46"/>
      <c r="D30" s="43"/>
      <c r="E30" s="43"/>
      <c r="F30" s="43"/>
      <c r="G30" s="43"/>
      <c r="H30" s="43"/>
      <c r="I30" s="43"/>
      <c r="J30" s="45"/>
    </row>
    <row r="31" spans="1:10">
      <c r="A31" s="43"/>
      <c r="B31" s="43"/>
      <c r="C31" s="47"/>
      <c r="D31" s="43"/>
      <c r="E31" s="43"/>
      <c r="F31" s="43"/>
      <c r="G31" s="43"/>
      <c r="H31" s="43"/>
      <c r="I31" s="43"/>
      <c r="J31" s="45"/>
    </row>
    <row r="32" spans="1:10">
      <c r="A32" s="43"/>
      <c r="B32" s="43"/>
      <c r="C32" s="47"/>
      <c r="D32" s="43"/>
      <c r="E32" s="43"/>
      <c r="F32" s="43"/>
      <c r="G32" s="43"/>
      <c r="H32" s="43"/>
      <c r="I32" s="43"/>
      <c r="J32" s="45"/>
    </row>
    <row r="33" spans="1:10">
      <c r="A33" s="43"/>
      <c r="B33" s="43"/>
      <c r="C33" s="43"/>
      <c r="D33" s="43"/>
      <c r="E33" s="43"/>
      <c r="F33" s="43"/>
      <c r="G33" s="43"/>
      <c r="H33" s="43"/>
      <c r="I33" s="43"/>
      <c r="J33" s="45"/>
    </row>
    <row r="34" spans="1:10">
      <c r="A34" s="43"/>
      <c r="B34" s="43"/>
      <c r="C34" s="43"/>
      <c r="D34" s="43"/>
      <c r="E34" s="43"/>
      <c r="F34" s="43"/>
      <c r="G34" s="43"/>
      <c r="H34" s="43"/>
      <c r="I34" s="43"/>
      <c r="J34" s="45"/>
    </row>
    <row r="35" spans="1:10">
      <c r="A35" s="43"/>
      <c r="B35" s="43"/>
      <c r="C35" s="43"/>
      <c r="D35" s="43"/>
      <c r="E35" s="43"/>
      <c r="F35" s="43"/>
      <c r="G35" s="43"/>
      <c r="H35" s="43"/>
      <c r="I35" s="43"/>
      <c r="J35" s="45"/>
    </row>
    <row r="36" spans="1:10">
      <c r="A36" s="43"/>
      <c r="B36" s="43"/>
      <c r="C36" s="43"/>
      <c r="D36" s="43"/>
      <c r="E36" s="43"/>
      <c r="F36" s="43"/>
      <c r="G36" s="43"/>
      <c r="H36" s="43"/>
      <c r="I36" s="43"/>
      <c r="J36" s="45"/>
    </row>
    <row r="37" spans="1:10">
      <c r="A37" s="43"/>
      <c r="B37" s="43"/>
      <c r="C37" s="44"/>
      <c r="D37" s="43"/>
      <c r="E37" s="43"/>
      <c r="F37" s="43"/>
      <c r="G37" s="43"/>
      <c r="H37" s="43"/>
      <c r="I37" s="43"/>
      <c r="J37" s="45"/>
    </row>
    <row r="38" spans="1:10">
      <c r="A38" s="43"/>
      <c r="B38" s="43"/>
      <c r="C38" s="44"/>
      <c r="D38" s="43"/>
      <c r="E38" s="43"/>
      <c r="F38" s="43"/>
      <c r="G38" s="43"/>
      <c r="H38" s="43"/>
      <c r="I38" s="43"/>
      <c r="J38" s="45"/>
    </row>
    <row r="39" spans="1:10">
      <c r="A39" s="43"/>
      <c r="B39" s="43"/>
      <c r="C39" s="48"/>
      <c r="D39" s="43"/>
      <c r="E39" s="43"/>
      <c r="F39" s="43"/>
      <c r="G39" s="43"/>
      <c r="H39" s="43"/>
      <c r="I39" s="43"/>
      <c r="J39" s="45"/>
    </row>
    <row r="40" spans="1:10">
      <c r="A40" s="43"/>
      <c r="B40" s="43"/>
      <c r="C40" s="43"/>
      <c r="D40" s="43"/>
      <c r="E40" s="43"/>
      <c r="F40" s="43"/>
      <c r="G40" s="43"/>
      <c r="H40" s="43"/>
      <c r="I40" s="43"/>
      <c r="J40" s="45"/>
    </row>
    <row r="41" spans="1:10">
      <c r="A41" s="43"/>
      <c r="B41" s="43"/>
      <c r="C41" s="43"/>
      <c r="D41" s="43"/>
      <c r="E41" s="43"/>
      <c r="F41" s="43"/>
      <c r="G41" s="43"/>
      <c r="H41" s="43"/>
      <c r="I41" s="43"/>
      <c r="J41" s="45"/>
    </row>
    <row r="42" spans="1:10">
      <c r="A42" s="43"/>
      <c r="B42" s="43"/>
      <c r="C42" s="49"/>
      <c r="D42" s="43"/>
      <c r="E42" s="43"/>
      <c r="F42" s="43"/>
      <c r="G42" s="43"/>
      <c r="H42" s="43"/>
      <c r="I42" s="43"/>
      <c r="J42" s="45"/>
    </row>
    <row r="43" spans="1:10">
      <c r="A43" s="43"/>
      <c r="B43" s="43"/>
      <c r="C43" s="49"/>
      <c r="D43" s="43"/>
      <c r="E43" s="43"/>
      <c r="F43" s="43"/>
      <c r="G43" s="43"/>
      <c r="H43" s="43"/>
      <c r="I43" s="43"/>
      <c r="J43" s="45"/>
    </row>
    <row r="44" spans="1:10">
      <c r="A44" s="43"/>
      <c r="B44" s="43"/>
      <c r="C44" s="43"/>
      <c r="D44" s="43"/>
      <c r="E44" s="43"/>
      <c r="F44" s="43"/>
      <c r="G44" s="43"/>
      <c r="H44" s="43"/>
      <c r="I44" s="43"/>
      <c r="J44" s="45"/>
    </row>
    <row r="45" spans="1:10">
      <c r="A45" s="43"/>
      <c r="B45" s="43"/>
      <c r="C45" s="43"/>
      <c r="D45" s="43"/>
      <c r="E45" s="43"/>
      <c r="F45" s="43"/>
      <c r="G45" s="43"/>
      <c r="H45" s="43"/>
      <c r="I45" s="43"/>
      <c r="J45" s="45"/>
    </row>
    <row r="46" spans="1:10">
      <c r="A46" s="43"/>
      <c r="B46" s="43"/>
      <c r="C46" s="43"/>
      <c r="D46" s="43"/>
      <c r="E46" s="43"/>
      <c r="F46" s="43"/>
      <c r="G46" s="43"/>
      <c r="H46" s="43"/>
      <c r="I46" s="43"/>
      <c r="J46" s="45"/>
    </row>
    <row r="47" spans="1:10">
      <c r="A47" s="50"/>
      <c r="B47" s="51"/>
      <c r="C47" s="51"/>
      <c r="D47" s="50"/>
      <c r="E47" s="50"/>
      <c r="F47" s="50"/>
      <c r="G47" s="50"/>
      <c r="H47" s="50"/>
      <c r="I47" s="50"/>
      <c r="J47" s="50"/>
    </row>
  </sheetData>
  <mergeCells count="21">
    <mergeCell ref="B26:B27"/>
    <mergeCell ref="B2:C2"/>
    <mergeCell ref="B3:C3"/>
    <mergeCell ref="A1:J1"/>
    <mergeCell ref="E2:G2"/>
    <mergeCell ref="I2:J2"/>
    <mergeCell ref="E3:G3"/>
    <mergeCell ref="I3:J3"/>
    <mergeCell ref="I4:J4"/>
    <mergeCell ref="B24:B25"/>
    <mergeCell ref="I5:J5"/>
    <mergeCell ref="B8:B10"/>
    <mergeCell ref="B11:B13"/>
    <mergeCell ref="B15:B16"/>
    <mergeCell ref="B21:B23"/>
    <mergeCell ref="B17:B20"/>
    <mergeCell ref="B6:C6"/>
    <mergeCell ref="E6:G6"/>
    <mergeCell ref="I6:J6"/>
    <mergeCell ref="B4:C4"/>
    <mergeCell ref="E4:G4"/>
  </mergeCells>
  <phoneticPr fontId="76" type="noConversion"/>
  <conditionalFormatting sqref="C18:C19">
    <cfRule type="duplicateValues" dxfId="55" priority="14" stopIfTrue="1"/>
  </conditionalFormatting>
  <conditionalFormatting sqref="C21">
    <cfRule type="duplicateValues" dxfId="54" priority="13" stopIfTrue="1"/>
  </conditionalFormatting>
  <conditionalFormatting sqref="C20 C22">
    <cfRule type="duplicateValues" dxfId="53" priority="12" stopIfTrue="1"/>
  </conditionalFormatting>
  <conditionalFormatting sqref="C20">
    <cfRule type="duplicateValues" dxfId="52" priority="11"/>
  </conditionalFormatting>
  <conditionalFormatting sqref="C13:C17">
    <cfRule type="duplicateValues" dxfId="51" priority="10" stopIfTrue="1"/>
  </conditionalFormatting>
  <conditionalFormatting sqref="C10">
    <cfRule type="duplicateValues" dxfId="50" priority="9" stopIfTrue="1"/>
  </conditionalFormatting>
  <conditionalFormatting sqref="C11">
    <cfRule type="duplicateValues" dxfId="49" priority="8" stopIfTrue="1"/>
  </conditionalFormatting>
  <conditionalFormatting sqref="C12">
    <cfRule type="duplicateValues" dxfId="48" priority="7" stopIfTrue="1"/>
  </conditionalFormatting>
  <conditionalFormatting sqref="C17">
    <cfRule type="duplicateValues" dxfId="47" priority="6" stopIfTrue="1"/>
  </conditionalFormatting>
  <conditionalFormatting sqref="C23">
    <cfRule type="duplicateValues" dxfId="46" priority="5"/>
  </conditionalFormatting>
  <conditionalFormatting sqref="C39">
    <cfRule type="duplicateValues" dxfId="45" priority="4" stopIfTrue="1"/>
  </conditionalFormatting>
  <conditionalFormatting sqref="C13:C14">
    <cfRule type="duplicateValues" dxfId="44" priority="3" stopIfTrue="1"/>
  </conditionalFormatting>
  <conditionalFormatting sqref="C14">
    <cfRule type="duplicateValues" dxfId="43" priority="2" stopIfTrue="1"/>
  </conditionalFormatting>
  <conditionalFormatting sqref="C14">
    <cfRule type="duplicateValues" dxfId="42" priority="1" stopIfTrue="1"/>
  </conditionalFormatting>
  <printOptions horizontalCentered="1"/>
  <pageMargins left="0.19685039370078741" right="0.19685039370078741" top="0.74803149606299213" bottom="0.74803149606299213" header="0.31496062992125984" footer="0.31496062992125984"/>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E101"/>
  <sheetViews>
    <sheetView view="pageBreakPreview" topLeftCell="A55" zoomScaleSheetLayoutView="100" workbookViewId="0">
      <selection activeCell="J18" sqref="J18"/>
    </sheetView>
  </sheetViews>
  <sheetFormatPr defaultRowHeight="16.5"/>
  <cols>
    <col min="1" max="1" width="11.25" style="453" customWidth="1"/>
    <col min="2" max="5" width="6.625" style="453" customWidth="1"/>
    <col min="6" max="6" width="8.125" style="453" customWidth="1"/>
    <col min="7" max="7" width="9.25" style="453" customWidth="1"/>
    <col min="8" max="9" width="6.625" style="453" customWidth="1"/>
    <col min="10" max="10" width="21.5" style="453" customWidth="1"/>
    <col min="11" max="11" width="13.125" style="451" customWidth="1"/>
    <col min="12" max="12" width="14.25" style="451" customWidth="1"/>
    <col min="13" max="13" width="14.875" style="451" customWidth="1"/>
    <col min="14" max="18" width="8.75" style="451" customWidth="1"/>
    <col min="19" max="19" width="12.375" style="451" customWidth="1"/>
    <col min="20" max="20" width="10.625" style="451" customWidth="1"/>
    <col min="21" max="21" width="6.25" style="451" customWidth="1"/>
    <col min="22" max="22" width="9.5" style="451" customWidth="1"/>
    <col min="23" max="23" width="10.75" style="454" customWidth="1"/>
    <col min="24" max="24" width="6.625" style="455" customWidth="1"/>
    <col min="25" max="27" width="10.75" style="454" customWidth="1"/>
    <col min="28" max="28" width="5.875" style="454" customWidth="1"/>
    <col min="29" max="29" width="12.125" style="451" customWidth="1"/>
    <col min="30" max="30" width="12.125" style="453" customWidth="1"/>
    <col min="31" max="31" width="12.125" style="452" customWidth="1"/>
    <col min="32" max="256" width="9" style="451"/>
    <col min="257" max="257" width="8.5" style="451" customWidth="1"/>
    <col min="258" max="258" width="6.375" style="451" customWidth="1"/>
    <col min="259" max="259" width="6.625" style="451" customWidth="1"/>
    <col min="260" max="260" width="5.125" style="451" customWidth="1"/>
    <col min="261" max="261" width="6.5" style="451" customWidth="1"/>
    <col min="262" max="262" width="5.375" style="451" customWidth="1"/>
    <col min="263" max="263" width="4.625" style="451" customWidth="1"/>
    <col min="264" max="264" width="8.625" style="451" customWidth="1"/>
    <col min="265" max="265" width="19.875" style="451" customWidth="1"/>
    <col min="266" max="266" width="9" style="451"/>
    <col min="267" max="267" width="9.875" style="451" customWidth="1"/>
    <col min="268" max="268" width="8.875" style="451" customWidth="1"/>
    <col min="269" max="269" width="8.625" style="451" customWidth="1"/>
    <col min="270" max="270" width="8" style="451" customWidth="1"/>
    <col min="271" max="271" width="8.625" style="451" customWidth="1"/>
    <col min="272" max="272" width="9" style="451" customWidth="1"/>
    <col min="273" max="273" width="13.5" style="451" customWidth="1"/>
    <col min="274" max="274" width="16.125" style="451" bestFit="1" customWidth="1"/>
    <col min="275" max="275" width="13.875" style="451" bestFit="1" customWidth="1"/>
    <col min="276" max="276" width="7.5" style="451" bestFit="1" customWidth="1"/>
    <col min="277" max="277" width="13.875" style="451" customWidth="1"/>
    <col min="278" max="279" width="15.625" style="451" customWidth="1"/>
    <col min="280" max="512" width="9" style="451"/>
    <col min="513" max="513" width="8.5" style="451" customWidth="1"/>
    <col min="514" max="514" width="6.375" style="451" customWidth="1"/>
    <col min="515" max="515" width="6.625" style="451" customWidth="1"/>
    <col min="516" max="516" width="5.125" style="451" customWidth="1"/>
    <col min="517" max="517" width="6.5" style="451" customWidth="1"/>
    <col min="518" max="518" width="5.375" style="451" customWidth="1"/>
    <col min="519" max="519" width="4.625" style="451" customWidth="1"/>
    <col min="520" max="520" width="8.625" style="451" customWidth="1"/>
    <col min="521" max="521" width="19.875" style="451" customWidth="1"/>
    <col min="522" max="522" width="9" style="451"/>
    <col min="523" max="523" width="9.875" style="451" customWidth="1"/>
    <col min="524" max="524" width="8.875" style="451" customWidth="1"/>
    <col min="525" max="525" width="8.625" style="451" customWidth="1"/>
    <col min="526" max="526" width="8" style="451" customWidth="1"/>
    <col min="527" max="527" width="8.625" style="451" customWidth="1"/>
    <col min="528" max="528" width="9" style="451" customWidth="1"/>
    <col min="529" max="529" width="13.5" style="451" customWidth="1"/>
    <col min="530" max="530" width="16.125" style="451" bestFit="1" customWidth="1"/>
    <col min="531" max="531" width="13.875" style="451" bestFit="1" customWidth="1"/>
    <col min="532" max="532" width="7.5" style="451" bestFit="1" customWidth="1"/>
    <col min="533" max="533" width="13.875" style="451" customWidth="1"/>
    <col min="534" max="535" width="15.625" style="451" customWidth="1"/>
    <col min="536" max="768" width="9" style="451"/>
    <col min="769" max="769" width="8.5" style="451" customWidth="1"/>
    <col min="770" max="770" width="6.375" style="451" customWidth="1"/>
    <col min="771" max="771" width="6.625" style="451" customWidth="1"/>
    <col min="772" max="772" width="5.125" style="451" customWidth="1"/>
    <col min="773" max="773" width="6.5" style="451" customWidth="1"/>
    <col min="774" max="774" width="5.375" style="451" customWidth="1"/>
    <col min="775" max="775" width="4.625" style="451" customWidth="1"/>
    <col min="776" max="776" width="8.625" style="451" customWidth="1"/>
    <col min="777" max="777" width="19.875" style="451" customWidth="1"/>
    <col min="778" max="778" width="9" style="451"/>
    <col min="779" max="779" width="9.875" style="451" customWidth="1"/>
    <col min="780" max="780" width="8.875" style="451" customWidth="1"/>
    <col min="781" max="781" width="8.625" style="451" customWidth="1"/>
    <col min="782" max="782" width="8" style="451" customWidth="1"/>
    <col min="783" max="783" width="8.625" style="451" customWidth="1"/>
    <col min="784" max="784" width="9" style="451" customWidth="1"/>
    <col min="785" max="785" width="13.5" style="451" customWidth="1"/>
    <col min="786" max="786" width="16.125" style="451" bestFit="1" customWidth="1"/>
    <col min="787" max="787" width="13.875" style="451" bestFit="1" customWidth="1"/>
    <col min="788" max="788" width="7.5" style="451" bestFit="1" customWidth="1"/>
    <col min="789" max="789" width="13.875" style="451" customWidth="1"/>
    <col min="790" max="791" width="15.625" style="451" customWidth="1"/>
    <col min="792" max="1024" width="9" style="451"/>
    <col min="1025" max="1025" width="8.5" style="451" customWidth="1"/>
    <col min="1026" max="1026" width="6.375" style="451" customWidth="1"/>
    <col min="1027" max="1027" width="6.625" style="451" customWidth="1"/>
    <col min="1028" max="1028" width="5.125" style="451" customWidth="1"/>
    <col min="1029" max="1029" width="6.5" style="451" customWidth="1"/>
    <col min="1030" max="1030" width="5.375" style="451" customWidth="1"/>
    <col min="1031" max="1031" width="4.625" style="451" customWidth="1"/>
    <col min="1032" max="1032" width="8.625" style="451" customWidth="1"/>
    <col min="1033" max="1033" width="19.875" style="451" customWidth="1"/>
    <col min="1034" max="1034" width="9" style="451"/>
    <col min="1035" max="1035" width="9.875" style="451" customWidth="1"/>
    <col min="1036" max="1036" width="8.875" style="451" customWidth="1"/>
    <col min="1037" max="1037" width="8.625" style="451" customWidth="1"/>
    <col min="1038" max="1038" width="8" style="451" customWidth="1"/>
    <col min="1039" max="1039" width="8.625" style="451" customWidth="1"/>
    <col min="1040" max="1040" width="9" style="451" customWidth="1"/>
    <col min="1041" max="1041" width="13.5" style="451" customWidth="1"/>
    <col min="1042" max="1042" width="16.125" style="451" bestFit="1" customWidth="1"/>
    <col min="1043" max="1043" width="13.875" style="451" bestFit="1" customWidth="1"/>
    <col min="1044" max="1044" width="7.5" style="451" bestFit="1" customWidth="1"/>
    <col min="1045" max="1045" width="13.875" style="451" customWidth="1"/>
    <col min="1046" max="1047" width="15.625" style="451" customWidth="1"/>
    <col min="1048" max="1280" width="9" style="451"/>
    <col min="1281" max="1281" width="8.5" style="451" customWidth="1"/>
    <col min="1282" max="1282" width="6.375" style="451" customWidth="1"/>
    <col min="1283" max="1283" width="6.625" style="451" customWidth="1"/>
    <col min="1284" max="1284" width="5.125" style="451" customWidth="1"/>
    <col min="1285" max="1285" width="6.5" style="451" customWidth="1"/>
    <col min="1286" max="1286" width="5.375" style="451" customWidth="1"/>
    <col min="1287" max="1287" width="4.625" style="451" customWidth="1"/>
    <col min="1288" max="1288" width="8.625" style="451" customWidth="1"/>
    <col min="1289" max="1289" width="19.875" style="451" customWidth="1"/>
    <col min="1290" max="1290" width="9" style="451"/>
    <col min="1291" max="1291" width="9.875" style="451" customWidth="1"/>
    <col min="1292" max="1292" width="8.875" style="451" customWidth="1"/>
    <col min="1293" max="1293" width="8.625" style="451" customWidth="1"/>
    <col min="1294" max="1294" width="8" style="451" customWidth="1"/>
    <col min="1295" max="1295" width="8.625" style="451" customWidth="1"/>
    <col min="1296" max="1296" width="9" style="451" customWidth="1"/>
    <col min="1297" max="1297" width="13.5" style="451" customWidth="1"/>
    <col min="1298" max="1298" width="16.125" style="451" bestFit="1" customWidth="1"/>
    <col min="1299" max="1299" width="13.875" style="451" bestFit="1" customWidth="1"/>
    <col min="1300" max="1300" width="7.5" style="451" bestFit="1" customWidth="1"/>
    <col min="1301" max="1301" width="13.875" style="451" customWidth="1"/>
    <col min="1302" max="1303" width="15.625" style="451" customWidth="1"/>
    <col min="1304" max="1536" width="9" style="451"/>
    <col min="1537" max="1537" width="8.5" style="451" customWidth="1"/>
    <col min="1538" max="1538" width="6.375" style="451" customWidth="1"/>
    <col min="1539" max="1539" width="6.625" style="451" customWidth="1"/>
    <col min="1540" max="1540" width="5.125" style="451" customWidth="1"/>
    <col min="1541" max="1541" width="6.5" style="451" customWidth="1"/>
    <col min="1542" max="1542" width="5.375" style="451" customWidth="1"/>
    <col min="1543" max="1543" width="4.625" style="451" customWidth="1"/>
    <col min="1544" max="1544" width="8.625" style="451" customWidth="1"/>
    <col min="1545" max="1545" width="19.875" style="451" customWidth="1"/>
    <col min="1546" max="1546" width="9" style="451"/>
    <col min="1547" max="1547" width="9.875" style="451" customWidth="1"/>
    <col min="1548" max="1548" width="8.875" style="451" customWidth="1"/>
    <col min="1549" max="1549" width="8.625" style="451" customWidth="1"/>
    <col min="1550" max="1550" width="8" style="451" customWidth="1"/>
    <col min="1551" max="1551" width="8.625" style="451" customWidth="1"/>
    <col min="1552" max="1552" width="9" style="451" customWidth="1"/>
    <col min="1553" max="1553" width="13.5" style="451" customWidth="1"/>
    <col min="1554" max="1554" width="16.125" style="451" bestFit="1" customWidth="1"/>
    <col min="1555" max="1555" width="13.875" style="451" bestFit="1" customWidth="1"/>
    <col min="1556" max="1556" width="7.5" style="451" bestFit="1" customWidth="1"/>
    <col min="1557" max="1557" width="13.875" style="451" customWidth="1"/>
    <col min="1558" max="1559" width="15.625" style="451" customWidth="1"/>
    <col min="1560" max="1792" width="9" style="451"/>
    <col min="1793" max="1793" width="8.5" style="451" customWidth="1"/>
    <col min="1794" max="1794" width="6.375" style="451" customWidth="1"/>
    <col min="1795" max="1795" width="6.625" style="451" customWidth="1"/>
    <col min="1796" max="1796" width="5.125" style="451" customWidth="1"/>
    <col min="1797" max="1797" width="6.5" style="451" customWidth="1"/>
    <col min="1798" max="1798" width="5.375" style="451" customWidth="1"/>
    <col min="1799" max="1799" width="4.625" style="451" customWidth="1"/>
    <col min="1800" max="1800" width="8.625" style="451" customWidth="1"/>
    <col min="1801" max="1801" width="19.875" style="451" customWidth="1"/>
    <col min="1802" max="1802" width="9" style="451"/>
    <col min="1803" max="1803" width="9.875" style="451" customWidth="1"/>
    <col min="1804" max="1804" width="8.875" style="451" customWidth="1"/>
    <col min="1805" max="1805" width="8.625" style="451" customWidth="1"/>
    <col min="1806" max="1806" width="8" style="451" customWidth="1"/>
    <col min="1807" max="1807" width="8.625" style="451" customWidth="1"/>
    <col min="1808" max="1808" width="9" style="451" customWidth="1"/>
    <col min="1809" max="1809" width="13.5" style="451" customWidth="1"/>
    <col min="1810" max="1810" width="16.125" style="451" bestFit="1" customWidth="1"/>
    <col min="1811" max="1811" width="13.875" style="451" bestFit="1" customWidth="1"/>
    <col min="1812" max="1812" width="7.5" style="451" bestFit="1" customWidth="1"/>
    <col min="1813" max="1813" width="13.875" style="451" customWidth="1"/>
    <col min="1814" max="1815" width="15.625" style="451" customWidth="1"/>
    <col min="1816" max="2048" width="9" style="451"/>
    <col min="2049" max="2049" width="8.5" style="451" customWidth="1"/>
    <col min="2050" max="2050" width="6.375" style="451" customWidth="1"/>
    <col min="2051" max="2051" width="6.625" style="451" customWidth="1"/>
    <col min="2052" max="2052" width="5.125" style="451" customWidth="1"/>
    <col min="2053" max="2053" width="6.5" style="451" customWidth="1"/>
    <col min="2054" max="2054" width="5.375" style="451" customWidth="1"/>
    <col min="2055" max="2055" width="4.625" style="451" customWidth="1"/>
    <col min="2056" max="2056" width="8.625" style="451" customWidth="1"/>
    <col min="2057" max="2057" width="19.875" style="451" customWidth="1"/>
    <col min="2058" max="2058" width="9" style="451"/>
    <col min="2059" max="2059" width="9.875" style="451" customWidth="1"/>
    <col min="2060" max="2060" width="8.875" style="451" customWidth="1"/>
    <col min="2061" max="2061" width="8.625" style="451" customWidth="1"/>
    <col min="2062" max="2062" width="8" style="451" customWidth="1"/>
    <col min="2063" max="2063" width="8.625" style="451" customWidth="1"/>
    <col min="2064" max="2064" width="9" style="451" customWidth="1"/>
    <col min="2065" max="2065" width="13.5" style="451" customWidth="1"/>
    <col min="2066" max="2066" width="16.125" style="451" bestFit="1" customWidth="1"/>
    <col min="2067" max="2067" width="13.875" style="451" bestFit="1" customWidth="1"/>
    <col min="2068" max="2068" width="7.5" style="451" bestFit="1" customWidth="1"/>
    <col min="2069" max="2069" width="13.875" style="451" customWidth="1"/>
    <col min="2070" max="2071" width="15.625" style="451" customWidth="1"/>
    <col min="2072" max="2304" width="9" style="451"/>
    <col min="2305" max="2305" width="8.5" style="451" customWidth="1"/>
    <col min="2306" max="2306" width="6.375" style="451" customWidth="1"/>
    <col min="2307" max="2307" width="6.625" style="451" customWidth="1"/>
    <col min="2308" max="2308" width="5.125" style="451" customWidth="1"/>
    <col min="2309" max="2309" width="6.5" style="451" customWidth="1"/>
    <col min="2310" max="2310" width="5.375" style="451" customWidth="1"/>
    <col min="2311" max="2311" width="4.625" style="451" customWidth="1"/>
    <col min="2312" max="2312" width="8.625" style="451" customWidth="1"/>
    <col min="2313" max="2313" width="19.875" style="451" customWidth="1"/>
    <col min="2314" max="2314" width="9" style="451"/>
    <col min="2315" max="2315" width="9.875" style="451" customWidth="1"/>
    <col min="2316" max="2316" width="8.875" style="451" customWidth="1"/>
    <col min="2317" max="2317" width="8.625" style="451" customWidth="1"/>
    <col min="2318" max="2318" width="8" style="451" customWidth="1"/>
    <col min="2319" max="2319" width="8.625" style="451" customWidth="1"/>
    <col min="2320" max="2320" width="9" style="451" customWidth="1"/>
    <col min="2321" max="2321" width="13.5" style="451" customWidth="1"/>
    <col min="2322" max="2322" width="16.125" style="451" bestFit="1" customWidth="1"/>
    <col min="2323" max="2323" width="13.875" style="451" bestFit="1" customWidth="1"/>
    <col min="2324" max="2324" width="7.5" style="451" bestFit="1" customWidth="1"/>
    <col min="2325" max="2325" width="13.875" style="451" customWidth="1"/>
    <col min="2326" max="2327" width="15.625" style="451" customWidth="1"/>
    <col min="2328" max="2560" width="9" style="451"/>
    <col min="2561" max="2561" width="8.5" style="451" customWidth="1"/>
    <col min="2562" max="2562" width="6.375" style="451" customWidth="1"/>
    <col min="2563" max="2563" width="6.625" style="451" customWidth="1"/>
    <col min="2564" max="2564" width="5.125" style="451" customWidth="1"/>
    <col min="2565" max="2565" width="6.5" style="451" customWidth="1"/>
    <col min="2566" max="2566" width="5.375" style="451" customWidth="1"/>
    <col min="2567" max="2567" width="4.625" style="451" customWidth="1"/>
    <col min="2568" max="2568" width="8.625" style="451" customWidth="1"/>
    <col min="2569" max="2569" width="19.875" style="451" customWidth="1"/>
    <col min="2570" max="2570" width="9" style="451"/>
    <col min="2571" max="2571" width="9.875" style="451" customWidth="1"/>
    <col min="2572" max="2572" width="8.875" style="451" customWidth="1"/>
    <col min="2573" max="2573" width="8.625" style="451" customWidth="1"/>
    <col min="2574" max="2574" width="8" style="451" customWidth="1"/>
    <col min="2575" max="2575" width="8.625" style="451" customWidth="1"/>
    <col min="2576" max="2576" width="9" style="451" customWidth="1"/>
    <col min="2577" max="2577" width="13.5" style="451" customWidth="1"/>
    <col min="2578" max="2578" width="16.125" style="451" bestFit="1" customWidth="1"/>
    <col min="2579" max="2579" width="13.875" style="451" bestFit="1" customWidth="1"/>
    <col min="2580" max="2580" width="7.5" style="451" bestFit="1" customWidth="1"/>
    <col min="2581" max="2581" width="13.875" style="451" customWidth="1"/>
    <col min="2582" max="2583" width="15.625" style="451" customWidth="1"/>
    <col min="2584" max="2816" width="9" style="451"/>
    <col min="2817" max="2817" width="8.5" style="451" customWidth="1"/>
    <col min="2818" max="2818" width="6.375" style="451" customWidth="1"/>
    <col min="2819" max="2819" width="6.625" style="451" customWidth="1"/>
    <col min="2820" max="2820" width="5.125" style="451" customWidth="1"/>
    <col min="2821" max="2821" width="6.5" style="451" customWidth="1"/>
    <col min="2822" max="2822" width="5.375" style="451" customWidth="1"/>
    <col min="2823" max="2823" width="4.625" style="451" customWidth="1"/>
    <col min="2824" max="2824" width="8.625" style="451" customWidth="1"/>
    <col min="2825" max="2825" width="19.875" style="451" customWidth="1"/>
    <col min="2826" max="2826" width="9" style="451"/>
    <col min="2827" max="2827" width="9.875" style="451" customWidth="1"/>
    <col min="2828" max="2828" width="8.875" style="451" customWidth="1"/>
    <col min="2829" max="2829" width="8.625" style="451" customWidth="1"/>
    <col min="2830" max="2830" width="8" style="451" customWidth="1"/>
    <col min="2831" max="2831" width="8.625" style="451" customWidth="1"/>
    <col min="2832" max="2832" width="9" style="451" customWidth="1"/>
    <col min="2833" max="2833" width="13.5" style="451" customWidth="1"/>
    <col min="2834" max="2834" width="16.125" style="451" bestFit="1" customWidth="1"/>
    <col min="2835" max="2835" width="13.875" style="451" bestFit="1" customWidth="1"/>
    <col min="2836" max="2836" width="7.5" style="451" bestFit="1" customWidth="1"/>
    <col min="2837" max="2837" width="13.875" style="451" customWidth="1"/>
    <col min="2838" max="2839" width="15.625" style="451" customWidth="1"/>
    <col min="2840" max="3072" width="9" style="451"/>
    <col min="3073" max="3073" width="8.5" style="451" customWidth="1"/>
    <col min="3074" max="3074" width="6.375" style="451" customWidth="1"/>
    <col min="3075" max="3075" width="6.625" style="451" customWidth="1"/>
    <col min="3076" max="3076" width="5.125" style="451" customWidth="1"/>
    <col min="3077" max="3077" width="6.5" style="451" customWidth="1"/>
    <col min="3078" max="3078" width="5.375" style="451" customWidth="1"/>
    <col min="3079" max="3079" width="4.625" style="451" customWidth="1"/>
    <col min="3080" max="3080" width="8.625" style="451" customWidth="1"/>
    <col min="3081" max="3081" width="19.875" style="451" customWidth="1"/>
    <col min="3082" max="3082" width="9" style="451"/>
    <col min="3083" max="3083" width="9.875" style="451" customWidth="1"/>
    <col min="3084" max="3084" width="8.875" style="451" customWidth="1"/>
    <col min="3085" max="3085" width="8.625" style="451" customWidth="1"/>
    <col min="3086" max="3086" width="8" style="451" customWidth="1"/>
    <col min="3087" max="3087" width="8.625" style="451" customWidth="1"/>
    <col min="3088" max="3088" width="9" style="451" customWidth="1"/>
    <col min="3089" max="3089" width="13.5" style="451" customWidth="1"/>
    <col min="3090" max="3090" width="16.125" style="451" bestFit="1" customWidth="1"/>
    <col min="3091" max="3091" width="13.875" style="451" bestFit="1" customWidth="1"/>
    <col min="3092" max="3092" width="7.5" style="451" bestFit="1" customWidth="1"/>
    <col min="3093" max="3093" width="13.875" style="451" customWidth="1"/>
    <col min="3094" max="3095" width="15.625" style="451" customWidth="1"/>
    <col min="3096" max="3328" width="9" style="451"/>
    <col min="3329" max="3329" width="8.5" style="451" customWidth="1"/>
    <col min="3330" max="3330" width="6.375" style="451" customWidth="1"/>
    <col min="3331" max="3331" width="6.625" style="451" customWidth="1"/>
    <col min="3332" max="3332" width="5.125" style="451" customWidth="1"/>
    <col min="3333" max="3333" width="6.5" style="451" customWidth="1"/>
    <col min="3334" max="3334" width="5.375" style="451" customWidth="1"/>
    <col min="3335" max="3335" width="4.625" style="451" customWidth="1"/>
    <col min="3336" max="3336" width="8.625" style="451" customWidth="1"/>
    <col min="3337" max="3337" width="19.875" style="451" customWidth="1"/>
    <col min="3338" max="3338" width="9" style="451"/>
    <col min="3339" max="3339" width="9.875" style="451" customWidth="1"/>
    <col min="3340" max="3340" width="8.875" style="451" customWidth="1"/>
    <col min="3341" max="3341" width="8.625" style="451" customWidth="1"/>
    <col min="3342" max="3342" width="8" style="451" customWidth="1"/>
    <col min="3343" max="3343" width="8.625" style="451" customWidth="1"/>
    <col min="3344" max="3344" width="9" style="451" customWidth="1"/>
    <col min="3345" max="3345" width="13.5" style="451" customWidth="1"/>
    <col min="3346" max="3346" width="16.125" style="451" bestFit="1" customWidth="1"/>
    <col min="3347" max="3347" width="13.875" style="451" bestFit="1" customWidth="1"/>
    <col min="3348" max="3348" width="7.5" style="451" bestFit="1" customWidth="1"/>
    <col min="3349" max="3349" width="13.875" style="451" customWidth="1"/>
    <col min="3350" max="3351" width="15.625" style="451" customWidth="1"/>
    <col min="3352" max="3584" width="9" style="451"/>
    <col min="3585" max="3585" width="8.5" style="451" customWidth="1"/>
    <col min="3586" max="3586" width="6.375" style="451" customWidth="1"/>
    <col min="3587" max="3587" width="6.625" style="451" customWidth="1"/>
    <col min="3588" max="3588" width="5.125" style="451" customWidth="1"/>
    <col min="3589" max="3589" width="6.5" style="451" customWidth="1"/>
    <col min="3590" max="3590" width="5.375" style="451" customWidth="1"/>
    <col min="3591" max="3591" width="4.625" style="451" customWidth="1"/>
    <col min="3592" max="3592" width="8.625" style="451" customWidth="1"/>
    <col min="3593" max="3593" width="19.875" style="451" customWidth="1"/>
    <col min="3594" max="3594" width="9" style="451"/>
    <col min="3595" max="3595" width="9.875" style="451" customWidth="1"/>
    <col min="3596" max="3596" width="8.875" style="451" customWidth="1"/>
    <col min="3597" max="3597" width="8.625" style="451" customWidth="1"/>
    <col min="3598" max="3598" width="8" style="451" customWidth="1"/>
    <col min="3599" max="3599" width="8.625" style="451" customWidth="1"/>
    <col min="3600" max="3600" width="9" style="451" customWidth="1"/>
    <col min="3601" max="3601" width="13.5" style="451" customWidth="1"/>
    <col min="3602" max="3602" width="16.125" style="451" bestFit="1" customWidth="1"/>
    <col min="3603" max="3603" width="13.875" style="451" bestFit="1" customWidth="1"/>
    <col min="3604" max="3604" width="7.5" style="451" bestFit="1" customWidth="1"/>
    <col min="3605" max="3605" width="13.875" style="451" customWidth="1"/>
    <col min="3606" max="3607" width="15.625" style="451" customWidth="1"/>
    <col min="3608" max="3840" width="9" style="451"/>
    <col min="3841" max="3841" width="8.5" style="451" customWidth="1"/>
    <col min="3842" max="3842" width="6.375" style="451" customWidth="1"/>
    <col min="3843" max="3843" width="6.625" style="451" customWidth="1"/>
    <col min="3844" max="3844" width="5.125" style="451" customWidth="1"/>
    <col min="3845" max="3845" width="6.5" style="451" customWidth="1"/>
    <col min="3846" max="3846" width="5.375" style="451" customWidth="1"/>
    <col min="3847" max="3847" width="4.625" style="451" customWidth="1"/>
    <col min="3848" max="3848" width="8.625" style="451" customWidth="1"/>
    <col min="3849" max="3849" width="19.875" style="451" customWidth="1"/>
    <col min="3850" max="3850" width="9" style="451"/>
    <col min="3851" max="3851" width="9.875" style="451" customWidth="1"/>
    <col min="3852" max="3852" width="8.875" style="451" customWidth="1"/>
    <col min="3853" max="3853" width="8.625" style="451" customWidth="1"/>
    <col min="3854" max="3854" width="8" style="451" customWidth="1"/>
    <col min="3855" max="3855" width="8.625" style="451" customWidth="1"/>
    <col min="3856" max="3856" width="9" style="451" customWidth="1"/>
    <col min="3857" max="3857" width="13.5" style="451" customWidth="1"/>
    <col min="3858" max="3858" width="16.125" style="451" bestFit="1" customWidth="1"/>
    <col min="3859" max="3859" width="13.875" style="451" bestFit="1" customWidth="1"/>
    <col min="3860" max="3860" width="7.5" style="451" bestFit="1" customWidth="1"/>
    <col min="3861" max="3861" width="13.875" style="451" customWidth="1"/>
    <col min="3862" max="3863" width="15.625" style="451" customWidth="1"/>
    <col min="3864" max="4096" width="9" style="451"/>
    <col min="4097" max="4097" width="8.5" style="451" customWidth="1"/>
    <col min="4098" max="4098" width="6.375" style="451" customWidth="1"/>
    <col min="4099" max="4099" width="6.625" style="451" customWidth="1"/>
    <col min="4100" max="4100" width="5.125" style="451" customWidth="1"/>
    <col min="4101" max="4101" width="6.5" style="451" customWidth="1"/>
    <col min="4102" max="4102" width="5.375" style="451" customWidth="1"/>
    <col min="4103" max="4103" width="4.625" style="451" customWidth="1"/>
    <col min="4104" max="4104" width="8.625" style="451" customWidth="1"/>
    <col min="4105" max="4105" width="19.875" style="451" customWidth="1"/>
    <col min="4106" max="4106" width="9" style="451"/>
    <col min="4107" max="4107" width="9.875" style="451" customWidth="1"/>
    <col min="4108" max="4108" width="8.875" style="451" customWidth="1"/>
    <col min="4109" max="4109" width="8.625" style="451" customWidth="1"/>
    <col min="4110" max="4110" width="8" style="451" customWidth="1"/>
    <col min="4111" max="4111" width="8.625" style="451" customWidth="1"/>
    <col min="4112" max="4112" width="9" style="451" customWidth="1"/>
    <col min="4113" max="4113" width="13.5" style="451" customWidth="1"/>
    <col min="4114" max="4114" width="16.125" style="451" bestFit="1" customWidth="1"/>
    <col min="4115" max="4115" width="13.875" style="451" bestFit="1" customWidth="1"/>
    <col min="4116" max="4116" width="7.5" style="451" bestFit="1" customWidth="1"/>
    <col min="4117" max="4117" width="13.875" style="451" customWidth="1"/>
    <col min="4118" max="4119" width="15.625" style="451" customWidth="1"/>
    <col min="4120" max="4352" width="9" style="451"/>
    <col min="4353" max="4353" width="8.5" style="451" customWidth="1"/>
    <col min="4354" max="4354" width="6.375" style="451" customWidth="1"/>
    <col min="4355" max="4355" width="6.625" style="451" customWidth="1"/>
    <col min="4356" max="4356" width="5.125" style="451" customWidth="1"/>
    <col min="4357" max="4357" width="6.5" style="451" customWidth="1"/>
    <col min="4358" max="4358" width="5.375" style="451" customWidth="1"/>
    <col min="4359" max="4359" width="4.625" style="451" customWidth="1"/>
    <col min="4360" max="4360" width="8.625" style="451" customWidth="1"/>
    <col min="4361" max="4361" width="19.875" style="451" customWidth="1"/>
    <col min="4362" max="4362" width="9" style="451"/>
    <col min="4363" max="4363" width="9.875" style="451" customWidth="1"/>
    <col min="4364" max="4364" width="8.875" style="451" customWidth="1"/>
    <col min="4365" max="4365" width="8.625" style="451" customWidth="1"/>
    <col min="4366" max="4366" width="8" style="451" customWidth="1"/>
    <col min="4367" max="4367" width="8.625" style="451" customWidth="1"/>
    <col min="4368" max="4368" width="9" style="451" customWidth="1"/>
    <col min="4369" max="4369" width="13.5" style="451" customWidth="1"/>
    <col min="4370" max="4370" width="16.125" style="451" bestFit="1" customWidth="1"/>
    <col min="4371" max="4371" width="13.875" style="451" bestFit="1" customWidth="1"/>
    <col min="4372" max="4372" width="7.5" style="451" bestFit="1" customWidth="1"/>
    <col min="4373" max="4373" width="13.875" style="451" customWidth="1"/>
    <col min="4374" max="4375" width="15.625" style="451" customWidth="1"/>
    <col min="4376" max="4608" width="9" style="451"/>
    <col min="4609" max="4609" width="8.5" style="451" customWidth="1"/>
    <col min="4610" max="4610" width="6.375" style="451" customWidth="1"/>
    <col min="4611" max="4611" width="6.625" style="451" customWidth="1"/>
    <col min="4612" max="4612" width="5.125" style="451" customWidth="1"/>
    <col min="4613" max="4613" width="6.5" style="451" customWidth="1"/>
    <col min="4614" max="4614" width="5.375" style="451" customWidth="1"/>
    <col min="4615" max="4615" width="4.625" style="451" customWidth="1"/>
    <col min="4616" max="4616" width="8.625" style="451" customWidth="1"/>
    <col min="4617" max="4617" width="19.875" style="451" customWidth="1"/>
    <col min="4618" max="4618" width="9" style="451"/>
    <col min="4619" max="4619" width="9.875" style="451" customWidth="1"/>
    <col min="4620" max="4620" width="8.875" style="451" customWidth="1"/>
    <col min="4621" max="4621" width="8.625" style="451" customWidth="1"/>
    <col min="4622" max="4622" width="8" style="451" customWidth="1"/>
    <col min="4623" max="4623" width="8.625" style="451" customWidth="1"/>
    <col min="4624" max="4624" width="9" style="451" customWidth="1"/>
    <col min="4625" max="4625" width="13.5" style="451" customWidth="1"/>
    <col min="4626" max="4626" width="16.125" style="451" bestFit="1" customWidth="1"/>
    <col min="4627" max="4627" width="13.875" style="451" bestFit="1" customWidth="1"/>
    <col min="4628" max="4628" width="7.5" style="451" bestFit="1" customWidth="1"/>
    <col min="4629" max="4629" width="13.875" style="451" customWidth="1"/>
    <col min="4630" max="4631" width="15.625" style="451" customWidth="1"/>
    <col min="4632" max="4864" width="9" style="451"/>
    <col min="4865" max="4865" width="8.5" style="451" customWidth="1"/>
    <col min="4866" max="4866" width="6.375" style="451" customWidth="1"/>
    <col min="4867" max="4867" width="6.625" style="451" customWidth="1"/>
    <col min="4868" max="4868" width="5.125" style="451" customWidth="1"/>
    <col min="4869" max="4869" width="6.5" style="451" customWidth="1"/>
    <col min="4870" max="4870" width="5.375" style="451" customWidth="1"/>
    <col min="4871" max="4871" width="4.625" style="451" customWidth="1"/>
    <col min="4872" max="4872" width="8.625" style="451" customWidth="1"/>
    <col min="4873" max="4873" width="19.875" style="451" customWidth="1"/>
    <col min="4874" max="4874" width="9" style="451"/>
    <col min="4875" max="4875" width="9.875" style="451" customWidth="1"/>
    <col min="4876" max="4876" width="8.875" style="451" customWidth="1"/>
    <col min="4877" max="4877" width="8.625" style="451" customWidth="1"/>
    <col min="4878" max="4878" width="8" style="451" customWidth="1"/>
    <col min="4879" max="4879" width="8.625" style="451" customWidth="1"/>
    <col min="4880" max="4880" width="9" style="451" customWidth="1"/>
    <col min="4881" max="4881" width="13.5" style="451" customWidth="1"/>
    <col min="4882" max="4882" width="16.125" style="451" bestFit="1" customWidth="1"/>
    <col min="4883" max="4883" width="13.875" style="451" bestFit="1" customWidth="1"/>
    <col min="4884" max="4884" width="7.5" style="451" bestFit="1" customWidth="1"/>
    <col min="4885" max="4885" width="13.875" style="451" customWidth="1"/>
    <col min="4886" max="4887" width="15.625" style="451" customWidth="1"/>
    <col min="4888" max="5120" width="9" style="451"/>
    <col min="5121" max="5121" width="8.5" style="451" customWidth="1"/>
    <col min="5122" max="5122" width="6.375" style="451" customWidth="1"/>
    <col min="5123" max="5123" width="6.625" style="451" customWidth="1"/>
    <col min="5124" max="5124" width="5.125" style="451" customWidth="1"/>
    <col min="5125" max="5125" width="6.5" style="451" customWidth="1"/>
    <col min="5126" max="5126" width="5.375" style="451" customWidth="1"/>
    <col min="5127" max="5127" width="4.625" style="451" customWidth="1"/>
    <col min="5128" max="5128" width="8.625" style="451" customWidth="1"/>
    <col min="5129" max="5129" width="19.875" style="451" customWidth="1"/>
    <col min="5130" max="5130" width="9" style="451"/>
    <col min="5131" max="5131" width="9.875" style="451" customWidth="1"/>
    <col min="5132" max="5132" width="8.875" style="451" customWidth="1"/>
    <col min="5133" max="5133" width="8.625" style="451" customWidth="1"/>
    <col min="5134" max="5134" width="8" style="451" customWidth="1"/>
    <col min="5135" max="5135" width="8.625" style="451" customWidth="1"/>
    <col min="5136" max="5136" width="9" style="451" customWidth="1"/>
    <col min="5137" max="5137" width="13.5" style="451" customWidth="1"/>
    <col min="5138" max="5138" width="16.125" style="451" bestFit="1" customWidth="1"/>
    <col min="5139" max="5139" width="13.875" style="451" bestFit="1" customWidth="1"/>
    <col min="5140" max="5140" width="7.5" style="451" bestFit="1" customWidth="1"/>
    <col min="5141" max="5141" width="13.875" style="451" customWidth="1"/>
    <col min="5142" max="5143" width="15.625" style="451" customWidth="1"/>
    <col min="5144" max="5376" width="9" style="451"/>
    <col min="5377" max="5377" width="8.5" style="451" customWidth="1"/>
    <col min="5378" max="5378" width="6.375" style="451" customWidth="1"/>
    <col min="5379" max="5379" width="6.625" style="451" customWidth="1"/>
    <col min="5380" max="5380" width="5.125" style="451" customWidth="1"/>
    <col min="5381" max="5381" width="6.5" style="451" customWidth="1"/>
    <col min="5382" max="5382" width="5.375" style="451" customWidth="1"/>
    <col min="5383" max="5383" width="4.625" style="451" customWidth="1"/>
    <col min="5384" max="5384" width="8.625" style="451" customWidth="1"/>
    <col min="5385" max="5385" width="19.875" style="451" customWidth="1"/>
    <col min="5386" max="5386" width="9" style="451"/>
    <col min="5387" max="5387" width="9.875" style="451" customWidth="1"/>
    <col min="5388" max="5388" width="8.875" style="451" customWidth="1"/>
    <col min="5389" max="5389" width="8.625" style="451" customWidth="1"/>
    <col min="5390" max="5390" width="8" style="451" customWidth="1"/>
    <col min="5391" max="5391" width="8.625" style="451" customWidth="1"/>
    <col min="5392" max="5392" width="9" style="451" customWidth="1"/>
    <col min="5393" max="5393" width="13.5" style="451" customWidth="1"/>
    <col min="5394" max="5394" width="16.125" style="451" bestFit="1" customWidth="1"/>
    <col min="5395" max="5395" width="13.875" style="451" bestFit="1" customWidth="1"/>
    <col min="5396" max="5396" width="7.5" style="451" bestFit="1" customWidth="1"/>
    <col min="5397" max="5397" width="13.875" style="451" customWidth="1"/>
    <col min="5398" max="5399" width="15.625" style="451" customWidth="1"/>
    <col min="5400" max="5632" width="9" style="451"/>
    <col min="5633" max="5633" width="8.5" style="451" customWidth="1"/>
    <col min="5634" max="5634" width="6.375" style="451" customWidth="1"/>
    <col min="5635" max="5635" width="6.625" style="451" customWidth="1"/>
    <col min="5636" max="5636" width="5.125" style="451" customWidth="1"/>
    <col min="5637" max="5637" width="6.5" style="451" customWidth="1"/>
    <col min="5638" max="5638" width="5.375" style="451" customWidth="1"/>
    <col min="5639" max="5639" width="4.625" style="451" customWidth="1"/>
    <col min="5640" max="5640" width="8.625" style="451" customWidth="1"/>
    <col min="5641" max="5641" width="19.875" style="451" customWidth="1"/>
    <col min="5642" max="5642" width="9" style="451"/>
    <col min="5643" max="5643" width="9.875" style="451" customWidth="1"/>
    <col min="5644" max="5644" width="8.875" style="451" customWidth="1"/>
    <col min="5645" max="5645" width="8.625" style="451" customWidth="1"/>
    <col min="5646" max="5646" width="8" style="451" customWidth="1"/>
    <col min="5647" max="5647" width="8.625" style="451" customWidth="1"/>
    <col min="5648" max="5648" width="9" style="451" customWidth="1"/>
    <col min="5649" max="5649" width="13.5" style="451" customWidth="1"/>
    <col min="5650" max="5650" width="16.125" style="451" bestFit="1" customWidth="1"/>
    <col min="5651" max="5651" width="13.875" style="451" bestFit="1" customWidth="1"/>
    <col min="5652" max="5652" width="7.5" style="451" bestFit="1" customWidth="1"/>
    <col min="5653" max="5653" width="13.875" style="451" customWidth="1"/>
    <col min="5654" max="5655" width="15.625" style="451" customWidth="1"/>
    <col min="5656" max="5888" width="9" style="451"/>
    <col min="5889" max="5889" width="8.5" style="451" customWidth="1"/>
    <col min="5890" max="5890" width="6.375" style="451" customWidth="1"/>
    <col min="5891" max="5891" width="6.625" style="451" customWidth="1"/>
    <col min="5892" max="5892" width="5.125" style="451" customWidth="1"/>
    <col min="5893" max="5893" width="6.5" style="451" customWidth="1"/>
    <col min="5894" max="5894" width="5.375" style="451" customWidth="1"/>
    <col min="5895" max="5895" width="4.625" style="451" customWidth="1"/>
    <col min="5896" max="5896" width="8.625" style="451" customWidth="1"/>
    <col min="5897" max="5897" width="19.875" style="451" customWidth="1"/>
    <col min="5898" max="5898" width="9" style="451"/>
    <col min="5899" max="5899" width="9.875" style="451" customWidth="1"/>
    <col min="5900" max="5900" width="8.875" style="451" customWidth="1"/>
    <col min="5901" max="5901" width="8.625" style="451" customWidth="1"/>
    <col min="5902" max="5902" width="8" style="451" customWidth="1"/>
    <col min="5903" max="5903" width="8.625" style="451" customWidth="1"/>
    <col min="5904" max="5904" width="9" style="451" customWidth="1"/>
    <col min="5905" max="5905" width="13.5" style="451" customWidth="1"/>
    <col min="5906" max="5906" width="16.125" style="451" bestFit="1" customWidth="1"/>
    <col min="5907" max="5907" width="13.875" style="451" bestFit="1" customWidth="1"/>
    <col min="5908" max="5908" width="7.5" style="451" bestFit="1" customWidth="1"/>
    <col min="5909" max="5909" width="13.875" style="451" customWidth="1"/>
    <col min="5910" max="5911" width="15.625" style="451" customWidth="1"/>
    <col min="5912" max="6144" width="9" style="451"/>
    <col min="6145" max="6145" width="8.5" style="451" customWidth="1"/>
    <col min="6146" max="6146" width="6.375" style="451" customWidth="1"/>
    <col min="6147" max="6147" width="6.625" style="451" customWidth="1"/>
    <col min="6148" max="6148" width="5.125" style="451" customWidth="1"/>
    <col min="6149" max="6149" width="6.5" style="451" customWidth="1"/>
    <col min="6150" max="6150" width="5.375" style="451" customWidth="1"/>
    <col min="6151" max="6151" width="4.625" style="451" customWidth="1"/>
    <col min="6152" max="6152" width="8.625" style="451" customWidth="1"/>
    <col min="6153" max="6153" width="19.875" style="451" customWidth="1"/>
    <col min="6154" max="6154" width="9" style="451"/>
    <col min="6155" max="6155" width="9.875" style="451" customWidth="1"/>
    <col min="6156" max="6156" width="8.875" style="451" customWidth="1"/>
    <col min="6157" max="6157" width="8.625" style="451" customWidth="1"/>
    <col min="6158" max="6158" width="8" style="451" customWidth="1"/>
    <col min="6159" max="6159" width="8.625" style="451" customWidth="1"/>
    <col min="6160" max="6160" width="9" style="451" customWidth="1"/>
    <col min="6161" max="6161" width="13.5" style="451" customWidth="1"/>
    <col min="6162" max="6162" width="16.125" style="451" bestFit="1" customWidth="1"/>
    <col min="6163" max="6163" width="13.875" style="451" bestFit="1" customWidth="1"/>
    <col min="6164" max="6164" width="7.5" style="451" bestFit="1" customWidth="1"/>
    <col min="6165" max="6165" width="13.875" style="451" customWidth="1"/>
    <col min="6166" max="6167" width="15.625" style="451" customWidth="1"/>
    <col min="6168" max="6400" width="9" style="451"/>
    <col min="6401" max="6401" width="8.5" style="451" customWidth="1"/>
    <col min="6402" max="6402" width="6.375" style="451" customWidth="1"/>
    <col min="6403" max="6403" width="6.625" style="451" customWidth="1"/>
    <col min="6404" max="6404" width="5.125" style="451" customWidth="1"/>
    <col min="6405" max="6405" width="6.5" style="451" customWidth="1"/>
    <col min="6406" max="6406" width="5.375" style="451" customWidth="1"/>
    <col min="6407" max="6407" width="4.625" style="451" customWidth="1"/>
    <col min="6408" max="6408" width="8.625" style="451" customWidth="1"/>
    <col min="6409" max="6409" width="19.875" style="451" customWidth="1"/>
    <col min="6410" max="6410" width="9" style="451"/>
    <col min="6411" max="6411" width="9.875" style="451" customWidth="1"/>
    <col min="6412" max="6412" width="8.875" style="451" customWidth="1"/>
    <col min="6413" max="6413" width="8.625" style="451" customWidth="1"/>
    <col min="6414" max="6414" width="8" style="451" customWidth="1"/>
    <col min="6415" max="6415" width="8.625" style="451" customWidth="1"/>
    <col min="6416" max="6416" width="9" style="451" customWidth="1"/>
    <col min="6417" max="6417" width="13.5" style="451" customWidth="1"/>
    <col min="6418" max="6418" width="16.125" style="451" bestFit="1" customWidth="1"/>
    <col min="6419" max="6419" width="13.875" style="451" bestFit="1" customWidth="1"/>
    <col min="6420" max="6420" width="7.5" style="451" bestFit="1" customWidth="1"/>
    <col min="6421" max="6421" width="13.875" style="451" customWidth="1"/>
    <col min="6422" max="6423" width="15.625" style="451" customWidth="1"/>
    <col min="6424" max="6656" width="9" style="451"/>
    <col min="6657" max="6657" width="8.5" style="451" customWidth="1"/>
    <col min="6658" max="6658" width="6.375" style="451" customWidth="1"/>
    <col min="6659" max="6659" width="6.625" style="451" customWidth="1"/>
    <col min="6660" max="6660" width="5.125" style="451" customWidth="1"/>
    <col min="6661" max="6661" width="6.5" style="451" customWidth="1"/>
    <col min="6662" max="6662" width="5.375" style="451" customWidth="1"/>
    <col min="6663" max="6663" width="4.625" style="451" customWidth="1"/>
    <col min="6664" max="6664" width="8.625" style="451" customWidth="1"/>
    <col min="6665" max="6665" width="19.875" style="451" customWidth="1"/>
    <col min="6666" max="6666" width="9" style="451"/>
    <col min="6667" max="6667" width="9.875" style="451" customWidth="1"/>
    <col min="6668" max="6668" width="8.875" style="451" customWidth="1"/>
    <col min="6669" max="6669" width="8.625" style="451" customWidth="1"/>
    <col min="6670" max="6670" width="8" style="451" customWidth="1"/>
    <col min="6671" max="6671" width="8.625" style="451" customWidth="1"/>
    <col min="6672" max="6672" width="9" style="451" customWidth="1"/>
    <col min="6673" max="6673" width="13.5" style="451" customWidth="1"/>
    <col min="6674" max="6674" width="16.125" style="451" bestFit="1" customWidth="1"/>
    <col min="6675" max="6675" width="13.875" style="451" bestFit="1" customWidth="1"/>
    <col min="6676" max="6676" width="7.5" style="451" bestFit="1" customWidth="1"/>
    <col min="6677" max="6677" width="13.875" style="451" customWidth="1"/>
    <col min="6678" max="6679" width="15.625" style="451" customWidth="1"/>
    <col min="6680" max="6912" width="9" style="451"/>
    <col min="6913" max="6913" width="8.5" style="451" customWidth="1"/>
    <col min="6914" max="6914" width="6.375" style="451" customWidth="1"/>
    <col min="6915" max="6915" width="6.625" style="451" customWidth="1"/>
    <col min="6916" max="6916" width="5.125" style="451" customWidth="1"/>
    <col min="6917" max="6917" width="6.5" style="451" customWidth="1"/>
    <col min="6918" max="6918" width="5.375" style="451" customWidth="1"/>
    <col min="6919" max="6919" width="4.625" style="451" customWidth="1"/>
    <col min="6920" max="6920" width="8.625" style="451" customWidth="1"/>
    <col min="6921" max="6921" width="19.875" style="451" customWidth="1"/>
    <col min="6922" max="6922" width="9" style="451"/>
    <col min="6923" max="6923" width="9.875" style="451" customWidth="1"/>
    <col min="6924" max="6924" width="8.875" style="451" customWidth="1"/>
    <col min="6925" max="6925" width="8.625" style="451" customWidth="1"/>
    <col min="6926" max="6926" width="8" style="451" customWidth="1"/>
    <col min="6927" max="6927" width="8.625" style="451" customWidth="1"/>
    <col min="6928" max="6928" width="9" style="451" customWidth="1"/>
    <col min="6929" max="6929" width="13.5" style="451" customWidth="1"/>
    <col min="6930" max="6930" width="16.125" style="451" bestFit="1" customWidth="1"/>
    <col min="6931" max="6931" width="13.875" style="451" bestFit="1" customWidth="1"/>
    <col min="6932" max="6932" width="7.5" style="451" bestFit="1" customWidth="1"/>
    <col min="6933" max="6933" width="13.875" style="451" customWidth="1"/>
    <col min="6934" max="6935" width="15.625" style="451" customWidth="1"/>
    <col min="6936" max="7168" width="9" style="451"/>
    <col min="7169" max="7169" width="8.5" style="451" customWidth="1"/>
    <col min="7170" max="7170" width="6.375" style="451" customWidth="1"/>
    <col min="7171" max="7171" width="6.625" style="451" customWidth="1"/>
    <col min="7172" max="7172" width="5.125" style="451" customWidth="1"/>
    <col min="7173" max="7173" width="6.5" style="451" customWidth="1"/>
    <col min="7174" max="7174" width="5.375" style="451" customWidth="1"/>
    <col min="7175" max="7175" width="4.625" style="451" customWidth="1"/>
    <col min="7176" max="7176" width="8.625" style="451" customWidth="1"/>
    <col min="7177" max="7177" width="19.875" style="451" customWidth="1"/>
    <col min="7178" max="7178" width="9" style="451"/>
    <col min="7179" max="7179" width="9.875" style="451" customWidth="1"/>
    <col min="7180" max="7180" width="8.875" style="451" customWidth="1"/>
    <col min="7181" max="7181" width="8.625" style="451" customWidth="1"/>
    <col min="7182" max="7182" width="8" style="451" customWidth="1"/>
    <col min="7183" max="7183" width="8.625" style="451" customWidth="1"/>
    <col min="7184" max="7184" width="9" style="451" customWidth="1"/>
    <col min="7185" max="7185" width="13.5" style="451" customWidth="1"/>
    <col min="7186" max="7186" width="16.125" style="451" bestFit="1" customWidth="1"/>
    <col min="7187" max="7187" width="13.875" style="451" bestFit="1" customWidth="1"/>
    <col min="7188" max="7188" width="7.5" style="451" bestFit="1" customWidth="1"/>
    <col min="7189" max="7189" width="13.875" style="451" customWidth="1"/>
    <col min="7190" max="7191" width="15.625" style="451" customWidth="1"/>
    <col min="7192" max="7424" width="9" style="451"/>
    <col min="7425" max="7425" width="8.5" style="451" customWidth="1"/>
    <col min="7426" max="7426" width="6.375" style="451" customWidth="1"/>
    <col min="7427" max="7427" width="6.625" style="451" customWidth="1"/>
    <col min="7428" max="7428" width="5.125" style="451" customWidth="1"/>
    <col min="7429" max="7429" width="6.5" style="451" customWidth="1"/>
    <col min="7430" max="7430" width="5.375" style="451" customWidth="1"/>
    <col min="7431" max="7431" width="4.625" style="451" customWidth="1"/>
    <col min="7432" max="7432" width="8.625" style="451" customWidth="1"/>
    <col min="7433" max="7433" width="19.875" style="451" customWidth="1"/>
    <col min="7434" max="7434" width="9" style="451"/>
    <col min="7435" max="7435" width="9.875" style="451" customWidth="1"/>
    <col min="7436" max="7436" width="8.875" style="451" customWidth="1"/>
    <col min="7437" max="7437" width="8.625" style="451" customWidth="1"/>
    <col min="7438" max="7438" width="8" style="451" customWidth="1"/>
    <col min="7439" max="7439" width="8.625" style="451" customWidth="1"/>
    <col min="7440" max="7440" width="9" style="451" customWidth="1"/>
    <col min="7441" max="7441" width="13.5" style="451" customWidth="1"/>
    <col min="7442" max="7442" width="16.125" style="451" bestFit="1" customWidth="1"/>
    <col min="7443" max="7443" width="13.875" style="451" bestFit="1" customWidth="1"/>
    <col min="7444" max="7444" width="7.5" style="451" bestFit="1" customWidth="1"/>
    <col min="7445" max="7445" width="13.875" style="451" customWidth="1"/>
    <col min="7446" max="7447" width="15.625" style="451" customWidth="1"/>
    <col min="7448" max="7680" width="9" style="451"/>
    <col min="7681" max="7681" width="8.5" style="451" customWidth="1"/>
    <col min="7682" max="7682" width="6.375" style="451" customWidth="1"/>
    <col min="7683" max="7683" width="6.625" style="451" customWidth="1"/>
    <col min="7684" max="7684" width="5.125" style="451" customWidth="1"/>
    <col min="7685" max="7685" width="6.5" style="451" customWidth="1"/>
    <col min="7686" max="7686" width="5.375" style="451" customWidth="1"/>
    <col min="7687" max="7687" width="4.625" style="451" customWidth="1"/>
    <col min="7688" max="7688" width="8.625" style="451" customWidth="1"/>
    <col min="7689" max="7689" width="19.875" style="451" customWidth="1"/>
    <col min="7690" max="7690" width="9" style="451"/>
    <col min="7691" max="7691" width="9.875" style="451" customWidth="1"/>
    <col min="7692" max="7692" width="8.875" style="451" customWidth="1"/>
    <col min="7693" max="7693" width="8.625" style="451" customWidth="1"/>
    <col min="7694" max="7694" width="8" style="451" customWidth="1"/>
    <col min="7695" max="7695" width="8.625" style="451" customWidth="1"/>
    <col min="7696" max="7696" width="9" style="451" customWidth="1"/>
    <col min="7697" max="7697" width="13.5" style="451" customWidth="1"/>
    <col min="7698" max="7698" width="16.125" style="451" bestFit="1" customWidth="1"/>
    <col min="7699" max="7699" width="13.875" style="451" bestFit="1" customWidth="1"/>
    <col min="7700" max="7700" width="7.5" style="451" bestFit="1" customWidth="1"/>
    <col min="7701" max="7701" width="13.875" style="451" customWidth="1"/>
    <col min="7702" max="7703" width="15.625" style="451" customWidth="1"/>
    <col min="7704" max="7936" width="9" style="451"/>
    <col min="7937" max="7937" width="8.5" style="451" customWidth="1"/>
    <col min="7938" max="7938" width="6.375" style="451" customWidth="1"/>
    <col min="7939" max="7939" width="6.625" style="451" customWidth="1"/>
    <col min="7940" max="7940" width="5.125" style="451" customWidth="1"/>
    <col min="7941" max="7941" width="6.5" style="451" customWidth="1"/>
    <col min="7942" max="7942" width="5.375" style="451" customWidth="1"/>
    <col min="7943" max="7943" width="4.625" style="451" customWidth="1"/>
    <col min="7944" max="7944" width="8.625" style="451" customWidth="1"/>
    <col min="7945" max="7945" width="19.875" style="451" customWidth="1"/>
    <col min="7946" max="7946" width="9" style="451"/>
    <col min="7947" max="7947" width="9.875" style="451" customWidth="1"/>
    <col min="7948" max="7948" width="8.875" style="451" customWidth="1"/>
    <col min="7949" max="7949" width="8.625" style="451" customWidth="1"/>
    <col min="7950" max="7950" width="8" style="451" customWidth="1"/>
    <col min="7951" max="7951" width="8.625" style="451" customWidth="1"/>
    <col min="7952" max="7952" width="9" style="451" customWidth="1"/>
    <col min="7953" max="7953" width="13.5" style="451" customWidth="1"/>
    <col min="7954" max="7954" width="16.125" style="451" bestFit="1" customWidth="1"/>
    <col min="7955" max="7955" width="13.875" style="451" bestFit="1" customWidth="1"/>
    <col min="7956" max="7956" width="7.5" style="451" bestFit="1" customWidth="1"/>
    <col min="7957" max="7957" width="13.875" style="451" customWidth="1"/>
    <col min="7958" max="7959" width="15.625" style="451" customWidth="1"/>
    <col min="7960" max="8192" width="9" style="451"/>
    <col min="8193" max="8193" width="8.5" style="451" customWidth="1"/>
    <col min="8194" max="8194" width="6.375" style="451" customWidth="1"/>
    <col min="8195" max="8195" width="6.625" style="451" customWidth="1"/>
    <col min="8196" max="8196" width="5.125" style="451" customWidth="1"/>
    <col min="8197" max="8197" width="6.5" style="451" customWidth="1"/>
    <col min="8198" max="8198" width="5.375" style="451" customWidth="1"/>
    <col min="8199" max="8199" width="4.625" style="451" customWidth="1"/>
    <col min="8200" max="8200" width="8.625" style="451" customWidth="1"/>
    <col min="8201" max="8201" width="19.875" style="451" customWidth="1"/>
    <col min="8202" max="8202" width="9" style="451"/>
    <col min="8203" max="8203" width="9.875" style="451" customWidth="1"/>
    <col min="8204" max="8204" width="8.875" style="451" customWidth="1"/>
    <col min="8205" max="8205" width="8.625" style="451" customWidth="1"/>
    <col min="8206" max="8206" width="8" style="451" customWidth="1"/>
    <col min="8207" max="8207" width="8.625" style="451" customWidth="1"/>
    <col min="8208" max="8208" width="9" style="451" customWidth="1"/>
    <col min="8209" max="8209" width="13.5" style="451" customWidth="1"/>
    <col min="8210" max="8210" width="16.125" style="451" bestFit="1" customWidth="1"/>
    <col min="8211" max="8211" width="13.875" style="451" bestFit="1" customWidth="1"/>
    <col min="8212" max="8212" width="7.5" style="451" bestFit="1" customWidth="1"/>
    <col min="8213" max="8213" width="13.875" style="451" customWidth="1"/>
    <col min="8214" max="8215" width="15.625" style="451" customWidth="1"/>
    <col min="8216" max="8448" width="9" style="451"/>
    <col min="8449" max="8449" width="8.5" style="451" customWidth="1"/>
    <col min="8450" max="8450" width="6.375" style="451" customWidth="1"/>
    <col min="8451" max="8451" width="6.625" style="451" customWidth="1"/>
    <col min="8452" max="8452" width="5.125" style="451" customWidth="1"/>
    <col min="8453" max="8453" width="6.5" style="451" customWidth="1"/>
    <col min="8454" max="8454" width="5.375" style="451" customWidth="1"/>
    <col min="8455" max="8455" width="4.625" style="451" customWidth="1"/>
    <col min="8456" max="8456" width="8.625" style="451" customWidth="1"/>
    <col min="8457" max="8457" width="19.875" style="451" customWidth="1"/>
    <col min="8458" max="8458" width="9" style="451"/>
    <col min="8459" max="8459" width="9.875" style="451" customWidth="1"/>
    <col min="8460" max="8460" width="8.875" style="451" customWidth="1"/>
    <col min="8461" max="8461" width="8.625" style="451" customWidth="1"/>
    <col min="8462" max="8462" width="8" style="451" customWidth="1"/>
    <col min="8463" max="8463" width="8.625" style="451" customWidth="1"/>
    <col min="8464" max="8464" width="9" style="451" customWidth="1"/>
    <col min="8465" max="8465" width="13.5" style="451" customWidth="1"/>
    <col min="8466" max="8466" width="16.125" style="451" bestFit="1" customWidth="1"/>
    <col min="8467" max="8467" width="13.875" style="451" bestFit="1" customWidth="1"/>
    <col min="8468" max="8468" width="7.5" style="451" bestFit="1" customWidth="1"/>
    <col min="8469" max="8469" width="13.875" style="451" customWidth="1"/>
    <col min="8470" max="8471" width="15.625" style="451" customWidth="1"/>
    <col min="8472" max="8704" width="9" style="451"/>
    <col min="8705" max="8705" width="8.5" style="451" customWidth="1"/>
    <col min="8706" max="8706" width="6.375" style="451" customWidth="1"/>
    <col min="8707" max="8707" width="6.625" style="451" customWidth="1"/>
    <col min="8708" max="8708" width="5.125" style="451" customWidth="1"/>
    <col min="8709" max="8709" width="6.5" style="451" customWidth="1"/>
    <col min="8710" max="8710" width="5.375" style="451" customWidth="1"/>
    <col min="8711" max="8711" width="4.625" style="451" customWidth="1"/>
    <col min="8712" max="8712" width="8.625" style="451" customWidth="1"/>
    <col min="8713" max="8713" width="19.875" style="451" customWidth="1"/>
    <col min="8714" max="8714" width="9" style="451"/>
    <col min="8715" max="8715" width="9.875" style="451" customWidth="1"/>
    <col min="8716" max="8716" width="8.875" style="451" customWidth="1"/>
    <col min="8717" max="8717" width="8.625" style="451" customWidth="1"/>
    <col min="8718" max="8718" width="8" style="451" customWidth="1"/>
    <col min="8719" max="8719" width="8.625" style="451" customWidth="1"/>
    <col min="8720" max="8720" width="9" style="451" customWidth="1"/>
    <col min="8721" max="8721" width="13.5" style="451" customWidth="1"/>
    <col min="8722" max="8722" width="16.125" style="451" bestFit="1" customWidth="1"/>
    <col min="8723" max="8723" width="13.875" style="451" bestFit="1" customWidth="1"/>
    <col min="8724" max="8724" width="7.5" style="451" bestFit="1" customWidth="1"/>
    <col min="8725" max="8725" width="13.875" style="451" customWidth="1"/>
    <col min="8726" max="8727" width="15.625" style="451" customWidth="1"/>
    <col min="8728" max="8960" width="9" style="451"/>
    <col min="8961" max="8961" width="8.5" style="451" customWidth="1"/>
    <col min="8962" max="8962" width="6.375" style="451" customWidth="1"/>
    <col min="8963" max="8963" width="6.625" style="451" customWidth="1"/>
    <col min="8964" max="8964" width="5.125" style="451" customWidth="1"/>
    <col min="8965" max="8965" width="6.5" style="451" customWidth="1"/>
    <col min="8966" max="8966" width="5.375" style="451" customWidth="1"/>
    <col min="8967" max="8967" width="4.625" style="451" customWidth="1"/>
    <col min="8968" max="8968" width="8.625" style="451" customWidth="1"/>
    <col min="8969" max="8969" width="19.875" style="451" customWidth="1"/>
    <col min="8970" max="8970" width="9" style="451"/>
    <col min="8971" max="8971" width="9.875" style="451" customWidth="1"/>
    <col min="8972" max="8972" width="8.875" style="451" customWidth="1"/>
    <col min="8973" max="8973" width="8.625" style="451" customWidth="1"/>
    <col min="8974" max="8974" width="8" style="451" customWidth="1"/>
    <col min="8975" max="8975" width="8.625" style="451" customWidth="1"/>
    <col min="8976" max="8976" width="9" style="451" customWidth="1"/>
    <col min="8977" max="8977" width="13.5" style="451" customWidth="1"/>
    <col min="8978" max="8978" width="16.125" style="451" bestFit="1" customWidth="1"/>
    <col min="8979" max="8979" width="13.875" style="451" bestFit="1" customWidth="1"/>
    <col min="8980" max="8980" width="7.5" style="451" bestFit="1" customWidth="1"/>
    <col min="8981" max="8981" width="13.875" style="451" customWidth="1"/>
    <col min="8982" max="8983" width="15.625" style="451" customWidth="1"/>
    <col min="8984" max="9216" width="9" style="451"/>
    <col min="9217" max="9217" width="8.5" style="451" customWidth="1"/>
    <col min="9218" max="9218" width="6.375" style="451" customWidth="1"/>
    <col min="9219" max="9219" width="6.625" style="451" customWidth="1"/>
    <col min="9220" max="9220" width="5.125" style="451" customWidth="1"/>
    <col min="9221" max="9221" width="6.5" style="451" customWidth="1"/>
    <col min="9222" max="9222" width="5.375" style="451" customWidth="1"/>
    <col min="9223" max="9223" width="4.625" style="451" customWidth="1"/>
    <col min="9224" max="9224" width="8.625" style="451" customWidth="1"/>
    <col min="9225" max="9225" width="19.875" style="451" customWidth="1"/>
    <col min="9226" max="9226" width="9" style="451"/>
    <col min="9227" max="9227" width="9.875" style="451" customWidth="1"/>
    <col min="9228" max="9228" width="8.875" style="451" customWidth="1"/>
    <col min="9229" max="9229" width="8.625" style="451" customWidth="1"/>
    <col min="9230" max="9230" width="8" style="451" customWidth="1"/>
    <col min="9231" max="9231" width="8.625" style="451" customWidth="1"/>
    <col min="9232" max="9232" width="9" style="451" customWidth="1"/>
    <col min="9233" max="9233" width="13.5" style="451" customWidth="1"/>
    <col min="9234" max="9234" width="16.125" style="451" bestFit="1" customWidth="1"/>
    <col min="9235" max="9235" width="13.875" style="451" bestFit="1" customWidth="1"/>
    <col min="9236" max="9236" width="7.5" style="451" bestFit="1" customWidth="1"/>
    <col min="9237" max="9237" width="13.875" style="451" customWidth="1"/>
    <col min="9238" max="9239" width="15.625" style="451" customWidth="1"/>
    <col min="9240" max="9472" width="9" style="451"/>
    <col min="9473" max="9473" width="8.5" style="451" customWidth="1"/>
    <col min="9474" max="9474" width="6.375" style="451" customWidth="1"/>
    <col min="9475" max="9475" width="6.625" style="451" customWidth="1"/>
    <col min="9476" max="9476" width="5.125" style="451" customWidth="1"/>
    <col min="9477" max="9477" width="6.5" style="451" customWidth="1"/>
    <col min="9478" max="9478" width="5.375" style="451" customWidth="1"/>
    <col min="9479" max="9479" width="4.625" style="451" customWidth="1"/>
    <col min="9480" max="9480" width="8.625" style="451" customWidth="1"/>
    <col min="9481" max="9481" width="19.875" style="451" customWidth="1"/>
    <col min="9482" max="9482" width="9" style="451"/>
    <col min="9483" max="9483" width="9.875" style="451" customWidth="1"/>
    <col min="9484" max="9484" width="8.875" style="451" customWidth="1"/>
    <col min="9485" max="9485" width="8.625" style="451" customWidth="1"/>
    <col min="9486" max="9486" width="8" style="451" customWidth="1"/>
    <col min="9487" max="9487" width="8.625" style="451" customWidth="1"/>
    <col min="9488" max="9488" width="9" style="451" customWidth="1"/>
    <col min="9489" max="9489" width="13.5" style="451" customWidth="1"/>
    <col min="9490" max="9490" width="16.125" style="451" bestFit="1" customWidth="1"/>
    <col min="9491" max="9491" width="13.875" style="451" bestFit="1" customWidth="1"/>
    <col min="9492" max="9492" width="7.5" style="451" bestFit="1" customWidth="1"/>
    <col min="9493" max="9493" width="13.875" style="451" customWidth="1"/>
    <col min="9494" max="9495" width="15.625" style="451" customWidth="1"/>
    <col min="9496" max="9728" width="9" style="451"/>
    <col min="9729" max="9729" width="8.5" style="451" customWidth="1"/>
    <col min="9730" max="9730" width="6.375" style="451" customWidth="1"/>
    <col min="9731" max="9731" width="6.625" style="451" customWidth="1"/>
    <col min="9732" max="9732" width="5.125" style="451" customWidth="1"/>
    <col min="9733" max="9733" width="6.5" style="451" customWidth="1"/>
    <col min="9734" max="9734" width="5.375" style="451" customWidth="1"/>
    <col min="9735" max="9735" width="4.625" style="451" customWidth="1"/>
    <col min="9736" max="9736" width="8.625" style="451" customWidth="1"/>
    <col min="9737" max="9737" width="19.875" style="451" customWidth="1"/>
    <col min="9738" max="9738" width="9" style="451"/>
    <col min="9739" max="9739" width="9.875" style="451" customWidth="1"/>
    <col min="9740" max="9740" width="8.875" style="451" customWidth="1"/>
    <col min="9741" max="9741" width="8.625" style="451" customWidth="1"/>
    <col min="9742" max="9742" width="8" style="451" customWidth="1"/>
    <col min="9743" max="9743" width="8.625" style="451" customWidth="1"/>
    <col min="9744" max="9744" width="9" style="451" customWidth="1"/>
    <col min="9745" max="9745" width="13.5" style="451" customWidth="1"/>
    <col min="9746" max="9746" width="16.125" style="451" bestFit="1" customWidth="1"/>
    <col min="9747" max="9747" width="13.875" style="451" bestFit="1" customWidth="1"/>
    <col min="9748" max="9748" width="7.5" style="451" bestFit="1" customWidth="1"/>
    <col min="9749" max="9749" width="13.875" style="451" customWidth="1"/>
    <col min="9750" max="9751" width="15.625" style="451" customWidth="1"/>
    <col min="9752" max="9984" width="9" style="451"/>
    <col min="9985" max="9985" width="8.5" style="451" customWidth="1"/>
    <col min="9986" max="9986" width="6.375" style="451" customWidth="1"/>
    <col min="9987" max="9987" width="6.625" style="451" customWidth="1"/>
    <col min="9988" max="9988" width="5.125" style="451" customWidth="1"/>
    <col min="9989" max="9989" width="6.5" style="451" customWidth="1"/>
    <col min="9990" max="9990" width="5.375" style="451" customWidth="1"/>
    <col min="9991" max="9991" width="4.625" style="451" customWidth="1"/>
    <col min="9992" max="9992" width="8.625" style="451" customWidth="1"/>
    <col min="9993" max="9993" width="19.875" style="451" customWidth="1"/>
    <col min="9994" max="9994" width="9" style="451"/>
    <col min="9995" max="9995" width="9.875" style="451" customWidth="1"/>
    <col min="9996" max="9996" width="8.875" style="451" customWidth="1"/>
    <col min="9997" max="9997" width="8.625" style="451" customWidth="1"/>
    <col min="9998" max="9998" width="8" style="451" customWidth="1"/>
    <col min="9999" max="9999" width="8.625" style="451" customWidth="1"/>
    <col min="10000" max="10000" width="9" style="451" customWidth="1"/>
    <col min="10001" max="10001" width="13.5" style="451" customWidth="1"/>
    <col min="10002" max="10002" width="16.125" style="451" bestFit="1" customWidth="1"/>
    <col min="10003" max="10003" width="13.875" style="451" bestFit="1" customWidth="1"/>
    <col min="10004" max="10004" width="7.5" style="451" bestFit="1" customWidth="1"/>
    <col min="10005" max="10005" width="13.875" style="451" customWidth="1"/>
    <col min="10006" max="10007" width="15.625" style="451" customWidth="1"/>
    <col min="10008" max="10240" width="9" style="451"/>
    <col min="10241" max="10241" width="8.5" style="451" customWidth="1"/>
    <col min="10242" max="10242" width="6.375" style="451" customWidth="1"/>
    <col min="10243" max="10243" width="6.625" style="451" customWidth="1"/>
    <col min="10244" max="10244" width="5.125" style="451" customWidth="1"/>
    <col min="10245" max="10245" width="6.5" style="451" customWidth="1"/>
    <col min="10246" max="10246" width="5.375" style="451" customWidth="1"/>
    <col min="10247" max="10247" width="4.625" style="451" customWidth="1"/>
    <col min="10248" max="10248" width="8.625" style="451" customWidth="1"/>
    <col min="10249" max="10249" width="19.875" style="451" customWidth="1"/>
    <col min="10250" max="10250" width="9" style="451"/>
    <col min="10251" max="10251" width="9.875" style="451" customWidth="1"/>
    <col min="10252" max="10252" width="8.875" style="451" customWidth="1"/>
    <col min="10253" max="10253" width="8.625" style="451" customWidth="1"/>
    <col min="10254" max="10254" width="8" style="451" customWidth="1"/>
    <col min="10255" max="10255" width="8.625" style="451" customWidth="1"/>
    <col min="10256" max="10256" width="9" style="451" customWidth="1"/>
    <col min="10257" max="10257" width="13.5" style="451" customWidth="1"/>
    <col min="10258" max="10258" width="16.125" style="451" bestFit="1" customWidth="1"/>
    <col min="10259" max="10259" width="13.875" style="451" bestFit="1" customWidth="1"/>
    <col min="10260" max="10260" width="7.5" style="451" bestFit="1" customWidth="1"/>
    <col min="10261" max="10261" width="13.875" style="451" customWidth="1"/>
    <col min="10262" max="10263" width="15.625" style="451" customWidth="1"/>
    <col min="10264" max="10496" width="9" style="451"/>
    <col min="10497" max="10497" width="8.5" style="451" customWidth="1"/>
    <col min="10498" max="10498" width="6.375" style="451" customWidth="1"/>
    <col min="10499" max="10499" width="6.625" style="451" customWidth="1"/>
    <col min="10500" max="10500" width="5.125" style="451" customWidth="1"/>
    <col min="10501" max="10501" width="6.5" style="451" customWidth="1"/>
    <col min="10502" max="10502" width="5.375" style="451" customWidth="1"/>
    <col min="10503" max="10503" width="4.625" style="451" customWidth="1"/>
    <col min="10504" max="10504" width="8.625" style="451" customWidth="1"/>
    <col min="10505" max="10505" width="19.875" style="451" customWidth="1"/>
    <col min="10506" max="10506" width="9" style="451"/>
    <col min="10507" max="10507" width="9.875" style="451" customWidth="1"/>
    <col min="10508" max="10508" width="8.875" style="451" customWidth="1"/>
    <col min="10509" max="10509" width="8.625" style="451" customWidth="1"/>
    <col min="10510" max="10510" width="8" style="451" customWidth="1"/>
    <col min="10511" max="10511" width="8.625" style="451" customWidth="1"/>
    <col min="10512" max="10512" width="9" style="451" customWidth="1"/>
    <col min="10513" max="10513" width="13.5" style="451" customWidth="1"/>
    <col min="10514" max="10514" width="16.125" style="451" bestFit="1" customWidth="1"/>
    <col min="10515" max="10515" width="13.875" style="451" bestFit="1" customWidth="1"/>
    <col min="10516" max="10516" width="7.5" style="451" bestFit="1" customWidth="1"/>
    <col min="10517" max="10517" width="13.875" style="451" customWidth="1"/>
    <col min="10518" max="10519" width="15.625" style="451" customWidth="1"/>
    <col min="10520" max="10752" width="9" style="451"/>
    <col min="10753" max="10753" width="8.5" style="451" customWidth="1"/>
    <col min="10754" max="10754" width="6.375" style="451" customWidth="1"/>
    <col min="10755" max="10755" width="6.625" style="451" customWidth="1"/>
    <col min="10756" max="10756" width="5.125" style="451" customWidth="1"/>
    <col min="10757" max="10757" width="6.5" style="451" customWidth="1"/>
    <col min="10758" max="10758" width="5.375" style="451" customWidth="1"/>
    <col min="10759" max="10759" width="4.625" style="451" customWidth="1"/>
    <col min="10760" max="10760" width="8.625" style="451" customWidth="1"/>
    <col min="10761" max="10761" width="19.875" style="451" customWidth="1"/>
    <col min="10762" max="10762" width="9" style="451"/>
    <col min="10763" max="10763" width="9.875" style="451" customWidth="1"/>
    <col min="10764" max="10764" width="8.875" style="451" customWidth="1"/>
    <col min="10765" max="10765" width="8.625" style="451" customWidth="1"/>
    <col min="10766" max="10766" width="8" style="451" customWidth="1"/>
    <col min="10767" max="10767" width="8.625" style="451" customWidth="1"/>
    <col min="10768" max="10768" width="9" style="451" customWidth="1"/>
    <col min="10769" max="10769" width="13.5" style="451" customWidth="1"/>
    <col min="10770" max="10770" width="16.125" style="451" bestFit="1" customWidth="1"/>
    <col min="10771" max="10771" width="13.875" style="451" bestFit="1" customWidth="1"/>
    <col min="10772" max="10772" width="7.5" style="451" bestFit="1" customWidth="1"/>
    <col min="10773" max="10773" width="13.875" style="451" customWidth="1"/>
    <col min="10774" max="10775" width="15.625" style="451" customWidth="1"/>
    <col min="10776" max="11008" width="9" style="451"/>
    <col min="11009" max="11009" width="8.5" style="451" customWidth="1"/>
    <col min="11010" max="11010" width="6.375" style="451" customWidth="1"/>
    <col min="11011" max="11011" width="6.625" style="451" customWidth="1"/>
    <col min="11012" max="11012" width="5.125" style="451" customWidth="1"/>
    <col min="11013" max="11013" width="6.5" style="451" customWidth="1"/>
    <col min="11014" max="11014" width="5.375" style="451" customWidth="1"/>
    <col min="11015" max="11015" width="4.625" style="451" customWidth="1"/>
    <col min="11016" max="11016" width="8.625" style="451" customWidth="1"/>
    <col min="11017" max="11017" width="19.875" style="451" customWidth="1"/>
    <col min="11018" max="11018" width="9" style="451"/>
    <col min="11019" max="11019" width="9.875" style="451" customWidth="1"/>
    <col min="11020" max="11020" width="8.875" style="451" customWidth="1"/>
    <col min="11021" max="11021" width="8.625" style="451" customWidth="1"/>
    <col min="11022" max="11022" width="8" style="451" customWidth="1"/>
    <col min="11023" max="11023" width="8.625" style="451" customWidth="1"/>
    <col min="11024" max="11024" width="9" style="451" customWidth="1"/>
    <col min="11025" max="11025" width="13.5" style="451" customWidth="1"/>
    <col min="11026" max="11026" width="16.125" style="451" bestFit="1" customWidth="1"/>
    <col min="11027" max="11027" width="13.875" style="451" bestFit="1" customWidth="1"/>
    <col min="11028" max="11028" width="7.5" style="451" bestFit="1" customWidth="1"/>
    <col min="11029" max="11029" width="13.875" style="451" customWidth="1"/>
    <col min="11030" max="11031" width="15.625" style="451" customWidth="1"/>
    <col min="11032" max="11264" width="9" style="451"/>
    <col min="11265" max="11265" width="8.5" style="451" customWidth="1"/>
    <col min="11266" max="11266" width="6.375" style="451" customWidth="1"/>
    <col min="11267" max="11267" width="6.625" style="451" customWidth="1"/>
    <col min="11268" max="11268" width="5.125" style="451" customWidth="1"/>
    <col min="11269" max="11269" width="6.5" style="451" customWidth="1"/>
    <col min="11270" max="11270" width="5.375" style="451" customWidth="1"/>
    <col min="11271" max="11271" width="4.625" style="451" customWidth="1"/>
    <col min="11272" max="11272" width="8.625" style="451" customWidth="1"/>
    <col min="11273" max="11273" width="19.875" style="451" customWidth="1"/>
    <col min="11274" max="11274" width="9" style="451"/>
    <col min="11275" max="11275" width="9.875" style="451" customWidth="1"/>
    <col min="11276" max="11276" width="8.875" style="451" customWidth="1"/>
    <col min="11277" max="11277" width="8.625" style="451" customWidth="1"/>
    <col min="11278" max="11278" width="8" style="451" customWidth="1"/>
    <col min="11279" max="11279" width="8.625" style="451" customWidth="1"/>
    <col min="11280" max="11280" width="9" style="451" customWidth="1"/>
    <col min="11281" max="11281" width="13.5" style="451" customWidth="1"/>
    <col min="11282" max="11282" width="16.125" style="451" bestFit="1" customWidth="1"/>
    <col min="11283" max="11283" width="13.875" style="451" bestFit="1" customWidth="1"/>
    <col min="11284" max="11284" width="7.5" style="451" bestFit="1" customWidth="1"/>
    <col min="11285" max="11285" width="13.875" style="451" customWidth="1"/>
    <col min="11286" max="11287" width="15.625" style="451" customWidth="1"/>
    <col min="11288" max="11520" width="9" style="451"/>
    <col min="11521" max="11521" width="8.5" style="451" customWidth="1"/>
    <col min="11522" max="11522" width="6.375" style="451" customWidth="1"/>
    <col min="11523" max="11523" width="6.625" style="451" customWidth="1"/>
    <col min="11524" max="11524" width="5.125" style="451" customWidth="1"/>
    <col min="11525" max="11525" width="6.5" style="451" customWidth="1"/>
    <col min="11526" max="11526" width="5.375" style="451" customWidth="1"/>
    <col min="11527" max="11527" width="4.625" style="451" customWidth="1"/>
    <col min="11528" max="11528" width="8.625" style="451" customWidth="1"/>
    <col min="11529" max="11529" width="19.875" style="451" customWidth="1"/>
    <col min="11530" max="11530" width="9" style="451"/>
    <col min="11531" max="11531" width="9.875" style="451" customWidth="1"/>
    <col min="11532" max="11532" width="8.875" style="451" customWidth="1"/>
    <col min="11533" max="11533" width="8.625" style="451" customWidth="1"/>
    <col min="11534" max="11534" width="8" style="451" customWidth="1"/>
    <col min="11535" max="11535" width="8.625" style="451" customWidth="1"/>
    <col min="11536" max="11536" width="9" style="451" customWidth="1"/>
    <col min="11537" max="11537" width="13.5" style="451" customWidth="1"/>
    <col min="11538" max="11538" width="16.125" style="451" bestFit="1" customWidth="1"/>
    <col min="11539" max="11539" width="13.875" style="451" bestFit="1" customWidth="1"/>
    <col min="11540" max="11540" width="7.5" style="451" bestFit="1" customWidth="1"/>
    <col min="11541" max="11541" width="13.875" style="451" customWidth="1"/>
    <col min="11542" max="11543" width="15.625" style="451" customWidth="1"/>
    <col min="11544" max="11776" width="9" style="451"/>
    <col min="11777" max="11777" width="8.5" style="451" customWidth="1"/>
    <col min="11778" max="11778" width="6.375" style="451" customWidth="1"/>
    <col min="11779" max="11779" width="6.625" style="451" customWidth="1"/>
    <col min="11780" max="11780" width="5.125" style="451" customWidth="1"/>
    <col min="11781" max="11781" width="6.5" style="451" customWidth="1"/>
    <col min="11782" max="11782" width="5.375" style="451" customWidth="1"/>
    <col min="11783" max="11783" width="4.625" style="451" customWidth="1"/>
    <col min="11784" max="11784" width="8.625" style="451" customWidth="1"/>
    <col min="11785" max="11785" width="19.875" style="451" customWidth="1"/>
    <col min="11786" max="11786" width="9" style="451"/>
    <col min="11787" max="11787" width="9.875" style="451" customWidth="1"/>
    <col min="11788" max="11788" width="8.875" style="451" customWidth="1"/>
    <col min="11789" max="11789" width="8.625" style="451" customWidth="1"/>
    <col min="11790" max="11790" width="8" style="451" customWidth="1"/>
    <col min="11791" max="11791" width="8.625" style="451" customWidth="1"/>
    <col min="11792" max="11792" width="9" style="451" customWidth="1"/>
    <col min="11793" max="11793" width="13.5" style="451" customWidth="1"/>
    <col min="11794" max="11794" width="16.125" style="451" bestFit="1" customWidth="1"/>
    <col min="11795" max="11795" width="13.875" style="451" bestFit="1" customWidth="1"/>
    <col min="11796" max="11796" width="7.5" style="451" bestFit="1" customWidth="1"/>
    <col min="11797" max="11797" width="13.875" style="451" customWidth="1"/>
    <col min="11798" max="11799" width="15.625" style="451" customWidth="1"/>
    <col min="11800" max="12032" width="9" style="451"/>
    <col min="12033" max="12033" width="8.5" style="451" customWidth="1"/>
    <col min="12034" max="12034" width="6.375" style="451" customWidth="1"/>
    <col min="12035" max="12035" width="6.625" style="451" customWidth="1"/>
    <col min="12036" max="12036" width="5.125" style="451" customWidth="1"/>
    <col min="12037" max="12037" width="6.5" style="451" customWidth="1"/>
    <col min="12038" max="12038" width="5.375" style="451" customWidth="1"/>
    <col min="12039" max="12039" width="4.625" style="451" customWidth="1"/>
    <col min="12040" max="12040" width="8.625" style="451" customWidth="1"/>
    <col min="12041" max="12041" width="19.875" style="451" customWidth="1"/>
    <col min="12042" max="12042" width="9" style="451"/>
    <col min="12043" max="12043" width="9.875" style="451" customWidth="1"/>
    <col min="12044" max="12044" width="8.875" style="451" customWidth="1"/>
    <col min="12045" max="12045" width="8.625" style="451" customWidth="1"/>
    <col min="12046" max="12046" width="8" style="451" customWidth="1"/>
    <col min="12047" max="12047" width="8.625" style="451" customWidth="1"/>
    <col min="12048" max="12048" width="9" style="451" customWidth="1"/>
    <col min="12049" max="12049" width="13.5" style="451" customWidth="1"/>
    <col min="12050" max="12050" width="16.125" style="451" bestFit="1" customWidth="1"/>
    <col min="12051" max="12051" width="13.875" style="451" bestFit="1" customWidth="1"/>
    <col min="12052" max="12052" width="7.5" style="451" bestFit="1" customWidth="1"/>
    <col min="12053" max="12053" width="13.875" style="451" customWidth="1"/>
    <col min="12054" max="12055" width="15.625" style="451" customWidth="1"/>
    <col min="12056" max="12288" width="9" style="451"/>
    <col min="12289" max="12289" width="8.5" style="451" customWidth="1"/>
    <col min="12290" max="12290" width="6.375" style="451" customWidth="1"/>
    <col min="12291" max="12291" width="6.625" style="451" customWidth="1"/>
    <col min="12292" max="12292" width="5.125" style="451" customWidth="1"/>
    <col min="12293" max="12293" width="6.5" style="451" customWidth="1"/>
    <col min="12294" max="12294" width="5.375" style="451" customWidth="1"/>
    <col min="12295" max="12295" width="4.625" style="451" customWidth="1"/>
    <col min="12296" max="12296" width="8.625" style="451" customWidth="1"/>
    <col min="12297" max="12297" width="19.875" style="451" customWidth="1"/>
    <col min="12298" max="12298" width="9" style="451"/>
    <col min="12299" max="12299" width="9.875" style="451" customWidth="1"/>
    <col min="12300" max="12300" width="8.875" style="451" customWidth="1"/>
    <col min="12301" max="12301" width="8.625" style="451" customWidth="1"/>
    <col min="12302" max="12302" width="8" style="451" customWidth="1"/>
    <col min="12303" max="12303" width="8.625" style="451" customWidth="1"/>
    <col min="12304" max="12304" width="9" style="451" customWidth="1"/>
    <col min="12305" max="12305" width="13.5" style="451" customWidth="1"/>
    <col min="12306" max="12306" width="16.125" style="451" bestFit="1" customWidth="1"/>
    <col min="12307" max="12307" width="13.875" style="451" bestFit="1" customWidth="1"/>
    <col min="12308" max="12308" width="7.5" style="451" bestFit="1" customWidth="1"/>
    <col min="12309" max="12309" width="13.875" style="451" customWidth="1"/>
    <col min="12310" max="12311" width="15.625" style="451" customWidth="1"/>
    <col min="12312" max="12544" width="9" style="451"/>
    <col min="12545" max="12545" width="8.5" style="451" customWidth="1"/>
    <col min="12546" max="12546" width="6.375" style="451" customWidth="1"/>
    <col min="12547" max="12547" width="6.625" style="451" customWidth="1"/>
    <col min="12548" max="12548" width="5.125" style="451" customWidth="1"/>
    <col min="12549" max="12549" width="6.5" style="451" customWidth="1"/>
    <col min="12550" max="12550" width="5.375" style="451" customWidth="1"/>
    <col min="12551" max="12551" width="4.625" style="451" customWidth="1"/>
    <col min="12552" max="12552" width="8.625" style="451" customWidth="1"/>
    <col min="12553" max="12553" width="19.875" style="451" customWidth="1"/>
    <col min="12554" max="12554" width="9" style="451"/>
    <col min="12555" max="12555" width="9.875" style="451" customWidth="1"/>
    <col min="12556" max="12556" width="8.875" style="451" customWidth="1"/>
    <col min="12557" max="12557" width="8.625" style="451" customWidth="1"/>
    <col min="12558" max="12558" width="8" style="451" customWidth="1"/>
    <col min="12559" max="12559" width="8.625" style="451" customWidth="1"/>
    <col min="12560" max="12560" width="9" style="451" customWidth="1"/>
    <col min="12561" max="12561" width="13.5" style="451" customWidth="1"/>
    <col min="12562" max="12562" width="16.125" style="451" bestFit="1" customWidth="1"/>
    <col min="12563" max="12563" width="13.875" style="451" bestFit="1" customWidth="1"/>
    <col min="12564" max="12564" width="7.5" style="451" bestFit="1" customWidth="1"/>
    <col min="12565" max="12565" width="13.875" style="451" customWidth="1"/>
    <col min="12566" max="12567" width="15.625" style="451" customWidth="1"/>
    <col min="12568" max="12800" width="9" style="451"/>
    <col min="12801" max="12801" width="8.5" style="451" customWidth="1"/>
    <col min="12802" max="12802" width="6.375" style="451" customWidth="1"/>
    <col min="12803" max="12803" width="6.625" style="451" customWidth="1"/>
    <col min="12804" max="12804" width="5.125" style="451" customWidth="1"/>
    <col min="12805" max="12805" width="6.5" style="451" customWidth="1"/>
    <col min="12806" max="12806" width="5.375" style="451" customWidth="1"/>
    <col min="12807" max="12807" width="4.625" style="451" customWidth="1"/>
    <col min="12808" max="12808" width="8.625" style="451" customWidth="1"/>
    <col min="12809" max="12809" width="19.875" style="451" customWidth="1"/>
    <col min="12810" max="12810" width="9" style="451"/>
    <col min="12811" max="12811" width="9.875" style="451" customWidth="1"/>
    <col min="12812" max="12812" width="8.875" style="451" customWidth="1"/>
    <col min="12813" max="12813" width="8.625" style="451" customWidth="1"/>
    <col min="12814" max="12814" width="8" style="451" customWidth="1"/>
    <col min="12815" max="12815" width="8.625" style="451" customWidth="1"/>
    <col min="12816" max="12816" width="9" style="451" customWidth="1"/>
    <col min="12817" max="12817" width="13.5" style="451" customWidth="1"/>
    <col min="12818" max="12818" width="16.125" style="451" bestFit="1" customWidth="1"/>
    <col min="12819" max="12819" width="13.875" style="451" bestFit="1" customWidth="1"/>
    <col min="12820" max="12820" width="7.5" style="451" bestFit="1" customWidth="1"/>
    <col min="12821" max="12821" width="13.875" style="451" customWidth="1"/>
    <col min="12822" max="12823" width="15.625" style="451" customWidth="1"/>
    <col min="12824" max="13056" width="9" style="451"/>
    <col min="13057" max="13057" width="8.5" style="451" customWidth="1"/>
    <col min="13058" max="13058" width="6.375" style="451" customWidth="1"/>
    <col min="13059" max="13059" width="6.625" style="451" customWidth="1"/>
    <col min="13060" max="13060" width="5.125" style="451" customWidth="1"/>
    <col min="13061" max="13061" width="6.5" style="451" customWidth="1"/>
    <col min="13062" max="13062" width="5.375" style="451" customWidth="1"/>
    <col min="13063" max="13063" width="4.625" style="451" customWidth="1"/>
    <col min="13064" max="13064" width="8.625" style="451" customWidth="1"/>
    <col min="13065" max="13065" width="19.875" style="451" customWidth="1"/>
    <col min="13066" max="13066" width="9" style="451"/>
    <col min="13067" max="13067" width="9.875" style="451" customWidth="1"/>
    <col min="13068" max="13068" width="8.875" style="451" customWidth="1"/>
    <col min="13069" max="13069" width="8.625" style="451" customWidth="1"/>
    <col min="13070" max="13070" width="8" style="451" customWidth="1"/>
    <col min="13071" max="13071" width="8.625" style="451" customWidth="1"/>
    <col min="13072" max="13072" width="9" style="451" customWidth="1"/>
    <col min="13073" max="13073" width="13.5" style="451" customWidth="1"/>
    <col min="13074" max="13074" width="16.125" style="451" bestFit="1" customWidth="1"/>
    <col min="13075" max="13075" width="13.875" style="451" bestFit="1" customWidth="1"/>
    <col min="13076" max="13076" width="7.5" style="451" bestFit="1" customWidth="1"/>
    <col min="13077" max="13077" width="13.875" style="451" customWidth="1"/>
    <col min="13078" max="13079" width="15.625" style="451" customWidth="1"/>
    <col min="13080" max="13312" width="9" style="451"/>
    <col min="13313" max="13313" width="8.5" style="451" customWidth="1"/>
    <col min="13314" max="13314" width="6.375" style="451" customWidth="1"/>
    <col min="13315" max="13315" width="6.625" style="451" customWidth="1"/>
    <col min="13316" max="13316" width="5.125" style="451" customWidth="1"/>
    <col min="13317" max="13317" width="6.5" style="451" customWidth="1"/>
    <col min="13318" max="13318" width="5.375" style="451" customWidth="1"/>
    <col min="13319" max="13319" width="4.625" style="451" customWidth="1"/>
    <col min="13320" max="13320" width="8.625" style="451" customWidth="1"/>
    <col min="13321" max="13321" width="19.875" style="451" customWidth="1"/>
    <col min="13322" max="13322" width="9" style="451"/>
    <col min="13323" max="13323" width="9.875" style="451" customWidth="1"/>
    <col min="13324" max="13324" width="8.875" style="451" customWidth="1"/>
    <col min="13325" max="13325" width="8.625" style="451" customWidth="1"/>
    <col min="13326" max="13326" width="8" style="451" customWidth="1"/>
    <col min="13327" max="13327" width="8.625" style="451" customWidth="1"/>
    <col min="13328" max="13328" width="9" style="451" customWidth="1"/>
    <col min="13329" max="13329" width="13.5" style="451" customWidth="1"/>
    <col min="13330" max="13330" width="16.125" style="451" bestFit="1" customWidth="1"/>
    <col min="13331" max="13331" width="13.875" style="451" bestFit="1" customWidth="1"/>
    <col min="13332" max="13332" width="7.5" style="451" bestFit="1" customWidth="1"/>
    <col min="13333" max="13333" width="13.875" style="451" customWidth="1"/>
    <col min="13334" max="13335" width="15.625" style="451" customWidth="1"/>
    <col min="13336" max="13568" width="9" style="451"/>
    <col min="13569" max="13569" width="8.5" style="451" customWidth="1"/>
    <col min="13570" max="13570" width="6.375" style="451" customWidth="1"/>
    <col min="13571" max="13571" width="6.625" style="451" customWidth="1"/>
    <col min="13572" max="13572" width="5.125" style="451" customWidth="1"/>
    <col min="13573" max="13573" width="6.5" style="451" customWidth="1"/>
    <col min="13574" max="13574" width="5.375" style="451" customWidth="1"/>
    <col min="13575" max="13575" width="4.625" style="451" customWidth="1"/>
    <col min="13576" max="13576" width="8.625" style="451" customWidth="1"/>
    <col min="13577" max="13577" width="19.875" style="451" customWidth="1"/>
    <col min="13578" max="13578" width="9" style="451"/>
    <col min="13579" max="13579" width="9.875" style="451" customWidth="1"/>
    <col min="13580" max="13580" width="8.875" style="451" customWidth="1"/>
    <col min="13581" max="13581" width="8.625" style="451" customWidth="1"/>
    <col min="13582" max="13582" width="8" style="451" customWidth="1"/>
    <col min="13583" max="13583" width="8.625" style="451" customWidth="1"/>
    <col min="13584" max="13584" width="9" style="451" customWidth="1"/>
    <col min="13585" max="13585" width="13.5" style="451" customWidth="1"/>
    <col min="13586" max="13586" width="16.125" style="451" bestFit="1" customWidth="1"/>
    <col min="13587" max="13587" width="13.875" style="451" bestFit="1" customWidth="1"/>
    <col min="13588" max="13588" width="7.5" style="451" bestFit="1" customWidth="1"/>
    <col min="13589" max="13589" width="13.875" style="451" customWidth="1"/>
    <col min="13590" max="13591" width="15.625" style="451" customWidth="1"/>
    <col min="13592" max="13824" width="9" style="451"/>
    <col min="13825" max="13825" width="8.5" style="451" customWidth="1"/>
    <col min="13826" max="13826" width="6.375" style="451" customWidth="1"/>
    <col min="13827" max="13827" width="6.625" style="451" customWidth="1"/>
    <col min="13828" max="13828" width="5.125" style="451" customWidth="1"/>
    <col min="13829" max="13829" width="6.5" style="451" customWidth="1"/>
    <col min="13830" max="13830" width="5.375" style="451" customWidth="1"/>
    <col min="13831" max="13831" width="4.625" style="451" customWidth="1"/>
    <col min="13832" max="13832" width="8.625" style="451" customWidth="1"/>
    <col min="13833" max="13833" width="19.875" style="451" customWidth="1"/>
    <col min="13834" max="13834" width="9" style="451"/>
    <col min="13835" max="13835" width="9.875" style="451" customWidth="1"/>
    <col min="13836" max="13836" width="8.875" style="451" customWidth="1"/>
    <col min="13837" max="13837" width="8.625" style="451" customWidth="1"/>
    <col min="13838" max="13838" width="8" style="451" customWidth="1"/>
    <col min="13839" max="13839" width="8.625" style="451" customWidth="1"/>
    <col min="13840" max="13840" width="9" style="451" customWidth="1"/>
    <col min="13841" max="13841" width="13.5" style="451" customWidth="1"/>
    <col min="13842" max="13842" width="16.125" style="451" bestFit="1" customWidth="1"/>
    <col min="13843" max="13843" width="13.875" style="451" bestFit="1" customWidth="1"/>
    <col min="13844" max="13844" width="7.5" style="451" bestFit="1" customWidth="1"/>
    <col min="13845" max="13845" width="13.875" style="451" customWidth="1"/>
    <col min="13846" max="13847" width="15.625" style="451" customWidth="1"/>
    <col min="13848" max="14080" width="9" style="451"/>
    <col min="14081" max="14081" width="8.5" style="451" customWidth="1"/>
    <col min="14082" max="14082" width="6.375" style="451" customWidth="1"/>
    <col min="14083" max="14083" width="6.625" style="451" customWidth="1"/>
    <col min="14084" max="14084" width="5.125" style="451" customWidth="1"/>
    <col min="14085" max="14085" width="6.5" style="451" customWidth="1"/>
    <col min="14086" max="14086" width="5.375" style="451" customWidth="1"/>
    <col min="14087" max="14087" width="4.625" style="451" customWidth="1"/>
    <col min="14088" max="14088" width="8.625" style="451" customWidth="1"/>
    <col min="14089" max="14089" width="19.875" style="451" customWidth="1"/>
    <col min="14090" max="14090" width="9" style="451"/>
    <col min="14091" max="14091" width="9.875" style="451" customWidth="1"/>
    <col min="14092" max="14092" width="8.875" style="451" customWidth="1"/>
    <col min="14093" max="14093" width="8.625" style="451" customWidth="1"/>
    <col min="14094" max="14094" width="8" style="451" customWidth="1"/>
    <col min="14095" max="14095" width="8.625" style="451" customWidth="1"/>
    <col min="14096" max="14096" width="9" style="451" customWidth="1"/>
    <col min="14097" max="14097" width="13.5" style="451" customWidth="1"/>
    <col min="14098" max="14098" width="16.125" style="451" bestFit="1" customWidth="1"/>
    <col min="14099" max="14099" width="13.875" style="451" bestFit="1" customWidth="1"/>
    <col min="14100" max="14100" width="7.5" style="451" bestFit="1" customWidth="1"/>
    <col min="14101" max="14101" width="13.875" style="451" customWidth="1"/>
    <col min="14102" max="14103" width="15.625" style="451" customWidth="1"/>
    <col min="14104" max="14336" width="9" style="451"/>
    <col min="14337" max="14337" width="8.5" style="451" customWidth="1"/>
    <col min="14338" max="14338" width="6.375" style="451" customWidth="1"/>
    <col min="14339" max="14339" width="6.625" style="451" customWidth="1"/>
    <col min="14340" max="14340" width="5.125" style="451" customWidth="1"/>
    <col min="14341" max="14341" width="6.5" style="451" customWidth="1"/>
    <col min="14342" max="14342" width="5.375" style="451" customWidth="1"/>
    <col min="14343" max="14343" width="4.625" style="451" customWidth="1"/>
    <col min="14344" max="14344" width="8.625" style="451" customWidth="1"/>
    <col min="14345" max="14345" width="19.875" style="451" customWidth="1"/>
    <col min="14346" max="14346" width="9" style="451"/>
    <col min="14347" max="14347" width="9.875" style="451" customWidth="1"/>
    <col min="14348" max="14348" width="8.875" style="451" customWidth="1"/>
    <col min="14349" max="14349" width="8.625" style="451" customWidth="1"/>
    <col min="14350" max="14350" width="8" style="451" customWidth="1"/>
    <col min="14351" max="14351" width="8.625" style="451" customWidth="1"/>
    <col min="14352" max="14352" width="9" style="451" customWidth="1"/>
    <col min="14353" max="14353" width="13.5" style="451" customWidth="1"/>
    <col min="14354" max="14354" width="16.125" style="451" bestFit="1" customWidth="1"/>
    <col min="14355" max="14355" width="13.875" style="451" bestFit="1" customWidth="1"/>
    <col min="14356" max="14356" width="7.5" style="451" bestFit="1" customWidth="1"/>
    <col min="14357" max="14357" width="13.875" style="451" customWidth="1"/>
    <col min="14358" max="14359" width="15.625" style="451" customWidth="1"/>
    <col min="14360" max="14592" width="9" style="451"/>
    <col min="14593" max="14593" width="8.5" style="451" customWidth="1"/>
    <col min="14594" max="14594" width="6.375" style="451" customWidth="1"/>
    <col min="14595" max="14595" width="6.625" style="451" customWidth="1"/>
    <col min="14596" max="14596" width="5.125" style="451" customWidth="1"/>
    <col min="14597" max="14597" width="6.5" style="451" customWidth="1"/>
    <col min="14598" max="14598" width="5.375" style="451" customWidth="1"/>
    <col min="14599" max="14599" width="4.625" style="451" customWidth="1"/>
    <col min="14600" max="14600" width="8.625" style="451" customWidth="1"/>
    <col min="14601" max="14601" width="19.875" style="451" customWidth="1"/>
    <col min="14602" max="14602" width="9" style="451"/>
    <col min="14603" max="14603" width="9.875" style="451" customWidth="1"/>
    <col min="14604" max="14604" width="8.875" style="451" customWidth="1"/>
    <col min="14605" max="14605" width="8.625" style="451" customWidth="1"/>
    <col min="14606" max="14606" width="8" style="451" customWidth="1"/>
    <col min="14607" max="14607" width="8.625" style="451" customWidth="1"/>
    <col min="14608" max="14608" width="9" style="451" customWidth="1"/>
    <col min="14609" max="14609" width="13.5" style="451" customWidth="1"/>
    <col min="14610" max="14610" width="16.125" style="451" bestFit="1" customWidth="1"/>
    <col min="14611" max="14611" width="13.875" style="451" bestFit="1" customWidth="1"/>
    <col min="14612" max="14612" width="7.5" style="451" bestFit="1" customWidth="1"/>
    <col min="14613" max="14613" width="13.875" style="451" customWidth="1"/>
    <col min="14614" max="14615" width="15.625" style="451" customWidth="1"/>
    <col min="14616" max="14848" width="9" style="451"/>
    <col min="14849" max="14849" width="8.5" style="451" customWidth="1"/>
    <col min="14850" max="14850" width="6.375" style="451" customWidth="1"/>
    <col min="14851" max="14851" width="6.625" style="451" customWidth="1"/>
    <col min="14852" max="14852" width="5.125" style="451" customWidth="1"/>
    <col min="14853" max="14853" width="6.5" style="451" customWidth="1"/>
    <col min="14854" max="14854" width="5.375" style="451" customWidth="1"/>
    <col min="14855" max="14855" width="4.625" style="451" customWidth="1"/>
    <col min="14856" max="14856" width="8.625" style="451" customWidth="1"/>
    <col min="14857" max="14857" width="19.875" style="451" customWidth="1"/>
    <col min="14858" max="14858" width="9" style="451"/>
    <col min="14859" max="14859" width="9.875" style="451" customWidth="1"/>
    <col min="14860" max="14860" width="8.875" style="451" customWidth="1"/>
    <col min="14861" max="14861" width="8.625" style="451" customWidth="1"/>
    <col min="14862" max="14862" width="8" style="451" customWidth="1"/>
    <col min="14863" max="14863" width="8.625" style="451" customWidth="1"/>
    <col min="14864" max="14864" width="9" style="451" customWidth="1"/>
    <col min="14865" max="14865" width="13.5" style="451" customWidth="1"/>
    <col min="14866" max="14866" width="16.125" style="451" bestFit="1" customWidth="1"/>
    <col min="14867" max="14867" width="13.875" style="451" bestFit="1" customWidth="1"/>
    <col min="14868" max="14868" width="7.5" style="451" bestFit="1" customWidth="1"/>
    <col min="14869" max="14869" width="13.875" style="451" customWidth="1"/>
    <col min="14870" max="14871" width="15.625" style="451" customWidth="1"/>
    <col min="14872" max="15104" width="9" style="451"/>
    <col min="15105" max="15105" width="8.5" style="451" customWidth="1"/>
    <col min="15106" max="15106" width="6.375" style="451" customWidth="1"/>
    <col min="15107" max="15107" width="6.625" style="451" customWidth="1"/>
    <col min="15108" max="15108" width="5.125" style="451" customWidth="1"/>
    <col min="15109" max="15109" width="6.5" style="451" customWidth="1"/>
    <col min="15110" max="15110" width="5.375" style="451" customWidth="1"/>
    <col min="15111" max="15111" width="4.625" style="451" customWidth="1"/>
    <col min="15112" max="15112" width="8.625" style="451" customWidth="1"/>
    <col min="15113" max="15113" width="19.875" style="451" customWidth="1"/>
    <col min="15114" max="15114" width="9" style="451"/>
    <col min="15115" max="15115" width="9.875" style="451" customWidth="1"/>
    <col min="15116" max="15116" width="8.875" style="451" customWidth="1"/>
    <col min="15117" max="15117" width="8.625" style="451" customWidth="1"/>
    <col min="15118" max="15118" width="8" style="451" customWidth="1"/>
    <col min="15119" max="15119" width="8.625" style="451" customWidth="1"/>
    <col min="15120" max="15120" width="9" style="451" customWidth="1"/>
    <col min="15121" max="15121" width="13.5" style="451" customWidth="1"/>
    <col min="15122" max="15122" width="16.125" style="451" bestFit="1" customWidth="1"/>
    <col min="15123" max="15123" width="13.875" style="451" bestFit="1" customWidth="1"/>
    <col min="15124" max="15124" width="7.5" style="451" bestFit="1" customWidth="1"/>
    <col min="15125" max="15125" width="13.875" style="451" customWidth="1"/>
    <col min="15126" max="15127" width="15.625" style="451" customWidth="1"/>
    <col min="15128" max="15360" width="9" style="451"/>
    <col min="15361" max="15361" width="8.5" style="451" customWidth="1"/>
    <col min="15362" max="15362" width="6.375" style="451" customWidth="1"/>
    <col min="15363" max="15363" width="6.625" style="451" customWidth="1"/>
    <col min="15364" max="15364" width="5.125" style="451" customWidth="1"/>
    <col min="15365" max="15365" width="6.5" style="451" customWidth="1"/>
    <col min="15366" max="15366" width="5.375" style="451" customWidth="1"/>
    <col min="15367" max="15367" width="4.625" style="451" customWidth="1"/>
    <col min="15368" max="15368" width="8.625" style="451" customWidth="1"/>
    <col min="15369" max="15369" width="19.875" style="451" customWidth="1"/>
    <col min="15370" max="15370" width="9" style="451"/>
    <col min="15371" max="15371" width="9.875" style="451" customWidth="1"/>
    <col min="15372" max="15372" width="8.875" style="451" customWidth="1"/>
    <col min="15373" max="15373" width="8.625" style="451" customWidth="1"/>
    <col min="15374" max="15374" width="8" style="451" customWidth="1"/>
    <col min="15375" max="15375" width="8.625" style="451" customWidth="1"/>
    <col min="15376" max="15376" width="9" style="451" customWidth="1"/>
    <col min="15377" max="15377" width="13.5" style="451" customWidth="1"/>
    <col min="15378" max="15378" width="16.125" style="451" bestFit="1" customWidth="1"/>
    <col min="15379" max="15379" width="13.875" style="451" bestFit="1" customWidth="1"/>
    <col min="15380" max="15380" width="7.5" style="451" bestFit="1" customWidth="1"/>
    <col min="15381" max="15381" width="13.875" style="451" customWidth="1"/>
    <col min="15382" max="15383" width="15.625" style="451" customWidth="1"/>
    <col min="15384" max="15616" width="9" style="451"/>
    <col min="15617" max="15617" width="8.5" style="451" customWidth="1"/>
    <col min="15618" max="15618" width="6.375" style="451" customWidth="1"/>
    <col min="15619" max="15619" width="6.625" style="451" customWidth="1"/>
    <col min="15620" max="15620" width="5.125" style="451" customWidth="1"/>
    <col min="15621" max="15621" width="6.5" style="451" customWidth="1"/>
    <col min="15622" max="15622" width="5.375" style="451" customWidth="1"/>
    <col min="15623" max="15623" width="4.625" style="451" customWidth="1"/>
    <col min="15624" max="15624" width="8.625" style="451" customWidth="1"/>
    <col min="15625" max="15625" width="19.875" style="451" customWidth="1"/>
    <col min="15626" max="15626" width="9" style="451"/>
    <col min="15627" max="15627" width="9.875" style="451" customWidth="1"/>
    <col min="15628" max="15628" width="8.875" style="451" customWidth="1"/>
    <col min="15629" max="15629" width="8.625" style="451" customWidth="1"/>
    <col min="15630" max="15630" width="8" style="451" customWidth="1"/>
    <col min="15631" max="15631" width="8.625" style="451" customWidth="1"/>
    <col min="15632" max="15632" width="9" style="451" customWidth="1"/>
    <col min="15633" max="15633" width="13.5" style="451" customWidth="1"/>
    <col min="15634" max="15634" width="16.125" style="451" bestFit="1" customWidth="1"/>
    <col min="15635" max="15635" width="13.875" style="451" bestFit="1" customWidth="1"/>
    <col min="15636" max="15636" width="7.5" style="451" bestFit="1" customWidth="1"/>
    <col min="15637" max="15637" width="13.875" style="451" customWidth="1"/>
    <col min="15638" max="15639" width="15.625" style="451" customWidth="1"/>
    <col min="15640" max="15872" width="9" style="451"/>
    <col min="15873" max="15873" width="8.5" style="451" customWidth="1"/>
    <col min="15874" max="15874" width="6.375" style="451" customWidth="1"/>
    <col min="15875" max="15875" width="6.625" style="451" customWidth="1"/>
    <col min="15876" max="15876" width="5.125" style="451" customWidth="1"/>
    <col min="15877" max="15877" width="6.5" style="451" customWidth="1"/>
    <col min="15878" max="15878" width="5.375" style="451" customWidth="1"/>
    <col min="15879" max="15879" width="4.625" style="451" customWidth="1"/>
    <col min="15880" max="15880" width="8.625" style="451" customWidth="1"/>
    <col min="15881" max="15881" width="19.875" style="451" customWidth="1"/>
    <col min="15882" max="15882" width="9" style="451"/>
    <col min="15883" max="15883" width="9.875" style="451" customWidth="1"/>
    <col min="15884" max="15884" width="8.875" style="451" customWidth="1"/>
    <col min="15885" max="15885" width="8.625" style="451" customWidth="1"/>
    <col min="15886" max="15886" width="8" style="451" customWidth="1"/>
    <col min="15887" max="15887" width="8.625" style="451" customWidth="1"/>
    <col min="15888" max="15888" width="9" style="451" customWidth="1"/>
    <col min="15889" max="15889" width="13.5" style="451" customWidth="1"/>
    <col min="15890" max="15890" width="16.125" style="451" bestFit="1" customWidth="1"/>
    <col min="15891" max="15891" width="13.875" style="451" bestFit="1" customWidth="1"/>
    <col min="15892" max="15892" width="7.5" style="451" bestFit="1" customWidth="1"/>
    <col min="15893" max="15893" width="13.875" style="451" customWidth="1"/>
    <col min="15894" max="15895" width="15.625" style="451" customWidth="1"/>
    <col min="15896" max="16128" width="9" style="451"/>
    <col min="16129" max="16129" width="8.5" style="451" customWidth="1"/>
    <col min="16130" max="16130" width="6.375" style="451" customWidth="1"/>
    <col min="16131" max="16131" width="6.625" style="451" customWidth="1"/>
    <col min="16132" max="16132" width="5.125" style="451" customWidth="1"/>
    <col min="16133" max="16133" width="6.5" style="451" customWidth="1"/>
    <col min="16134" max="16134" width="5.375" style="451" customWidth="1"/>
    <col min="16135" max="16135" width="4.625" style="451" customWidth="1"/>
    <col min="16136" max="16136" width="8.625" style="451" customWidth="1"/>
    <col min="16137" max="16137" width="19.875" style="451" customWidth="1"/>
    <col min="16138" max="16138" width="9" style="451"/>
    <col min="16139" max="16139" width="9.875" style="451" customWidth="1"/>
    <col min="16140" max="16140" width="8.875" style="451" customWidth="1"/>
    <col min="16141" max="16141" width="8.625" style="451" customWidth="1"/>
    <col min="16142" max="16142" width="8" style="451" customWidth="1"/>
    <col min="16143" max="16143" width="8.625" style="451" customWidth="1"/>
    <col min="16144" max="16144" width="9" style="451" customWidth="1"/>
    <col min="16145" max="16145" width="13.5" style="451" customWidth="1"/>
    <col min="16146" max="16146" width="16.125" style="451" bestFit="1" customWidth="1"/>
    <col min="16147" max="16147" width="13.875" style="451" bestFit="1" customWidth="1"/>
    <col min="16148" max="16148" width="7.5" style="451" bestFit="1" customWidth="1"/>
    <col min="16149" max="16149" width="13.875" style="451" customWidth="1"/>
    <col min="16150" max="16151" width="15.625" style="451" customWidth="1"/>
    <col min="16152" max="16384" width="9" style="451"/>
  </cols>
  <sheetData>
    <row r="1" spans="1:31" ht="21">
      <c r="A1" s="988" t="s">
        <v>1093</v>
      </c>
      <c r="B1" s="989"/>
      <c r="C1" s="989"/>
      <c r="D1" s="989"/>
      <c r="E1" s="989"/>
      <c r="F1" s="989"/>
      <c r="G1" s="989"/>
      <c r="H1" s="989"/>
      <c r="I1" s="989"/>
      <c r="J1" s="989"/>
      <c r="K1" s="989"/>
      <c r="L1" s="989"/>
      <c r="M1" s="990"/>
      <c r="S1" s="454"/>
      <c r="T1" s="454"/>
      <c r="U1" s="454"/>
      <c r="V1" s="454"/>
    </row>
    <row r="2" spans="1:31">
      <c r="A2" s="491" t="s">
        <v>758</v>
      </c>
      <c r="B2" s="491" t="str">
        <f>下料单!C2</f>
        <v>赵蕊</v>
      </c>
      <c r="C2" s="491" t="s">
        <v>1092</v>
      </c>
      <c r="D2" s="491" t="str">
        <f>下料单!W2</f>
        <v>廊坊</v>
      </c>
      <c r="E2" s="491"/>
      <c r="F2" s="491" t="s">
        <v>1091</v>
      </c>
      <c r="G2" s="491" t="s">
        <v>1090</v>
      </c>
      <c r="H2" s="491"/>
      <c r="I2" s="491"/>
      <c r="J2" s="491" t="s">
        <v>1089</v>
      </c>
      <c r="K2" s="491">
        <f>下料单!H2</f>
        <v>15530608063</v>
      </c>
      <c r="L2" s="491" t="s">
        <v>1088</v>
      </c>
      <c r="M2" s="491">
        <f>下料单!R2</f>
        <v>123</v>
      </c>
      <c r="S2" s="454"/>
      <c r="U2" s="454"/>
      <c r="V2" s="454"/>
    </row>
    <row r="3" spans="1:31">
      <c r="A3" s="491" t="s">
        <v>1087</v>
      </c>
      <c r="B3" s="992" t="s">
        <v>1086</v>
      </c>
      <c r="C3" s="993"/>
      <c r="D3" s="503"/>
      <c r="E3" s="503"/>
      <c r="F3" s="503" t="s">
        <v>1085</v>
      </c>
      <c r="G3" s="507" t="str">
        <f>W22</f>
        <v>香草天空Ⅱ</v>
      </c>
      <c r="H3" s="503" t="s">
        <v>1070</v>
      </c>
      <c r="I3" s="506">
        <f>Q51</f>
        <v>2</v>
      </c>
      <c r="J3" s="505" t="s">
        <v>759</v>
      </c>
      <c r="K3" s="504">
        <f>下料单!AB2</f>
        <v>43129</v>
      </c>
      <c r="L3" s="503" t="s">
        <v>760</v>
      </c>
      <c r="M3" s="569">
        <f>下料单!AG2</f>
        <v>43169</v>
      </c>
      <c r="U3" s="454"/>
      <c r="V3" s="454"/>
    </row>
    <row r="4" spans="1:31">
      <c r="A4" s="502" t="s">
        <v>1084</v>
      </c>
      <c r="B4" s="502" t="s">
        <v>1083</v>
      </c>
      <c r="C4" s="501"/>
      <c r="D4" s="500"/>
      <c r="E4" s="500"/>
      <c r="F4" s="500"/>
      <c r="G4" s="500"/>
      <c r="H4" s="500"/>
      <c r="I4" s="500"/>
      <c r="J4" s="500"/>
      <c r="K4" s="500"/>
      <c r="L4" s="499"/>
      <c r="M4" s="498"/>
      <c r="N4" s="454"/>
      <c r="O4" s="454"/>
      <c r="P4" s="454"/>
      <c r="U4" s="454"/>
      <c r="V4" s="454"/>
      <c r="W4" s="496"/>
      <c r="X4" s="497"/>
      <c r="Y4" s="496"/>
      <c r="Z4" s="496"/>
      <c r="AA4" s="496"/>
      <c r="AB4" s="496"/>
      <c r="AC4" s="495"/>
      <c r="AD4" s="480"/>
      <c r="AE4" s="494"/>
    </row>
    <row r="5" spans="1:31">
      <c r="A5" s="491" t="s">
        <v>1082</v>
      </c>
      <c r="B5" s="994" t="s">
        <v>1081</v>
      </c>
      <c r="C5" s="995"/>
      <c r="D5" s="996"/>
      <c r="E5" s="492"/>
      <c r="F5" s="995" t="s">
        <v>1080</v>
      </c>
      <c r="G5" s="995"/>
      <c r="H5" s="995"/>
      <c r="I5" s="996"/>
      <c r="J5" s="997" t="s">
        <v>1079</v>
      </c>
      <c r="K5" s="998"/>
      <c r="L5" s="998"/>
      <c r="M5" s="999"/>
      <c r="N5" s="454"/>
      <c r="O5" s="454"/>
      <c r="P5" s="454"/>
      <c r="Q5" s="454"/>
      <c r="R5" s="454"/>
      <c r="S5" s="454"/>
      <c r="T5" s="454"/>
      <c r="U5" s="454"/>
      <c r="V5" s="454"/>
      <c r="W5" s="481"/>
      <c r="X5" s="483"/>
      <c r="Y5" s="482"/>
      <c r="Z5" s="481"/>
      <c r="AA5" s="481"/>
      <c r="AB5" s="481"/>
      <c r="AC5" s="481"/>
      <c r="AD5" s="480"/>
      <c r="AE5" s="479"/>
    </row>
    <row r="6" spans="1:31">
      <c r="A6" s="491" t="s">
        <v>1078</v>
      </c>
      <c r="B6" s="491" t="s">
        <v>233</v>
      </c>
      <c r="C6" s="491" t="s">
        <v>1074</v>
      </c>
      <c r="D6" s="491" t="s">
        <v>1073</v>
      </c>
      <c r="E6" s="493" t="s">
        <v>1077</v>
      </c>
      <c r="F6" s="493" t="s">
        <v>1076</v>
      </c>
      <c r="G6" s="493" t="s">
        <v>1075</v>
      </c>
      <c r="H6" s="493" t="s">
        <v>1074</v>
      </c>
      <c r="I6" s="493" t="s">
        <v>1073</v>
      </c>
      <c r="J6" s="388" t="s">
        <v>512</v>
      </c>
      <c r="K6" s="387" t="s">
        <v>951</v>
      </c>
      <c r="L6" s="387" t="s">
        <v>950</v>
      </c>
      <c r="M6" s="387" t="s">
        <v>949</v>
      </c>
      <c r="N6" s="461" t="s">
        <v>949</v>
      </c>
      <c r="O6" s="491" t="s">
        <v>1072</v>
      </c>
      <c r="P6" s="491" t="s">
        <v>1071</v>
      </c>
      <c r="Q6" s="115" t="s">
        <v>1070</v>
      </c>
      <c r="R6" s="323"/>
      <c r="S6" s="323"/>
      <c r="T6" s="323"/>
      <c r="U6" s="323"/>
      <c r="V6" s="115" t="s">
        <v>1069</v>
      </c>
      <c r="W6" s="481"/>
      <c r="X6" s="483"/>
      <c r="Y6" s="482"/>
      <c r="Z6" s="481"/>
      <c r="AA6" s="481"/>
      <c r="AB6" s="481"/>
      <c r="AC6" s="481"/>
      <c r="AD6" s="480"/>
      <c r="AE6" s="479"/>
    </row>
    <row r="7" spans="1:31" ht="33">
      <c r="A7" s="541" t="s">
        <v>1068</v>
      </c>
      <c r="B7" s="490"/>
      <c r="C7" s="490"/>
      <c r="D7" s="467"/>
      <c r="E7" s="467"/>
      <c r="F7" s="467"/>
      <c r="G7" s="467">
        <f>+B7+2</f>
        <v>2</v>
      </c>
      <c r="H7" s="467">
        <f>+C7+2</f>
        <v>2</v>
      </c>
      <c r="I7" s="467">
        <f>+D7</f>
        <v>0</v>
      </c>
      <c r="J7" s="489" t="s">
        <v>1067</v>
      </c>
      <c r="K7" s="488"/>
      <c r="L7" s="488"/>
      <c r="M7" s="542" t="str">
        <f>IF(L7="","",VLOOKUP(L7,$A$60:$B$101,2,0))</f>
        <v/>
      </c>
      <c r="N7" s="454">
        <f t="shared" ref="N7:N47" si="0">B7*C7*D7/1000000</f>
        <v>0</v>
      </c>
      <c r="O7" s="454">
        <f>B7*C7*D7/1000000/1.22/2.44/0.85</f>
        <v>0</v>
      </c>
      <c r="P7" s="454">
        <f>(B7+C7)*2*I7/1000/0.8</f>
        <v>0</v>
      </c>
      <c r="Q7" s="454">
        <f t="shared" ref="Q7:Q45" si="1">I7</f>
        <v>0</v>
      </c>
      <c r="R7" s="323"/>
      <c r="S7" s="323"/>
      <c r="T7" s="323"/>
      <c r="U7" s="323"/>
      <c r="V7" s="454"/>
      <c r="W7" s="481"/>
      <c r="X7" s="483"/>
      <c r="Y7" s="482"/>
      <c r="Z7" s="481"/>
      <c r="AA7" s="481"/>
      <c r="AB7" s="481"/>
      <c r="AC7" s="481"/>
      <c r="AD7" s="480"/>
      <c r="AE7" s="479"/>
    </row>
    <row r="8" spans="1:31" ht="33">
      <c r="A8" s="543" t="s">
        <v>1066</v>
      </c>
      <c r="B8" s="486"/>
      <c r="C8" s="486"/>
      <c r="D8" s="486"/>
      <c r="E8" s="467"/>
      <c r="F8" s="486"/>
      <c r="G8" s="486">
        <f>+B8</f>
        <v>0</v>
      </c>
      <c r="H8" s="486">
        <f>+C8</f>
        <v>0</v>
      </c>
      <c r="I8" s="486">
        <f>+D8</f>
        <v>0</v>
      </c>
      <c r="J8" s="487" t="s">
        <v>1065</v>
      </c>
      <c r="K8" s="488"/>
      <c r="L8" s="488"/>
      <c r="M8" s="542" t="str">
        <f t="shared" ref="M8:M50" si="2">IF(L8="","",VLOOKUP(L8,$A$60:$B$101,2,0))</f>
        <v/>
      </c>
      <c r="N8" s="454">
        <f t="shared" si="0"/>
        <v>0</v>
      </c>
      <c r="O8" s="454">
        <f t="shared" ref="O8:O50" si="3">B8*C8*D8/1000000/1.22/2.44/0.85</f>
        <v>0</v>
      </c>
      <c r="P8" s="454">
        <f>(B8+C8)*2*I8/1000/0.8</f>
        <v>0</v>
      </c>
      <c r="Q8" s="454">
        <f t="shared" si="1"/>
        <v>0</v>
      </c>
      <c r="R8" s="323"/>
      <c r="S8" s="323"/>
      <c r="T8" s="323"/>
      <c r="U8" s="323"/>
      <c r="V8" s="454"/>
      <c r="W8" s="481"/>
      <c r="X8" s="483"/>
      <c r="Y8" s="482"/>
      <c r="Z8" s="481"/>
      <c r="AA8" s="481"/>
      <c r="AB8" s="481"/>
      <c r="AC8" s="481"/>
      <c r="AD8" s="480"/>
      <c r="AE8" s="479"/>
    </row>
    <row r="9" spans="1:31">
      <c r="A9" s="544" t="s">
        <v>1064</v>
      </c>
      <c r="B9" s="486"/>
      <c r="C9" s="486"/>
      <c r="D9" s="486"/>
      <c r="E9" s="467"/>
      <c r="F9" s="486"/>
      <c r="G9" s="486">
        <f>+B9</f>
        <v>0</v>
      </c>
      <c r="H9" s="486">
        <f>+C9</f>
        <v>0</v>
      </c>
      <c r="I9" s="486">
        <f>+D9</f>
        <v>0</v>
      </c>
      <c r="J9" s="484"/>
      <c r="K9" s="488"/>
      <c r="L9" s="488"/>
      <c r="M9" s="542" t="str">
        <f t="shared" si="2"/>
        <v/>
      </c>
      <c r="N9" s="454">
        <f t="shared" si="0"/>
        <v>0</v>
      </c>
      <c r="O9" s="454">
        <f t="shared" si="3"/>
        <v>0</v>
      </c>
      <c r="P9" s="454">
        <f>(B9+C9)*2*I9/1000/0.8</f>
        <v>0</v>
      </c>
      <c r="Q9" s="454">
        <f t="shared" si="1"/>
        <v>0</v>
      </c>
      <c r="R9" s="323"/>
      <c r="S9" s="323"/>
      <c r="T9" s="323"/>
      <c r="U9" s="323"/>
      <c r="V9" s="454"/>
      <c r="W9" s="481"/>
      <c r="X9" s="483"/>
      <c r="Y9" s="482"/>
      <c r="Z9" s="481"/>
      <c r="AA9" s="481"/>
      <c r="AB9" s="481"/>
      <c r="AC9" s="481"/>
      <c r="AD9" s="480"/>
      <c r="AE9" s="479"/>
    </row>
    <row r="10" spans="1:31">
      <c r="A10" s="545"/>
      <c r="B10" s="466"/>
      <c r="C10" s="466"/>
      <c r="D10" s="466"/>
      <c r="E10" s="467"/>
      <c r="F10" s="466"/>
      <c r="G10" s="466" t="str">
        <f t="shared" ref="G10:G28" si="4">IF(B10&gt;0,IF(J10="平板无刀型",B10,B10+$Y$22),"")</f>
        <v/>
      </c>
      <c r="H10" s="466" t="str">
        <f t="shared" ref="H10:H28" si="5">IF(C10&gt;0,IF(J10="平板无刀型",C10,C10+$Y$24),"")</f>
        <v/>
      </c>
      <c r="I10" s="466" t="str">
        <f t="shared" ref="I10:I28" si="6">+IF(D10&gt;0,D10,"")</f>
        <v/>
      </c>
      <c r="J10" s="466"/>
      <c r="K10" s="488"/>
      <c r="L10" s="488"/>
      <c r="M10" s="542" t="str">
        <f t="shared" si="2"/>
        <v/>
      </c>
      <c r="N10" s="454">
        <f t="shared" si="0"/>
        <v>0</v>
      </c>
      <c r="O10" s="454">
        <f t="shared" si="3"/>
        <v>0</v>
      </c>
      <c r="P10" s="454"/>
      <c r="Q10" s="454" t="str">
        <f t="shared" si="1"/>
        <v/>
      </c>
      <c r="R10" s="323"/>
      <c r="S10" s="323"/>
      <c r="T10" s="323"/>
      <c r="U10" s="323"/>
      <c r="V10" s="454">
        <f t="shared" ref="V10:V39" si="7">IF($B$3="通长铝拉手",B10*D10/0.9/1000,0)</f>
        <v>0</v>
      </c>
      <c r="W10" s="481"/>
      <c r="X10" s="483"/>
      <c r="Y10" s="482"/>
      <c r="Z10" s="481"/>
      <c r="AA10" s="481"/>
      <c r="AB10" s="481"/>
      <c r="AC10" s="481"/>
      <c r="AD10" s="480"/>
      <c r="AE10" s="479"/>
    </row>
    <row r="11" spans="1:31">
      <c r="A11" s="545"/>
      <c r="B11" s="466"/>
      <c r="C11" s="466"/>
      <c r="D11" s="466"/>
      <c r="E11" s="467"/>
      <c r="F11" s="466"/>
      <c r="G11" s="466" t="str">
        <f t="shared" si="4"/>
        <v/>
      </c>
      <c r="H11" s="466" t="str">
        <f t="shared" si="5"/>
        <v/>
      </c>
      <c r="I11" s="466" t="str">
        <f t="shared" si="6"/>
        <v/>
      </c>
      <c r="J11" s="466"/>
      <c r="K11" s="488"/>
      <c r="L11" s="488"/>
      <c r="M11" s="542" t="str">
        <f t="shared" si="2"/>
        <v/>
      </c>
      <c r="N11" s="454">
        <f t="shared" si="0"/>
        <v>0</v>
      </c>
      <c r="O11" s="454">
        <f t="shared" si="3"/>
        <v>0</v>
      </c>
      <c r="P11" s="454"/>
      <c r="Q11" s="454" t="str">
        <f t="shared" si="1"/>
        <v/>
      </c>
      <c r="R11" s="323"/>
      <c r="S11" s="323"/>
      <c r="T11" s="323"/>
      <c r="U11" s="323"/>
      <c r="V11" s="454">
        <f t="shared" si="7"/>
        <v>0</v>
      </c>
      <c r="W11" s="481"/>
      <c r="X11" s="483"/>
      <c r="Y11" s="482"/>
      <c r="Z11" s="481"/>
      <c r="AA11" s="481"/>
      <c r="AB11" s="481"/>
      <c r="AC11" s="481"/>
      <c r="AD11" s="480"/>
      <c r="AE11" s="479"/>
    </row>
    <row r="12" spans="1:31">
      <c r="A12" s="545"/>
      <c r="B12" s="466"/>
      <c r="C12" s="466"/>
      <c r="D12" s="466"/>
      <c r="E12" s="467"/>
      <c r="F12" s="466"/>
      <c r="G12" s="466" t="str">
        <f t="shared" si="4"/>
        <v/>
      </c>
      <c r="H12" s="466" t="str">
        <f t="shared" si="5"/>
        <v/>
      </c>
      <c r="I12" s="466" t="str">
        <f t="shared" si="6"/>
        <v/>
      </c>
      <c r="J12" s="466"/>
      <c r="K12" s="488"/>
      <c r="L12" s="488"/>
      <c r="M12" s="542" t="str">
        <f t="shared" si="2"/>
        <v/>
      </c>
      <c r="N12" s="454">
        <f t="shared" si="0"/>
        <v>0</v>
      </c>
      <c r="O12" s="454">
        <f t="shared" si="3"/>
        <v>0</v>
      </c>
      <c r="P12" s="454"/>
      <c r="Q12" s="454" t="str">
        <f t="shared" si="1"/>
        <v/>
      </c>
      <c r="R12" s="323"/>
      <c r="S12" s="323"/>
      <c r="T12" s="323"/>
      <c r="U12" s="323"/>
      <c r="V12" s="454">
        <f t="shared" si="7"/>
        <v>0</v>
      </c>
      <c r="W12" s="481"/>
      <c r="X12" s="483"/>
      <c r="Y12" s="482"/>
      <c r="Z12" s="481"/>
      <c r="AA12" s="481"/>
      <c r="AB12" s="481"/>
      <c r="AC12" s="481"/>
      <c r="AD12" s="480"/>
      <c r="AE12" s="479"/>
    </row>
    <row r="13" spans="1:31">
      <c r="A13" s="545"/>
      <c r="B13" s="466"/>
      <c r="C13" s="466"/>
      <c r="D13" s="466"/>
      <c r="E13" s="467"/>
      <c r="F13" s="466"/>
      <c r="G13" s="466" t="str">
        <f t="shared" si="4"/>
        <v/>
      </c>
      <c r="H13" s="466" t="str">
        <f t="shared" si="5"/>
        <v/>
      </c>
      <c r="I13" s="466" t="str">
        <f t="shared" si="6"/>
        <v/>
      </c>
      <c r="J13" s="466"/>
      <c r="K13" s="488"/>
      <c r="L13" s="488"/>
      <c r="M13" s="542" t="str">
        <f t="shared" si="2"/>
        <v/>
      </c>
      <c r="N13" s="454">
        <f t="shared" si="0"/>
        <v>0</v>
      </c>
      <c r="O13" s="454">
        <f t="shared" si="3"/>
        <v>0</v>
      </c>
      <c r="P13" s="454"/>
      <c r="Q13" s="454" t="str">
        <f t="shared" si="1"/>
        <v/>
      </c>
      <c r="R13" s="323"/>
      <c r="S13" s="323"/>
      <c r="T13" s="323"/>
      <c r="U13" s="323"/>
      <c r="V13" s="454">
        <f t="shared" si="7"/>
        <v>0</v>
      </c>
      <c r="W13" s="481"/>
      <c r="X13" s="483"/>
      <c r="Y13" s="482"/>
      <c r="Z13" s="481"/>
      <c r="AA13" s="481"/>
      <c r="AB13" s="481"/>
      <c r="AC13" s="481"/>
      <c r="AD13" s="480"/>
      <c r="AE13" s="479"/>
    </row>
    <row r="14" spans="1:31">
      <c r="A14" s="545"/>
      <c r="B14" s="466"/>
      <c r="C14" s="466"/>
      <c r="D14" s="466"/>
      <c r="E14" s="467"/>
      <c r="F14" s="466"/>
      <c r="G14" s="466" t="str">
        <f t="shared" si="4"/>
        <v/>
      </c>
      <c r="H14" s="466" t="str">
        <f t="shared" si="5"/>
        <v/>
      </c>
      <c r="I14" s="466" t="str">
        <f t="shared" si="6"/>
        <v/>
      </c>
      <c r="J14" s="466"/>
      <c r="K14" s="488"/>
      <c r="L14" s="488"/>
      <c r="M14" s="542" t="str">
        <f t="shared" si="2"/>
        <v/>
      </c>
      <c r="N14" s="454">
        <f t="shared" si="0"/>
        <v>0</v>
      </c>
      <c r="O14" s="454">
        <f t="shared" si="3"/>
        <v>0</v>
      </c>
      <c r="P14" s="454"/>
      <c r="Q14" s="454" t="str">
        <f t="shared" si="1"/>
        <v/>
      </c>
      <c r="R14" s="323"/>
      <c r="S14" s="323"/>
      <c r="T14" s="323"/>
      <c r="U14" s="323"/>
      <c r="V14" s="454">
        <f t="shared" si="7"/>
        <v>0</v>
      </c>
      <c r="W14" s="323"/>
      <c r="X14" s="478"/>
      <c r="Y14" s="323"/>
      <c r="Z14" s="323"/>
      <c r="AA14" s="323"/>
      <c r="AB14" s="323"/>
      <c r="AC14" s="456"/>
      <c r="AD14" s="457"/>
      <c r="AE14" s="477"/>
    </row>
    <row r="15" spans="1:31">
      <c r="A15" s="545"/>
      <c r="B15" s="466"/>
      <c r="C15" s="466"/>
      <c r="D15" s="466"/>
      <c r="E15" s="467"/>
      <c r="F15" s="466"/>
      <c r="G15" s="466" t="str">
        <f t="shared" si="4"/>
        <v/>
      </c>
      <c r="H15" s="466" t="str">
        <f t="shared" si="5"/>
        <v/>
      </c>
      <c r="I15" s="466" t="str">
        <f t="shared" si="6"/>
        <v/>
      </c>
      <c r="J15" s="466"/>
      <c r="K15" s="488"/>
      <c r="L15" s="488"/>
      <c r="M15" s="542" t="str">
        <f t="shared" si="2"/>
        <v/>
      </c>
      <c r="N15" s="454">
        <f t="shared" si="0"/>
        <v>0</v>
      </c>
      <c r="O15" s="454">
        <f t="shared" si="3"/>
        <v>0</v>
      </c>
      <c r="P15" s="454"/>
      <c r="Q15" s="454" t="str">
        <f t="shared" si="1"/>
        <v/>
      </c>
      <c r="R15" s="323"/>
      <c r="S15" s="323"/>
      <c r="T15" s="323"/>
      <c r="U15" s="323"/>
      <c r="V15" s="454">
        <f t="shared" si="7"/>
        <v>0</v>
      </c>
      <c r="W15" s="323"/>
      <c r="X15" s="478"/>
      <c r="Y15" s="323"/>
      <c r="Z15" s="323"/>
      <c r="AA15" s="323"/>
      <c r="AB15" s="323"/>
      <c r="AC15" s="456"/>
      <c r="AD15" s="457"/>
      <c r="AE15" s="477"/>
    </row>
    <row r="16" spans="1:31">
      <c r="A16" s="545"/>
      <c r="B16" s="466"/>
      <c r="C16" s="466"/>
      <c r="D16" s="466"/>
      <c r="E16" s="467"/>
      <c r="F16" s="466"/>
      <c r="G16" s="466" t="str">
        <f t="shared" si="4"/>
        <v/>
      </c>
      <c r="H16" s="466" t="str">
        <f t="shared" si="5"/>
        <v/>
      </c>
      <c r="I16" s="466" t="str">
        <f t="shared" si="6"/>
        <v/>
      </c>
      <c r="J16" s="466"/>
      <c r="K16" s="488"/>
      <c r="L16" s="488"/>
      <c r="M16" s="542" t="str">
        <f t="shared" si="2"/>
        <v/>
      </c>
      <c r="N16" s="454">
        <f t="shared" si="0"/>
        <v>0</v>
      </c>
      <c r="O16" s="454">
        <f t="shared" si="3"/>
        <v>0</v>
      </c>
      <c r="P16" s="454"/>
      <c r="Q16" s="454" t="str">
        <f t="shared" si="1"/>
        <v/>
      </c>
      <c r="R16" s="323"/>
      <c r="S16" s="323"/>
      <c r="T16" s="323"/>
      <c r="U16" s="323"/>
      <c r="V16" s="454">
        <f t="shared" si="7"/>
        <v>0</v>
      </c>
    </row>
    <row r="17" spans="1:28">
      <c r="A17" s="545"/>
      <c r="B17" s="466"/>
      <c r="C17" s="466"/>
      <c r="D17" s="466"/>
      <c r="E17" s="467"/>
      <c r="F17" s="466"/>
      <c r="G17" s="466" t="str">
        <f t="shared" si="4"/>
        <v/>
      </c>
      <c r="H17" s="466" t="str">
        <f t="shared" si="5"/>
        <v/>
      </c>
      <c r="I17" s="466" t="str">
        <f t="shared" si="6"/>
        <v/>
      </c>
      <c r="J17" s="466"/>
      <c r="K17" s="488"/>
      <c r="L17" s="488"/>
      <c r="M17" s="542" t="str">
        <f t="shared" si="2"/>
        <v/>
      </c>
      <c r="N17" s="454">
        <f t="shared" si="0"/>
        <v>0</v>
      </c>
      <c r="O17" s="454">
        <f t="shared" si="3"/>
        <v>0</v>
      </c>
      <c r="P17" s="454"/>
      <c r="Q17" s="454" t="str">
        <f t="shared" si="1"/>
        <v/>
      </c>
      <c r="R17" s="323"/>
      <c r="S17" s="323"/>
      <c r="T17" s="323"/>
      <c r="U17" s="323"/>
      <c r="V17" s="454">
        <f t="shared" si="7"/>
        <v>0</v>
      </c>
    </row>
    <row r="18" spans="1:28">
      <c r="A18" s="545"/>
      <c r="B18" s="466"/>
      <c r="C18" s="466"/>
      <c r="D18" s="466"/>
      <c r="E18" s="467"/>
      <c r="F18" s="466"/>
      <c r="G18" s="466" t="str">
        <f t="shared" si="4"/>
        <v/>
      </c>
      <c r="H18" s="466" t="str">
        <f t="shared" si="5"/>
        <v/>
      </c>
      <c r="I18" s="466" t="str">
        <f t="shared" si="6"/>
        <v/>
      </c>
      <c r="J18" s="466"/>
      <c r="K18" s="488"/>
      <c r="L18" s="488"/>
      <c r="M18" s="542" t="str">
        <f t="shared" si="2"/>
        <v/>
      </c>
      <c r="N18" s="454">
        <f t="shared" si="0"/>
        <v>0</v>
      </c>
      <c r="O18" s="454">
        <f t="shared" si="3"/>
        <v>0</v>
      </c>
      <c r="P18" s="454"/>
      <c r="Q18" s="454" t="str">
        <f t="shared" si="1"/>
        <v/>
      </c>
      <c r="R18" s="323"/>
      <c r="S18" s="323"/>
      <c r="T18" s="323"/>
      <c r="U18" s="323"/>
      <c r="V18" s="454">
        <f t="shared" si="7"/>
        <v>0</v>
      </c>
      <c r="X18" s="476"/>
    </row>
    <row r="19" spans="1:28">
      <c r="A19" s="545"/>
      <c r="B19" s="466"/>
      <c r="C19" s="466"/>
      <c r="D19" s="466"/>
      <c r="E19" s="467"/>
      <c r="F19" s="466"/>
      <c r="G19" s="466" t="str">
        <f t="shared" si="4"/>
        <v/>
      </c>
      <c r="H19" s="466" t="str">
        <f t="shared" si="5"/>
        <v/>
      </c>
      <c r="I19" s="466" t="str">
        <f t="shared" si="6"/>
        <v/>
      </c>
      <c r="J19" s="466"/>
      <c r="K19" s="488"/>
      <c r="L19" s="488"/>
      <c r="M19" s="542" t="str">
        <f t="shared" si="2"/>
        <v/>
      </c>
      <c r="N19" s="454">
        <f t="shared" si="0"/>
        <v>0</v>
      </c>
      <c r="O19" s="454">
        <f t="shared" si="3"/>
        <v>0</v>
      </c>
      <c r="P19" s="454"/>
      <c r="Q19" s="454" t="str">
        <f t="shared" si="1"/>
        <v/>
      </c>
      <c r="R19" s="323"/>
      <c r="S19" s="323"/>
      <c r="T19" s="323"/>
      <c r="U19" s="323"/>
      <c r="V19" s="454">
        <f t="shared" si="7"/>
        <v>0</v>
      </c>
    </row>
    <row r="20" spans="1:28">
      <c r="A20" s="545"/>
      <c r="B20" s="466"/>
      <c r="C20" s="466"/>
      <c r="D20" s="466"/>
      <c r="E20" s="467"/>
      <c r="F20" s="466"/>
      <c r="G20" s="466" t="str">
        <f t="shared" si="4"/>
        <v/>
      </c>
      <c r="H20" s="466" t="str">
        <f t="shared" si="5"/>
        <v/>
      </c>
      <c r="I20" s="466" t="str">
        <f t="shared" si="6"/>
        <v/>
      </c>
      <c r="J20" s="466"/>
      <c r="K20" s="488"/>
      <c r="L20" s="488"/>
      <c r="M20" s="542" t="str">
        <f t="shared" si="2"/>
        <v/>
      </c>
      <c r="N20" s="454">
        <f t="shared" si="0"/>
        <v>0</v>
      </c>
      <c r="O20" s="454">
        <f t="shared" si="3"/>
        <v>0</v>
      </c>
      <c r="P20" s="454"/>
      <c r="Q20" s="454" t="str">
        <f t="shared" si="1"/>
        <v/>
      </c>
      <c r="R20" s="323"/>
      <c r="S20" s="323"/>
      <c r="T20" s="323"/>
      <c r="U20" s="323"/>
      <c r="V20" s="454">
        <f t="shared" si="7"/>
        <v>0</v>
      </c>
    </row>
    <row r="21" spans="1:28">
      <c r="A21" s="545"/>
      <c r="B21" s="466"/>
      <c r="C21" s="466"/>
      <c r="D21" s="466"/>
      <c r="E21" s="467"/>
      <c r="F21" s="466"/>
      <c r="G21" s="466" t="str">
        <f t="shared" si="4"/>
        <v/>
      </c>
      <c r="H21" s="466" t="str">
        <f t="shared" si="5"/>
        <v/>
      </c>
      <c r="I21" s="466" t="str">
        <f t="shared" si="6"/>
        <v/>
      </c>
      <c r="J21" s="466"/>
      <c r="K21" s="488"/>
      <c r="L21" s="488"/>
      <c r="M21" s="542" t="str">
        <f t="shared" si="2"/>
        <v/>
      </c>
      <c r="N21" s="454">
        <f t="shared" si="0"/>
        <v>0</v>
      </c>
      <c r="O21" s="454">
        <f t="shared" si="3"/>
        <v>0</v>
      </c>
      <c r="P21" s="454"/>
      <c r="Q21" s="454" t="str">
        <f t="shared" si="1"/>
        <v/>
      </c>
      <c r="R21" s="323"/>
      <c r="S21" s="323"/>
      <c r="T21" s="323"/>
      <c r="U21" s="323"/>
      <c r="V21" s="454">
        <f t="shared" si="7"/>
        <v>0</v>
      </c>
      <c r="X21" s="454"/>
      <c r="Y21" s="454" t="s">
        <v>1063</v>
      </c>
    </row>
    <row r="22" spans="1:28">
      <c r="A22" s="545"/>
      <c r="B22" s="466"/>
      <c r="C22" s="466"/>
      <c r="D22" s="466"/>
      <c r="E22" s="467"/>
      <c r="F22" s="466"/>
      <c r="G22" s="466" t="str">
        <f t="shared" si="4"/>
        <v/>
      </c>
      <c r="H22" s="466" t="str">
        <f t="shared" si="5"/>
        <v/>
      </c>
      <c r="I22" s="466" t="str">
        <f t="shared" si="6"/>
        <v/>
      </c>
      <c r="J22" s="466"/>
      <c r="K22" s="488"/>
      <c r="L22" s="488"/>
      <c r="M22" s="542" t="str">
        <f t="shared" si="2"/>
        <v/>
      </c>
      <c r="N22" s="454">
        <f t="shared" si="0"/>
        <v>0</v>
      </c>
      <c r="O22" s="454">
        <f t="shared" si="3"/>
        <v>0</v>
      </c>
      <c r="P22" s="454"/>
      <c r="Q22" s="454" t="str">
        <f t="shared" si="1"/>
        <v/>
      </c>
      <c r="R22" s="323"/>
      <c r="S22" s="323"/>
      <c r="T22" s="323"/>
      <c r="U22" s="323"/>
      <c r="V22" s="454">
        <f t="shared" si="7"/>
        <v>0</v>
      </c>
      <c r="W22" s="454" t="s">
        <v>1062</v>
      </c>
      <c r="X22" s="454">
        <v>2</v>
      </c>
      <c r="Y22" s="454">
        <f>VLOOKUP(G3,W22:X26,2,FALSE)</f>
        <v>2</v>
      </c>
    </row>
    <row r="23" spans="1:28">
      <c r="A23" s="545"/>
      <c r="B23" s="466"/>
      <c r="C23" s="466"/>
      <c r="D23" s="466"/>
      <c r="E23" s="467"/>
      <c r="F23" s="466"/>
      <c r="G23" s="466" t="str">
        <f t="shared" si="4"/>
        <v/>
      </c>
      <c r="H23" s="466" t="str">
        <f t="shared" si="5"/>
        <v/>
      </c>
      <c r="I23" s="466" t="str">
        <f t="shared" si="6"/>
        <v/>
      </c>
      <c r="J23" s="466"/>
      <c r="K23" s="488"/>
      <c r="L23" s="488"/>
      <c r="M23" s="542" t="str">
        <f t="shared" si="2"/>
        <v/>
      </c>
      <c r="N23" s="454">
        <f t="shared" si="0"/>
        <v>0</v>
      </c>
      <c r="O23" s="454">
        <f t="shared" si="3"/>
        <v>0</v>
      </c>
      <c r="P23" s="454"/>
      <c r="Q23" s="454" t="str">
        <f t="shared" si="1"/>
        <v/>
      </c>
      <c r="R23" s="323"/>
      <c r="S23" s="323"/>
      <c r="T23" s="323"/>
      <c r="U23" s="323"/>
      <c r="V23" s="454">
        <f t="shared" si="7"/>
        <v>0</v>
      </c>
      <c r="W23" s="454" t="s">
        <v>1061</v>
      </c>
      <c r="X23" s="454">
        <v>2</v>
      </c>
      <c r="Y23" s="454" t="s">
        <v>1060</v>
      </c>
      <c r="AA23" s="454" t="s">
        <v>1042</v>
      </c>
      <c r="AB23" s="454">
        <v>-35</v>
      </c>
    </row>
    <row r="24" spans="1:28">
      <c r="A24" s="545"/>
      <c r="B24" s="466"/>
      <c r="C24" s="466"/>
      <c r="D24" s="466"/>
      <c r="E24" s="467"/>
      <c r="F24" s="466"/>
      <c r="G24" s="466" t="str">
        <f t="shared" si="4"/>
        <v/>
      </c>
      <c r="H24" s="466" t="str">
        <f t="shared" si="5"/>
        <v/>
      </c>
      <c r="I24" s="466" t="str">
        <f t="shared" si="6"/>
        <v/>
      </c>
      <c r="J24" s="466"/>
      <c r="K24" s="488"/>
      <c r="L24" s="488"/>
      <c r="M24" s="542" t="str">
        <f t="shared" si="2"/>
        <v/>
      </c>
      <c r="N24" s="454">
        <f t="shared" si="0"/>
        <v>0</v>
      </c>
      <c r="O24" s="454">
        <f t="shared" si="3"/>
        <v>0</v>
      </c>
      <c r="P24" s="454"/>
      <c r="Q24" s="454" t="str">
        <f t="shared" si="1"/>
        <v/>
      </c>
      <c r="R24" s="323"/>
      <c r="S24" s="323"/>
      <c r="T24" s="323"/>
      <c r="U24" s="323"/>
      <c r="V24" s="454">
        <f t="shared" si="7"/>
        <v>0</v>
      </c>
      <c r="W24" s="454" t="s">
        <v>1059</v>
      </c>
      <c r="X24" s="454">
        <v>2</v>
      </c>
      <c r="Y24" s="475">
        <f>IF(B3=AA23,AB23,Y22)</f>
        <v>-35</v>
      </c>
    </row>
    <row r="25" spans="1:28">
      <c r="A25" s="545"/>
      <c r="B25" s="466"/>
      <c r="C25" s="466"/>
      <c r="D25" s="466"/>
      <c r="E25" s="467"/>
      <c r="F25" s="466"/>
      <c r="G25" s="466" t="str">
        <f t="shared" si="4"/>
        <v/>
      </c>
      <c r="H25" s="466" t="str">
        <f t="shared" si="5"/>
        <v/>
      </c>
      <c r="I25" s="466" t="str">
        <f t="shared" si="6"/>
        <v/>
      </c>
      <c r="J25" s="466"/>
      <c r="K25" s="488"/>
      <c r="L25" s="488"/>
      <c r="M25" s="542" t="str">
        <f t="shared" si="2"/>
        <v/>
      </c>
      <c r="N25" s="454">
        <f t="shared" si="0"/>
        <v>0</v>
      </c>
      <c r="O25" s="454">
        <f t="shared" si="3"/>
        <v>0</v>
      </c>
      <c r="P25" s="454"/>
      <c r="Q25" s="454" t="str">
        <f t="shared" si="1"/>
        <v/>
      </c>
      <c r="R25" s="323"/>
      <c r="S25" s="323"/>
      <c r="T25" s="323"/>
      <c r="U25" s="323"/>
      <c r="V25" s="454">
        <f t="shared" si="7"/>
        <v>0</v>
      </c>
      <c r="W25" s="454" t="s">
        <v>1058</v>
      </c>
      <c r="X25" s="454">
        <v>2</v>
      </c>
    </row>
    <row r="26" spans="1:28">
      <c r="A26" s="545"/>
      <c r="B26" s="466"/>
      <c r="C26" s="466"/>
      <c r="D26" s="466"/>
      <c r="E26" s="467"/>
      <c r="F26" s="466"/>
      <c r="G26" s="466" t="str">
        <f t="shared" si="4"/>
        <v/>
      </c>
      <c r="H26" s="466" t="str">
        <f t="shared" si="5"/>
        <v/>
      </c>
      <c r="I26" s="466" t="str">
        <f t="shared" si="6"/>
        <v/>
      </c>
      <c r="J26" s="466"/>
      <c r="K26" s="488"/>
      <c r="L26" s="488"/>
      <c r="M26" s="542" t="str">
        <f t="shared" si="2"/>
        <v/>
      </c>
      <c r="N26" s="454">
        <f t="shared" si="0"/>
        <v>0</v>
      </c>
      <c r="O26" s="454">
        <f t="shared" si="3"/>
        <v>0</v>
      </c>
      <c r="P26" s="454"/>
      <c r="Q26" s="454" t="str">
        <f t="shared" si="1"/>
        <v/>
      </c>
      <c r="R26" s="323"/>
      <c r="S26" s="323"/>
      <c r="T26" s="323"/>
      <c r="U26" s="323"/>
      <c r="V26" s="454">
        <f t="shared" si="7"/>
        <v>0</v>
      </c>
      <c r="W26" s="454" t="s">
        <v>1057</v>
      </c>
      <c r="X26" s="454">
        <v>0</v>
      </c>
    </row>
    <row r="27" spans="1:28">
      <c r="A27" s="545"/>
      <c r="B27" s="466"/>
      <c r="C27" s="466"/>
      <c r="D27" s="466"/>
      <c r="E27" s="467"/>
      <c r="F27" s="466"/>
      <c r="G27" s="466" t="str">
        <f t="shared" si="4"/>
        <v/>
      </c>
      <c r="H27" s="466" t="str">
        <f t="shared" si="5"/>
        <v/>
      </c>
      <c r="I27" s="466" t="str">
        <f t="shared" si="6"/>
        <v/>
      </c>
      <c r="J27" s="466"/>
      <c r="K27" s="488"/>
      <c r="L27" s="488"/>
      <c r="M27" s="542" t="str">
        <f t="shared" si="2"/>
        <v/>
      </c>
      <c r="N27" s="454">
        <f t="shared" si="0"/>
        <v>0</v>
      </c>
      <c r="O27" s="454">
        <f t="shared" si="3"/>
        <v>0</v>
      </c>
      <c r="P27" s="454"/>
      <c r="Q27" s="454" t="str">
        <f t="shared" si="1"/>
        <v/>
      </c>
      <c r="R27" s="323"/>
      <c r="S27" s="323"/>
      <c r="T27" s="323"/>
      <c r="U27" s="323"/>
      <c r="V27" s="454">
        <f t="shared" si="7"/>
        <v>0</v>
      </c>
    </row>
    <row r="28" spans="1:28">
      <c r="A28" s="545"/>
      <c r="B28" s="466"/>
      <c r="C28" s="466"/>
      <c r="D28" s="466"/>
      <c r="E28" s="467"/>
      <c r="F28" s="466"/>
      <c r="G28" s="466" t="str">
        <f t="shared" si="4"/>
        <v/>
      </c>
      <c r="H28" s="466" t="str">
        <f t="shared" si="5"/>
        <v/>
      </c>
      <c r="I28" s="466" t="str">
        <f t="shared" si="6"/>
        <v/>
      </c>
      <c r="J28" s="466"/>
      <c r="K28" s="488"/>
      <c r="L28" s="488"/>
      <c r="M28" s="542" t="str">
        <f t="shared" si="2"/>
        <v/>
      </c>
      <c r="N28" s="454">
        <f t="shared" si="0"/>
        <v>0</v>
      </c>
      <c r="O28" s="454">
        <f t="shared" si="3"/>
        <v>0</v>
      </c>
      <c r="P28" s="454"/>
      <c r="Q28" s="454" t="str">
        <f t="shared" si="1"/>
        <v/>
      </c>
      <c r="R28" s="323"/>
      <c r="S28" s="323"/>
      <c r="T28" s="323"/>
      <c r="U28" s="323"/>
      <c r="V28" s="454">
        <f t="shared" si="7"/>
        <v>0</v>
      </c>
    </row>
    <row r="29" spans="1:28">
      <c r="A29" s="546" t="s">
        <v>1056</v>
      </c>
      <c r="B29" s="466"/>
      <c r="C29" s="466"/>
      <c r="D29" s="466"/>
      <c r="E29" s="467"/>
      <c r="F29" s="466"/>
      <c r="G29" s="466"/>
      <c r="H29" s="466"/>
      <c r="I29" s="466"/>
      <c r="J29" s="466"/>
      <c r="K29" s="488"/>
      <c r="L29" s="488"/>
      <c r="M29" s="542" t="str">
        <f t="shared" si="2"/>
        <v/>
      </c>
      <c r="N29" s="454">
        <f t="shared" si="0"/>
        <v>0</v>
      </c>
      <c r="O29" s="454">
        <f t="shared" si="3"/>
        <v>0</v>
      </c>
      <c r="P29" s="454"/>
      <c r="Q29" s="454">
        <f t="shared" si="1"/>
        <v>0</v>
      </c>
      <c r="R29" s="323"/>
      <c r="S29" s="323"/>
      <c r="T29" s="323"/>
      <c r="U29" s="323"/>
      <c r="V29" s="454">
        <f t="shared" si="7"/>
        <v>0</v>
      </c>
    </row>
    <row r="30" spans="1:28">
      <c r="A30" s="545"/>
      <c r="B30" s="466"/>
      <c r="C30" s="466"/>
      <c r="D30" s="466"/>
      <c r="E30" s="467"/>
      <c r="F30" s="466"/>
      <c r="G30" s="466" t="str">
        <f t="shared" ref="G30:G39" si="8">IF(B30&gt;0,IF(J30="平板无刀型",B30,B30+$Y$22),"")</f>
        <v/>
      </c>
      <c r="H30" s="466" t="str">
        <f t="shared" ref="H30:H39" si="9">IF(C30&gt;0,IF(J30="平板无刀型",C30,C30+$Y$24),"")</f>
        <v/>
      </c>
      <c r="I30" s="466" t="str">
        <f t="shared" ref="I30:I39" si="10">+IF(D30&gt;0,D30,"")</f>
        <v/>
      </c>
      <c r="J30" s="466"/>
      <c r="K30" s="488"/>
      <c r="L30" s="488"/>
      <c r="M30" s="542" t="str">
        <f t="shared" si="2"/>
        <v/>
      </c>
      <c r="N30" s="454">
        <f t="shared" si="0"/>
        <v>0</v>
      </c>
      <c r="O30" s="454">
        <f t="shared" si="3"/>
        <v>0</v>
      </c>
      <c r="P30" s="454"/>
      <c r="Q30" s="454" t="str">
        <f t="shared" si="1"/>
        <v/>
      </c>
      <c r="R30" s="323"/>
      <c r="S30" s="323"/>
      <c r="T30" s="323"/>
      <c r="U30" s="323"/>
      <c r="V30" s="454">
        <f t="shared" si="7"/>
        <v>0</v>
      </c>
    </row>
    <row r="31" spans="1:28">
      <c r="A31" s="545"/>
      <c r="B31" s="466"/>
      <c r="C31" s="466"/>
      <c r="D31" s="466"/>
      <c r="E31" s="467"/>
      <c r="F31" s="466"/>
      <c r="G31" s="466" t="str">
        <f t="shared" si="8"/>
        <v/>
      </c>
      <c r="H31" s="466" t="str">
        <f t="shared" si="9"/>
        <v/>
      </c>
      <c r="I31" s="466" t="str">
        <f t="shared" si="10"/>
        <v/>
      </c>
      <c r="J31" s="466"/>
      <c r="K31" s="488"/>
      <c r="L31" s="488"/>
      <c r="M31" s="542" t="str">
        <f t="shared" si="2"/>
        <v/>
      </c>
      <c r="N31" s="454">
        <f t="shared" si="0"/>
        <v>0</v>
      </c>
      <c r="O31" s="454">
        <f t="shared" si="3"/>
        <v>0</v>
      </c>
      <c r="P31" s="454"/>
      <c r="Q31" s="454" t="str">
        <f t="shared" si="1"/>
        <v/>
      </c>
      <c r="R31" s="323"/>
      <c r="S31" s="323"/>
      <c r="T31" s="323"/>
      <c r="U31" s="323"/>
      <c r="V31" s="454">
        <f t="shared" si="7"/>
        <v>0</v>
      </c>
    </row>
    <row r="32" spans="1:28">
      <c r="A32" s="545"/>
      <c r="B32" s="466"/>
      <c r="C32" s="466"/>
      <c r="D32" s="466"/>
      <c r="E32" s="467"/>
      <c r="F32" s="466"/>
      <c r="G32" s="466" t="str">
        <f t="shared" si="8"/>
        <v/>
      </c>
      <c r="H32" s="466" t="str">
        <f t="shared" si="9"/>
        <v/>
      </c>
      <c r="I32" s="466" t="str">
        <f t="shared" si="10"/>
        <v/>
      </c>
      <c r="J32" s="466"/>
      <c r="K32" s="488"/>
      <c r="L32" s="488"/>
      <c r="M32" s="542" t="str">
        <f t="shared" si="2"/>
        <v/>
      </c>
      <c r="N32" s="454">
        <f t="shared" si="0"/>
        <v>0</v>
      </c>
      <c r="O32" s="454">
        <f t="shared" si="3"/>
        <v>0</v>
      </c>
      <c r="P32" s="454"/>
      <c r="Q32" s="454" t="str">
        <f t="shared" si="1"/>
        <v/>
      </c>
      <c r="R32" s="323"/>
      <c r="S32" s="323"/>
      <c r="T32" s="323"/>
      <c r="U32" s="323"/>
      <c r="V32" s="454">
        <f t="shared" si="7"/>
        <v>0</v>
      </c>
    </row>
    <row r="33" spans="1:31">
      <c r="A33" s="545"/>
      <c r="B33" s="466"/>
      <c r="C33" s="466"/>
      <c r="D33" s="466"/>
      <c r="E33" s="467"/>
      <c r="F33" s="466"/>
      <c r="G33" s="466" t="str">
        <f t="shared" si="8"/>
        <v/>
      </c>
      <c r="H33" s="466" t="str">
        <f t="shared" si="9"/>
        <v/>
      </c>
      <c r="I33" s="466" t="str">
        <f t="shared" si="10"/>
        <v/>
      </c>
      <c r="J33" s="466"/>
      <c r="K33" s="488"/>
      <c r="L33" s="488"/>
      <c r="M33" s="542" t="str">
        <f t="shared" si="2"/>
        <v/>
      </c>
      <c r="N33" s="454">
        <f t="shared" si="0"/>
        <v>0</v>
      </c>
      <c r="O33" s="454">
        <f t="shared" si="3"/>
        <v>0</v>
      </c>
      <c r="P33" s="454"/>
      <c r="Q33" s="454" t="str">
        <f t="shared" si="1"/>
        <v/>
      </c>
      <c r="R33" s="323"/>
      <c r="S33" s="323"/>
      <c r="T33" s="323"/>
      <c r="U33" s="323"/>
      <c r="V33" s="454">
        <f t="shared" si="7"/>
        <v>0</v>
      </c>
    </row>
    <row r="34" spans="1:31">
      <c r="A34" s="545"/>
      <c r="B34" s="466"/>
      <c r="C34" s="466"/>
      <c r="D34" s="466"/>
      <c r="E34" s="467"/>
      <c r="F34" s="466"/>
      <c r="G34" s="466" t="str">
        <f t="shared" si="8"/>
        <v/>
      </c>
      <c r="H34" s="466" t="str">
        <f t="shared" si="9"/>
        <v/>
      </c>
      <c r="I34" s="466" t="str">
        <f t="shared" si="10"/>
        <v/>
      </c>
      <c r="J34" s="466"/>
      <c r="K34" s="488"/>
      <c r="L34" s="488"/>
      <c r="M34" s="542" t="str">
        <f t="shared" si="2"/>
        <v/>
      </c>
      <c r="N34" s="454">
        <f t="shared" si="0"/>
        <v>0</v>
      </c>
      <c r="O34" s="454">
        <f t="shared" si="3"/>
        <v>0</v>
      </c>
      <c r="P34" s="454"/>
      <c r="Q34" s="454" t="str">
        <f t="shared" si="1"/>
        <v/>
      </c>
      <c r="R34" s="323"/>
      <c r="S34" s="323"/>
      <c r="T34" s="323"/>
      <c r="U34" s="323"/>
      <c r="V34" s="454">
        <f t="shared" si="7"/>
        <v>0</v>
      </c>
    </row>
    <row r="35" spans="1:31">
      <c r="A35" s="547" t="s">
        <v>1055</v>
      </c>
      <c r="B35" s="466"/>
      <c r="C35" s="466"/>
      <c r="D35" s="466"/>
      <c r="E35" s="467"/>
      <c r="F35" s="466"/>
      <c r="G35" s="466" t="str">
        <f t="shared" si="8"/>
        <v/>
      </c>
      <c r="H35" s="466" t="str">
        <f t="shared" si="9"/>
        <v/>
      </c>
      <c r="I35" s="466" t="str">
        <f t="shared" si="10"/>
        <v/>
      </c>
      <c r="J35" s="466"/>
      <c r="K35" s="488"/>
      <c r="L35" s="488"/>
      <c r="M35" s="542" t="str">
        <f t="shared" si="2"/>
        <v/>
      </c>
      <c r="N35" s="454">
        <f t="shared" si="0"/>
        <v>0</v>
      </c>
      <c r="O35" s="454">
        <f t="shared" si="3"/>
        <v>0</v>
      </c>
      <c r="P35" s="454">
        <f>(B35+C35)*2*D35/1000/0.8</f>
        <v>0</v>
      </c>
      <c r="Q35" s="454" t="str">
        <f t="shared" si="1"/>
        <v/>
      </c>
      <c r="R35" s="323"/>
      <c r="S35" s="323"/>
      <c r="T35" s="323"/>
      <c r="U35" s="323"/>
      <c r="V35" s="454">
        <f t="shared" si="7"/>
        <v>0</v>
      </c>
    </row>
    <row r="36" spans="1:31">
      <c r="A36" s="547" t="s">
        <v>1055</v>
      </c>
      <c r="B36" s="466"/>
      <c r="C36" s="466"/>
      <c r="D36" s="466"/>
      <c r="E36" s="467"/>
      <c r="F36" s="466"/>
      <c r="G36" s="466" t="str">
        <f t="shared" si="8"/>
        <v/>
      </c>
      <c r="H36" s="466" t="str">
        <f t="shared" si="9"/>
        <v/>
      </c>
      <c r="I36" s="466" t="str">
        <f t="shared" si="10"/>
        <v/>
      </c>
      <c r="J36" s="466"/>
      <c r="K36" s="488"/>
      <c r="L36" s="488"/>
      <c r="M36" s="542" t="str">
        <f t="shared" si="2"/>
        <v/>
      </c>
      <c r="N36" s="454">
        <f t="shared" si="0"/>
        <v>0</v>
      </c>
      <c r="O36" s="454">
        <f t="shared" si="3"/>
        <v>0</v>
      </c>
      <c r="P36" s="454">
        <f>(B36+C36)*2*D36/1000/0.8</f>
        <v>0</v>
      </c>
      <c r="Q36" s="454" t="str">
        <f t="shared" si="1"/>
        <v/>
      </c>
      <c r="R36" s="323"/>
      <c r="S36" s="323"/>
      <c r="T36" s="323"/>
      <c r="U36" s="323"/>
      <c r="V36" s="454">
        <f t="shared" si="7"/>
        <v>0</v>
      </c>
    </row>
    <row r="37" spans="1:31">
      <c r="A37" s="547" t="s">
        <v>1055</v>
      </c>
      <c r="B37" s="466"/>
      <c r="C37" s="466"/>
      <c r="D37" s="466"/>
      <c r="E37" s="467"/>
      <c r="F37" s="466"/>
      <c r="G37" s="466" t="str">
        <f t="shared" si="8"/>
        <v/>
      </c>
      <c r="H37" s="466" t="str">
        <f t="shared" si="9"/>
        <v/>
      </c>
      <c r="I37" s="466" t="str">
        <f t="shared" si="10"/>
        <v/>
      </c>
      <c r="J37" s="466"/>
      <c r="K37" s="488"/>
      <c r="L37" s="488"/>
      <c r="M37" s="542" t="str">
        <f t="shared" si="2"/>
        <v/>
      </c>
      <c r="N37" s="454">
        <f t="shared" si="0"/>
        <v>0</v>
      </c>
      <c r="O37" s="454">
        <f t="shared" si="3"/>
        <v>0</v>
      </c>
      <c r="P37" s="454">
        <f>(B37+C37)*2*D37/1000/0.8</f>
        <v>0</v>
      </c>
      <c r="Q37" s="454" t="str">
        <f t="shared" si="1"/>
        <v/>
      </c>
      <c r="R37" s="323"/>
      <c r="S37" s="323"/>
      <c r="T37" s="323"/>
      <c r="U37" s="323"/>
      <c r="V37" s="454">
        <f t="shared" si="7"/>
        <v>0</v>
      </c>
    </row>
    <row r="38" spans="1:31">
      <c r="A38" s="547" t="s">
        <v>1055</v>
      </c>
      <c r="B38" s="466"/>
      <c r="C38" s="466"/>
      <c r="D38" s="466"/>
      <c r="E38" s="467"/>
      <c r="F38" s="466"/>
      <c r="G38" s="466" t="str">
        <f t="shared" si="8"/>
        <v/>
      </c>
      <c r="H38" s="466" t="str">
        <f t="shared" si="9"/>
        <v/>
      </c>
      <c r="I38" s="466" t="str">
        <f t="shared" si="10"/>
        <v/>
      </c>
      <c r="J38" s="466"/>
      <c r="K38" s="488"/>
      <c r="L38" s="488"/>
      <c r="M38" s="542" t="str">
        <f t="shared" si="2"/>
        <v/>
      </c>
      <c r="N38" s="454">
        <f t="shared" si="0"/>
        <v>0</v>
      </c>
      <c r="O38" s="454">
        <f t="shared" si="3"/>
        <v>0</v>
      </c>
      <c r="P38" s="454">
        <f>(B38+C38)*2*D38/1000/0.8</f>
        <v>0</v>
      </c>
      <c r="Q38" s="454" t="str">
        <f t="shared" si="1"/>
        <v/>
      </c>
      <c r="R38" s="323"/>
      <c r="S38" s="323"/>
      <c r="T38" s="323"/>
      <c r="U38" s="323"/>
      <c r="V38" s="454">
        <f t="shared" si="7"/>
        <v>0</v>
      </c>
    </row>
    <row r="39" spans="1:31">
      <c r="A39" s="547" t="s">
        <v>1055</v>
      </c>
      <c r="B39" s="466"/>
      <c r="C39" s="466"/>
      <c r="D39" s="466"/>
      <c r="E39" s="467"/>
      <c r="F39" s="466"/>
      <c r="G39" s="466" t="str">
        <f t="shared" si="8"/>
        <v/>
      </c>
      <c r="H39" s="466" t="str">
        <f t="shared" si="9"/>
        <v/>
      </c>
      <c r="I39" s="466" t="str">
        <f t="shared" si="10"/>
        <v/>
      </c>
      <c r="J39" s="466"/>
      <c r="K39" s="488"/>
      <c r="L39" s="488"/>
      <c r="M39" s="542" t="str">
        <f t="shared" si="2"/>
        <v/>
      </c>
      <c r="N39" s="454">
        <f t="shared" si="0"/>
        <v>0</v>
      </c>
      <c r="O39" s="454">
        <f t="shared" si="3"/>
        <v>0</v>
      </c>
      <c r="P39" s="454">
        <f>(B39+C39)*2*D39/1000/0.8</f>
        <v>0</v>
      </c>
      <c r="Q39" s="454" t="str">
        <f t="shared" si="1"/>
        <v/>
      </c>
      <c r="R39" s="323"/>
      <c r="S39" s="323"/>
      <c r="T39" s="323"/>
      <c r="U39" s="323"/>
      <c r="V39" s="454">
        <f t="shared" si="7"/>
        <v>0</v>
      </c>
    </row>
    <row r="40" spans="1:31" s="468" customFormat="1">
      <c r="A40" s="548" t="s">
        <v>1054</v>
      </c>
      <c r="B40" s="474">
        <v>2440</v>
      </c>
      <c r="C40" s="474"/>
      <c r="D40" s="474"/>
      <c r="E40" s="467"/>
      <c r="F40" s="474"/>
      <c r="G40" s="474">
        <f t="shared" ref="G40:I43" si="11">B40</f>
        <v>2440</v>
      </c>
      <c r="H40" s="474">
        <f t="shared" si="11"/>
        <v>0</v>
      </c>
      <c r="I40" s="474">
        <f t="shared" si="11"/>
        <v>0</v>
      </c>
      <c r="J40" s="474" t="s">
        <v>1053</v>
      </c>
      <c r="K40" s="488"/>
      <c r="L40" s="488"/>
      <c r="M40" s="542" t="str">
        <f t="shared" si="2"/>
        <v/>
      </c>
      <c r="N40" s="471">
        <f t="shared" si="0"/>
        <v>0</v>
      </c>
      <c r="O40" s="454">
        <f t="shared" si="3"/>
        <v>0</v>
      </c>
      <c r="P40" s="471"/>
      <c r="Q40" s="471">
        <f t="shared" si="1"/>
        <v>0</v>
      </c>
      <c r="R40" s="473"/>
      <c r="S40" s="473"/>
      <c r="T40" s="473"/>
      <c r="U40" s="473"/>
      <c r="V40" s="454"/>
      <c r="W40" s="471"/>
      <c r="X40" s="472"/>
      <c r="Y40" s="471"/>
      <c r="Z40" s="471"/>
      <c r="AA40" s="471"/>
      <c r="AB40" s="471"/>
      <c r="AD40" s="470"/>
      <c r="AE40" s="469"/>
    </row>
    <row r="41" spans="1:31">
      <c r="A41" s="549" t="s">
        <v>1052</v>
      </c>
      <c r="B41" s="466">
        <v>50</v>
      </c>
      <c r="C41" s="466">
        <v>720</v>
      </c>
      <c r="D41" s="466"/>
      <c r="E41" s="467"/>
      <c r="F41" s="466"/>
      <c r="G41" s="466">
        <f t="shared" si="11"/>
        <v>50</v>
      </c>
      <c r="H41" s="466">
        <f t="shared" si="11"/>
        <v>720</v>
      </c>
      <c r="I41" s="466">
        <f t="shared" si="11"/>
        <v>0</v>
      </c>
      <c r="J41" s="466" t="s">
        <v>1050</v>
      </c>
      <c r="K41" s="488"/>
      <c r="L41" s="488"/>
      <c r="M41" s="542" t="str">
        <f t="shared" si="2"/>
        <v/>
      </c>
      <c r="N41" s="454">
        <f t="shared" si="0"/>
        <v>0</v>
      </c>
      <c r="O41" s="454">
        <f t="shared" si="3"/>
        <v>0</v>
      </c>
      <c r="P41" s="454"/>
      <c r="Q41" s="454">
        <f t="shared" si="1"/>
        <v>0</v>
      </c>
      <c r="R41" s="323"/>
      <c r="S41" s="323"/>
      <c r="T41" s="323"/>
      <c r="U41" s="323"/>
      <c r="V41" s="454"/>
    </row>
    <row r="42" spans="1:31">
      <c r="A42" s="549" t="s">
        <v>1052</v>
      </c>
      <c r="B42" s="466">
        <v>50</v>
      </c>
      <c r="C42" s="466">
        <v>720</v>
      </c>
      <c r="D42" s="466"/>
      <c r="E42" s="467"/>
      <c r="F42" s="466"/>
      <c r="G42" s="466">
        <f t="shared" si="11"/>
        <v>50</v>
      </c>
      <c r="H42" s="466">
        <f t="shared" si="11"/>
        <v>720</v>
      </c>
      <c r="I42" s="466">
        <f t="shared" si="11"/>
        <v>0</v>
      </c>
      <c r="J42" s="466" t="s">
        <v>1050</v>
      </c>
      <c r="K42" s="488"/>
      <c r="L42" s="488"/>
      <c r="M42" s="542" t="str">
        <f t="shared" si="2"/>
        <v/>
      </c>
      <c r="N42" s="454">
        <f t="shared" si="0"/>
        <v>0</v>
      </c>
      <c r="O42" s="454">
        <f t="shared" si="3"/>
        <v>0</v>
      </c>
      <c r="P42" s="454"/>
      <c r="Q42" s="454">
        <f t="shared" si="1"/>
        <v>0</v>
      </c>
      <c r="R42" s="323"/>
      <c r="S42" s="323"/>
      <c r="T42" s="323"/>
      <c r="U42" s="323"/>
      <c r="V42" s="454"/>
    </row>
    <row r="43" spans="1:31">
      <c r="A43" s="549" t="s">
        <v>1052</v>
      </c>
      <c r="B43" s="466">
        <v>50</v>
      </c>
      <c r="C43" s="466">
        <v>2160</v>
      </c>
      <c r="D43" s="466"/>
      <c r="E43" s="467"/>
      <c r="F43" s="466"/>
      <c r="G43" s="466">
        <f t="shared" si="11"/>
        <v>50</v>
      </c>
      <c r="H43" s="466">
        <f t="shared" si="11"/>
        <v>2160</v>
      </c>
      <c r="I43" s="466">
        <f t="shared" si="11"/>
        <v>0</v>
      </c>
      <c r="J43" s="466" t="s">
        <v>1050</v>
      </c>
      <c r="K43" s="488"/>
      <c r="L43" s="488"/>
      <c r="M43" s="542" t="str">
        <f t="shared" si="2"/>
        <v/>
      </c>
      <c r="N43" s="454">
        <f t="shared" si="0"/>
        <v>0</v>
      </c>
      <c r="O43" s="454">
        <f t="shared" si="3"/>
        <v>0</v>
      </c>
      <c r="P43" s="454"/>
      <c r="Q43" s="454">
        <f t="shared" si="1"/>
        <v>0</v>
      </c>
      <c r="R43" s="323"/>
      <c r="S43" s="323"/>
      <c r="T43" s="323"/>
      <c r="U43" s="323"/>
      <c r="V43" s="454"/>
    </row>
    <row r="44" spans="1:31">
      <c r="A44" s="549" t="s">
        <v>1051</v>
      </c>
      <c r="B44" s="466">
        <v>50</v>
      </c>
      <c r="C44" s="466">
        <v>60</v>
      </c>
      <c r="D44" s="466"/>
      <c r="E44" s="467"/>
      <c r="F44" s="466"/>
      <c r="G44" s="466">
        <f>C44+2</f>
        <v>62</v>
      </c>
      <c r="H44" s="466">
        <v>2400</v>
      </c>
      <c r="I44" s="466">
        <v>1</v>
      </c>
      <c r="J44" s="466" t="s">
        <v>1050</v>
      </c>
      <c r="K44" s="488"/>
      <c r="L44" s="488"/>
      <c r="M44" s="542" t="str">
        <f t="shared" si="2"/>
        <v/>
      </c>
      <c r="N44" s="454">
        <f t="shared" si="0"/>
        <v>0</v>
      </c>
      <c r="O44" s="454">
        <f t="shared" si="3"/>
        <v>0</v>
      </c>
      <c r="P44" s="454"/>
      <c r="Q44" s="454">
        <f t="shared" si="1"/>
        <v>1</v>
      </c>
      <c r="R44" s="323"/>
      <c r="S44" s="323"/>
      <c r="T44" s="323"/>
      <c r="U44" s="323"/>
      <c r="V44" s="454"/>
    </row>
    <row r="45" spans="1:31">
      <c r="A45" s="549" t="s">
        <v>1051</v>
      </c>
      <c r="B45" s="466">
        <v>50</v>
      </c>
      <c r="C45" s="466">
        <f>C40</f>
        <v>0</v>
      </c>
      <c r="D45" s="466"/>
      <c r="E45" s="467"/>
      <c r="F45" s="466"/>
      <c r="G45" s="466">
        <f>C45+2</f>
        <v>2</v>
      </c>
      <c r="H45" s="466">
        <v>2400</v>
      </c>
      <c r="I45" s="466">
        <v>1</v>
      </c>
      <c r="J45" s="466" t="s">
        <v>1050</v>
      </c>
      <c r="K45" s="488"/>
      <c r="L45" s="488"/>
      <c r="M45" s="542" t="str">
        <f t="shared" si="2"/>
        <v/>
      </c>
      <c r="N45" s="454">
        <f t="shared" si="0"/>
        <v>0</v>
      </c>
      <c r="O45" s="454">
        <f t="shared" si="3"/>
        <v>0</v>
      </c>
      <c r="P45" s="454"/>
      <c r="Q45" s="454">
        <f t="shared" si="1"/>
        <v>1</v>
      </c>
      <c r="R45" s="323"/>
      <c r="S45" s="323"/>
      <c r="T45" s="323"/>
      <c r="U45" s="323"/>
      <c r="V45" s="454"/>
    </row>
    <row r="46" spans="1:31">
      <c r="A46" s="549" t="s">
        <v>1049</v>
      </c>
      <c r="B46" s="466">
        <v>42</v>
      </c>
      <c r="C46" s="466">
        <v>42</v>
      </c>
      <c r="D46" s="466"/>
      <c r="E46" s="467"/>
      <c r="F46" s="466"/>
      <c r="G46" s="466">
        <f>B46</f>
        <v>42</v>
      </c>
      <c r="H46" s="466">
        <f>C46</f>
        <v>42</v>
      </c>
      <c r="I46" s="466">
        <f>D46</f>
        <v>0</v>
      </c>
      <c r="J46" s="466" t="s">
        <v>1048</v>
      </c>
      <c r="K46" s="488"/>
      <c r="L46" s="488"/>
      <c r="M46" s="542" t="str">
        <f t="shared" si="2"/>
        <v/>
      </c>
      <c r="N46" s="454">
        <f t="shared" si="0"/>
        <v>0</v>
      </c>
      <c r="O46" s="454">
        <f t="shared" si="3"/>
        <v>0</v>
      </c>
      <c r="P46" s="454"/>
      <c r="Q46" s="454"/>
      <c r="R46" s="323"/>
      <c r="S46" s="323"/>
      <c r="T46" s="323"/>
      <c r="U46" s="323"/>
      <c r="V46" s="454"/>
    </row>
    <row r="47" spans="1:31">
      <c r="A47" s="549" t="s">
        <v>31</v>
      </c>
      <c r="B47" s="466">
        <v>2400</v>
      </c>
      <c r="C47" s="466">
        <v>78</v>
      </c>
      <c r="D47" s="466"/>
      <c r="E47" s="467"/>
      <c r="F47" s="466"/>
      <c r="G47" s="466">
        <v>2440</v>
      </c>
      <c r="H47" s="466">
        <v>85</v>
      </c>
      <c r="I47" s="466">
        <f>D47</f>
        <v>0</v>
      </c>
      <c r="J47" s="466" t="s">
        <v>1047</v>
      </c>
      <c r="K47" s="488"/>
      <c r="L47" s="488"/>
      <c r="M47" s="542" t="str">
        <f t="shared" si="2"/>
        <v/>
      </c>
      <c r="N47" s="454">
        <f t="shared" si="0"/>
        <v>0</v>
      </c>
      <c r="O47" s="454">
        <f t="shared" si="3"/>
        <v>0</v>
      </c>
      <c r="P47" s="454"/>
      <c r="Q47" s="454">
        <f>I47</f>
        <v>0</v>
      </c>
      <c r="R47" s="323"/>
      <c r="S47" s="323"/>
      <c r="T47" s="323"/>
      <c r="U47" s="323"/>
      <c r="V47" s="454"/>
    </row>
    <row r="48" spans="1:31">
      <c r="A48" s="549"/>
      <c r="B48" s="466"/>
      <c r="C48" s="466"/>
      <c r="D48" s="466"/>
      <c r="E48" s="467"/>
      <c r="F48" s="466"/>
      <c r="G48" s="466">
        <v>2440</v>
      </c>
      <c r="H48" s="466">
        <v>60</v>
      </c>
      <c r="I48" s="466">
        <f>+D47</f>
        <v>0</v>
      </c>
      <c r="J48" s="466" t="s">
        <v>1046</v>
      </c>
      <c r="K48" s="488"/>
      <c r="L48" s="488"/>
      <c r="M48" s="542" t="str">
        <f t="shared" si="2"/>
        <v/>
      </c>
      <c r="N48" s="454">
        <f>B47*C47*D47/1000000</f>
        <v>0</v>
      </c>
      <c r="O48" s="454">
        <f t="shared" si="3"/>
        <v>0</v>
      </c>
      <c r="P48" s="454"/>
      <c r="Q48" s="454">
        <f>I48</f>
        <v>0</v>
      </c>
      <c r="R48" s="323"/>
      <c r="S48" s="323"/>
      <c r="T48" s="323"/>
      <c r="U48" s="323"/>
      <c r="V48" s="454"/>
    </row>
    <row r="49" spans="1:22">
      <c r="A49" s="549"/>
      <c r="B49" s="466"/>
      <c r="C49" s="466"/>
      <c r="D49" s="466"/>
      <c r="E49" s="467"/>
      <c r="F49" s="466"/>
      <c r="G49" s="466"/>
      <c r="H49" s="466"/>
      <c r="I49" s="466"/>
      <c r="J49" s="466"/>
      <c r="K49" s="488"/>
      <c r="L49" s="488"/>
      <c r="M49" s="542" t="str">
        <f t="shared" si="2"/>
        <v/>
      </c>
      <c r="N49" s="454">
        <f>B49*C49*D49/1000000</f>
        <v>0</v>
      </c>
      <c r="O49" s="454">
        <f t="shared" si="3"/>
        <v>0</v>
      </c>
      <c r="P49" s="454"/>
      <c r="Q49" s="454">
        <f>I49</f>
        <v>0</v>
      </c>
      <c r="R49" s="323"/>
      <c r="S49" s="323"/>
      <c r="T49" s="323"/>
      <c r="U49" s="323"/>
      <c r="V49" s="454"/>
    </row>
    <row r="50" spans="1:22">
      <c r="A50" s="545"/>
      <c r="B50" s="466"/>
      <c r="C50" s="466"/>
      <c r="D50" s="466"/>
      <c r="E50" s="467"/>
      <c r="F50" s="466"/>
      <c r="G50" s="466"/>
      <c r="H50" s="466"/>
      <c r="I50" s="466"/>
      <c r="J50" s="466"/>
      <c r="K50" s="488"/>
      <c r="L50" s="488"/>
      <c r="M50" s="542" t="str">
        <f t="shared" si="2"/>
        <v/>
      </c>
      <c r="N50" s="454">
        <f>B50*C50*D50/1000000</f>
        <v>0</v>
      </c>
      <c r="O50" s="454">
        <f t="shared" si="3"/>
        <v>0</v>
      </c>
      <c r="P50" s="454"/>
      <c r="Q50" s="454">
        <f>I50</f>
        <v>0</v>
      </c>
      <c r="R50" s="323"/>
      <c r="S50" s="323"/>
      <c r="T50" s="323"/>
      <c r="U50" s="323"/>
      <c r="V50" s="454"/>
    </row>
    <row r="51" spans="1:22">
      <c r="A51" s="550" t="s">
        <v>1045</v>
      </c>
      <c r="B51" s="465"/>
      <c r="C51" s="465"/>
      <c r="D51" s="465"/>
      <c r="E51" s="465"/>
      <c r="F51" s="465"/>
      <c r="G51" s="465"/>
      <c r="H51" s="465"/>
      <c r="I51" s="465"/>
      <c r="J51" s="465"/>
      <c r="K51" s="464"/>
      <c r="L51" s="464"/>
      <c r="M51" s="551"/>
      <c r="N51" s="573">
        <f>SUM(N7:N50)</f>
        <v>0</v>
      </c>
      <c r="O51" s="573">
        <f>SUM(O7:O50)</f>
        <v>0</v>
      </c>
      <c r="P51" s="573">
        <f>SUM(P7:P50)</f>
        <v>0</v>
      </c>
      <c r="Q51" s="573">
        <f>SUM(Q7:Q50)</f>
        <v>2</v>
      </c>
      <c r="R51" s="463"/>
      <c r="S51" s="463"/>
      <c r="T51" s="463"/>
      <c r="U51" s="463"/>
      <c r="V51" s="454"/>
    </row>
    <row r="52" spans="1:22">
      <c r="A52" s="552" t="s">
        <v>1044</v>
      </c>
      <c r="B52" s="323"/>
      <c r="C52" s="323"/>
      <c r="D52" s="323"/>
      <c r="E52" s="323"/>
      <c r="F52" s="323"/>
      <c r="G52" s="323"/>
      <c r="H52" s="323"/>
      <c r="I52" s="323"/>
      <c r="J52" s="323"/>
      <c r="K52" s="460"/>
      <c r="L52" s="460"/>
      <c r="M52" s="553"/>
      <c r="N52" s="454"/>
      <c r="P52" s="454"/>
      <c r="Q52" s="454"/>
      <c r="R52" s="462"/>
      <c r="S52" s="323"/>
      <c r="T52" s="323"/>
      <c r="U52" s="323"/>
      <c r="V52" s="461">
        <f>SUM(V7:V51)</f>
        <v>0</v>
      </c>
    </row>
    <row r="53" spans="1:22">
      <c r="A53" s="554" t="s">
        <v>1043</v>
      </c>
      <c r="B53" s="323"/>
      <c r="C53" s="323"/>
      <c r="D53" s="323"/>
      <c r="E53" s="323"/>
      <c r="F53" s="323"/>
      <c r="G53" s="323"/>
      <c r="H53" s="323"/>
      <c r="I53" s="323"/>
      <c r="J53" s="323"/>
      <c r="K53" s="460"/>
      <c r="L53" s="460"/>
      <c r="M53" s="553"/>
      <c r="N53" s="454"/>
      <c r="P53" s="454"/>
      <c r="Q53" s="454"/>
      <c r="R53" s="459"/>
      <c r="S53" s="323"/>
      <c r="T53" s="323"/>
      <c r="U53" s="323"/>
      <c r="V53" s="458" t="s">
        <v>1042</v>
      </c>
    </row>
    <row r="54" spans="1:22">
      <c r="A54" s="555" t="s">
        <v>1041</v>
      </c>
      <c r="B54" s="556"/>
      <c r="C54" s="556"/>
      <c r="D54" s="556"/>
      <c r="E54" s="556"/>
      <c r="F54" s="556"/>
      <c r="G54" s="556"/>
      <c r="H54" s="556"/>
      <c r="I54" s="556"/>
      <c r="J54" s="556"/>
      <c r="K54" s="557"/>
      <c r="L54" s="557"/>
      <c r="M54" s="558"/>
    </row>
    <row r="55" spans="1:22">
      <c r="A55" s="559"/>
      <c r="B55" s="991"/>
      <c r="C55" s="991"/>
      <c r="D55" s="457"/>
      <c r="E55" s="457"/>
      <c r="F55" s="457"/>
      <c r="G55" s="457"/>
      <c r="H55" s="457"/>
      <c r="I55" s="457"/>
      <c r="J55" s="457"/>
      <c r="K55" s="456"/>
      <c r="L55" s="456"/>
      <c r="M55" s="456"/>
      <c r="N55" s="456"/>
    </row>
    <row r="56" spans="1:22">
      <c r="A56" s="457"/>
      <c r="B56" s="457"/>
      <c r="C56" s="457"/>
      <c r="D56" s="457"/>
      <c r="E56" s="457"/>
      <c r="F56" s="457"/>
      <c r="G56" s="457"/>
      <c r="H56" s="457"/>
      <c r="I56" s="457"/>
      <c r="J56" s="457"/>
      <c r="K56" s="456"/>
      <c r="L56" s="456"/>
      <c r="M56" s="456"/>
    </row>
    <row r="57" spans="1:22">
      <c r="A57" s="457"/>
      <c r="B57" s="457"/>
      <c r="C57" s="457"/>
      <c r="D57" s="560"/>
      <c r="E57" s="560"/>
      <c r="F57" s="560"/>
      <c r="G57" s="457"/>
      <c r="H57" s="457"/>
      <c r="I57" s="457"/>
      <c r="J57" s="457"/>
      <c r="K57" s="456"/>
      <c r="L57" s="456"/>
      <c r="M57" s="456"/>
    </row>
    <row r="58" spans="1:22">
      <c r="A58" s="372" t="s">
        <v>945</v>
      </c>
      <c r="B58" s="366"/>
    </row>
    <row r="59" spans="1:22">
      <c r="A59" s="372"/>
      <c r="B59" s="366"/>
    </row>
    <row r="60" spans="1:22">
      <c r="A60" s="571" t="s">
        <v>729</v>
      </c>
      <c r="B60" s="572">
        <f t="shared" ref="B60:B101" si="12">SUMIF($K$7:$K$50,A60,$N$7:$N$50)</f>
        <v>0</v>
      </c>
    </row>
    <row r="61" spans="1:22">
      <c r="A61" s="571" t="s">
        <v>730</v>
      </c>
      <c r="B61" s="572">
        <f t="shared" si="12"/>
        <v>0</v>
      </c>
    </row>
    <row r="62" spans="1:22">
      <c r="A62" s="571" t="s">
        <v>731</v>
      </c>
      <c r="B62" s="572">
        <f t="shared" si="12"/>
        <v>0</v>
      </c>
    </row>
    <row r="63" spans="1:22">
      <c r="A63" s="571" t="s">
        <v>732</v>
      </c>
      <c r="B63" s="572">
        <f t="shared" si="12"/>
        <v>0</v>
      </c>
    </row>
    <row r="64" spans="1:22">
      <c r="A64" s="571" t="s">
        <v>733</v>
      </c>
      <c r="B64" s="572">
        <f t="shared" si="12"/>
        <v>0</v>
      </c>
    </row>
    <row r="65" spans="1:2" ht="33">
      <c r="A65" s="571" t="s">
        <v>734</v>
      </c>
      <c r="B65" s="572">
        <f t="shared" si="12"/>
        <v>0</v>
      </c>
    </row>
    <row r="66" spans="1:2">
      <c r="A66" s="571" t="s">
        <v>735</v>
      </c>
      <c r="B66" s="572">
        <f t="shared" si="12"/>
        <v>0</v>
      </c>
    </row>
    <row r="67" spans="1:2">
      <c r="A67" s="571" t="s">
        <v>736</v>
      </c>
      <c r="B67" s="572">
        <f t="shared" si="12"/>
        <v>0</v>
      </c>
    </row>
    <row r="68" spans="1:2">
      <c r="A68" s="571" t="s">
        <v>737</v>
      </c>
      <c r="B68" s="572">
        <f t="shared" si="12"/>
        <v>0</v>
      </c>
    </row>
    <row r="69" spans="1:2">
      <c r="A69" s="571" t="s">
        <v>738</v>
      </c>
      <c r="B69" s="572">
        <f t="shared" si="12"/>
        <v>0</v>
      </c>
    </row>
    <row r="70" spans="1:2">
      <c r="A70" s="571" t="s">
        <v>739</v>
      </c>
      <c r="B70" s="572">
        <f t="shared" si="12"/>
        <v>0</v>
      </c>
    </row>
    <row r="71" spans="1:2">
      <c r="A71" s="571" t="s">
        <v>740</v>
      </c>
      <c r="B71" s="572">
        <f t="shared" si="12"/>
        <v>0</v>
      </c>
    </row>
    <row r="72" spans="1:2">
      <c r="A72" s="571" t="s">
        <v>741</v>
      </c>
      <c r="B72" s="572">
        <f t="shared" si="12"/>
        <v>0</v>
      </c>
    </row>
    <row r="73" spans="1:2" ht="33">
      <c r="A73" s="571" t="s">
        <v>742</v>
      </c>
      <c r="B73" s="572">
        <f t="shared" si="12"/>
        <v>0</v>
      </c>
    </row>
    <row r="74" spans="1:2">
      <c r="A74" s="571" t="s">
        <v>743</v>
      </c>
      <c r="B74" s="572">
        <f t="shared" si="12"/>
        <v>0</v>
      </c>
    </row>
    <row r="75" spans="1:2">
      <c r="A75" s="571" t="s">
        <v>744</v>
      </c>
      <c r="B75" s="572">
        <f t="shared" si="12"/>
        <v>0</v>
      </c>
    </row>
    <row r="76" spans="1:2" ht="33">
      <c r="A76" s="388" t="s">
        <v>1167</v>
      </c>
      <c r="B76" s="572">
        <f t="shared" si="12"/>
        <v>0</v>
      </c>
    </row>
    <row r="77" spans="1:2" ht="33">
      <c r="A77" s="388" t="s">
        <v>1168</v>
      </c>
      <c r="B77" s="572">
        <f t="shared" si="12"/>
        <v>0</v>
      </c>
    </row>
    <row r="78" spans="1:2" ht="33">
      <c r="A78" s="388" t="s">
        <v>1169</v>
      </c>
      <c r="B78" s="572">
        <f t="shared" si="12"/>
        <v>0</v>
      </c>
    </row>
    <row r="79" spans="1:2" ht="33">
      <c r="A79" s="388" t="s">
        <v>1170</v>
      </c>
      <c r="B79" s="572">
        <f t="shared" si="12"/>
        <v>0</v>
      </c>
    </row>
    <row r="80" spans="1:2" ht="33">
      <c r="A80" s="388" t="s">
        <v>1171</v>
      </c>
      <c r="B80" s="572">
        <f t="shared" si="12"/>
        <v>0</v>
      </c>
    </row>
    <row r="81" spans="1:2" ht="33">
      <c r="A81" s="388" t="s">
        <v>1172</v>
      </c>
      <c r="B81" s="572">
        <f t="shared" si="12"/>
        <v>0</v>
      </c>
    </row>
    <row r="82" spans="1:2" ht="33">
      <c r="A82" s="388" t="s">
        <v>1173</v>
      </c>
      <c r="B82" s="572">
        <f t="shared" si="12"/>
        <v>0</v>
      </c>
    </row>
    <row r="83" spans="1:2" ht="33">
      <c r="A83" s="388" t="s">
        <v>1174</v>
      </c>
      <c r="B83" s="572">
        <f t="shared" si="12"/>
        <v>0</v>
      </c>
    </row>
    <row r="84" spans="1:2" ht="33">
      <c r="A84" s="388" t="s">
        <v>1175</v>
      </c>
      <c r="B84" s="572">
        <f t="shared" si="12"/>
        <v>0</v>
      </c>
    </row>
    <row r="85" spans="1:2" ht="33">
      <c r="A85" s="388" t="s">
        <v>1176</v>
      </c>
      <c r="B85" s="572">
        <f t="shared" si="12"/>
        <v>0</v>
      </c>
    </row>
    <row r="86" spans="1:2" ht="33">
      <c r="A86" s="388" t="s">
        <v>1177</v>
      </c>
      <c r="B86" s="572">
        <f t="shared" si="12"/>
        <v>0</v>
      </c>
    </row>
    <row r="87" spans="1:2" ht="33">
      <c r="A87" s="388" t="s">
        <v>1178</v>
      </c>
      <c r="B87" s="572">
        <f t="shared" si="12"/>
        <v>0</v>
      </c>
    </row>
    <row r="88" spans="1:2" ht="33">
      <c r="A88" s="388" t="s">
        <v>1179</v>
      </c>
      <c r="B88" s="572">
        <f t="shared" si="12"/>
        <v>0</v>
      </c>
    </row>
    <row r="89" spans="1:2" ht="33">
      <c r="A89" s="388" t="s">
        <v>1180</v>
      </c>
      <c r="B89" s="572">
        <f t="shared" si="12"/>
        <v>0</v>
      </c>
    </row>
    <row r="90" spans="1:2" ht="33">
      <c r="A90" s="388" t="s">
        <v>1181</v>
      </c>
      <c r="B90" s="572">
        <f t="shared" si="12"/>
        <v>0</v>
      </c>
    </row>
    <row r="91" spans="1:2" ht="33">
      <c r="A91" s="388" t="s">
        <v>1182</v>
      </c>
      <c r="B91" s="572">
        <f t="shared" si="12"/>
        <v>0</v>
      </c>
    </row>
    <row r="92" spans="1:2" ht="33">
      <c r="A92" s="388" t="s">
        <v>1183</v>
      </c>
      <c r="B92" s="572">
        <f t="shared" si="12"/>
        <v>0</v>
      </c>
    </row>
    <row r="93" spans="1:2" ht="33">
      <c r="A93" s="388" t="s">
        <v>1184</v>
      </c>
      <c r="B93" s="572">
        <f t="shared" si="12"/>
        <v>0</v>
      </c>
    </row>
    <row r="94" spans="1:2" ht="33">
      <c r="A94" s="388" t="s">
        <v>1185</v>
      </c>
      <c r="B94" s="572">
        <f t="shared" si="12"/>
        <v>0</v>
      </c>
    </row>
    <row r="95" spans="1:2" ht="33">
      <c r="A95" s="388" t="s">
        <v>1186</v>
      </c>
      <c r="B95" s="572">
        <f t="shared" si="12"/>
        <v>0</v>
      </c>
    </row>
    <row r="96" spans="1:2" ht="33">
      <c r="A96" s="388" t="s">
        <v>1187</v>
      </c>
      <c r="B96" s="572">
        <f t="shared" si="12"/>
        <v>0</v>
      </c>
    </row>
    <row r="97" spans="1:2" ht="33">
      <c r="A97" s="388" t="s">
        <v>1188</v>
      </c>
      <c r="B97" s="572">
        <f t="shared" si="12"/>
        <v>0</v>
      </c>
    </row>
    <row r="98" spans="1:2" ht="33">
      <c r="A98" s="388" t="s">
        <v>1189</v>
      </c>
      <c r="B98" s="572">
        <f t="shared" si="12"/>
        <v>0</v>
      </c>
    </row>
    <row r="99" spans="1:2" ht="33">
      <c r="A99" s="388" t="s">
        <v>1190</v>
      </c>
      <c r="B99" s="572">
        <f t="shared" si="12"/>
        <v>0</v>
      </c>
    </row>
    <row r="100" spans="1:2" ht="33">
      <c r="A100" s="388" t="s">
        <v>1191</v>
      </c>
      <c r="B100" s="572">
        <f t="shared" si="12"/>
        <v>0</v>
      </c>
    </row>
    <row r="101" spans="1:2" ht="33">
      <c r="A101" s="388" t="s">
        <v>1192</v>
      </c>
      <c r="B101" s="572">
        <f t="shared" si="12"/>
        <v>0</v>
      </c>
    </row>
  </sheetData>
  <protectedRanges>
    <protectedRange sqref="G2 A10:A28 A30:A48 B10:D48 M1:M2 B4:B5 A4:A6 I2:L2 A51:M55 H10:J48 K5 J6:K6 F5 L3:M6 J4:K4 A1:C1 A2:B3 F1:H1 J1:L1 F10:F48 A49:D50 F49:J50 B6:C6 D1:E6 H3:I6 F4:G4 F6:G6" name="区域1"/>
  </protectedRanges>
  <mergeCells count="6">
    <mergeCell ref="A1:M1"/>
    <mergeCell ref="B55:C55"/>
    <mergeCell ref="B3:C3"/>
    <mergeCell ref="B5:D5"/>
    <mergeCell ref="F5:I5"/>
    <mergeCell ref="J5:M5"/>
  </mergeCells>
  <phoneticPr fontId="76" type="noConversion"/>
  <dataValidations count="8">
    <dataValidation type="list" allowBlank="1" showInputMessage="1" showErrorMessage="1" sqref="WVK983022:WVQ983022 C65517:J65517 C983021:J983021 C917485:J917485 C851949:J851949 C786413:J786413 C720877:J720877 C655341:J655341 C589805:J589805 C524269:J524269 C458733:J458733 C393197:J393197 C327661:J327661 C262125:J262125 C196589:J196589 C131053:J131053 WLO983022:WLU983022 WBS983022:WBY983022 VRW983022:VSC983022 VIA983022:VIG983022 UYE983022:UYK983022 UOI983022:UOO983022 UEM983022:UES983022 TUQ983022:TUW983022 TKU983022:TLA983022 TAY983022:TBE983022 SRC983022:SRI983022 SHG983022:SHM983022 RXK983022:RXQ983022 RNO983022:RNU983022 RDS983022:RDY983022 QTW983022:QUC983022 QKA983022:QKG983022 QAE983022:QAK983022 PQI983022:PQO983022 PGM983022:PGS983022 OWQ983022:OWW983022 OMU983022:ONA983022 OCY983022:ODE983022 NTC983022:NTI983022 NJG983022:NJM983022 MZK983022:MZQ983022 MPO983022:MPU983022 MFS983022:MFY983022 LVW983022:LWC983022 LMA983022:LMG983022 LCE983022:LCK983022 KSI983022:KSO983022 KIM983022:KIS983022 JYQ983022:JYW983022 JOU983022:JPA983022 JEY983022:JFE983022 IVC983022:IVI983022 ILG983022:ILM983022 IBK983022:IBQ983022 HRO983022:HRU983022 HHS983022:HHY983022 GXW983022:GYC983022 GOA983022:GOG983022 GEE983022:GEK983022 FUI983022:FUO983022 FKM983022:FKS983022 FAQ983022:FAW983022 EQU983022:ERA983022 EGY983022:EHE983022 DXC983022:DXI983022 DNG983022:DNM983022 DDK983022:DDQ983022 CTO983022:CTU983022 CJS983022:CJY983022 BZW983022:CAC983022 BQA983022:BQG983022 BGE983022:BGK983022 AWI983022:AWO983022 AMM983022:AMS983022 ACQ983022:ACW983022 SU983022:TA983022 IY983022:JE983022 WVK917486:WVQ917486 WLO917486:WLU917486 WBS917486:WBY917486 VRW917486:VSC917486 VIA917486:VIG917486 UYE917486:UYK917486 UOI917486:UOO917486 UEM917486:UES917486 TUQ917486:TUW917486 TKU917486:TLA917486 TAY917486:TBE917486 SRC917486:SRI917486 SHG917486:SHM917486 RXK917486:RXQ917486 RNO917486:RNU917486 RDS917486:RDY917486 QTW917486:QUC917486 QKA917486:QKG917486 QAE917486:QAK917486 PQI917486:PQO917486 PGM917486:PGS917486 OWQ917486:OWW917486 OMU917486:ONA917486 OCY917486:ODE917486 NTC917486:NTI917486 NJG917486:NJM917486 MZK917486:MZQ917486 MPO917486:MPU917486 MFS917486:MFY917486 LVW917486:LWC917486 LMA917486:LMG917486 LCE917486:LCK917486 KSI917486:KSO917486 KIM917486:KIS917486 JYQ917486:JYW917486 JOU917486:JPA917486 JEY917486:JFE917486 IVC917486:IVI917486 ILG917486:ILM917486 IBK917486:IBQ917486 HRO917486:HRU917486 HHS917486:HHY917486 GXW917486:GYC917486 GOA917486:GOG917486 GEE917486:GEK917486 FUI917486:FUO917486 FKM917486:FKS917486 FAQ917486:FAW917486 EQU917486:ERA917486 EGY917486:EHE917486 DXC917486:DXI917486 DNG917486:DNM917486 DDK917486:DDQ917486 CTO917486:CTU917486 CJS917486:CJY917486 BZW917486:CAC917486 BQA917486:BQG917486 BGE917486:BGK917486 AWI917486:AWO917486 AMM917486:AMS917486 ACQ917486:ACW917486 SU917486:TA917486 IY917486:JE917486 WVK851950:WVQ851950 WLO851950:WLU851950 WBS851950:WBY851950 VRW851950:VSC851950 VIA851950:VIG851950 UYE851950:UYK851950 UOI851950:UOO851950 UEM851950:UES851950 TUQ851950:TUW851950 TKU851950:TLA851950 TAY851950:TBE851950 SRC851950:SRI851950 SHG851950:SHM851950 RXK851950:RXQ851950 RNO851950:RNU851950 RDS851950:RDY851950 QTW851950:QUC851950 QKA851950:QKG851950 QAE851950:QAK851950 PQI851950:PQO851950 PGM851950:PGS851950 OWQ851950:OWW851950 OMU851950:ONA851950 OCY851950:ODE851950 NTC851950:NTI851950 NJG851950:NJM851950 MZK851950:MZQ851950 MPO851950:MPU851950 MFS851950:MFY851950 LVW851950:LWC851950 LMA851950:LMG851950 LCE851950:LCK851950 KSI851950:KSO851950 KIM851950:KIS851950 JYQ851950:JYW851950 JOU851950:JPA851950 JEY851950:JFE851950 IVC851950:IVI851950 ILG851950:ILM851950 IBK851950:IBQ851950 HRO851950:HRU851950 HHS851950:HHY851950 GXW851950:GYC851950 GOA851950:GOG851950 GEE851950:GEK851950 FUI851950:FUO851950 FKM851950:FKS851950 FAQ851950:FAW851950 EQU851950:ERA851950 EGY851950:EHE851950 DXC851950:DXI851950 DNG851950:DNM851950 DDK851950:DDQ851950 CTO851950:CTU851950 CJS851950:CJY851950 BZW851950:CAC851950 BQA851950:BQG851950 BGE851950:BGK851950 AWI851950:AWO851950 AMM851950:AMS851950 ACQ851950:ACW851950 SU851950:TA851950 IY851950:JE851950 WVK786414:WVQ786414 WLO786414:WLU786414 WBS786414:WBY786414 VRW786414:VSC786414 VIA786414:VIG786414 UYE786414:UYK786414 UOI786414:UOO786414 UEM786414:UES786414 TUQ786414:TUW786414 TKU786414:TLA786414 TAY786414:TBE786414 SRC786414:SRI786414 SHG786414:SHM786414 RXK786414:RXQ786414 RNO786414:RNU786414 RDS786414:RDY786414 QTW786414:QUC786414 QKA786414:QKG786414 QAE786414:QAK786414 PQI786414:PQO786414 PGM786414:PGS786414 OWQ786414:OWW786414 OMU786414:ONA786414 OCY786414:ODE786414 NTC786414:NTI786414 NJG786414:NJM786414 MZK786414:MZQ786414 MPO786414:MPU786414 MFS786414:MFY786414 LVW786414:LWC786414 LMA786414:LMG786414 LCE786414:LCK786414 KSI786414:KSO786414 KIM786414:KIS786414 JYQ786414:JYW786414 JOU786414:JPA786414 JEY786414:JFE786414 IVC786414:IVI786414 ILG786414:ILM786414 IBK786414:IBQ786414 HRO786414:HRU786414 HHS786414:HHY786414 GXW786414:GYC786414 GOA786414:GOG786414 GEE786414:GEK786414 FUI786414:FUO786414 FKM786414:FKS786414 FAQ786414:FAW786414 EQU786414:ERA786414 EGY786414:EHE786414 DXC786414:DXI786414 DNG786414:DNM786414 DDK786414:DDQ786414 CTO786414:CTU786414 CJS786414:CJY786414 BZW786414:CAC786414 BQA786414:BQG786414 BGE786414:BGK786414 AWI786414:AWO786414 AMM786414:AMS786414 ACQ786414:ACW786414 SU786414:TA786414 IY786414:JE786414 WVK720878:WVQ720878 WLO720878:WLU720878 WBS720878:WBY720878 VRW720878:VSC720878 VIA720878:VIG720878 UYE720878:UYK720878 UOI720878:UOO720878 UEM720878:UES720878 TUQ720878:TUW720878 TKU720878:TLA720878 TAY720878:TBE720878 SRC720878:SRI720878 SHG720878:SHM720878 RXK720878:RXQ720878 RNO720878:RNU720878 RDS720878:RDY720878 QTW720878:QUC720878 QKA720878:QKG720878 QAE720878:QAK720878 PQI720878:PQO720878 PGM720878:PGS720878 OWQ720878:OWW720878 OMU720878:ONA720878 OCY720878:ODE720878 NTC720878:NTI720878 NJG720878:NJM720878 MZK720878:MZQ720878 MPO720878:MPU720878 MFS720878:MFY720878 LVW720878:LWC720878 LMA720878:LMG720878 LCE720878:LCK720878 KSI720878:KSO720878 KIM720878:KIS720878 JYQ720878:JYW720878 JOU720878:JPA720878 JEY720878:JFE720878 IVC720878:IVI720878 ILG720878:ILM720878 IBK720878:IBQ720878 HRO720878:HRU720878 HHS720878:HHY720878 GXW720878:GYC720878 GOA720878:GOG720878 GEE720878:GEK720878 FUI720878:FUO720878 FKM720878:FKS720878 FAQ720878:FAW720878 EQU720878:ERA720878 EGY720878:EHE720878 DXC720878:DXI720878 DNG720878:DNM720878 DDK720878:DDQ720878 CTO720878:CTU720878 CJS720878:CJY720878 BZW720878:CAC720878 BQA720878:BQG720878 BGE720878:BGK720878 AWI720878:AWO720878 AMM720878:AMS720878 ACQ720878:ACW720878 SU720878:TA720878 IY720878:JE720878 WVK655342:WVQ655342 WLO655342:WLU655342 WBS655342:WBY655342 VRW655342:VSC655342 VIA655342:VIG655342 UYE655342:UYK655342 UOI655342:UOO655342 UEM655342:UES655342 TUQ655342:TUW655342 TKU655342:TLA655342 TAY655342:TBE655342 SRC655342:SRI655342 SHG655342:SHM655342 RXK655342:RXQ655342 RNO655342:RNU655342 RDS655342:RDY655342 QTW655342:QUC655342 QKA655342:QKG655342 QAE655342:QAK655342 PQI655342:PQO655342 PGM655342:PGS655342 OWQ655342:OWW655342 OMU655342:ONA655342 OCY655342:ODE655342 NTC655342:NTI655342 NJG655342:NJM655342 MZK655342:MZQ655342 MPO655342:MPU655342 MFS655342:MFY655342 LVW655342:LWC655342 LMA655342:LMG655342 LCE655342:LCK655342 KSI655342:KSO655342 KIM655342:KIS655342 JYQ655342:JYW655342 JOU655342:JPA655342 JEY655342:JFE655342 IVC655342:IVI655342 ILG655342:ILM655342 IBK655342:IBQ655342 HRO655342:HRU655342 HHS655342:HHY655342 GXW655342:GYC655342 GOA655342:GOG655342 GEE655342:GEK655342 FUI655342:FUO655342 FKM655342:FKS655342 FAQ655342:FAW655342 EQU655342:ERA655342 EGY655342:EHE655342 DXC655342:DXI655342 DNG655342:DNM655342 DDK655342:DDQ655342 CTO655342:CTU655342 CJS655342:CJY655342 BZW655342:CAC655342 BQA655342:BQG655342 BGE655342:BGK655342 AWI655342:AWO655342 AMM655342:AMS655342 ACQ655342:ACW655342 SU655342:TA655342 IY655342:JE655342 WVK589806:WVQ589806 WLO589806:WLU589806 WBS589806:WBY589806 VRW589806:VSC589806 VIA589806:VIG589806 UYE589806:UYK589806 UOI589806:UOO589806 UEM589806:UES589806 TUQ589806:TUW589806 TKU589806:TLA589806 TAY589806:TBE589806 SRC589806:SRI589806 SHG589806:SHM589806 RXK589806:RXQ589806 RNO589806:RNU589806 RDS589806:RDY589806 QTW589806:QUC589806 QKA589806:QKG589806 QAE589806:QAK589806 PQI589806:PQO589806 PGM589806:PGS589806 OWQ589806:OWW589806 OMU589806:ONA589806 OCY589806:ODE589806 NTC589806:NTI589806 NJG589806:NJM589806 MZK589806:MZQ589806 MPO589806:MPU589806 MFS589806:MFY589806 LVW589806:LWC589806 LMA589806:LMG589806 LCE589806:LCK589806 KSI589806:KSO589806 KIM589806:KIS589806 JYQ589806:JYW589806 JOU589806:JPA589806 JEY589806:JFE589806 IVC589806:IVI589806 ILG589806:ILM589806 IBK589806:IBQ589806 HRO589806:HRU589806 HHS589806:HHY589806 GXW589806:GYC589806 GOA589806:GOG589806 GEE589806:GEK589806 FUI589806:FUO589806 FKM589806:FKS589806 FAQ589806:FAW589806 EQU589806:ERA589806 EGY589806:EHE589806 DXC589806:DXI589806 DNG589806:DNM589806 DDK589806:DDQ589806 CTO589806:CTU589806 CJS589806:CJY589806 BZW589806:CAC589806 BQA589806:BQG589806 BGE589806:BGK589806 AWI589806:AWO589806 AMM589806:AMS589806 ACQ589806:ACW589806 SU589806:TA589806 IY589806:JE589806 WVK524270:WVQ524270 WLO524270:WLU524270 WBS524270:WBY524270 VRW524270:VSC524270 VIA524270:VIG524270 UYE524270:UYK524270 UOI524270:UOO524270 UEM524270:UES524270 TUQ524270:TUW524270 TKU524270:TLA524270 TAY524270:TBE524270 SRC524270:SRI524270 SHG524270:SHM524270 RXK524270:RXQ524270 RNO524270:RNU524270 RDS524270:RDY524270 QTW524270:QUC524270 QKA524270:QKG524270 QAE524270:QAK524270 PQI524270:PQO524270 PGM524270:PGS524270 OWQ524270:OWW524270 OMU524270:ONA524270 OCY524270:ODE524270 NTC524270:NTI524270 NJG524270:NJM524270 MZK524270:MZQ524270 MPO524270:MPU524270 MFS524270:MFY524270 LVW524270:LWC524270 LMA524270:LMG524270 LCE524270:LCK524270 KSI524270:KSO524270 KIM524270:KIS524270 JYQ524270:JYW524270 JOU524270:JPA524270 JEY524270:JFE524270 IVC524270:IVI524270 ILG524270:ILM524270 IBK524270:IBQ524270 HRO524270:HRU524270 HHS524270:HHY524270 GXW524270:GYC524270 GOA524270:GOG524270 GEE524270:GEK524270 FUI524270:FUO524270 FKM524270:FKS524270 FAQ524270:FAW524270 EQU524270:ERA524270 EGY524270:EHE524270 DXC524270:DXI524270 DNG524270:DNM524270 DDK524270:DDQ524270 CTO524270:CTU524270 CJS524270:CJY524270 BZW524270:CAC524270 BQA524270:BQG524270 BGE524270:BGK524270 AWI524270:AWO524270 AMM524270:AMS524270 ACQ524270:ACW524270 SU524270:TA524270 IY524270:JE524270 WVK458734:WVQ458734 WLO458734:WLU458734 WBS458734:WBY458734 VRW458734:VSC458734 VIA458734:VIG458734 UYE458734:UYK458734 UOI458734:UOO458734 UEM458734:UES458734 TUQ458734:TUW458734 TKU458734:TLA458734 TAY458734:TBE458734 SRC458734:SRI458734 SHG458734:SHM458734 RXK458734:RXQ458734 RNO458734:RNU458734 RDS458734:RDY458734 QTW458734:QUC458734 QKA458734:QKG458734 QAE458734:QAK458734 PQI458734:PQO458734 PGM458734:PGS458734 OWQ458734:OWW458734 OMU458734:ONA458734 OCY458734:ODE458734 NTC458734:NTI458734 NJG458734:NJM458734 MZK458734:MZQ458734 MPO458734:MPU458734 MFS458734:MFY458734 LVW458734:LWC458734 LMA458734:LMG458734 LCE458734:LCK458734 KSI458734:KSO458734 KIM458734:KIS458734 JYQ458734:JYW458734 JOU458734:JPA458734 JEY458734:JFE458734 IVC458734:IVI458734 ILG458734:ILM458734 IBK458734:IBQ458734 HRO458734:HRU458734 HHS458734:HHY458734 GXW458734:GYC458734 GOA458734:GOG458734 GEE458734:GEK458734 FUI458734:FUO458734 FKM458734:FKS458734 FAQ458734:FAW458734 EQU458734:ERA458734 EGY458734:EHE458734 DXC458734:DXI458734 DNG458734:DNM458734 DDK458734:DDQ458734 CTO458734:CTU458734 CJS458734:CJY458734 BZW458734:CAC458734 BQA458734:BQG458734 BGE458734:BGK458734 AWI458734:AWO458734 AMM458734:AMS458734 ACQ458734:ACW458734 SU458734:TA458734 IY458734:JE458734 WVK393198:WVQ393198 WLO393198:WLU393198 WBS393198:WBY393198 VRW393198:VSC393198 VIA393198:VIG393198 UYE393198:UYK393198 UOI393198:UOO393198 UEM393198:UES393198 TUQ393198:TUW393198 TKU393198:TLA393198 TAY393198:TBE393198 SRC393198:SRI393198 SHG393198:SHM393198 RXK393198:RXQ393198 RNO393198:RNU393198 RDS393198:RDY393198 QTW393198:QUC393198 QKA393198:QKG393198 QAE393198:QAK393198 PQI393198:PQO393198 PGM393198:PGS393198 OWQ393198:OWW393198 OMU393198:ONA393198 OCY393198:ODE393198 NTC393198:NTI393198 NJG393198:NJM393198 MZK393198:MZQ393198 MPO393198:MPU393198 MFS393198:MFY393198 LVW393198:LWC393198 LMA393198:LMG393198 LCE393198:LCK393198 KSI393198:KSO393198 KIM393198:KIS393198 JYQ393198:JYW393198 JOU393198:JPA393198 JEY393198:JFE393198 IVC393198:IVI393198 ILG393198:ILM393198 IBK393198:IBQ393198 HRO393198:HRU393198 HHS393198:HHY393198 GXW393198:GYC393198 GOA393198:GOG393198 GEE393198:GEK393198 FUI393198:FUO393198 FKM393198:FKS393198 FAQ393198:FAW393198 EQU393198:ERA393198 EGY393198:EHE393198 DXC393198:DXI393198 DNG393198:DNM393198 DDK393198:DDQ393198 CTO393198:CTU393198 CJS393198:CJY393198 BZW393198:CAC393198 BQA393198:BQG393198 BGE393198:BGK393198 AWI393198:AWO393198 AMM393198:AMS393198 ACQ393198:ACW393198 SU393198:TA393198 IY393198:JE393198 WVK327662:WVQ327662 WLO327662:WLU327662 WBS327662:WBY327662 VRW327662:VSC327662 VIA327662:VIG327662 UYE327662:UYK327662 UOI327662:UOO327662 UEM327662:UES327662 TUQ327662:TUW327662 TKU327662:TLA327662 TAY327662:TBE327662 SRC327662:SRI327662 SHG327662:SHM327662 RXK327662:RXQ327662 RNO327662:RNU327662 RDS327662:RDY327662 QTW327662:QUC327662 QKA327662:QKG327662 QAE327662:QAK327662 PQI327662:PQO327662 PGM327662:PGS327662 OWQ327662:OWW327662 OMU327662:ONA327662 OCY327662:ODE327662 NTC327662:NTI327662 NJG327662:NJM327662 MZK327662:MZQ327662 MPO327662:MPU327662 MFS327662:MFY327662 LVW327662:LWC327662 LMA327662:LMG327662 LCE327662:LCK327662 KSI327662:KSO327662 KIM327662:KIS327662 JYQ327662:JYW327662 JOU327662:JPA327662 JEY327662:JFE327662 IVC327662:IVI327662 ILG327662:ILM327662 IBK327662:IBQ327662 HRO327662:HRU327662 HHS327662:HHY327662 GXW327662:GYC327662 GOA327662:GOG327662 GEE327662:GEK327662 FUI327662:FUO327662 FKM327662:FKS327662 FAQ327662:FAW327662 EQU327662:ERA327662 EGY327662:EHE327662 DXC327662:DXI327662 DNG327662:DNM327662 DDK327662:DDQ327662 CTO327662:CTU327662 CJS327662:CJY327662 BZW327662:CAC327662 BQA327662:BQG327662 BGE327662:BGK327662 AWI327662:AWO327662 AMM327662:AMS327662 ACQ327662:ACW327662 SU327662:TA327662 IY327662:JE327662 WVK262126:WVQ262126 WLO262126:WLU262126 WBS262126:WBY262126 VRW262126:VSC262126 VIA262126:VIG262126 UYE262126:UYK262126 UOI262126:UOO262126 UEM262126:UES262126 TUQ262126:TUW262126 TKU262126:TLA262126 TAY262126:TBE262126 SRC262126:SRI262126 SHG262126:SHM262126 RXK262126:RXQ262126 RNO262126:RNU262126 RDS262126:RDY262126 QTW262126:QUC262126 QKA262126:QKG262126 QAE262126:QAK262126 PQI262126:PQO262126 PGM262126:PGS262126 OWQ262126:OWW262126 OMU262126:ONA262126 OCY262126:ODE262126 NTC262126:NTI262126 NJG262126:NJM262126 MZK262126:MZQ262126 MPO262126:MPU262126 MFS262126:MFY262126 LVW262126:LWC262126 LMA262126:LMG262126 LCE262126:LCK262126 KSI262126:KSO262126 KIM262126:KIS262126 JYQ262126:JYW262126 JOU262126:JPA262126 JEY262126:JFE262126 IVC262126:IVI262126 ILG262126:ILM262126 IBK262126:IBQ262126 HRO262126:HRU262126 HHS262126:HHY262126 GXW262126:GYC262126 GOA262126:GOG262126 GEE262126:GEK262126 FUI262126:FUO262126 FKM262126:FKS262126 FAQ262126:FAW262126 EQU262126:ERA262126 EGY262126:EHE262126 DXC262126:DXI262126 DNG262126:DNM262126 DDK262126:DDQ262126 CTO262126:CTU262126 CJS262126:CJY262126 BZW262126:CAC262126 BQA262126:BQG262126 BGE262126:BGK262126 AWI262126:AWO262126 AMM262126:AMS262126 ACQ262126:ACW262126 SU262126:TA262126 IY262126:JE262126 WVK196590:WVQ196590 WLO196590:WLU196590 WBS196590:WBY196590 VRW196590:VSC196590 VIA196590:VIG196590 UYE196590:UYK196590 UOI196590:UOO196590 UEM196590:UES196590 TUQ196590:TUW196590 TKU196590:TLA196590 TAY196590:TBE196590 SRC196590:SRI196590 SHG196590:SHM196590 RXK196590:RXQ196590 RNO196590:RNU196590 RDS196590:RDY196590 QTW196590:QUC196590 QKA196590:QKG196590 QAE196590:QAK196590 PQI196590:PQO196590 PGM196590:PGS196590 OWQ196590:OWW196590 OMU196590:ONA196590 OCY196590:ODE196590 NTC196590:NTI196590 NJG196590:NJM196590 MZK196590:MZQ196590 MPO196590:MPU196590 MFS196590:MFY196590 LVW196590:LWC196590 LMA196590:LMG196590 LCE196590:LCK196590 KSI196590:KSO196590 KIM196590:KIS196590 JYQ196590:JYW196590 JOU196590:JPA196590 JEY196590:JFE196590 IVC196590:IVI196590 ILG196590:ILM196590 IBK196590:IBQ196590 HRO196590:HRU196590 HHS196590:HHY196590 GXW196590:GYC196590 GOA196590:GOG196590 GEE196590:GEK196590 FUI196590:FUO196590 FKM196590:FKS196590 FAQ196590:FAW196590 EQU196590:ERA196590 EGY196590:EHE196590 DXC196590:DXI196590 DNG196590:DNM196590 DDK196590:DDQ196590 CTO196590:CTU196590 CJS196590:CJY196590 BZW196590:CAC196590 BQA196590:BQG196590 BGE196590:BGK196590 AWI196590:AWO196590 AMM196590:AMS196590 ACQ196590:ACW196590 SU196590:TA196590 IY196590:JE196590 WVK131054:WVQ131054 WLO131054:WLU131054 WBS131054:WBY131054 VRW131054:VSC131054 VIA131054:VIG131054 UYE131054:UYK131054 UOI131054:UOO131054 UEM131054:UES131054 TUQ131054:TUW131054 TKU131054:TLA131054 TAY131054:TBE131054 SRC131054:SRI131054 SHG131054:SHM131054 RXK131054:RXQ131054 RNO131054:RNU131054 RDS131054:RDY131054 QTW131054:QUC131054 QKA131054:QKG131054 QAE131054:QAK131054 PQI131054:PQO131054 PGM131054:PGS131054 OWQ131054:OWW131054 OMU131054:ONA131054 OCY131054:ODE131054 NTC131054:NTI131054 NJG131054:NJM131054 MZK131054:MZQ131054 MPO131054:MPU131054 MFS131054:MFY131054 LVW131054:LWC131054 LMA131054:LMG131054 LCE131054:LCK131054 KSI131054:KSO131054 KIM131054:KIS131054 JYQ131054:JYW131054 JOU131054:JPA131054 JEY131054:JFE131054 IVC131054:IVI131054 ILG131054:ILM131054 IBK131054:IBQ131054 HRO131054:HRU131054 HHS131054:HHY131054 GXW131054:GYC131054 GOA131054:GOG131054 GEE131054:GEK131054 FUI131054:FUO131054 FKM131054:FKS131054 FAQ131054:FAW131054 EQU131054:ERA131054 EGY131054:EHE131054 DXC131054:DXI131054 DNG131054:DNM131054 DDK131054:DDQ131054 CTO131054:CTU131054 CJS131054:CJY131054 BZW131054:CAC131054 BQA131054:BQG131054 BGE131054:BGK131054 AWI131054:AWO131054 AMM131054:AMS131054 ACQ131054:ACW131054 SU131054:TA131054 IY131054:JE131054 WVK65518:WVQ65518 WLO65518:WLU65518 WBS65518:WBY65518 VRW65518:VSC65518 VIA65518:VIG65518 UYE65518:UYK65518 UOI65518:UOO65518 UEM65518:UES65518 TUQ65518:TUW65518 TKU65518:TLA65518 TAY65518:TBE65518 SRC65518:SRI65518 SHG65518:SHM65518 RXK65518:RXQ65518 RNO65518:RNU65518 RDS65518:RDY65518 QTW65518:QUC65518 QKA65518:QKG65518 QAE65518:QAK65518 PQI65518:PQO65518 PGM65518:PGS65518 OWQ65518:OWW65518 OMU65518:ONA65518 OCY65518:ODE65518 NTC65518:NTI65518 NJG65518:NJM65518 MZK65518:MZQ65518 MPO65518:MPU65518 MFS65518:MFY65518 LVW65518:LWC65518 LMA65518:LMG65518 LCE65518:LCK65518 KSI65518:KSO65518 KIM65518:KIS65518 JYQ65518:JYW65518 JOU65518:JPA65518 JEY65518:JFE65518 IVC65518:IVI65518 ILG65518:ILM65518 IBK65518:IBQ65518 HRO65518:HRU65518 HHS65518:HHY65518 GXW65518:GYC65518 GOA65518:GOG65518 GEE65518:GEK65518 FUI65518:FUO65518 FKM65518:FKS65518 FAQ65518:FAW65518 EQU65518:ERA65518 EGY65518:EHE65518 DXC65518:DXI65518 DNG65518:DNM65518 DDK65518:DDQ65518 CTO65518:CTU65518 CJS65518:CJY65518 BZW65518:CAC65518 BQA65518:BQG65518 BGE65518:BGK65518 AWI65518:AWO65518 AMM65518:AMS65518 ACQ65518:ACW65518 SU65518:TA65518 IY65518:JE65518">
      <formula1>#REF!</formula1>
    </dataValidation>
    <dataValidation type="list" allowBlank="1" showInputMessage="1" showErrorMessage="1" sqref="WVS983022 L65517:M65517 L983021:M983021 L917485:M917485 L851949:M851949 L786413:M786413 L720877:M720877 L655341:M655341 L589805:M589805 L524269:M524269 L458733:M458733 L393197:M393197 L327661:M327661 L262125:M262125 L196589:M196589 L131053:M131053 WLW983022 WCA983022 VSE983022 VII983022 UYM983022 UOQ983022 UEU983022 TUY983022 TLC983022 TBG983022 SRK983022 SHO983022 RXS983022 RNW983022 REA983022 QUE983022 QKI983022 QAM983022 PQQ983022 PGU983022 OWY983022 ONC983022 ODG983022 NTK983022 NJO983022 MZS983022 MPW983022 MGA983022 LWE983022 LMI983022 LCM983022 KSQ983022 KIU983022 JYY983022 JPC983022 JFG983022 IVK983022 ILO983022 IBS983022 HRW983022 HIA983022 GYE983022 GOI983022 GEM983022 FUQ983022 FKU983022 FAY983022 ERC983022 EHG983022 DXK983022 DNO983022 DDS983022 CTW983022 CKA983022 CAE983022 BQI983022 BGM983022 AWQ983022 AMU983022 ACY983022 TC983022 JG983022 WVS917486 WLW917486 WCA917486 VSE917486 VII917486 UYM917486 UOQ917486 UEU917486 TUY917486 TLC917486 TBG917486 SRK917486 SHO917486 RXS917486 RNW917486 REA917486 QUE917486 QKI917486 QAM917486 PQQ917486 PGU917486 OWY917486 ONC917486 ODG917486 NTK917486 NJO917486 MZS917486 MPW917486 MGA917486 LWE917486 LMI917486 LCM917486 KSQ917486 KIU917486 JYY917486 JPC917486 JFG917486 IVK917486 ILO917486 IBS917486 HRW917486 HIA917486 GYE917486 GOI917486 GEM917486 FUQ917486 FKU917486 FAY917486 ERC917486 EHG917486 DXK917486 DNO917486 DDS917486 CTW917486 CKA917486 CAE917486 BQI917486 BGM917486 AWQ917486 AMU917486 ACY917486 TC917486 JG917486 WVS851950 WLW851950 WCA851950 VSE851950 VII851950 UYM851950 UOQ851950 UEU851950 TUY851950 TLC851950 TBG851950 SRK851950 SHO851950 RXS851950 RNW851950 REA851950 QUE851950 QKI851950 QAM851950 PQQ851950 PGU851950 OWY851950 ONC851950 ODG851950 NTK851950 NJO851950 MZS851950 MPW851950 MGA851950 LWE851950 LMI851950 LCM851950 KSQ851950 KIU851950 JYY851950 JPC851950 JFG851950 IVK851950 ILO851950 IBS851950 HRW851950 HIA851950 GYE851950 GOI851950 GEM851950 FUQ851950 FKU851950 FAY851950 ERC851950 EHG851950 DXK851950 DNO851950 DDS851950 CTW851950 CKA851950 CAE851950 BQI851950 BGM851950 AWQ851950 AMU851950 ACY851950 TC851950 JG851950 WVS786414 WLW786414 WCA786414 VSE786414 VII786414 UYM786414 UOQ786414 UEU786414 TUY786414 TLC786414 TBG786414 SRK786414 SHO786414 RXS786414 RNW786414 REA786414 QUE786414 QKI786414 QAM786414 PQQ786414 PGU786414 OWY786414 ONC786414 ODG786414 NTK786414 NJO786414 MZS786414 MPW786414 MGA786414 LWE786414 LMI786414 LCM786414 KSQ786414 KIU786414 JYY786414 JPC786414 JFG786414 IVK786414 ILO786414 IBS786414 HRW786414 HIA786414 GYE786414 GOI786414 GEM786414 FUQ786414 FKU786414 FAY786414 ERC786414 EHG786414 DXK786414 DNO786414 DDS786414 CTW786414 CKA786414 CAE786414 BQI786414 BGM786414 AWQ786414 AMU786414 ACY786414 TC786414 JG786414 WVS720878 WLW720878 WCA720878 VSE720878 VII720878 UYM720878 UOQ720878 UEU720878 TUY720878 TLC720878 TBG720878 SRK720878 SHO720878 RXS720878 RNW720878 REA720878 QUE720878 QKI720878 QAM720878 PQQ720878 PGU720878 OWY720878 ONC720878 ODG720878 NTK720878 NJO720878 MZS720878 MPW720878 MGA720878 LWE720878 LMI720878 LCM720878 KSQ720878 KIU720878 JYY720878 JPC720878 JFG720878 IVK720878 ILO720878 IBS720878 HRW720878 HIA720878 GYE720878 GOI720878 GEM720878 FUQ720878 FKU720878 FAY720878 ERC720878 EHG720878 DXK720878 DNO720878 DDS720878 CTW720878 CKA720878 CAE720878 BQI720878 BGM720878 AWQ720878 AMU720878 ACY720878 TC720878 JG720878 WVS655342 WLW655342 WCA655342 VSE655342 VII655342 UYM655342 UOQ655342 UEU655342 TUY655342 TLC655342 TBG655342 SRK655342 SHO655342 RXS655342 RNW655342 REA655342 QUE655342 QKI655342 QAM655342 PQQ655342 PGU655342 OWY655342 ONC655342 ODG655342 NTK655342 NJO655342 MZS655342 MPW655342 MGA655342 LWE655342 LMI655342 LCM655342 KSQ655342 KIU655342 JYY655342 JPC655342 JFG655342 IVK655342 ILO655342 IBS655342 HRW655342 HIA655342 GYE655342 GOI655342 GEM655342 FUQ655342 FKU655342 FAY655342 ERC655342 EHG655342 DXK655342 DNO655342 DDS655342 CTW655342 CKA655342 CAE655342 BQI655342 BGM655342 AWQ655342 AMU655342 ACY655342 TC655342 JG655342 WVS589806 WLW589806 WCA589806 VSE589806 VII589806 UYM589806 UOQ589806 UEU589806 TUY589806 TLC589806 TBG589806 SRK589806 SHO589806 RXS589806 RNW589806 REA589806 QUE589806 QKI589806 QAM589806 PQQ589806 PGU589806 OWY589806 ONC589806 ODG589806 NTK589806 NJO589806 MZS589806 MPW589806 MGA589806 LWE589806 LMI589806 LCM589806 KSQ589806 KIU589806 JYY589806 JPC589806 JFG589806 IVK589806 ILO589806 IBS589806 HRW589806 HIA589806 GYE589806 GOI589806 GEM589806 FUQ589806 FKU589806 FAY589806 ERC589806 EHG589806 DXK589806 DNO589806 DDS589806 CTW589806 CKA589806 CAE589806 BQI589806 BGM589806 AWQ589806 AMU589806 ACY589806 TC589806 JG589806 WVS524270 WLW524270 WCA524270 VSE524270 VII524270 UYM524270 UOQ524270 UEU524270 TUY524270 TLC524270 TBG524270 SRK524270 SHO524270 RXS524270 RNW524270 REA524270 QUE524270 QKI524270 QAM524270 PQQ524270 PGU524270 OWY524270 ONC524270 ODG524270 NTK524270 NJO524270 MZS524270 MPW524270 MGA524270 LWE524270 LMI524270 LCM524270 KSQ524270 KIU524270 JYY524270 JPC524270 JFG524270 IVK524270 ILO524270 IBS524270 HRW524270 HIA524270 GYE524270 GOI524270 GEM524270 FUQ524270 FKU524270 FAY524270 ERC524270 EHG524270 DXK524270 DNO524270 DDS524270 CTW524270 CKA524270 CAE524270 BQI524270 BGM524270 AWQ524270 AMU524270 ACY524270 TC524270 JG524270 WVS458734 WLW458734 WCA458734 VSE458734 VII458734 UYM458734 UOQ458734 UEU458734 TUY458734 TLC458734 TBG458734 SRK458734 SHO458734 RXS458734 RNW458734 REA458734 QUE458734 QKI458734 QAM458734 PQQ458734 PGU458734 OWY458734 ONC458734 ODG458734 NTK458734 NJO458734 MZS458734 MPW458734 MGA458734 LWE458734 LMI458734 LCM458734 KSQ458734 KIU458734 JYY458734 JPC458734 JFG458734 IVK458734 ILO458734 IBS458734 HRW458734 HIA458734 GYE458734 GOI458734 GEM458734 FUQ458734 FKU458734 FAY458734 ERC458734 EHG458734 DXK458734 DNO458734 DDS458734 CTW458734 CKA458734 CAE458734 BQI458734 BGM458734 AWQ458734 AMU458734 ACY458734 TC458734 JG458734 WVS393198 WLW393198 WCA393198 VSE393198 VII393198 UYM393198 UOQ393198 UEU393198 TUY393198 TLC393198 TBG393198 SRK393198 SHO393198 RXS393198 RNW393198 REA393198 QUE393198 QKI393198 QAM393198 PQQ393198 PGU393198 OWY393198 ONC393198 ODG393198 NTK393198 NJO393198 MZS393198 MPW393198 MGA393198 LWE393198 LMI393198 LCM393198 KSQ393198 KIU393198 JYY393198 JPC393198 JFG393198 IVK393198 ILO393198 IBS393198 HRW393198 HIA393198 GYE393198 GOI393198 GEM393198 FUQ393198 FKU393198 FAY393198 ERC393198 EHG393198 DXK393198 DNO393198 DDS393198 CTW393198 CKA393198 CAE393198 BQI393198 BGM393198 AWQ393198 AMU393198 ACY393198 TC393198 JG393198 WVS327662 WLW327662 WCA327662 VSE327662 VII327662 UYM327662 UOQ327662 UEU327662 TUY327662 TLC327662 TBG327662 SRK327662 SHO327662 RXS327662 RNW327662 REA327662 QUE327662 QKI327662 QAM327662 PQQ327662 PGU327662 OWY327662 ONC327662 ODG327662 NTK327662 NJO327662 MZS327662 MPW327662 MGA327662 LWE327662 LMI327662 LCM327662 KSQ327662 KIU327662 JYY327662 JPC327662 JFG327662 IVK327662 ILO327662 IBS327662 HRW327662 HIA327662 GYE327662 GOI327662 GEM327662 FUQ327662 FKU327662 FAY327662 ERC327662 EHG327662 DXK327662 DNO327662 DDS327662 CTW327662 CKA327662 CAE327662 BQI327662 BGM327662 AWQ327662 AMU327662 ACY327662 TC327662 JG327662 WVS262126 WLW262126 WCA262126 VSE262126 VII262126 UYM262126 UOQ262126 UEU262126 TUY262126 TLC262126 TBG262126 SRK262126 SHO262126 RXS262126 RNW262126 REA262126 QUE262126 QKI262126 QAM262126 PQQ262126 PGU262126 OWY262126 ONC262126 ODG262126 NTK262126 NJO262126 MZS262126 MPW262126 MGA262126 LWE262126 LMI262126 LCM262126 KSQ262126 KIU262126 JYY262126 JPC262126 JFG262126 IVK262126 ILO262126 IBS262126 HRW262126 HIA262126 GYE262126 GOI262126 GEM262126 FUQ262126 FKU262126 FAY262126 ERC262126 EHG262126 DXK262126 DNO262126 DDS262126 CTW262126 CKA262126 CAE262126 BQI262126 BGM262126 AWQ262126 AMU262126 ACY262126 TC262126 JG262126 WVS196590 WLW196590 WCA196590 VSE196590 VII196590 UYM196590 UOQ196590 UEU196590 TUY196590 TLC196590 TBG196590 SRK196590 SHO196590 RXS196590 RNW196590 REA196590 QUE196590 QKI196590 QAM196590 PQQ196590 PGU196590 OWY196590 ONC196590 ODG196590 NTK196590 NJO196590 MZS196590 MPW196590 MGA196590 LWE196590 LMI196590 LCM196590 KSQ196590 KIU196590 JYY196590 JPC196590 JFG196590 IVK196590 ILO196590 IBS196590 HRW196590 HIA196590 GYE196590 GOI196590 GEM196590 FUQ196590 FKU196590 FAY196590 ERC196590 EHG196590 DXK196590 DNO196590 DDS196590 CTW196590 CKA196590 CAE196590 BQI196590 BGM196590 AWQ196590 AMU196590 ACY196590 TC196590 JG196590 WVS131054 WLW131054 WCA131054 VSE131054 VII131054 UYM131054 UOQ131054 UEU131054 TUY131054 TLC131054 TBG131054 SRK131054 SHO131054 RXS131054 RNW131054 REA131054 QUE131054 QKI131054 QAM131054 PQQ131054 PGU131054 OWY131054 ONC131054 ODG131054 NTK131054 NJO131054 MZS131054 MPW131054 MGA131054 LWE131054 LMI131054 LCM131054 KSQ131054 KIU131054 JYY131054 JPC131054 JFG131054 IVK131054 ILO131054 IBS131054 HRW131054 HIA131054 GYE131054 GOI131054 GEM131054 FUQ131054 FKU131054 FAY131054 ERC131054 EHG131054 DXK131054 DNO131054 DDS131054 CTW131054 CKA131054 CAE131054 BQI131054 BGM131054 AWQ131054 AMU131054 ACY131054 TC131054 JG131054 WVS65518 WLW65518 WCA65518 VSE65518 VII65518 UYM65518 UOQ65518 UEU65518 TUY65518 TLC65518 TBG65518 SRK65518 SHO65518 RXS65518 RNW65518 REA65518 QUE65518 QKI65518 QAM65518 PQQ65518 PGU65518 OWY65518 ONC65518 ODG65518 NTK65518 NJO65518 MZS65518 MPW65518 MGA65518 LWE65518 LMI65518 LCM65518 KSQ65518 KIU65518 JYY65518 JPC65518 JFG65518 IVK65518 ILO65518 IBS65518 HRW65518 HIA65518 GYE65518 GOI65518 GEM65518 FUQ65518 FKU65518 FAY65518 ERC65518 EHG65518 DXK65518 DNO65518 DDS65518 CTW65518 CKA65518 CAE65518 BQI65518 BGM65518 AWQ65518 AMU65518 ACY65518 TC65518 JG65518">
      <formula1>$W$22:$W$24</formula1>
    </dataValidation>
    <dataValidation type="list" allowBlank="1" showInputMessage="1" showErrorMessage="1" sqref="H65515:I65515 H131051:I131051 H983019:I983019 H917483:I917483 H851947:I851947 H786411:I786411 H720875:I720875 H655339:I655339 H589803:I589803 H524267:I524267 H458731:I458731 H393195:I393195 H327659:I327659 H262123:I262123 H196587:I196587 WVN983020:WVO983020 WLR983020:WLS983020 WBV983020:WBW983020 VRZ983020:VSA983020 VID983020:VIE983020 UYH983020:UYI983020 UOL983020:UOM983020 UEP983020:UEQ983020 TUT983020:TUU983020 TKX983020:TKY983020 TBB983020:TBC983020 SRF983020:SRG983020 SHJ983020:SHK983020 RXN983020:RXO983020 RNR983020:RNS983020 RDV983020:RDW983020 QTZ983020:QUA983020 QKD983020:QKE983020 QAH983020:QAI983020 PQL983020:PQM983020 PGP983020:PGQ983020 OWT983020:OWU983020 OMX983020:OMY983020 ODB983020:ODC983020 NTF983020:NTG983020 NJJ983020:NJK983020 MZN983020:MZO983020 MPR983020:MPS983020 MFV983020:MFW983020 LVZ983020:LWA983020 LMD983020:LME983020 LCH983020:LCI983020 KSL983020:KSM983020 KIP983020:KIQ983020 JYT983020:JYU983020 JOX983020:JOY983020 JFB983020:JFC983020 IVF983020:IVG983020 ILJ983020:ILK983020 IBN983020:IBO983020 HRR983020:HRS983020 HHV983020:HHW983020 GXZ983020:GYA983020 GOD983020:GOE983020 GEH983020:GEI983020 FUL983020:FUM983020 FKP983020:FKQ983020 FAT983020:FAU983020 EQX983020:EQY983020 EHB983020:EHC983020 DXF983020:DXG983020 DNJ983020:DNK983020 DDN983020:DDO983020 CTR983020:CTS983020 CJV983020:CJW983020 BZZ983020:CAA983020 BQD983020:BQE983020 BGH983020:BGI983020 AWL983020:AWM983020 AMP983020:AMQ983020 ACT983020:ACU983020 SX983020:SY983020 JB983020:JC983020 WVN917484:WVO917484 WLR917484:WLS917484 WBV917484:WBW917484 VRZ917484:VSA917484 VID917484:VIE917484 UYH917484:UYI917484 UOL917484:UOM917484 UEP917484:UEQ917484 TUT917484:TUU917484 TKX917484:TKY917484 TBB917484:TBC917484 SRF917484:SRG917484 SHJ917484:SHK917484 RXN917484:RXO917484 RNR917484:RNS917484 RDV917484:RDW917484 QTZ917484:QUA917484 QKD917484:QKE917484 QAH917484:QAI917484 PQL917484:PQM917484 PGP917484:PGQ917484 OWT917484:OWU917484 OMX917484:OMY917484 ODB917484:ODC917484 NTF917484:NTG917484 NJJ917484:NJK917484 MZN917484:MZO917484 MPR917484:MPS917484 MFV917484:MFW917484 LVZ917484:LWA917484 LMD917484:LME917484 LCH917484:LCI917484 KSL917484:KSM917484 KIP917484:KIQ917484 JYT917484:JYU917484 JOX917484:JOY917484 JFB917484:JFC917484 IVF917484:IVG917484 ILJ917484:ILK917484 IBN917484:IBO917484 HRR917484:HRS917484 HHV917484:HHW917484 GXZ917484:GYA917484 GOD917484:GOE917484 GEH917484:GEI917484 FUL917484:FUM917484 FKP917484:FKQ917484 FAT917484:FAU917484 EQX917484:EQY917484 EHB917484:EHC917484 DXF917484:DXG917484 DNJ917484:DNK917484 DDN917484:DDO917484 CTR917484:CTS917484 CJV917484:CJW917484 BZZ917484:CAA917484 BQD917484:BQE917484 BGH917484:BGI917484 AWL917484:AWM917484 AMP917484:AMQ917484 ACT917484:ACU917484 SX917484:SY917484 JB917484:JC917484 WVN851948:WVO851948 WLR851948:WLS851948 WBV851948:WBW851948 VRZ851948:VSA851948 VID851948:VIE851948 UYH851948:UYI851948 UOL851948:UOM851948 UEP851948:UEQ851948 TUT851948:TUU851948 TKX851948:TKY851948 TBB851948:TBC851948 SRF851948:SRG851948 SHJ851948:SHK851948 RXN851948:RXO851948 RNR851948:RNS851948 RDV851948:RDW851948 QTZ851948:QUA851948 QKD851948:QKE851948 QAH851948:QAI851948 PQL851948:PQM851948 PGP851948:PGQ851948 OWT851948:OWU851948 OMX851948:OMY851948 ODB851948:ODC851948 NTF851948:NTG851948 NJJ851948:NJK851948 MZN851948:MZO851948 MPR851948:MPS851948 MFV851948:MFW851948 LVZ851948:LWA851948 LMD851948:LME851948 LCH851948:LCI851948 KSL851948:KSM851948 KIP851948:KIQ851948 JYT851948:JYU851948 JOX851948:JOY851948 JFB851948:JFC851948 IVF851948:IVG851948 ILJ851948:ILK851948 IBN851948:IBO851948 HRR851948:HRS851948 HHV851948:HHW851948 GXZ851948:GYA851948 GOD851948:GOE851948 GEH851948:GEI851948 FUL851948:FUM851948 FKP851948:FKQ851948 FAT851948:FAU851948 EQX851948:EQY851948 EHB851948:EHC851948 DXF851948:DXG851948 DNJ851948:DNK851948 DDN851948:DDO851948 CTR851948:CTS851948 CJV851948:CJW851948 BZZ851948:CAA851948 BQD851948:BQE851948 BGH851948:BGI851948 AWL851948:AWM851948 AMP851948:AMQ851948 ACT851948:ACU851948 SX851948:SY851948 JB851948:JC851948 WVN786412:WVO786412 WLR786412:WLS786412 WBV786412:WBW786412 VRZ786412:VSA786412 VID786412:VIE786412 UYH786412:UYI786412 UOL786412:UOM786412 UEP786412:UEQ786412 TUT786412:TUU786412 TKX786412:TKY786412 TBB786412:TBC786412 SRF786412:SRG786412 SHJ786412:SHK786412 RXN786412:RXO786412 RNR786412:RNS786412 RDV786412:RDW786412 QTZ786412:QUA786412 QKD786412:QKE786412 QAH786412:QAI786412 PQL786412:PQM786412 PGP786412:PGQ786412 OWT786412:OWU786412 OMX786412:OMY786412 ODB786412:ODC786412 NTF786412:NTG786412 NJJ786412:NJK786412 MZN786412:MZO786412 MPR786412:MPS786412 MFV786412:MFW786412 LVZ786412:LWA786412 LMD786412:LME786412 LCH786412:LCI786412 KSL786412:KSM786412 KIP786412:KIQ786412 JYT786412:JYU786412 JOX786412:JOY786412 JFB786412:JFC786412 IVF786412:IVG786412 ILJ786412:ILK786412 IBN786412:IBO786412 HRR786412:HRS786412 HHV786412:HHW786412 GXZ786412:GYA786412 GOD786412:GOE786412 GEH786412:GEI786412 FUL786412:FUM786412 FKP786412:FKQ786412 FAT786412:FAU786412 EQX786412:EQY786412 EHB786412:EHC786412 DXF786412:DXG786412 DNJ786412:DNK786412 DDN786412:DDO786412 CTR786412:CTS786412 CJV786412:CJW786412 BZZ786412:CAA786412 BQD786412:BQE786412 BGH786412:BGI786412 AWL786412:AWM786412 AMP786412:AMQ786412 ACT786412:ACU786412 SX786412:SY786412 JB786412:JC786412 WVN720876:WVO720876 WLR720876:WLS720876 WBV720876:WBW720876 VRZ720876:VSA720876 VID720876:VIE720876 UYH720876:UYI720876 UOL720876:UOM720876 UEP720876:UEQ720876 TUT720876:TUU720876 TKX720876:TKY720876 TBB720876:TBC720876 SRF720876:SRG720876 SHJ720876:SHK720876 RXN720876:RXO720876 RNR720876:RNS720876 RDV720876:RDW720876 QTZ720876:QUA720876 QKD720876:QKE720876 QAH720876:QAI720876 PQL720876:PQM720876 PGP720876:PGQ720876 OWT720876:OWU720876 OMX720876:OMY720876 ODB720876:ODC720876 NTF720876:NTG720876 NJJ720876:NJK720876 MZN720876:MZO720876 MPR720876:MPS720876 MFV720876:MFW720876 LVZ720876:LWA720876 LMD720876:LME720876 LCH720876:LCI720876 KSL720876:KSM720876 KIP720876:KIQ720876 JYT720876:JYU720876 JOX720876:JOY720876 JFB720876:JFC720876 IVF720876:IVG720876 ILJ720876:ILK720876 IBN720876:IBO720876 HRR720876:HRS720876 HHV720876:HHW720876 GXZ720876:GYA720876 GOD720876:GOE720876 GEH720876:GEI720876 FUL720876:FUM720876 FKP720876:FKQ720876 FAT720876:FAU720876 EQX720876:EQY720876 EHB720876:EHC720876 DXF720876:DXG720876 DNJ720876:DNK720876 DDN720876:DDO720876 CTR720876:CTS720876 CJV720876:CJW720876 BZZ720876:CAA720876 BQD720876:BQE720876 BGH720876:BGI720876 AWL720876:AWM720876 AMP720876:AMQ720876 ACT720876:ACU720876 SX720876:SY720876 JB720876:JC720876 WVN655340:WVO655340 WLR655340:WLS655340 WBV655340:WBW655340 VRZ655340:VSA655340 VID655340:VIE655340 UYH655340:UYI655340 UOL655340:UOM655340 UEP655340:UEQ655340 TUT655340:TUU655340 TKX655340:TKY655340 TBB655340:TBC655340 SRF655340:SRG655340 SHJ655340:SHK655340 RXN655340:RXO655340 RNR655340:RNS655340 RDV655340:RDW655340 QTZ655340:QUA655340 QKD655340:QKE655340 QAH655340:QAI655340 PQL655340:PQM655340 PGP655340:PGQ655340 OWT655340:OWU655340 OMX655340:OMY655340 ODB655340:ODC655340 NTF655340:NTG655340 NJJ655340:NJK655340 MZN655340:MZO655340 MPR655340:MPS655340 MFV655340:MFW655340 LVZ655340:LWA655340 LMD655340:LME655340 LCH655340:LCI655340 KSL655340:KSM655340 KIP655340:KIQ655340 JYT655340:JYU655340 JOX655340:JOY655340 JFB655340:JFC655340 IVF655340:IVG655340 ILJ655340:ILK655340 IBN655340:IBO655340 HRR655340:HRS655340 HHV655340:HHW655340 GXZ655340:GYA655340 GOD655340:GOE655340 GEH655340:GEI655340 FUL655340:FUM655340 FKP655340:FKQ655340 FAT655340:FAU655340 EQX655340:EQY655340 EHB655340:EHC655340 DXF655340:DXG655340 DNJ655340:DNK655340 DDN655340:DDO655340 CTR655340:CTS655340 CJV655340:CJW655340 BZZ655340:CAA655340 BQD655340:BQE655340 BGH655340:BGI655340 AWL655340:AWM655340 AMP655340:AMQ655340 ACT655340:ACU655340 SX655340:SY655340 JB655340:JC655340 WVN589804:WVO589804 WLR589804:WLS589804 WBV589804:WBW589804 VRZ589804:VSA589804 VID589804:VIE589804 UYH589804:UYI589804 UOL589804:UOM589804 UEP589804:UEQ589804 TUT589804:TUU589804 TKX589804:TKY589804 TBB589804:TBC589804 SRF589804:SRG589804 SHJ589804:SHK589804 RXN589804:RXO589804 RNR589804:RNS589804 RDV589804:RDW589804 QTZ589804:QUA589804 QKD589804:QKE589804 QAH589804:QAI589804 PQL589804:PQM589804 PGP589804:PGQ589804 OWT589804:OWU589804 OMX589804:OMY589804 ODB589804:ODC589804 NTF589804:NTG589804 NJJ589804:NJK589804 MZN589804:MZO589804 MPR589804:MPS589804 MFV589804:MFW589804 LVZ589804:LWA589804 LMD589804:LME589804 LCH589804:LCI589804 KSL589804:KSM589804 KIP589804:KIQ589804 JYT589804:JYU589804 JOX589804:JOY589804 JFB589804:JFC589804 IVF589804:IVG589804 ILJ589804:ILK589804 IBN589804:IBO589804 HRR589804:HRS589804 HHV589804:HHW589804 GXZ589804:GYA589804 GOD589804:GOE589804 GEH589804:GEI589804 FUL589804:FUM589804 FKP589804:FKQ589804 FAT589804:FAU589804 EQX589804:EQY589804 EHB589804:EHC589804 DXF589804:DXG589804 DNJ589804:DNK589804 DDN589804:DDO589804 CTR589804:CTS589804 CJV589804:CJW589804 BZZ589804:CAA589804 BQD589804:BQE589804 BGH589804:BGI589804 AWL589804:AWM589804 AMP589804:AMQ589804 ACT589804:ACU589804 SX589804:SY589804 JB589804:JC589804 WVN524268:WVO524268 WLR524268:WLS524268 WBV524268:WBW524268 VRZ524268:VSA524268 VID524268:VIE524268 UYH524268:UYI524268 UOL524268:UOM524268 UEP524268:UEQ524268 TUT524268:TUU524268 TKX524268:TKY524268 TBB524268:TBC524268 SRF524268:SRG524268 SHJ524268:SHK524268 RXN524268:RXO524268 RNR524268:RNS524268 RDV524268:RDW524268 QTZ524268:QUA524268 QKD524268:QKE524268 QAH524268:QAI524268 PQL524268:PQM524268 PGP524268:PGQ524268 OWT524268:OWU524268 OMX524268:OMY524268 ODB524268:ODC524268 NTF524268:NTG524268 NJJ524268:NJK524268 MZN524268:MZO524268 MPR524268:MPS524268 MFV524268:MFW524268 LVZ524268:LWA524268 LMD524268:LME524268 LCH524268:LCI524268 KSL524268:KSM524268 KIP524268:KIQ524268 JYT524268:JYU524268 JOX524268:JOY524268 JFB524268:JFC524268 IVF524268:IVG524268 ILJ524268:ILK524268 IBN524268:IBO524268 HRR524268:HRS524268 HHV524268:HHW524268 GXZ524268:GYA524268 GOD524268:GOE524268 GEH524268:GEI524268 FUL524268:FUM524268 FKP524268:FKQ524268 FAT524268:FAU524268 EQX524268:EQY524268 EHB524268:EHC524268 DXF524268:DXG524268 DNJ524268:DNK524268 DDN524268:DDO524268 CTR524268:CTS524268 CJV524268:CJW524268 BZZ524268:CAA524268 BQD524268:BQE524268 BGH524268:BGI524268 AWL524268:AWM524268 AMP524268:AMQ524268 ACT524268:ACU524268 SX524268:SY524268 JB524268:JC524268 WVN458732:WVO458732 WLR458732:WLS458732 WBV458732:WBW458732 VRZ458732:VSA458732 VID458732:VIE458732 UYH458732:UYI458732 UOL458732:UOM458732 UEP458732:UEQ458732 TUT458732:TUU458732 TKX458732:TKY458732 TBB458732:TBC458732 SRF458732:SRG458732 SHJ458732:SHK458732 RXN458732:RXO458732 RNR458732:RNS458732 RDV458732:RDW458732 QTZ458732:QUA458732 QKD458732:QKE458732 QAH458732:QAI458732 PQL458732:PQM458732 PGP458732:PGQ458732 OWT458732:OWU458732 OMX458732:OMY458732 ODB458732:ODC458732 NTF458732:NTG458732 NJJ458732:NJK458732 MZN458732:MZO458732 MPR458732:MPS458732 MFV458732:MFW458732 LVZ458732:LWA458732 LMD458732:LME458732 LCH458732:LCI458732 KSL458732:KSM458732 KIP458732:KIQ458732 JYT458732:JYU458732 JOX458732:JOY458732 JFB458732:JFC458732 IVF458732:IVG458732 ILJ458732:ILK458732 IBN458732:IBO458732 HRR458732:HRS458732 HHV458732:HHW458732 GXZ458732:GYA458732 GOD458732:GOE458732 GEH458732:GEI458732 FUL458732:FUM458732 FKP458732:FKQ458732 FAT458732:FAU458732 EQX458732:EQY458732 EHB458732:EHC458732 DXF458732:DXG458732 DNJ458732:DNK458732 DDN458732:DDO458732 CTR458732:CTS458732 CJV458732:CJW458732 BZZ458732:CAA458732 BQD458732:BQE458732 BGH458732:BGI458732 AWL458732:AWM458732 AMP458732:AMQ458732 ACT458732:ACU458732 SX458732:SY458732 JB458732:JC458732 WVN393196:WVO393196 WLR393196:WLS393196 WBV393196:WBW393196 VRZ393196:VSA393196 VID393196:VIE393196 UYH393196:UYI393196 UOL393196:UOM393196 UEP393196:UEQ393196 TUT393196:TUU393196 TKX393196:TKY393196 TBB393196:TBC393196 SRF393196:SRG393196 SHJ393196:SHK393196 RXN393196:RXO393196 RNR393196:RNS393196 RDV393196:RDW393196 QTZ393196:QUA393196 QKD393196:QKE393196 QAH393196:QAI393196 PQL393196:PQM393196 PGP393196:PGQ393196 OWT393196:OWU393196 OMX393196:OMY393196 ODB393196:ODC393196 NTF393196:NTG393196 NJJ393196:NJK393196 MZN393196:MZO393196 MPR393196:MPS393196 MFV393196:MFW393196 LVZ393196:LWA393196 LMD393196:LME393196 LCH393196:LCI393196 KSL393196:KSM393196 KIP393196:KIQ393196 JYT393196:JYU393196 JOX393196:JOY393196 JFB393196:JFC393196 IVF393196:IVG393196 ILJ393196:ILK393196 IBN393196:IBO393196 HRR393196:HRS393196 HHV393196:HHW393196 GXZ393196:GYA393196 GOD393196:GOE393196 GEH393196:GEI393196 FUL393196:FUM393196 FKP393196:FKQ393196 FAT393196:FAU393196 EQX393196:EQY393196 EHB393196:EHC393196 DXF393196:DXG393196 DNJ393196:DNK393196 DDN393196:DDO393196 CTR393196:CTS393196 CJV393196:CJW393196 BZZ393196:CAA393196 BQD393196:BQE393196 BGH393196:BGI393196 AWL393196:AWM393196 AMP393196:AMQ393196 ACT393196:ACU393196 SX393196:SY393196 JB393196:JC393196 WVN327660:WVO327660 WLR327660:WLS327660 WBV327660:WBW327660 VRZ327660:VSA327660 VID327660:VIE327660 UYH327660:UYI327660 UOL327660:UOM327660 UEP327660:UEQ327660 TUT327660:TUU327660 TKX327660:TKY327660 TBB327660:TBC327660 SRF327660:SRG327660 SHJ327660:SHK327660 RXN327660:RXO327660 RNR327660:RNS327660 RDV327660:RDW327660 QTZ327660:QUA327660 QKD327660:QKE327660 QAH327660:QAI327660 PQL327660:PQM327660 PGP327660:PGQ327660 OWT327660:OWU327660 OMX327660:OMY327660 ODB327660:ODC327660 NTF327660:NTG327660 NJJ327660:NJK327660 MZN327660:MZO327660 MPR327660:MPS327660 MFV327660:MFW327660 LVZ327660:LWA327660 LMD327660:LME327660 LCH327660:LCI327660 KSL327660:KSM327660 KIP327660:KIQ327660 JYT327660:JYU327660 JOX327660:JOY327660 JFB327660:JFC327660 IVF327660:IVG327660 ILJ327660:ILK327660 IBN327660:IBO327660 HRR327660:HRS327660 HHV327660:HHW327660 GXZ327660:GYA327660 GOD327660:GOE327660 GEH327660:GEI327660 FUL327660:FUM327660 FKP327660:FKQ327660 FAT327660:FAU327660 EQX327660:EQY327660 EHB327660:EHC327660 DXF327660:DXG327660 DNJ327660:DNK327660 DDN327660:DDO327660 CTR327660:CTS327660 CJV327660:CJW327660 BZZ327660:CAA327660 BQD327660:BQE327660 BGH327660:BGI327660 AWL327660:AWM327660 AMP327660:AMQ327660 ACT327660:ACU327660 SX327660:SY327660 JB327660:JC327660 WVN262124:WVO262124 WLR262124:WLS262124 WBV262124:WBW262124 VRZ262124:VSA262124 VID262124:VIE262124 UYH262124:UYI262124 UOL262124:UOM262124 UEP262124:UEQ262124 TUT262124:TUU262124 TKX262124:TKY262124 TBB262124:TBC262124 SRF262124:SRG262124 SHJ262124:SHK262124 RXN262124:RXO262124 RNR262124:RNS262124 RDV262124:RDW262124 QTZ262124:QUA262124 QKD262124:QKE262124 QAH262124:QAI262124 PQL262124:PQM262124 PGP262124:PGQ262124 OWT262124:OWU262124 OMX262124:OMY262124 ODB262124:ODC262124 NTF262124:NTG262124 NJJ262124:NJK262124 MZN262124:MZO262124 MPR262124:MPS262124 MFV262124:MFW262124 LVZ262124:LWA262124 LMD262124:LME262124 LCH262124:LCI262124 KSL262124:KSM262124 KIP262124:KIQ262124 JYT262124:JYU262124 JOX262124:JOY262124 JFB262124:JFC262124 IVF262124:IVG262124 ILJ262124:ILK262124 IBN262124:IBO262124 HRR262124:HRS262124 HHV262124:HHW262124 GXZ262124:GYA262124 GOD262124:GOE262124 GEH262124:GEI262124 FUL262124:FUM262124 FKP262124:FKQ262124 FAT262124:FAU262124 EQX262124:EQY262124 EHB262124:EHC262124 DXF262124:DXG262124 DNJ262124:DNK262124 DDN262124:DDO262124 CTR262124:CTS262124 CJV262124:CJW262124 BZZ262124:CAA262124 BQD262124:BQE262124 BGH262124:BGI262124 AWL262124:AWM262124 AMP262124:AMQ262124 ACT262124:ACU262124 SX262124:SY262124 JB262124:JC262124 WVN196588:WVO196588 WLR196588:WLS196588 WBV196588:WBW196588 VRZ196588:VSA196588 VID196588:VIE196588 UYH196588:UYI196588 UOL196588:UOM196588 UEP196588:UEQ196588 TUT196588:TUU196588 TKX196588:TKY196588 TBB196588:TBC196588 SRF196588:SRG196588 SHJ196588:SHK196588 RXN196588:RXO196588 RNR196588:RNS196588 RDV196588:RDW196588 QTZ196588:QUA196588 QKD196588:QKE196588 QAH196588:QAI196588 PQL196588:PQM196588 PGP196588:PGQ196588 OWT196588:OWU196588 OMX196588:OMY196588 ODB196588:ODC196588 NTF196588:NTG196588 NJJ196588:NJK196588 MZN196588:MZO196588 MPR196588:MPS196588 MFV196588:MFW196588 LVZ196588:LWA196588 LMD196588:LME196588 LCH196588:LCI196588 KSL196588:KSM196588 KIP196588:KIQ196588 JYT196588:JYU196588 JOX196588:JOY196588 JFB196588:JFC196588 IVF196588:IVG196588 ILJ196588:ILK196588 IBN196588:IBO196588 HRR196588:HRS196588 HHV196588:HHW196588 GXZ196588:GYA196588 GOD196588:GOE196588 GEH196588:GEI196588 FUL196588:FUM196588 FKP196588:FKQ196588 FAT196588:FAU196588 EQX196588:EQY196588 EHB196588:EHC196588 DXF196588:DXG196588 DNJ196588:DNK196588 DDN196588:DDO196588 CTR196588:CTS196588 CJV196588:CJW196588 BZZ196588:CAA196588 BQD196588:BQE196588 BGH196588:BGI196588 AWL196588:AWM196588 AMP196588:AMQ196588 ACT196588:ACU196588 SX196588:SY196588 JB196588:JC196588 WVN131052:WVO131052 WLR131052:WLS131052 WBV131052:WBW131052 VRZ131052:VSA131052 VID131052:VIE131052 UYH131052:UYI131052 UOL131052:UOM131052 UEP131052:UEQ131052 TUT131052:TUU131052 TKX131052:TKY131052 TBB131052:TBC131052 SRF131052:SRG131052 SHJ131052:SHK131052 RXN131052:RXO131052 RNR131052:RNS131052 RDV131052:RDW131052 QTZ131052:QUA131052 QKD131052:QKE131052 QAH131052:QAI131052 PQL131052:PQM131052 PGP131052:PGQ131052 OWT131052:OWU131052 OMX131052:OMY131052 ODB131052:ODC131052 NTF131052:NTG131052 NJJ131052:NJK131052 MZN131052:MZO131052 MPR131052:MPS131052 MFV131052:MFW131052 LVZ131052:LWA131052 LMD131052:LME131052 LCH131052:LCI131052 KSL131052:KSM131052 KIP131052:KIQ131052 JYT131052:JYU131052 JOX131052:JOY131052 JFB131052:JFC131052 IVF131052:IVG131052 ILJ131052:ILK131052 IBN131052:IBO131052 HRR131052:HRS131052 HHV131052:HHW131052 GXZ131052:GYA131052 GOD131052:GOE131052 GEH131052:GEI131052 FUL131052:FUM131052 FKP131052:FKQ131052 FAT131052:FAU131052 EQX131052:EQY131052 EHB131052:EHC131052 DXF131052:DXG131052 DNJ131052:DNK131052 DDN131052:DDO131052 CTR131052:CTS131052 CJV131052:CJW131052 BZZ131052:CAA131052 BQD131052:BQE131052 BGH131052:BGI131052 AWL131052:AWM131052 AMP131052:AMQ131052 ACT131052:ACU131052 SX131052:SY131052 JB131052:JC131052 WVN65516:WVO65516 WLR65516:WLS65516 WBV65516:WBW65516 VRZ65516:VSA65516 VID65516:VIE65516 UYH65516:UYI65516 UOL65516:UOM65516 UEP65516:UEQ65516 TUT65516:TUU65516 TKX65516:TKY65516 TBB65516:TBC65516 SRF65516:SRG65516 SHJ65516:SHK65516 RXN65516:RXO65516 RNR65516:RNS65516 RDV65516:RDW65516 QTZ65516:QUA65516 QKD65516:QKE65516 QAH65516:QAI65516 PQL65516:PQM65516 PGP65516:PGQ65516 OWT65516:OWU65516 OMX65516:OMY65516 ODB65516:ODC65516 NTF65516:NTG65516 NJJ65516:NJK65516 MZN65516:MZO65516 MPR65516:MPS65516 MFV65516:MFW65516 LVZ65516:LWA65516 LMD65516:LME65516 LCH65516:LCI65516 KSL65516:KSM65516 KIP65516:KIQ65516 JYT65516:JYU65516 JOX65516:JOY65516 JFB65516:JFC65516 IVF65516:IVG65516 ILJ65516:ILK65516 IBN65516:IBO65516 HRR65516:HRS65516 HHV65516:HHW65516 GXZ65516:GYA65516 GOD65516:GOE65516 GEH65516:GEI65516 FUL65516:FUM65516 FKP65516:FKQ65516 FAT65516:FAU65516 EQX65516:EQY65516 EHB65516:EHC65516 DXF65516:DXG65516 DNJ65516:DNK65516 DDN65516:DDO65516 CTR65516:CTS65516 CJV65516:CJW65516 BZZ65516:CAA65516 BQD65516:BQE65516 BGH65516:BGI65516 AWL65516:AWM65516 AMP65516:AMQ65516 ACT65516:ACU65516 SX65516:SY65516 JB65516:JC65516 SX2:SY2 ACT2:ACU2 AMP2:AMQ2 AWL2:AWM2 BGH2:BGI2 BQD2:BQE2 BZZ2:CAA2 CJV2:CJW2 CTR2:CTS2 DDN2:DDO2 DNJ2:DNK2 DXF2:DXG2 EHB2:EHC2 EQX2:EQY2 FAT2:FAU2 FKP2:FKQ2 FUL2:FUM2 GEH2:GEI2 GOD2:GOE2 GXZ2:GYA2 HHV2:HHW2 HRR2:HRS2 IBN2:IBO2 ILJ2:ILK2 IVF2:IVG2 JFB2:JFC2 JOX2:JOY2 JYT2:JYU2 KIP2:KIQ2 KSL2:KSM2 LCH2:LCI2 LMD2:LME2 LVZ2:LWA2 MFV2:MFW2 MPR2:MPS2 MZN2:MZO2 NJJ2:NJK2 NTF2:NTG2 ODB2:ODC2 OMX2:OMY2 OWT2:OWU2 PGP2:PGQ2 PQL2:PQM2 QAH2:QAI2 QKD2:QKE2 QTZ2:QUA2 RDV2:RDW2 RNR2:RNS2 RXN2:RXO2 SHJ2:SHK2 SRF2:SRG2 TBB2:TBC2 TKX2:TKY2 TUT2:TUU2 UEP2:UEQ2 UOL2:UOM2 UYH2:UYI2 VID2:VIE2 VRZ2:VSA2 WBV2:WBW2 WLR2:WLS2 WVN2:WVO2 L2 JB2:JC2">
      <formula1>$Z$22:$Z$23</formula1>
    </dataValidation>
    <dataValidation type="list" allowBlank="1" showInputMessage="1" showErrorMessage="1" sqref="G3">
      <formula1>$W$22:$W$26</formula1>
    </dataValidation>
    <dataValidation type="list" allowBlank="1" showInputMessage="1" showErrorMessage="1" sqref="E7:E50">
      <formula1>#REF!</formula1>
    </dataValidation>
    <dataValidation type="list" allowBlank="1" showInputMessage="1" showErrorMessage="1" sqref="B3">
      <formula1>$AA$21:$AA$23</formula1>
    </dataValidation>
    <dataValidation type="list" allowBlank="1" showInputMessage="1" showErrorMessage="1" sqref="B4">
      <formula1>$W$4:$W$14</formula1>
    </dataValidation>
    <dataValidation type="list" allowBlank="1" showInputMessage="1" showErrorMessage="1" sqref="K7:L50">
      <formula1>$A$58:$A$101</formula1>
    </dataValidation>
  </dataValidations>
  <printOptions horizontalCentered="1"/>
  <pageMargins left="0.19685039370078741" right="0.19685039370078741"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31"/>
  <sheetViews>
    <sheetView view="pageBreakPreview" zoomScaleSheetLayoutView="100" workbookViewId="0">
      <selection activeCell="I19" sqref="I19"/>
    </sheetView>
  </sheetViews>
  <sheetFormatPr defaultRowHeight="20.100000000000001" customHeight="1"/>
  <cols>
    <col min="1" max="1" width="7.375" style="508" customWidth="1"/>
    <col min="2" max="2" width="8.625" style="508" customWidth="1"/>
    <col min="3" max="3" width="33.625" style="508" customWidth="1"/>
    <col min="4" max="4" width="15.25" style="508" customWidth="1"/>
    <col min="5" max="5" width="16.25" style="508" customWidth="1"/>
    <col min="6" max="6" width="11.625" style="508" customWidth="1"/>
    <col min="7" max="7" width="7.375" style="508" customWidth="1"/>
    <col min="8" max="8" width="4.75" style="508" customWidth="1"/>
    <col min="9" max="9" width="16.75" style="510" customWidth="1"/>
    <col min="10" max="10" width="6.375" style="510" customWidth="1"/>
    <col min="11" max="11" width="6.375" style="509" customWidth="1"/>
    <col min="12" max="12" width="7.375" style="511" customWidth="1"/>
    <col min="13" max="13" width="4.5" style="511" customWidth="1"/>
    <col min="14" max="14" width="10.25" style="510" customWidth="1"/>
    <col min="15" max="15" width="24.625" style="510" customWidth="1"/>
    <col min="16" max="17" width="5.75" style="510" customWidth="1"/>
    <col min="18" max="18" width="6.5" style="508" customWidth="1"/>
    <col min="19" max="19" width="9" style="508"/>
    <col min="20" max="20" width="8.5" style="508" customWidth="1"/>
    <col min="21" max="21" width="6.375" style="508" customWidth="1"/>
    <col min="22" max="22" width="5.75" style="508" customWidth="1"/>
    <col min="23" max="23" width="12.625" style="508" customWidth="1"/>
    <col min="24" max="24" width="8.375" style="509" customWidth="1"/>
    <col min="25" max="25" width="24.875" style="508" customWidth="1"/>
    <col min="26" max="26" width="9" style="508"/>
    <col min="27" max="27" width="37.5" style="508" customWidth="1"/>
    <col min="28" max="244" width="9" style="508"/>
    <col min="245" max="246" width="3.75" style="508" customWidth="1"/>
    <col min="247" max="247" width="3.5" style="508" customWidth="1"/>
    <col min="248" max="248" width="3.875" style="508" customWidth="1"/>
    <col min="249" max="250" width="7.625" style="508" customWidth="1"/>
    <col min="251" max="251" width="6.375" style="508" customWidth="1"/>
    <col min="252" max="252" width="6.25" style="508" customWidth="1"/>
    <col min="253" max="253" width="6.625" style="508" customWidth="1"/>
    <col min="254" max="254" width="4.875" style="508" customWidth="1"/>
    <col min="255" max="255" width="4.75" style="508" customWidth="1"/>
    <col min="256" max="256" width="6.75" style="508" customWidth="1"/>
    <col min="257" max="257" width="0" style="508" hidden="1" customWidth="1"/>
    <col min="258" max="258" width="4.375" style="508" customWidth="1"/>
    <col min="259" max="259" width="5.625" style="508" customWidth="1"/>
    <col min="260" max="260" width="5.375" style="508" customWidth="1"/>
    <col min="261" max="261" width="6.875" style="508" customWidth="1"/>
    <col min="262" max="262" width="5.125" style="508" customWidth="1"/>
    <col min="263" max="263" width="4.75" style="508" customWidth="1"/>
    <col min="264" max="264" width="5.625" style="508" customWidth="1"/>
    <col min="265" max="265" width="4.875" style="508" customWidth="1"/>
    <col min="266" max="266" width="5.25" style="508" customWidth="1"/>
    <col min="267" max="267" width="16.25" style="508" customWidth="1"/>
    <col min="268" max="268" width="9.25" style="508" customWidth="1"/>
    <col min="269" max="269" width="9.5" style="508" bestFit="1" customWidth="1"/>
    <col min="270" max="270" width="9.875" style="508" customWidth="1"/>
    <col min="271" max="272" width="10" style="508" customWidth="1"/>
    <col min="273" max="273" width="6.625" style="508" customWidth="1"/>
    <col min="274" max="274" width="6.5" style="508" customWidth="1"/>
    <col min="275" max="275" width="9" style="508"/>
    <col min="276" max="276" width="8.5" style="508" customWidth="1"/>
    <col min="277" max="277" width="6.375" style="508" customWidth="1"/>
    <col min="278" max="278" width="5.75" style="508" customWidth="1"/>
    <col min="279" max="279" width="12.625" style="508" customWidth="1"/>
    <col min="280" max="280" width="8.375" style="508" customWidth="1"/>
    <col min="281" max="281" width="24.875" style="508" customWidth="1"/>
    <col min="282" max="282" width="9" style="508"/>
    <col min="283" max="283" width="37.5" style="508" customWidth="1"/>
    <col min="284" max="500" width="9" style="508"/>
    <col min="501" max="502" width="3.75" style="508" customWidth="1"/>
    <col min="503" max="503" width="3.5" style="508" customWidth="1"/>
    <col min="504" max="504" width="3.875" style="508" customWidth="1"/>
    <col min="505" max="506" width="7.625" style="508" customWidth="1"/>
    <col min="507" max="507" width="6.375" style="508" customWidth="1"/>
    <col min="508" max="508" width="6.25" style="508" customWidth="1"/>
    <col min="509" max="509" width="6.625" style="508" customWidth="1"/>
    <col min="510" max="510" width="4.875" style="508" customWidth="1"/>
    <col min="511" max="511" width="4.75" style="508" customWidth="1"/>
    <col min="512" max="512" width="6.75" style="508" customWidth="1"/>
    <col min="513" max="513" width="0" style="508" hidden="1" customWidth="1"/>
    <col min="514" max="514" width="4.375" style="508" customWidth="1"/>
    <col min="515" max="515" width="5.625" style="508" customWidth="1"/>
    <col min="516" max="516" width="5.375" style="508" customWidth="1"/>
    <col min="517" max="517" width="6.875" style="508" customWidth="1"/>
    <col min="518" max="518" width="5.125" style="508" customWidth="1"/>
    <col min="519" max="519" width="4.75" style="508" customWidth="1"/>
    <col min="520" max="520" width="5.625" style="508" customWidth="1"/>
    <col min="521" max="521" width="4.875" style="508" customWidth="1"/>
    <col min="522" max="522" width="5.25" style="508" customWidth="1"/>
    <col min="523" max="523" width="16.25" style="508" customWidth="1"/>
    <col min="524" max="524" width="9.25" style="508" customWidth="1"/>
    <col min="525" max="525" width="9.5" style="508" bestFit="1" customWidth="1"/>
    <col min="526" max="526" width="9.875" style="508" customWidth="1"/>
    <col min="527" max="528" width="10" style="508" customWidth="1"/>
    <col min="529" max="529" width="6.625" style="508" customWidth="1"/>
    <col min="530" max="530" width="6.5" style="508" customWidth="1"/>
    <col min="531" max="531" width="9" style="508"/>
    <col min="532" max="532" width="8.5" style="508" customWidth="1"/>
    <col min="533" max="533" width="6.375" style="508" customWidth="1"/>
    <col min="534" max="534" width="5.75" style="508" customWidth="1"/>
    <col min="535" max="535" width="12.625" style="508" customWidth="1"/>
    <col min="536" max="536" width="8.375" style="508" customWidth="1"/>
    <col min="537" max="537" width="24.875" style="508" customWidth="1"/>
    <col min="538" max="538" width="9" style="508"/>
    <col min="539" max="539" width="37.5" style="508" customWidth="1"/>
    <col min="540" max="756" width="9" style="508"/>
    <col min="757" max="758" width="3.75" style="508" customWidth="1"/>
    <col min="759" max="759" width="3.5" style="508" customWidth="1"/>
    <col min="760" max="760" width="3.875" style="508" customWidth="1"/>
    <col min="761" max="762" width="7.625" style="508" customWidth="1"/>
    <col min="763" max="763" width="6.375" style="508" customWidth="1"/>
    <col min="764" max="764" width="6.25" style="508" customWidth="1"/>
    <col min="765" max="765" width="6.625" style="508" customWidth="1"/>
    <col min="766" max="766" width="4.875" style="508" customWidth="1"/>
    <col min="767" max="767" width="4.75" style="508" customWidth="1"/>
    <col min="768" max="768" width="6.75" style="508" customWidth="1"/>
    <col min="769" max="769" width="0" style="508" hidden="1" customWidth="1"/>
    <col min="770" max="770" width="4.375" style="508" customWidth="1"/>
    <col min="771" max="771" width="5.625" style="508" customWidth="1"/>
    <col min="772" max="772" width="5.375" style="508" customWidth="1"/>
    <col min="773" max="773" width="6.875" style="508" customWidth="1"/>
    <col min="774" max="774" width="5.125" style="508" customWidth="1"/>
    <col min="775" max="775" width="4.75" style="508" customWidth="1"/>
    <col min="776" max="776" width="5.625" style="508" customWidth="1"/>
    <col min="777" max="777" width="4.875" style="508" customWidth="1"/>
    <col min="778" max="778" width="5.25" style="508" customWidth="1"/>
    <col min="779" max="779" width="16.25" style="508" customWidth="1"/>
    <col min="780" max="780" width="9.25" style="508" customWidth="1"/>
    <col min="781" max="781" width="9.5" style="508" bestFit="1" customWidth="1"/>
    <col min="782" max="782" width="9.875" style="508" customWidth="1"/>
    <col min="783" max="784" width="10" style="508" customWidth="1"/>
    <col min="785" max="785" width="6.625" style="508" customWidth="1"/>
    <col min="786" max="786" width="6.5" style="508" customWidth="1"/>
    <col min="787" max="787" width="9" style="508"/>
    <col min="788" max="788" width="8.5" style="508" customWidth="1"/>
    <col min="789" max="789" width="6.375" style="508" customWidth="1"/>
    <col min="790" max="790" width="5.75" style="508" customWidth="1"/>
    <col min="791" max="791" width="12.625" style="508" customWidth="1"/>
    <col min="792" max="792" width="8.375" style="508" customWidth="1"/>
    <col min="793" max="793" width="24.875" style="508" customWidth="1"/>
    <col min="794" max="794" width="9" style="508"/>
    <col min="795" max="795" width="37.5" style="508" customWidth="1"/>
    <col min="796" max="1012" width="9" style="508"/>
    <col min="1013" max="1014" width="3.75" style="508" customWidth="1"/>
    <col min="1015" max="1015" width="3.5" style="508" customWidth="1"/>
    <col min="1016" max="1016" width="3.875" style="508" customWidth="1"/>
    <col min="1017" max="1018" width="7.625" style="508" customWidth="1"/>
    <col min="1019" max="1019" width="6.375" style="508" customWidth="1"/>
    <col min="1020" max="1020" width="6.25" style="508" customWidth="1"/>
    <col min="1021" max="1021" width="6.625" style="508" customWidth="1"/>
    <col min="1022" max="1022" width="4.875" style="508" customWidth="1"/>
    <col min="1023" max="1023" width="4.75" style="508" customWidth="1"/>
    <col min="1024" max="1024" width="6.75" style="508" customWidth="1"/>
    <col min="1025" max="1025" width="0" style="508" hidden="1" customWidth="1"/>
    <col min="1026" max="1026" width="4.375" style="508" customWidth="1"/>
    <col min="1027" max="1027" width="5.625" style="508" customWidth="1"/>
    <col min="1028" max="1028" width="5.375" style="508" customWidth="1"/>
    <col min="1029" max="1029" width="6.875" style="508" customWidth="1"/>
    <col min="1030" max="1030" width="5.125" style="508" customWidth="1"/>
    <col min="1031" max="1031" width="4.75" style="508" customWidth="1"/>
    <col min="1032" max="1032" width="5.625" style="508" customWidth="1"/>
    <col min="1033" max="1033" width="4.875" style="508" customWidth="1"/>
    <col min="1034" max="1034" width="5.25" style="508" customWidth="1"/>
    <col min="1035" max="1035" width="16.25" style="508" customWidth="1"/>
    <col min="1036" max="1036" width="9.25" style="508" customWidth="1"/>
    <col min="1037" max="1037" width="9.5" style="508" bestFit="1" customWidth="1"/>
    <col min="1038" max="1038" width="9.875" style="508" customWidth="1"/>
    <col min="1039" max="1040" width="10" style="508" customWidth="1"/>
    <col min="1041" max="1041" width="6.625" style="508" customWidth="1"/>
    <col min="1042" max="1042" width="6.5" style="508" customWidth="1"/>
    <col min="1043" max="1043" width="9" style="508"/>
    <col min="1044" max="1044" width="8.5" style="508" customWidth="1"/>
    <col min="1045" max="1045" width="6.375" style="508" customWidth="1"/>
    <col min="1046" max="1046" width="5.75" style="508" customWidth="1"/>
    <col min="1047" max="1047" width="12.625" style="508" customWidth="1"/>
    <col min="1048" max="1048" width="8.375" style="508" customWidth="1"/>
    <col min="1049" max="1049" width="24.875" style="508" customWidth="1"/>
    <col min="1050" max="1050" width="9" style="508"/>
    <col min="1051" max="1051" width="37.5" style="508" customWidth="1"/>
    <col min="1052" max="1268" width="9" style="508"/>
    <col min="1269" max="1270" width="3.75" style="508" customWidth="1"/>
    <col min="1271" max="1271" width="3.5" style="508" customWidth="1"/>
    <col min="1272" max="1272" width="3.875" style="508" customWidth="1"/>
    <col min="1273" max="1274" width="7.625" style="508" customWidth="1"/>
    <col min="1275" max="1275" width="6.375" style="508" customWidth="1"/>
    <col min="1276" max="1276" width="6.25" style="508" customWidth="1"/>
    <col min="1277" max="1277" width="6.625" style="508" customWidth="1"/>
    <col min="1278" max="1278" width="4.875" style="508" customWidth="1"/>
    <col min="1279" max="1279" width="4.75" style="508" customWidth="1"/>
    <col min="1280" max="1280" width="6.75" style="508" customWidth="1"/>
    <col min="1281" max="1281" width="0" style="508" hidden="1" customWidth="1"/>
    <col min="1282" max="1282" width="4.375" style="508" customWidth="1"/>
    <col min="1283" max="1283" width="5.625" style="508" customWidth="1"/>
    <col min="1284" max="1284" width="5.375" style="508" customWidth="1"/>
    <col min="1285" max="1285" width="6.875" style="508" customWidth="1"/>
    <col min="1286" max="1286" width="5.125" style="508" customWidth="1"/>
    <col min="1287" max="1287" width="4.75" style="508" customWidth="1"/>
    <col min="1288" max="1288" width="5.625" style="508" customWidth="1"/>
    <col min="1289" max="1289" width="4.875" style="508" customWidth="1"/>
    <col min="1290" max="1290" width="5.25" style="508" customWidth="1"/>
    <col min="1291" max="1291" width="16.25" style="508" customWidth="1"/>
    <col min="1292" max="1292" width="9.25" style="508" customWidth="1"/>
    <col min="1293" max="1293" width="9.5" style="508" bestFit="1" customWidth="1"/>
    <col min="1294" max="1294" width="9.875" style="508" customWidth="1"/>
    <col min="1295" max="1296" width="10" style="508" customWidth="1"/>
    <col min="1297" max="1297" width="6.625" style="508" customWidth="1"/>
    <col min="1298" max="1298" width="6.5" style="508" customWidth="1"/>
    <col min="1299" max="1299" width="9" style="508"/>
    <col min="1300" max="1300" width="8.5" style="508" customWidth="1"/>
    <col min="1301" max="1301" width="6.375" style="508" customWidth="1"/>
    <col min="1302" max="1302" width="5.75" style="508" customWidth="1"/>
    <col min="1303" max="1303" width="12.625" style="508" customWidth="1"/>
    <col min="1304" max="1304" width="8.375" style="508" customWidth="1"/>
    <col min="1305" max="1305" width="24.875" style="508" customWidth="1"/>
    <col min="1306" max="1306" width="9" style="508"/>
    <col min="1307" max="1307" width="37.5" style="508" customWidth="1"/>
    <col min="1308" max="1524" width="9" style="508"/>
    <col min="1525" max="1526" width="3.75" style="508" customWidth="1"/>
    <col min="1527" max="1527" width="3.5" style="508" customWidth="1"/>
    <col min="1528" max="1528" width="3.875" style="508" customWidth="1"/>
    <col min="1529" max="1530" width="7.625" style="508" customWidth="1"/>
    <col min="1531" max="1531" width="6.375" style="508" customWidth="1"/>
    <col min="1532" max="1532" width="6.25" style="508" customWidth="1"/>
    <col min="1533" max="1533" width="6.625" style="508" customWidth="1"/>
    <col min="1534" max="1534" width="4.875" style="508" customWidth="1"/>
    <col min="1535" max="1535" width="4.75" style="508" customWidth="1"/>
    <col min="1536" max="1536" width="6.75" style="508" customWidth="1"/>
    <col min="1537" max="1537" width="0" style="508" hidden="1" customWidth="1"/>
    <col min="1538" max="1538" width="4.375" style="508" customWidth="1"/>
    <col min="1539" max="1539" width="5.625" style="508" customWidth="1"/>
    <col min="1540" max="1540" width="5.375" style="508" customWidth="1"/>
    <col min="1541" max="1541" width="6.875" style="508" customWidth="1"/>
    <col min="1542" max="1542" width="5.125" style="508" customWidth="1"/>
    <col min="1543" max="1543" width="4.75" style="508" customWidth="1"/>
    <col min="1544" max="1544" width="5.625" style="508" customWidth="1"/>
    <col min="1545" max="1545" width="4.875" style="508" customWidth="1"/>
    <col min="1546" max="1546" width="5.25" style="508" customWidth="1"/>
    <col min="1547" max="1547" width="16.25" style="508" customWidth="1"/>
    <col min="1548" max="1548" width="9.25" style="508" customWidth="1"/>
    <col min="1549" max="1549" width="9.5" style="508" bestFit="1" customWidth="1"/>
    <col min="1550" max="1550" width="9.875" style="508" customWidth="1"/>
    <col min="1551" max="1552" width="10" style="508" customWidth="1"/>
    <col min="1553" max="1553" width="6.625" style="508" customWidth="1"/>
    <col min="1554" max="1554" width="6.5" style="508" customWidth="1"/>
    <col min="1555" max="1555" width="9" style="508"/>
    <col min="1556" max="1556" width="8.5" style="508" customWidth="1"/>
    <col min="1557" max="1557" width="6.375" style="508" customWidth="1"/>
    <col min="1558" max="1558" width="5.75" style="508" customWidth="1"/>
    <col min="1559" max="1559" width="12.625" style="508" customWidth="1"/>
    <col min="1560" max="1560" width="8.375" style="508" customWidth="1"/>
    <col min="1561" max="1561" width="24.875" style="508" customWidth="1"/>
    <col min="1562" max="1562" width="9" style="508"/>
    <col min="1563" max="1563" width="37.5" style="508" customWidth="1"/>
    <col min="1564" max="1780" width="9" style="508"/>
    <col min="1781" max="1782" width="3.75" style="508" customWidth="1"/>
    <col min="1783" max="1783" width="3.5" style="508" customWidth="1"/>
    <col min="1784" max="1784" width="3.875" style="508" customWidth="1"/>
    <col min="1785" max="1786" width="7.625" style="508" customWidth="1"/>
    <col min="1787" max="1787" width="6.375" style="508" customWidth="1"/>
    <col min="1788" max="1788" width="6.25" style="508" customWidth="1"/>
    <col min="1789" max="1789" width="6.625" style="508" customWidth="1"/>
    <col min="1790" max="1790" width="4.875" style="508" customWidth="1"/>
    <col min="1791" max="1791" width="4.75" style="508" customWidth="1"/>
    <col min="1792" max="1792" width="6.75" style="508" customWidth="1"/>
    <col min="1793" max="1793" width="0" style="508" hidden="1" customWidth="1"/>
    <col min="1794" max="1794" width="4.375" style="508" customWidth="1"/>
    <col min="1795" max="1795" width="5.625" style="508" customWidth="1"/>
    <col min="1796" max="1796" width="5.375" style="508" customWidth="1"/>
    <col min="1797" max="1797" width="6.875" style="508" customWidth="1"/>
    <col min="1798" max="1798" width="5.125" style="508" customWidth="1"/>
    <col min="1799" max="1799" width="4.75" style="508" customWidth="1"/>
    <col min="1800" max="1800" width="5.625" style="508" customWidth="1"/>
    <col min="1801" max="1801" width="4.875" style="508" customWidth="1"/>
    <col min="1802" max="1802" width="5.25" style="508" customWidth="1"/>
    <col min="1803" max="1803" width="16.25" style="508" customWidth="1"/>
    <col min="1804" max="1804" width="9.25" style="508" customWidth="1"/>
    <col min="1805" max="1805" width="9.5" style="508" bestFit="1" customWidth="1"/>
    <col min="1806" max="1806" width="9.875" style="508" customWidth="1"/>
    <col min="1807" max="1808" width="10" style="508" customWidth="1"/>
    <col min="1809" max="1809" width="6.625" style="508" customWidth="1"/>
    <col min="1810" max="1810" width="6.5" style="508" customWidth="1"/>
    <col min="1811" max="1811" width="9" style="508"/>
    <col min="1812" max="1812" width="8.5" style="508" customWidth="1"/>
    <col min="1813" max="1813" width="6.375" style="508" customWidth="1"/>
    <col min="1814" max="1814" width="5.75" style="508" customWidth="1"/>
    <col min="1815" max="1815" width="12.625" style="508" customWidth="1"/>
    <col min="1816" max="1816" width="8.375" style="508" customWidth="1"/>
    <col min="1817" max="1817" width="24.875" style="508" customWidth="1"/>
    <col min="1818" max="1818" width="9" style="508"/>
    <col min="1819" max="1819" width="37.5" style="508" customWidth="1"/>
    <col min="1820" max="2036" width="9" style="508"/>
    <col min="2037" max="2038" width="3.75" style="508" customWidth="1"/>
    <col min="2039" max="2039" width="3.5" style="508" customWidth="1"/>
    <col min="2040" max="2040" width="3.875" style="508" customWidth="1"/>
    <col min="2041" max="2042" width="7.625" style="508" customWidth="1"/>
    <col min="2043" max="2043" width="6.375" style="508" customWidth="1"/>
    <col min="2044" max="2044" width="6.25" style="508" customWidth="1"/>
    <col min="2045" max="2045" width="6.625" style="508" customWidth="1"/>
    <col min="2046" max="2046" width="4.875" style="508" customWidth="1"/>
    <col min="2047" max="2047" width="4.75" style="508" customWidth="1"/>
    <col min="2048" max="2048" width="6.75" style="508" customWidth="1"/>
    <col min="2049" max="2049" width="0" style="508" hidden="1" customWidth="1"/>
    <col min="2050" max="2050" width="4.375" style="508" customWidth="1"/>
    <col min="2051" max="2051" width="5.625" style="508" customWidth="1"/>
    <col min="2052" max="2052" width="5.375" style="508" customWidth="1"/>
    <col min="2053" max="2053" width="6.875" style="508" customWidth="1"/>
    <col min="2054" max="2054" width="5.125" style="508" customWidth="1"/>
    <col min="2055" max="2055" width="4.75" style="508" customWidth="1"/>
    <col min="2056" max="2056" width="5.625" style="508" customWidth="1"/>
    <col min="2057" max="2057" width="4.875" style="508" customWidth="1"/>
    <col min="2058" max="2058" width="5.25" style="508" customWidth="1"/>
    <col min="2059" max="2059" width="16.25" style="508" customWidth="1"/>
    <col min="2060" max="2060" width="9.25" style="508" customWidth="1"/>
    <col min="2061" max="2061" width="9.5" style="508" bestFit="1" customWidth="1"/>
    <col min="2062" max="2062" width="9.875" style="508" customWidth="1"/>
    <col min="2063" max="2064" width="10" style="508" customWidth="1"/>
    <col min="2065" max="2065" width="6.625" style="508" customWidth="1"/>
    <col min="2066" max="2066" width="6.5" style="508" customWidth="1"/>
    <col min="2067" max="2067" width="9" style="508"/>
    <col min="2068" max="2068" width="8.5" style="508" customWidth="1"/>
    <col min="2069" max="2069" width="6.375" style="508" customWidth="1"/>
    <col min="2070" max="2070" width="5.75" style="508" customWidth="1"/>
    <col min="2071" max="2071" width="12.625" style="508" customWidth="1"/>
    <col min="2072" max="2072" width="8.375" style="508" customWidth="1"/>
    <col min="2073" max="2073" width="24.875" style="508" customWidth="1"/>
    <col min="2074" max="2074" width="9" style="508"/>
    <col min="2075" max="2075" width="37.5" style="508" customWidth="1"/>
    <col min="2076" max="2292" width="9" style="508"/>
    <col min="2293" max="2294" width="3.75" style="508" customWidth="1"/>
    <col min="2295" max="2295" width="3.5" style="508" customWidth="1"/>
    <col min="2296" max="2296" width="3.875" style="508" customWidth="1"/>
    <col min="2297" max="2298" width="7.625" style="508" customWidth="1"/>
    <col min="2299" max="2299" width="6.375" style="508" customWidth="1"/>
    <col min="2300" max="2300" width="6.25" style="508" customWidth="1"/>
    <col min="2301" max="2301" width="6.625" style="508" customWidth="1"/>
    <col min="2302" max="2302" width="4.875" style="508" customWidth="1"/>
    <col min="2303" max="2303" width="4.75" style="508" customWidth="1"/>
    <col min="2304" max="2304" width="6.75" style="508" customWidth="1"/>
    <col min="2305" max="2305" width="0" style="508" hidden="1" customWidth="1"/>
    <col min="2306" max="2306" width="4.375" style="508" customWidth="1"/>
    <col min="2307" max="2307" width="5.625" style="508" customWidth="1"/>
    <col min="2308" max="2308" width="5.375" style="508" customWidth="1"/>
    <col min="2309" max="2309" width="6.875" style="508" customWidth="1"/>
    <col min="2310" max="2310" width="5.125" style="508" customWidth="1"/>
    <col min="2311" max="2311" width="4.75" style="508" customWidth="1"/>
    <col min="2312" max="2312" width="5.625" style="508" customWidth="1"/>
    <col min="2313" max="2313" width="4.875" style="508" customWidth="1"/>
    <col min="2314" max="2314" width="5.25" style="508" customWidth="1"/>
    <col min="2315" max="2315" width="16.25" style="508" customWidth="1"/>
    <col min="2316" max="2316" width="9.25" style="508" customWidth="1"/>
    <col min="2317" max="2317" width="9.5" style="508" bestFit="1" customWidth="1"/>
    <col min="2318" max="2318" width="9.875" style="508" customWidth="1"/>
    <col min="2319" max="2320" width="10" style="508" customWidth="1"/>
    <col min="2321" max="2321" width="6.625" style="508" customWidth="1"/>
    <col min="2322" max="2322" width="6.5" style="508" customWidth="1"/>
    <col min="2323" max="2323" width="9" style="508"/>
    <col min="2324" max="2324" width="8.5" style="508" customWidth="1"/>
    <col min="2325" max="2325" width="6.375" style="508" customWidth="1"/>
    <col min="2326" max="2326" width="5.75" style="508" customWidth="1"/>
    <col min="2327" max="2327" width="12.625" style="508" customWidth="1"/>
    <col min="2328" max="2328" width="8.375" style="508" customWidth="1"/>
    <col min="2329" max="2329" width="24.875" style="508" customWidth="1"/>
    <col min="2330" max="2330" width="9" style="508"/>
    <col min="2331" max="2331" width="37.5" style="508" customWidth="1"/>
    <col min="2332" max="2548" width="9" style="508"/>
    <col min="2549" max="2550" width="3.75" style="508" customWidth="1"/>
    <col min="2551" max="2551" width="3.5" style="508" customWidth="1"/>
    <col min="2552" max="2552" width="3.875" style="508" customWidth="1"/>
    <col min="2553" max="2554" width="7.625" style="508" customWidth="1"/>
    <col min="2555" max="2555" width="6.375" style="508" customWidth="1"/>
    <col min="2556" max="2556" width="6.25" style="508" customWidth="1"/>
    <col min="2557" max="2557" width="6.625" style="508" customWidth="1"/>
    <col min="2558" max="2558" width="4.875" style="508" customWidth="1"/>
    <col min="2559" max="2559" width="4.75" style="508" customWidth="1"/>
    <col min="2560" max="2560" width="6.75" style="508" customWidth="1"/>
    <col min="2561" max="2561" width="0" style="508" hidden="1" customWidth="1"/>
    <col min="2562" max="2562" width="4.375" style="508" customWidth="1"/>
    <col min="2563" max="2563" width="5.625" style="508" customWidth="1"/>
    <col min="2564" max="2564" width="5.375" style="508" customWidth="1"/>
    <col min="2565" max="2565" width="6.875" style="508" customWidth="1"/>
    <col min="2566" max="2566" width="5.125" style="508" customWidth="1"/>
    <col min="2567" max="2567" width="4.75" style="508" customWidth="1"/>
    <col min="2568" max="2568" width="5.625" style="508" customWidth="1"/>
    <col min="2569" max="2569" width="4.875" style="508" customWidth="1"/>
    <col min="2570" max="2570" width="5.25" style="508" customWidth="1"/>
    <col min="2571" max="2571" width="16.25" style="508" customWidth="1"/>
    <col min="2572" max="2572" width="9.25" style="508" customWidth="1"/>
    <col min="2573" max="2573" width="9.5" style="508" bestFit="1" customWidth="1"/>
    <col min="2574" max="2574" width="9.875" style="508" customWidth="1"/>
    <col min="2575" max="2576" width="10" style="508" customWidth="1"/>
    <col min="2577" max="2577" width="6.625" style="508" customWidth="1"/>
    <col min="2578" max="2578" width="6.5" style="508" customWidth="1"/>
    <col min="2579" max="2579" width="9" style="508"/>
    <col min="2580" max="2580" width="8.5" style="508" customWidth="1"/>
    <col min="2581" max="2581" width="6.375" style="508" customWidth="1"/>
    <col min="2582" max="2582" width="5.75" style="508" customWidth="1"/>
    <col min="2583" max="2583" width="12.625" style="508" customWidth="1"/>
    <col min="2584" max="2584" width="8.375" style="508" customWidth="1"/>
    <col min="2585" max="2585" width="24.875" style="508" customWidth="1"/>
    <col min="2586" max="2586" width="9" style="508"/>
    <col min="2587" max="2587" width="37.5" style="508" customWidth="1"/>
    <col min="2588" max="2804" width="9" style="508"/>
    <col min="2805" max="2806" width="3.75" style="508" customWidth="1"/>
    <col min="2807" max="2807" width="3.5" style="508" customWidth="1"/>
    <col min="2808" max="2808" width="3.875" style="508" customWidth="1"/>
    <col min="2809" max="2810" width="7.625" style="508" customWidth="1"/>
    <col min="2811" max="2811" width="6.375" style="508" customWidth="1"/>
    <col min="2812" max="2812" width="6.25" style="508" customWidth="1"/>
    <col min="2813" max="2813" width="6.625" style="508" customWidth="1"/>
    <col min="2814" max="2814" width="4.875" style="508" customWidth="1"/>
    <col min="2815" max="2815" width="4.75" style="508" customWidth="1"/>
    <col min="2816" max="2816" width="6.75" style="508" customWidth="1"/>
    <col min="2817" max="2817" width="0" style="508" hidden="1" customWidth="1"/>
    <col min="2818" max="2818" width="4.375" style="508" customWidth="1"/>
    <col min="2819" max="2819" width="5.625" style="508" customWidth="1"/>
    <col min="2820" max="2820" width="5.375" style="508" customWidth="1"/>
    <col min="2821" max="2821" width="6.875" style="508" customWidth="1"/>
    <col min="2822" max="2822" width="5.125" style="508" customWidth="1"/>
    <col min="2823" max="2823" width="4.75" style="508" customWidth="1"/>
    <col min="2824" max="2824" width="5.625" style="508" customWidth="1"/>
    <col min="2825" max="2825" width="4.875" style="508" customWidth="1"/>
    <col min="2826" max="2826" width="5.25" style="508" customWidth="1"/>
    <col min="2827" max="2827" width="16.25" style="508" customWidth="1"/>
    <col min="2828" max="2828" width="9.25" style="508" customWidth="1"/>
    <col min="2829" max="2829" width="9.5" style="508" bestFit="1" customWidth="1"/>
    <col min="2830" max="2830" width="9.875" style="508" customWidth="1"/>
    <col min="2831" max="2832" width="10" style="508" customWidth="1"/>
    <col min="2833" max="2833" width="6.625" style="508" customWidth="1"/>
    <col min="2834" max="2834" width="6.5" style="508" customWidth="1"/>
    <col min="2835" max="2835" width="9" style="508"/>
    <col min="2836" max="2836" width="8.5" style="508" customWidth="1"/>
    <col min="2837" max="2837" width="6.375" style="508" customWidth="1"/>
    <col min="2838" max="2838" width="5.75" style="508" customWidth="1"/>
    <col min="2839" max="2839" width="12.625" style="508" customWidth="1"/>
    <col min="2840" max="2840" width="8.375" style="508" customWidth="1"/>
    <col min="2841" max="2841" width="24.875" style="508" customWidth="1"/>
    <col min="2842" max="2842" width="9" style="508"/>
    <col min="2843" max="2843" width="37.5" style="508" customWidth="1"/>
    <col min="2844" max="3060" width="9" style="508"/>
    <col min="3061" max="3062" width="3.75" style="508" customWidth="1"/>
    <col min="3063" max="3063" width="3.5" style="508" customWidth="1"/>
    <col min="3064" max="3064" width="3.875" style="508" customWidth="1"/>
    <col min="3065" max="3066" width="7.625" style="508" customWidth="1"/>
    <col min="3067" max="3067" width="6.375" style="508" customWidth="1"/>
    <col min="3068" max="3068" width="6.25" style="508" customWidth="1"/>
    <col min="3069" max="3069" width="6.625" style="508" customWidth="1"/>
    <col min="3070" max="3070" width="4.875" style="508" customWidth="1"/>
    <col min="3071" max="3071" width="4.75" style="508" customWidth="1"/>
    <col min="3072" max="3072" width="6.75" style="508" customWidth="1"/>
    <col min="3073" max="3073" width="0" style="508" hidden="1" customWidth="1"/>
    <col min="3074" max="3074" width="4.375" style="508" customWidth="1"/>
    <col min="3075" max="3075" width="5.625" style="508" customWidth="1"/>
    <col min="3076" max="3076" width="5.375" style="508" customWidth="1"/>
    <col min="3077" max="3077" width="6.875" style="508" customWidth="1"/>
    <col min="3078" max="3078" width="5.125" style="508" customWidth="1"/>
    <col min="3079" max="3079" width="4.75" style="508" customWidth="1"/>
    <col min="3080" max="3080" width="5.625" style="508" customWidth="1"/>
    <col min="3081" max="3081" width="4.875" style="508" customWidth="1"/>
    <col min="3082" max="3082" width="5.25" style="508" customWidth="1"/>
    <col min="3083" max="3083" width="16.25" style="508" customWidth="1"/>
    <col min="3084" max="3084" width="9.25" style="508" customWidth="1"/>
    <col min="3085" max="3085" width="9.5" style="508" bestFit="1" customWidth="1"/>
    <col min="3086" max="3086" width="9.875" style="508" customWidth="1"/>
    <col min="3087" max="3088" width="10" style="508" customWidth="1"/>
    <col min="3089" max="3089" width="6.625" style="508" customWidth="1"/>
    <col min="3090" max="3090" width="6.5" style="508" customWidth="1"/>
    <col min="3091" max="3091" width="9" style="508"/>
    <col min="3092" max="3092" width="8.5" style="508" customWidth="1"/>
    <col min="3093" max="3093" width="6.375" style="508" customWidth="1"/>
    <col min="3094" max="3094" width="5.75" style="508" customWidth="1"/>
    <col min="3095" max="3095" width="12.625" style="508" customWidth="1"/>
    <col min="3096" max="3096" width="8.375" style="508" customWidth="1"/>
    <col min="3097" max="3097" width="24.875" style="508" customWidth="1"/>
    <col min="3098" max="3098" width="9" style="508"/>
    <col min="3099" max="3099" width="37.5" style="508" customWidth="1"/>
    <col min="3100" max="3316" width="9" style="508"/>
    <col min="3317" max="3318" width="3.75" style="508" customWidth="1"/>
    <col min="3319" max="3319" width="3.5" style="508" customWidth="1"/>
    <col min="3320" max="3320" width="3.875" style="508" customWidth="1"/>
    <col min="3321" max="3322" width="7.625" style="508" customWidth="1"/>
    <col min="3323" max="3323" width="6.375" style="508" customWidth="1"/>
    <col min="3324" max="3324" width="6.25" style="508" customWidth="1"/>
    <col min="3325" max="3325" width="6.625" style="508" customWidth="1"/>
    <col min="3326" max="3326" width="4.875" style="508" customWidth="1"/>
    <col min="3327" max="3327" width="4.75" style="508" customWidth="1"/>
    <col min="3328" max="3328" width="6.75" style="508" customWidth="1"/>
    <col min="3329" max="3329" width="0" style="508" hidden="1" customWidth="1"/>
    <col min="3330" max="3330" width="4.375" style="508" customWidth="1"/>
    <col min="3331" max="3331" width="5.625" style="508" customWidth="1"/>
    <col min="3332" max="3332" width="5.375" style="508" customWidth="1"/>
    <col min="3333" max="3333" width="6.875" style="508" customWidth="1"/>
    <col min="3334" max="3334" width="5.125" style="508" customWidth="1"/>
    <col min="3335" max="3335" width="4.75" style="508" customWidth="1"/>
    <col min="3336" max="3336" width="5.625" style="508" customWidth="1"/>
    <col min="3337" max="3337" width="4.875" style="508" customWidth="1"/>
    <col min="3338" max="3338" width="5.25" style="508" customWidth="1"/>
    <col min="3339" max="3339" width="16.25" style="508" customWidth="1"/>
    <col min="3340" max="3340" width="9.25" style="508" customWidth="1"/>
    <col min="3341" max="3341" width="9.5" style="508" bestFit="1" customWidth="1"/>
    <col min="3342" max="3342" width="9.875" style="508" customWidth="1"/>
    <col min="3343" max="3344" width="10" style="508" customWidth="1"/>
    <col min="3345" max="3345" width="6.625" style="508" customWidth="1"/>
    <col min="3346" max="3346" width="6.5" style="508" customWidth="1"/>
    <col min="3347" max="3347" width="9" style="508"/>
    <col min="3348" max="3348" width="8.5" style="508" customWidth="1"/>
    <col min="3349" max="3349" width="6.375" style="508" customWidth="1"/>
    <col min="3350" max="3350" width="5.75" style="508" customWidth="1"/>
    <col min="3351" max="3351" width="12.625" style="508" customWidth="1"/>
    <col min="3352" max="3352" width="8.375" style="508" customWidth="1"/>
    <col min="3353" max="3353" width="24.875" style="508" customWidth="1"/>
    <col min="3354" max="3354" width="9" style="508"/>
    <col min="3355" max="3355" width="37.5" style="508" customWidth="1"/>
    <col min="3356" max="3572" width="9" style="508"/>
    <col min="3573" max="3574" width="3.75" style="508" customWidth="1"/>
    <col min="3575" max="3575" width="3.5" style="508" customWidth="1"/>
    <col min="3576" max="3576" width="3.875" style="508" customWidth="1"/>
    <col min="3577" max="3578" width="7.625" style="508" customWidth="1"/>
    <col min="3579" max="3579" width="6.375" style="508" customWidth="1"/>
    <col min="3580" max="3580" width="6.25" style="508" customWidth="1"/>
    <col min="3581" max="3581" width="6.625" style="508" customWidth="1"/>
    <col min="3582" max="3582" width="4.875" style="508" customWidth="1"/>
    <col min="3583" max="3583" width="4.75" style="508" customWidth="1"/>
    <col min="3584" max="3584" width="6.75" style="508" customWidth="1"/>
    <col min="3585" max="3585" width="0" style="508" hidden="1" customWidth="1"/>
    <col min="3586" max="3586" width="4.375" style="508" customWidth="1"/>
    <col min="3587" max="3587" width="5.625" style="508" customWidth="1"/>
    <col min="3588" max="3588" width="5.375" style="508" customWidth="1"/>
    <col min="3589" max="3589" width="6.875" style="508" customWidth="1"/>
    <col min="3590" max="3590" width="5.125" style="508" customWidth="1"/>
    <col min="3591" max="3591" width="4.75" style="508" customWidth="1"/>
    <col min="3592" max="3592" width="5.625" style="508" customWidth="1"/>
    <col min="3593" max="3593" width="4.875" style="508" customWidth="1"/>
    <col min="3594" max="3594" width="5.25" style="508" customWidth="1"/>
    <col min="3595" max="3595" width="16.25" style="508" customWidth="1"/>
    <col min="3596" max="3596" width="9.25" style="508" customWidth="1"/>
    <col min="3597" max="3597" width="9.5" style="508" bestFit="1" customWidth="1"/>
    <col min="3598" max="3598" width="9.875" style="508" customWidth="1"/>
    <col min="3599" max="3600" width="10" style="508" customWidth="1"/>
    <col min="3601" max="3601" width="6.625" style="508" customWidth="1"/>
    <col min="3602" max="3602" width="6.5" style="508" customWidth="1"/>
    <col min="3603" max="3603" width="9" style="508"/>
    <col min="3604" max="3604" width="8.5" style="508" customWidth="1"/>
    <col min="3605" max="3605" width="6.375" style="508" customWidth="1"/>
    <col min="3606" max="3606" width="5.75" style="508" customWidth="1"/>
    <col min="3607" max="3607" width="12.625" style="508" customWidth="1"/>
    <col min="3608" max="3608" width="8.375" style="508" customWidth="1"/>
    <col min="3609" max="3609" width="24.875" style="508" customWidth="1"/>
    <col min="3610" max="3610" width="9" style="508"/>
    <col min="3611" max="3611" width="37.5" style="508" customWidth="1"/>
    <col min="3612" max="3828" width="9" style="508"/>
    <col min="3829" max="3830" width="3.75" style="508" customWidth="1"/>
    <col min="3831" max="3831" width="3.5" style="508" customWidth="1"/>
    <col min="3832" max="3832" width="3.875" style="508" customWidth="1"/>
    <col min="3833" max="3834" width="7.625" style="508" customWidth="1"/>
    <col min="3835" max="3835" width="6.375" style="508" customWidth="1"/>
    <col min="3836" max="3836" width="6.25" style="508" customWidth="1"/>
    <col min="3837" max="3837" width="6.625" style="508" customWidth="1"/>
    <col min="3838" max="3838" width="4.875" style="508" customWidth="1"/>
    <col min="3839" max="3839" width="4.75" style="508" customWidth="1"/>
    <col min="3840" max="3840" width="6.75" style="508" customWidth="1"/>
    <col min="3841" max="3841" width="0" style="508" hidden="1" customWidth="1"/>
    <col min="3842" max="3842" width="4.375" style="508" customWidth="1"/>
    <col min="3843" max="3843" width="5.625" style="508" customWidth="1"/>
    <col min="3844" max="3844" width="5.375" style="508" customWidth="1"/>
    <col min="3845" max="3845" width="6.875" style="508" customWidth="1"/>
    <col min="3846" max="3846" width="5.125" style="508" customWidth="1"/>
    <col min="3847" max="3847" width="4.75" style="508" customWidth="1"/>
    <col min="3848" max="3848" width="5.625" style="508" customWidth="1"/>
    <col min="3849" max="3849" width="4.875" style="508" customWidth="1"/>
    <col min="3850" max="3850" width="5.25" style="508" customWidth="1"/>
    <col min="3851" max="3851" width="16.25" style="508" customWidth="1"/>
    <col min="3852" max="3852" width="9.25" style="508" customWidth="1"/>
    <col min="3853" max="3853" width="9.5" style="508" bestFit="1" customWidth="1"/>
    <col min="3854" max="3854" width="9.875" style="508" customWidth="1"/>
    <col min="3855" max="3856" width="10" style="508" customWidth="1"/>
    <col min="3857" max="3857" width="6.625" style="508" customWidth="1"/>
    <col min="3858" max="3858" width="6.5" style="508" customWidth="1"/>
    <col min="3859" max="3859" width="9" style="508"/>
    <col min="3860" max="3860" width="8.5" style="508" customWidth="1"/>
    <col min="3861" max="3861" width="6.375" style="508" customWidth="1"/>
    <col min="3862" max="3862" width="5.75" style="508" customWidth="1"/>
    <col min="3863" max="3863" width="12.625" style="508" customWidth="1"/>
    <col min="3864" max="3864" width="8.375" style="508" customWidth="1"/>
    <col min="3865" max="3865" width="24.875" style="508" customWidth="1"/>
    <col min="3866" max="3866" width="9" style="508"/>
    <col min="3867" max="3867" width="37.5" style="508" customWidth="1"/>
    <col min="3868" max="4084" width="9" style="508"/>
    <col min="4085" max="4086" width="3.75" style="508" customWidth="1"/>
    <col min="4087" max="4087" width="3.5" style="508" customWidth="1"/>
    <col min="4088" max="4088" width="3.875" style="508" customWidth="1"/>
    <col min="4089" max="4090" width="7.625" style="508" customWidth="1"/>
    <col min="4091" max="4091" width="6.375" style="508" customWidth="1"/>
    <col min="4092" max="4092" width="6.25" style="508" customWidth="1"/>
    <col min="4093" max="4093" width="6.625" style="508" customWidth="1"/>
    <col min="4094" max="4094" width="4.875" style="508" customWidth="1"/>
    <col min="4095" max="4095" width="4.75" style="508" customWidth="1"/>
    <col min="4096" max="4096" width="6.75" style="508" customWidth="1"/>
    <col min="4097" max="4097" width="0" style="508" hidden="1" customWidth="1"/>
    <col min="4098" max="4098" width="4.375" style="508" customWidth="1"/>
    <col min="4099" max="4099" width="5.625" style="508" customWidth="1"/>
    <col min="4100" max="4100" width="5.375" style="508" customWidth="1"/>
    <col min="4101" max="4101" width="6.875" style="508" customWidth="1"/>
    <col min="4102" max="4102" width="5.125" style="508" customWidth="1"/>
    <col min="4103" max="4103" width="4.75" style="508" customWidth="1"/>
    <col min="4104" max="4104" width="5.625" style="508" customWidth="1"/>
    <col min="4105" max="4105" width="4.875" style="508" customWidth="1"/>
    <col min="4106" max="4106" width="5.25" style="508" customWidth="1"/>
    <col min="4107" max="4107" width="16.25" style="508" customWidth="1"/>
    <col min="4108" max="4108" width="9.25" style="508" customWidth="1"/>
    <col min="4109" max="4109" width="9.5" style="508" bestFit="1" customWidth="1"/>
    <col min="4110" max="4110" width="9.875" style="508" customWidth="1"/>
    <col min="4111" max="4112" width="10" style="508" customWidth="1"/>
    <col min="4113" max="4113" width="6.625" style="508" customWidth="1"/>
    <col min="4114" max="4114" width="6.5" style="508" customWidth="1"/>
    <col min="4115" max="4115" width="9" style="508"/>
    <col min="4116" max="4116" width="8.5" style="508" customWidth="1"/>
    <col min="4117" max="4117" width="6.375" style="508" customWidth="1"/>
    <col min="4118" max="4118" width="5.75" style="508" customWidth="1"/>
    <col min="4119" max="4119" width="12.625" style="508" customWidth="1"/>
    <col min="4120" max="4120" width="8.375" style="508" customWidth="1"/>
    <col min="4121" max="4121" width="24.875" style="508" customWidth="1"/>
    <col min="4122" max="4122" width="9" style="508"/>
    <col min="4123" max="4123" width="37.5" style="508" customWidth="1"/>
    <col min="4124" max="4340" width="9" style="508"/>
    <col min="4341" max="4342" width="3.75" style="508" customWidth="1"/>
    <col min="4343" max="4343" width="3.5" style="508" customWidth="1"/>
    <col min="4344" max="4344" width="3.875" style="508" customWidth="1"/>
    <col min="4345" max="4346" width="7.625" style="508" customWidth="1"/>
    <col min="4347" max="4347" width="6.375" style="508" customWidth="1"/>
    <col min="4348" max="4348" width="6.25" style="508" customWidth="1"/>
    <col min="4349" max="4349" width="6.625" style="508" customWidth="1"/>
    <col min="4350" max="4350" width="4.875" style="508" customWidth="1"/>
    <col min="4351" max="4351" width="4.75" style="508" customWidth="1"/>
    <col min="4352" max="4352" width="6.75" style="508" customWidth="1"/>
    <col min="4353" max="4353" width="0" style="508" hidden="1" customWidth="1"/>
    <col min="4354" max="4354" width="4.375" style="508" customWidth="1"/>
    <col min="4355" max="4355" width="5.625" style="508" customWidth="1"/>
    <col min="4356" max="4356" width="5.375" style="508" customWidth="1"/>
    <col min="4357" max="4357" width="6.875" style="508" customWidth="1"/>
    <col min="4358" max="4358" width="5.125" style="508" customWidth="1"/>
    <col min="4359" max="4359" width="4.75" style="508" customWidth="1"/>
    <col min="4360" max="4360" width="5.625" style="508" customWidth="1"/>
    <col min="4361" max="4361" width="4.875" style="508" customWidth="1"/>
    <col min="4362" max="4362" width="5.25" style="508" customWidth="1"/>
    <col min="4363" max="4363" width="16.25" style="508" customWidth="1"/>
    <col min="4364" max="4364" width="9.25" style="508" customWidth="1"/>
    <col min="4365" max="4365" width="9.5" style="508" bestFit="1" customWidth="1"/>
    <col min="4366" max="4366" width="9.875" style="508" customWidth="1"/>
    <col min="4367" max="4368" width="10" style="508" customWidth="1"/>
    <col min="4369" max="4369" width="6.625" style="508" customWidth="1"/>
    <col min="4370" max="4370" width="6.5" style="508" customWidth="1"/>
    <col min="4371" max="4371" width="9" style="508"/>
    <col min="4372" max="4372" width="8.5" style="508" customWidth="1"/>
    <col min="4373" max="4373" width="6.375" style="508" customWidth="1"/>
    <col min="4374" max="4374" width="5.75" style="508" customWidth="1"/>
    <col min="4375" max="4375" width="12.625" style="508" customWidth="1"/>
    <col min="4376" max="4376" width="8.375" style="508" customWidth="1"/>
    <col min="4377" max="4377" width="24.875" style="508" customWidth="1"/>
    <col min="4378" max="4378" width="9" style="508"/>
    <col min="4379" max="4379" width="37.5" style="508" customWidth="1"/>
    <col min="4380" max="4596" width="9" style="508"/>
    <col min="4597" max="4598" width="3.75" style="508" customWidth="1"/>
    <col min="4599" max="4599" width="3.5" style="508" customWidth="1"/>
    <col min="4600" max="4600" width="3.875" style="508" customWidth="1"/>
    <col min="4601" max="4602" width="7.625" style="508" customWidth="1"/>
    <col min="4603" max="4603" width="6.375" style="508" customWidth="1"/>
    <col min="4604" max="4604" width="6.25" style="508" customWidth="1"/>
    <col min="4605" max="4605" width="6.625" style="508" customWidth="1"/>
    <col min="4606" max="4606" width="4.875" style="508" customWidth="1"/>
    <col min="4607" max="4607" width="4.75" style="508" customWidth="1"/>
    <col min="4608" max="4608" width="6.75" style="508" customWidth="1"/>
    <col min="4609" max="4609" width="0" style="508" hidden="1" customWidth="1"/>
    <col min="4610" max="4610" width="4.375" style="508" customWidth="1"/>
    <col min="4611" max="4611" width="5.625" style="508" customWidth="1"/>
    <col min="4612" max="4612" width="5.375" style="508" customWidth="1"/>
    <col min="4613" max="4613" width="6.875" style="508" customWidth="1"/>
    <col min="4614" max="4614" width="5.125" style="508" customWidth="1"/>
    <col min="4615" max="4615" width="4.75" style="508" customWidth="1"/>
    <col min="4616" max="4616" width="5.625" style="508" customWidth="1"/>
    <col min="4617" max="4617" width="4.875" style="508" customWidth="1"/>
    <col min="4618" max="4618" width="5.25" style="508" customWidth="1"/>
    <col min="4619" max="4619" width="16.25" style="508" customWidth="1"/>
    <col min="4620" max="4620" width="9.25" style="508" customWidth="1"/>
    <col min="4621" max="4621" width="9.5" style="508" bestFit="1" customWidth="1"/>
    <col min="4622" max="4622" width="9.875" style="508" customWidth="1"/>
    <col min="4623" max="4624" width="10" style="508" customWidth="1"/>
    <col min="4625" max="4625" width="6.625" style="508" customWidth="1"/>
    <col min="4626" max="4626" width="6.5" style="508" customWidth="1"/>
    <col min="4627" max="4627" width="9" style="508"/>
    <col min="4628" max="4628" width="8.5" style="508" customWidth="1"/>
    <col min="4629" max="4629" width="6.375" style="508" customWidth="1"/>
    <col min="4630" max="4630" width="5.75" style="508" customWidth="1"/>
    <col min="4631" max="4631" width="12.625" style="508" customWidth="1"/>
    <col min="4632" max="4632" width="8.375" style="508" customWidth="1"/>
    <col min="4633" max="4633" width="24.875" style="508" customWidth="1"/>
    <col min="4634" max="4634" width="9" style="508"/>
    <col min="4635" max="4635" width="37.5" style="508" customWidth="1"/>
    <col min="4636" max="4852" width="9" style="508"/>
    <col min="4853" max="4854" width="3.75" style="508" customWidth="1"/>
    <col min="4855" max="4855" width="3.5" style="508" customWidth="1"/>
    <col min="4856" max="4856" width="3.875" style="508" customWidth="1"/>
    <col min="4857" max="4858" width="7.625" style="508" customWidth="1"/>
    <col min="4859" max="4859" width="6.375" style="508" customWidth="1"/>
    <col min="4860" max="4860" width="6.25" style="508" customWidth="1"/>
    <col min="4861" max="4861" width="6.625" style="508" customWidth="1"/>
    <col min="4862" max="4862" width="4.875" style="508" customWidth="1"/>
    <col min="4863" max="4863" width="4.75" style="508" customWidth="1"/>
    <col min="4864" max="4864" width="6.75" style="508" customWidth="1"/>
    <col min="4865" max="4865" width="0" style="508" hidden="1" customWidth="1"/>
    <col min="4866" max="4866" width="4.375" style="508" customWidth="1"/>
    <col min="4867" max="4867" width="5.625" style="508" customWidth="1"/>
    <col min="4868" max="4868" width="5.375" style="508" customWidth="1"/>
    <col min="4869" max="4869" width="6.875" style="508" customWidth="1"/>
    <col min="4870" max="4870" width="5.125" style="508" customWidth="1"/>
    <col min="4871" max="4871" width="4.75" style="508" customWidth="1"/>
    <col min="4872" max="4872" width="5.625" style="508" customWidth="1"/>
    <col min="4873" max="4873" width="4.875" style="508" customWidth="1"/>
    <col min="4874" max="4874" width="5.25" style="508" customWidth="1"/>
    <col min="4875" max="4875" width="16.25" style="508" customWidth="1"/>
    <col min="4876" max="4876" width="9.25" style="508" customWidth="1"/>
    <col min="4877" max="4877" width="9.5" style="508" bestFit="1" customWidth="1"/>
    <col min="4878" max="4878" width="9.875" style="508" customWidth="1"/>
    <col min="4879" max="4880" width="10" style="508" customWidth="1"/>
    <col min="4881" max="4881" width="6.625" style="508" customWidth="1"/>
    <col min="4882" max="4882" width="6.5" style="508" customWidth="1"/>
    <col min="4883" max="4883" width="9" style="508"/>
    <col min="4884" max="4884" width="8.5" style="508" customWidth="1"/>
    <col min="4885" max="4885" width="6.375" style="508" customWidth="1"/>
    <col min="4886" max="4886" width="5.75" style="508" customWidth="1"/>
    <col min="4887" max="4887" width="12.625" style="508" customWidth="1"/>
    <col min="4888" max="4888" width="8.375" style="508" customWidth="1"/>
    <col min="4889" max="4889" width="24.875" style="508" customWidth="1"/>
    <col min="4890" max="4890" width="9" style="508"/>
    <col min="4891" max="4891" width="37.5" style="508" customWidth="1"/>
    <col min="4892" max="5108" width="9" style="508"/>
    <col min="5109" max="5110" width="3.75" style="508" customWidth="1"/>
    <col min="5111" max="5111" width="3.5" style="508" customWidth="1"/>
    <col min="5112" max="5112" width="3.875" style="508" customWidth="1"/>
    <col min="5113" max="5114" width="7.625" style="508" customWidth="1"/>
    <col min="5115" max="5115" width="6.375" style="508" customWidth="1"/>
    <col min="5116" max="5116" width="6.25" style="508" customWidth="1"/>
    <col min="5117" max="5117" width="6.625" style="508" customWidth="1"/>
    <col min="5118" max="5118" width="4.875" style="508" customWidth="1"/>
    <col min="5119" max="5119" width="4.75" style="508" customWidth="1"/>
    <col min="5120" max="5120" width="6.75" style="508" customWidth="1"/>
    <col min="5121" max="5121" width="0" style="508" hidden="1" customWidth="1"/>
    <col min="5122" max="5122" width="4.375" style="508" customWidth="1"/>
    <col min="5123" max="5123" width="5.625" style="508" customWidth="1"/>
    <col min="5124" max="5124" width="5.375" style="508" customWidth="1"/>
    <col min="5125" max="5125" width="6.875" style="508" customWidth="1"/>
    <col min="5126" max="5126" width="5.125" style="508" customWidth="1"/>
    <col min="5127" max="5127" width="4.75" style="508" customWidth="1"/>
    <col min="5128" max="5128" width="5.625" style="508" customWidth="1"/>
    <col min="5129" max="5129" width="4.875" style="508" customWidth="1"/>
    <col min="5130" max="5130" width="5.25" style="508" customWidth="1"/>
    <col min="5131" max="5131" width="16.25" style="508" customWidth="1"/>
    <col min="5132" max="5132" width="9.25" style="508" customWidth="1"/>
    <col min="5133" max="5133" width="9.5" style="508" bestFit="1" customWidth="1"/>
    <col min="5134" max="5134" width="9.875" style="508" customWidth="1"/>
    <col min="5135" max="5136" width="10" style="508" customWidth="1"/>
    <col min="5137" max="5137" width="6.625" style="508" customWidth="1"/>
    <col min="5138" max="5138" width="6.5" style="508" customWidth="1"/>
    <col min="5139" max="5139" width="9" style="508"/>
    <col min="5140" max="5140" width="8.5" style="508" customWidth="1"/>
    <col min="5141" max="5141" width="6.375" style="508" customWidth="1"/>
    <col min="5142" max="5142" width="5.75" style="508" customWidth="1"/>
    <col min="5143" max="5143" width="12.625" style="508" customWidth="1"/>
    <col min="5144" max="5144" width="8.375" style="508" customWidth="1"/>
    <col min="5145" max="5145" width="24.875" style="508" customWidth="1"/>
    <col min="5146" max="5146" width="9" style="508"/>
    <col min="5147" max="5147" width="37.5" style="508" customWidth="1"/>
    <col min="5148" max="5364" width="9" style="508"/>
    <col min="5365" max="5366" width="3.75" style="508" customWidth="1"/>
    <col min="5367" max="5367" width="3.5" style="508" customWidth="1"/>
    <col min="5368" max="5368" width="3.875" style="508" customWidth="1"/>
    <col min="5369" max="5370" width="7.625" style="508" customWidth="1"/>
    <col min="5371" max="5371" width="6.375" style="508" customWidth="1"/>
    <col min="5372" max="5372" width="6.25" style="508" customWidth="1"/>
    <col min="5373" max="5373" width="6.625" style="508" customWidth="1"/>
    <col min="5374" max="5374" width="4.875" style="508" customWidth="1"/>
    <col min="5375" max="5375" width="4.75" style="508" customWidth="1"/>
    <col min="5376" max="5376" width="6.75" style="508" customWidth="1"/>
    <col min="5377" max="5377" width="0" style="508" hidden="1" customWidth="1"/>
    <col min="5378" max="5378" width="4.375" style="508" customWidth="1"/>
    <col min="5379" max="5379" width="5.625" style="508" customWidth="1"/>
    <col min="5380" max="5380" width="5.375" style="508" customWidth="1"/>
    <col min="5381" max="5381" width="6.875" style="508" customWidth="1"/>
    <col min="5382" max="5382" width="5.125" style="508" customWidth="1"/>
    <col min="5383" max="5383" width="4.75" style="508" customWidth="1"/>
    <col min="5384" max="5384" width="5.625" style="508" customWidth="1"/>
    <col min="5385" max="5385" width="4.875" style="508" customWidth="1"/>
    <col min="5386" max="5386" width="5.25" style="508" customWidth="1"/>
    <col min="5387" max="5387" width="16.25" style="508" customWidth="1"/>
    <col min="5388" max="5388" width="9.25" style="508" customWidth="1"/>
    <col min="5389" max="5389" width="9.5" style="508" bestFit="1" customWidth="1"/>
    <col min="5390" max="5390" width="9.875" style="508" customWidth="1"/>
    <col min="5391" max="5392" width="10" style="508" customWidth="1"/>
    <col min="5393" max="5393" width="6.625" style="508" customWidth="1"/>
    <col min="5394" max="5394" width="6.5" style="508" customWidth="1"/>
    <col min="5395" max="5395" width="9" style="508"/>
    <col min="5396" max="5396" width="8.5" style="508" customWidth="1"/>
    <col min="5397" max="5397" width="6.375" style="508" customWidth="1"/>
    <col min="5398" max="5398" width="5.75" style="508" customWidth="1"/>
    <col min="5399" max="5399" width="12.625" style="508" customWidth="1"/>
    <col min="5400" max="5400" width="8.375" style="508" customWidth="1"/>
    <col min="5401" max="5401" width="24.875" style="508" customWidth="1"/>
    <col min="5402" max="5402" width="9" style="508"/>
    <col min="5403" max="5403" width="37.5" style="508" customWidth="1"/>
    <col min="5404" max="5620" width="9" style="508"/>
    <col min="5621" max="5622" width="3.75" style="508" customWidth="1"/>
    <col min="5623" max="5623" width="3.5" style="508" customWidth="1"/>
    <col min="5624" max="5624" width="3.875" style="508" customWidth="1"/>
    <col min="5625" max="5626" width="7.625" style="508" customWidth="1"/>
    <col min="5627" max="5627" width="6.375" style="508" customWidth="1"/>
    <col min="5628" max="5628" width="6.25" style="508" customWidth="1"/>
    <col min="5629" max="5629" width="6.625" style="508" customWidth="1"/>
    <col min="5630" max="5630" width="4.875" style="508" customWidth="1"/>
    <col min="5631" max="5631" width="4.75" style="508" customWidth="1"/>
    <col min="5632" max="5632" width="6.75" style="508" customWidth="1"/>
    <col min="5633" max="5633" width="0" style="508" hidden="1" customWidth="1"/>
    <col min="5634" max="5634" width="4.375" style="508" customWidth="1"/>
    <col min="5635" max="5635" width="5.625" style="508" customWidth="1"/>
    <col min="5636" max="5636" width="5.375" style="508" customWidth="1"/>
    <col min="5637" max="5637" width="6.875" style="508" customWidth="1"/>
    <col min="5638" max="5638" width="5.125" style="508" customWidth="1"/>
    <col min="5639" max="5639" width="4.75" style="508" customWidth="1"/>
    <col min="5640" max="5640" width="5.625" style="508" customWidth="1"/>
    <col min="5641" max="5641" width="4.875" style="508" customWidth="1"/>
    <col min="5642" max="5642" width="5.25" style="508" customWidth="1"/>
    <col min="5643" max="5643" width="16.25" style="508" customWidth="1"/>
    <col min="5644" max="5644" width="9.25" style="508" customWidth="1"/>
    <col min="5645" max="5645" width="9.5" style="508" bestFit="1" customWidth="1"/>
    <col min="5646" max="5646" width="9.875" style="508" customWidth="1"/>
    <col min="5647" max="5648" width="10" style="508" customWidth="1"/>
    <col min="5649" max="5649" width="6.625" style="508" customWidth="1"/>
    <col min="5650" max="5650" width="6.5" style="508" customWidth="1"/>
    <col min="5651" max="5651" width="9" style="508"/>
    <col min="5652" max="5652" width="8.5" style="508" customWidth="1"/>
    <col min="5653" max="5653" width="6.375" style="508" customWidth="1"/>
    <col min="5654" max="5654" width="5.75" style="508" customWidth="1"/>
    <col min="5655" max="5655" width="12.625" style="508" customWidth="1"/>
    <col min="5656" max="5656" width="8.375" style="508" customWidth="1"/>
    <col min="5657" max="5657" width="24.875" style="508" customWidth="1"/>
    <col min="5658" max="5658" width="9" style="508"/>
    <col min="5659" max="5659" width="37.5" style="508" customWidth="1"/>
    <col min="5660" max="5876" width="9" style="508"/>
    <col min="5877" max="5878" width="3.75" style="508" customWidth="1"/>
    <col min="5879" max="5879" width="3.5" style="508" customWidth="1"/>
    <col min="5880" max="5880" width="3.875" style="508" customWidth="1"/>
    <col min="5881" max="5882" width="7.625" style="508" customWidth="1"/>
    <col min="5883" max="5883" width="6.375" style="508" customWidth="1"/>
    <col min="5884" max="5884" width="6.25" style="508" customWidth="1"/>
    <col min="5885" max="5885" width="6.625" style="508" customWidth="1"/>
    <col min="5886" max="5886" width="4.875" style="508" customWidth="1"/>
    <col min="5887" max="5887" width="4.75" style="508" customWidth="1"/>
    <col min="5888" max="5888" width="6.75" style="508" customWidth="1"/>
    <col min="5889" max="5889" width="0" style="508" hidden="1" customWidth="1"/>
    <col min="5890" max="5890" width="4.375" style="508" customWidth="1"/>
    <col min="5891" max="5891" width="5.625" style="508" customWidth="1"/>
    <col min="5892" max="5892" width="5.375" style="508" customWidth="1"/>
    <col min="5893" max="5893" width="6.875" style="508" customWidth="1"/>
    <col min="5894" max="5894" width="5.125" style="508" customWidth="1"/>
    <col min="5895" max="5895" width="4.75" style="508" customWidth="1"/>
    <col min="5896" max="5896" width="5.625" style="508" customWidth="1"/>
    <col min="5897" max="5897" width="4.875" style="508" customWidth="1"/>
    <col min="5898" max="5898" width="5.25" style="508" customWidth="1"/>
    <col min="5899" max="5899" width="16.25" style="508" customWidth="1"/>
    <col min="5900" max="5900" width="9.25" style="508" customWidth="1"/>
    <col min="5901" max="5901" width="9.5" style="508" bestFit="1" customWidth="1"/>
    <col min="5902" max="5902" width="9.875" style="508" customWidth="1"/>
    <col min="5903" max="5904" width="10" style="508" customWidth="1"/>
    <col min="5905" max="5905" width="6.625" style="508" customWidth="1"/>
    <col min="5906" max="5906" width="6.5" style="508" customWidth="1"/>
    <col min="5907" max="5907" width="9" style="508"/>
    <col min="5908" max="5908" width="8.5" style="508" customWidth="1"/>
    <col min="5909" max="5909" width="6.375" style="508" customWidth="1"/>
    <col min="5910" max="5910" width="5.75" style="508" customWidth="1"/>
    <col min="5911" max="5911" width="12.625" style="508" customWidth="1"/>
    <col min="5912" max="5912" width="8.375" style="508" customWidth="1"/>
    <col min="5913" max="5913" width="24.875" style="508" customWidth="1"/>
    <col min="5914" max="5914" width="9" style="508"/>
    <col min="5915" max="5915" width="37.5" style="508" customWidth="1"/>
    <col min="5916" max="6132" width="9" style="508"/>
    <col min="6133" max="6134" width="3.75" style="508" customWidth="1"/>
    <col min="6135" max="6135" width="3.5" style="508" customWidth="1"/>
    <col min="6136" max="6136" width="3.875" style="508" customWidth="1"/>
    <col min="6137" max="6138" width="7.625" style="508" customWidth="1"/>
    <col min="6139" max="6139" width="6.375" style="508" customWidth="1"/>
    <col min="6140" max="6140" width="6.25" style="508" customWidth="1"/>
    <col min="6141" max="6141" width="6.625" style="508" customWidth="1"/>
    <col min="6142" max="6142" width="4.875" style="508" customWidth="1"/>
    <col min="6143" max="6143" width="4.75" style="508" customWidth="1"/>
    <col min="6144" max="6144" width="6.75" style="508" customWidth="1"/>
    <col min="6145" max="6145" width="0" style="508" hidden="1" customWidth="1"/>
    <col min="6146" max="6146" width="4.375" style="508" customWidth="1"/>
    <col min="6147" max="6147" width="5.625" style="508" customWidth="1"/>
    <col min="6148" max="6148" width="5.375" style="508" customWidth="1"/>
    <col min="6149" max="6149" width="6.875" style="508" customWidth="1"/>
    <col min="6150" max="6150" width="5.125" style="508" customWidth="1"/>
    <col min="6151" max="6151" width="4.75" style="508" customWidth="1"/>
    <col min="6152" max="6152" width="5.625" style="508" customWidth="1"/>
    <col min="6153" max="6153" width="4.875" style="508" customWidth="1"/>
    <col min="6154" max="6154" width="5.25" style="508" customWidth="1"/>
    <col min="6155" max="6155" width="16.25" style="508" customWidth="1"/>
    <col min="6156" max="6156" width="9.25" style="508" customWidth="1"/>
    <col min="6157" max="6157" width="9.5" style="508" bestFit="1" customWidth="1"/>
    <col min="6158" max="6158" width="9.875" style="508" customWidth="1"/>
    <col min="6159" max="6160" width="10" style="508" customWidth="1"/>
    <col min="6161" max="6161" width="6.625" style="508" customWidth="1"/>
    <col min="6162" max="6162" width="6.5" style="508" customWidth="1"/>
    <col min="6163" max="6163" width="9" style="508"/>
    <col min="6164" max="6164" width="8.5" style="508" customWidth="1"/>
    <col min="6165" max="6165" width="6.375" style="508" customWidth="1"/>
    <col min="6166" max="6166" width="5.75" style="508" customWidth="1"/>
    <col min="6167" max="6167" width="12.625" style="508" customWidth="1"/>
    <col min="6168" max="6168" width="8.375" style="508" customWidth="1"/>
    <col min="6169" max="6169" width="24.875" style="508" customWidth="1"/>
    <col min="6170" max="6170" width="9" style="508"/>
    <col min="6171" max="6171" width="37.5" style="508" customWidth="1"/>
    <col min="6172" max="6388" width="9" style="508"/>
    <col min="6389" max="6390" width="3.75" style="508" customWidth="1"/>
    <col min="6391" max="6391" width="3.5" style="508" customWidth="1"/>
    <col min="6392" max="6392" width="3.875" style="508" customWidth="1"/>
    <col min="6393" max="6394" width="7.625" style="508" customWidth="1"/>
    <col min="6395" max="6395" width="6.375" style="508" customWidth="1"/>
    <col min="6396" max="6396" width="6.25" style="508" customWidth="1"/>
    <col min="6397" max="6397" width="6.625" style="508" customWidth="1"/>
    <col min="6398" max="6398" width="4.875" style="508" customWidth="1"/>
    <col min="6399" max="6399" width="4.75" style="508" customWidth="1"/>
    <col min="6400" max="6400" width="6.75" style="508" customWidth="1"/>
    <col min="6401" max="6401" width="0" style="508" hidden="1" customWidth="1"/>
    <col min="6402" max="6402" width="4.375" style="508" customWidth="1"/>
    <col min="6403" max="6403" width="5.625" style="508" customWidth="1"/>
    <col min="6404" max="6404" width="5.375" style="508" customWidth="1"/>
    <col min="6405" max="6405" width="6.875" style="508" customWidth="1"/>
    <col min="6406" max="6406" width="5.125" style="508" customWidth="1"/>
    <col min="6407" max="6407" width="4.75" style="508" customWidth="1"/>
    <col min="6408" max="6408" width="5.625" style="508" customWidth="1"/>
    <col min="6409" max="6409" width="4.875" style="508" customWidth="1"/>
    <col min="6410" max="6410" width="5.25" style="508" customWidth="1"/>
    <col min="6411" max="6411" width="16.25" style="508" customWidth="1"/>
    <col min="6412" max="6412" width="9.25" style="508" customWidth="1"/>
    <col min="6413" max="6413" width="9.5" style="508" bestFit="1" customWidth="1"/>
    <col min="6414" max="6414" width="9.875" style="508" customWidth="1"/>
    <col min="6415" max="6416" width="10" style="508" customWidth="1"/>
    <col min="6417" max="6417" width="6.625" style="508" customWidth="1"/>
    <col min="6418" max="6418" width="6.5" style="508" customWidth="1"/>
    <col min="6419" max="6419" width="9" style="508"/>
    <col min="6420" max="6420" width="8.5" style="508" customWidth="1"/>
    <col min="6421" max="6421" width="6.375" style="508" customWidth="1"/>
    <col min="6422" max="6422" width="5.75" style="508" customWidth="1"/>
    <col min="6423" max="6423" width="12.625" style="508" customWidth="1"/>
    <col min="6424" max="6424" width="8.375" style="508" customWidth="1"/>
    <col min="6425" max="6425" width="24.875" style="508" customWidth="1"/>
    <col min="6426" max="6426" width="9" style="508"/>
    <col min="6427" max="6427" width="37.5" style="508" customWidth="1"/>
    <col min="6428" max="6644" width="9" style="508"/>
    <col min="6645" max="6646" width="3.75" style="508" customWidth="1"/>
    <col min="6647" max="6647" width="3.5" style="508" customWidth="1"/>
    <col min="6648" max="6648" width="3.875" style="508" customWidth="1"/>
    <col min="6649" max="6650" width="7.625" style="508" customWidth="1"/>
    <col min="6651" max="6651" width="6.375" style="508" customWidth="1"/>
    <col min="6652" max="6652" width="6.25" style="508" customWidth="1"/>
    <col min="6653" max="6653" width="6.625" style="508" customWidth="1"/>
    <col min="6654" max="6654" width="4.875" style="508" customWidth="1"/>
    <col min="6655" max="6655" width="4.75" style="508" customWidth="1"/>
    <col min="6656" max="6656" width="6.75" style="508" customWidth="1"/>
    <col min="6657" max="6657" width="0" style="508" hidden="1" customWidth="1"/>
    <col min="6658" max="6658" width="4.375" style="508" customWidth="1"/>
    <col min="6659" max="6659" width="5.625" style="508" customWidth="1"/>
    <col min="6660" max="6660" width="5.375" style="508" customWidth="1"/>
    <col min="6661" max="6661" width="6.875" style="508" customWidth="1"/>
    <col min="6662" max="6662" width="5.125" style="508" customWidth="1"/>
    <col min="6663" max="6663" width="4.75" style="508" customWidth="1"/>
    <col min="6664" max="6664" width="5.625" style="508" customWidth="1"/>
    <col min="6665" max="6665" width="4.875" style="508" customWidth="1"/>
    <col min="6666" max="6666" width="5.25" style="508" customWidth="1"/>
    <col min="6667" max="6667" width="16.25" style="508" customWidth="1"/>
    <col min="6668" max="6668" width="9.25" style="508" customWidth="1"/>
    <col min="6669" max="6669" width="9.5" style="508" bestFit="1" customWidth="1"/>
    <col min="6670" max="6670" width="9.875" style="508" customWidth="1"/>
    <col min="6671" max="6672" width="10" style="508" customWidth="1"/>
    <col min="6673" max="6673" width="6.625" style="508" customWidth="1"/>
    <col min="6674" max="6674" width="6.5" style="508" customWidth="1"/>
    <col min="6675" max="6675" width="9" style="508"/>
    <col min="6676" max="6676" width="8.5" style="508" customWidth="1"/>
    <col min="6677" max="6677" width="6.375" style="508" customWidth="1"/>
    <col min="6678" max="6678" width="5.75" style="508" customWidth="1"/>
    <col min="6679" max="6679" width="12.625" style="508" customWidth="1"/>
    <col min="6680" max="6680" width="8.375" style="508" customWidth="1"/>
    <col min="6681" max="6681" width="24.875" style="508" customWidth="1"/>
    <col min="6682" max="6682" width="9" style="508"/>
    <col min="6683" max="6683" width="37.5" style="508" customWidth="1"/>
    <col min="6684" max="6900" width="9" style="508"/>
    <col min="6901" max="6902" width="3.75" style="508" customWidth="1"/>
    <col min="6903" max="6903" width="3.5" style="508" customWidth="1"/>
    <col min="6904" max="6904" width="3.875" style="508" customWidth="1"/>
    <col min="6905" max="6906" width="7.625" style="508" customWidth="1"/>
    <col min="6907" max="6907" width="6.375" style="508" customWidth="1"/>
    <col min="6908" max="6908" width="6.25" style="508" customWidth="1"/>
    <col min="6909" max="6909" width="6.625" style="508" customWidth="1"/>
    <col min="6910" max="6910" width="4.875" style="508" customWidth="1"/>
    <col min="6911" max="6911" width="4.75" style="508" customWidth="1"/>
    <col min="6912" max="6912" width="6.75" style="508" customWidth="1"/>
    <col min="6913" max="6913" width="0" style="508" hidden="1" customWidth="1"/>
    <col min="6914" max="6914" width="4.375" style="508" customWidth="1"/>
    <col min="6915" max="6915" width="5.625" style="508" customWidth="1"/>
    <col min="6916" max="6916" width="5.375" style="508" customWidth="1"/>
    <col min="6917" max="6917" width="6.875" style="508" customWidth="1"/>
    <col min="6918" max="6918" width="5.125" style="508" customWidth="1"/>
    <col min="6919" max="6919" width="4.75" style="508" customWidth="1"/>
    <col min="6920" max="6920" width="5.625" style="508" customWidth="1"/>
    <col min="6921" max="6921" width="4.875" style="508" customWidth="1"/>
    <col min="6922" max="6922" width="5.25" style="508" customWidth="1"/>
    <col min="6923" max="6923" width="16.25" style="508" customWidth="1"/>
    <col min="6924" max="6924" width="9.25" style="508" customWidth="1"/>
    <col min="6925" max="6925" width="9.5" style="508" bestFit="1" customWidth="1"/>
    <col min="6926" max="6926" width="9.875" style="508" customWidth="1"/>
    <col min="6927" max="6928" width="10" style="508" customWidth="1"/>
    <col min="6929" max="6929" width="6.625" style="508" customWidth="1"/>
    <col min="6930" max="6930" width="6.5" style="508" customWidth="1"/>
    <col min="6931" max="6931" width="9" style="508"/>
    <col min="6932" max="6932" width="8.5" style="508" customWidth="1"/>
    <col min="6933" max="6933" width="6.375" style="508" customWidth="1"/>
    <col min="6934" max="6934" width="5.75" style="508" customWidth="1"/>
    <col min="6935" max="6935" width="12.625" style="508" customWidth="1"/>
    <col min="6936" max="6936" width="8.375" style="508" customWidth="1"/>
    <col min="6937" max="6937" width="24.875" style="508" customWidth="1"/>
    <col min="6938" max="6938" width="9" style="508"/>
    <col min="6939" max="6939" width="37.5" style="508" customWidth="1"/>
    <col min="6940" max="7156" width="9" style="508"/>
    <col min="7157" max="7158" width="3.75" style="508" customWidth="1"/>
    <col min="7159" max="7159" width="3.5" style="508" customWidth="1"/>
    <col min="7160" max="7160" width="3.875" style="508" customWidth="1"/>
    <col min="7161" max="7162" width="7.625" style="508" customWidth="1"/>
    <col min="7163" max="7163" width="6.375" style="508" customWidth="1"/>
    <col min="7164" max="7164" width="6.25" style="508" customWidth="1"/>
    <col min="7165" max="7165" width="6.625" style="508" customWidth="1"/>
    <col min="7166" max="7166" width="4.875" style="508" customWidth="1"/>
    <col min="7167" max="7167" width="4.75" style="508" customWidth="1"/>
    <col min="7168" max="7168" width="6.75" style="508" customWidth="1"/>
    <col min="7169" max="7169" width="0" style="508" hidden="1" customWidth="1"/>
    <col min="7170" max="7170" width="4.375" style="508" customWidth="1"/>
    <col min="7171" max="7171" width="5.625" style="508" customWidth="1"/>
    <col min="7172" max="7172" width="5.375" style="508" customWidth="1"/>
    <col min="7173" max="7173" width="6.875" style="508" customWidth="1"/>
    <col min="7174" max="7174" width="5.125" style="508" customWidth="1"/>
    <col min="7175" max="7175" width="4.75" style="508" customWidth="1"/>
    <col min="7176" max="7176" width="5.625" style="508" customWidth="1"/>
    <col min="7177" max="7177" width="4.875" style="508" customWidth="1"/>
    <col min="7178" max="7178" width="5.25" style="508" customWidth="1"/>
    <col min="7179" max="7179" width="16.25" style="508" customWidth="1"/>
    <col min="7180" max="7180" width="9.25" style="508" customWidth="1"/>
    <col min="7181" max="7181" width="9.5" style="508" bestFit="1" customWidth="1"/>
    <col min="7182" max="7182" width="9.875" style="508" customWidth="1"/>
    <col min="7183" max="7184" width="10" style="508" customWidth="1"/>
    <col min="7185" max="7185" width="6.625" style="508" customWidth="1"/>
    <col min="7186" max="7186" width="6.5" style="508" customWidth="1"/>
    <col min="7187" max="7187" width="9" style="508"/>
    <col min="7188" max="7188" width="8.5" style="508" customWidth="1"/>
    <col min="7189" max="7189" width="6.375" style="508" customWidth="1"/>
    <col min="7190" max="7190" width="5.75" style="508" customWidth="1"/>
    <col min="7191" max="7191" width="12.625" style="508" customWidth="1"/>
    <col min="7192" max="7192" width="8.375" style="508" customWidth="1"/>
    <col min="7193" max="7193" width="24.875" style="508" customWidth="1"/>
    <col min="7194" max="7194" width="9" style="508"/>
    <col min="7195" max="7195" width="37.5" style="508" customWidth="1"/>
    <col min="7196" max="7412" width="9" style="508"/>
    <col min="7413" max="7414" width="3.75" style="508" customWidth="1"/>
    <col min="7415" max="7415" width="3.5" style="508" customWidth="1"/>
    <col min="7416" max="7416" width="3.875" style="508" customWidth="1"/>
    <col min="7417" max="7418" width="7.625" style="508" customWidth="1"/>
    <col min="7419" max="7419" width="6.375" style="508" customWidth="1"/>
    <col min="7420" max="7420" width="6.25" style="508" customWidth="1"/>
    <col min="7421" max="7421" width="6.625" style="508" customWidth="1"/>
    <col min="7422" max="7422" width="4.875" style="508" customWidth="1"/>
    <col min="7423" max="7423" width="4.75" style="508" customWidth="1"/>
    <col min="7424" max="7424" width="6.75" style="508" customWidth="1"/>
    <col min="7425" max="7425" width="0" style="508" hidden="1" customWidth="1"/>
    <col min="7426" max="7426" width="4.375" style="508" customWidth="1"/>
    <col min="7427" max="7427" width="5.625" style="508" customWidth="1"/>
    <col min="7428" max="7428" width="5.375" style="508" customWidth="1"/>
    <col min="7429" max="7429" width="6.875" style="508" customWidth="1"/>
    <col min="7430" max="7430" width="5.125" style="508" customWidth="1"/>
    <col min="7431" max="7431" width="4.75" style="508" customWidth="1"/>
    <col min="7432" max="7432" width="5.625" style="508" customWidth="1"/>
    <col min="7433" max="7433" width="4.875" style="508" customWidth="1"/>
    <col min="7434" max="7434" width="5.25" style="508" customWidth="1"/>
    <col min="7435" max="7435" width="16.25" style="508" customWidth="1"/>
    <col min="7436" max="7436" width="9.25" style="508" customWidth="1"/>
    <col min="7437" max="7437" width="9.5" style="508" bestFit="1" customWidth="1"/>
    <col min="7438" max="7438" width="9.875" style="508" customWidth="1"/>
    <col min="7439" max="7440" width="10" style="508" customWidth="1"/>
    <col min="7441" max="7441" width="6.625" style="508" customWidth="1"/>
    <col min="7442" max="7442" width="6.5" style="508" customWidth="1"/>
    <col min="7443" max="7443" width="9" style="508"/>
    <col min="7444" max="7444" width="8.5" style="508" customWidth="1"/>
    <col min="7445" max="7445" width="6.375" style="508" customWidth="1"/>
    <col min="7446" max="7446" width="5.75" style="508" customWidth="1"/>
    <col min="7447" max="7447" width="12.625" style="508" customWidth="1"/>
    <col min="7448" max="7448" width="8.375" style="508" customWidth="1"/>
    <col min="7449" max="7449" width="24.875" style="508" customWidth="1"/>
    <col min="7450" max="7450" width="9" style="508"/>
    <col min="7451" max="7451" width="37.5" style="508" customWidth="1"/>
    <col min="7452" max="7668" width="9" style="508"/>
    <col min="7669" max="7670" width="3.75" style="508" customWidth="1"/>
    <col min="7671" max="7671" width="3.5" style="508" customWidth="1"/>
    <col min="7672" max="7672" width="3.875" style="508" customWidth="1"/>
    <col min="7673" max="7674" width="7.625" style="508" customWidth="1"/>
    <col min="7675" max="7675" width="6.375" style="508" customWidth="1"/>
    <col min="7676" max="7676" width="6.25" style="508" customWidth="1"/>
    <col min="7677" max="7677" width="6.625" style="508" customWidth="1"/>
    <col min="7678" max="7678" width="4.875" style="508" customWidth="1"/>
    <col min="7679" max="7679" width="4.75" style="508" customWidth="1"/>
    <col min="7680" max="7680" width="6.75" style="508" customWidth="1"/>
    <col min="7681" max="7681" width="0" style="508" hidden="1" customWidth="1"/>
    <col min="7682" max="7682" width="4.375" style="508" customWidth="1"/>
    <col min="7683" max="7683" width="5.625" style="508" customWidth="1"/>
    <col min="7684" max="7684" width="5.375" style="508" customWidth="1"/>
    <col min="7685" max="7685" width="6.875" style="508" customWidth="1"/>
    <col min="7686" max="7686" width="5.125" style="508" customWidth="1"/>
    <col min="7687" max="7687" width="4.75" style="508" customWidth="1"/>
    <col min="7688" max="7688" width="5.625" style="508" customWidth="1"/>
    <col min="7689" max="7689" width="4.875" style="508" customWidth="1"/>
    <col min="7690" max="7690" width="5.25" style="508" customWidth="1"/>
    <col min="7691" max="7691" width="16.25" style="508" customWidth="1"/>
    <col min="7692" max="7692" width="9.25" style="508" customWidth="1"/>
    <col min="7693" max="7693" width="9.5" style="508" bestFit="1" customWidth="1"/>
    <col min="7694" max="7694" width="9.875" style="508" customWidth="1"/>
    <col min="7695" max="7696" width="10" style="508" customWidth="1"/>
    <col min="7697" max="7697" width="6.625" style="508" customWidth="1"/>
    <col min="7698" max="7698" width="6.5" style="508" customWidth="1"/>
    <col min="7699" max="7699" width="9" style="508"/>
    <col min="7700" max="7700" width="8.5" style="508" customWidth="1"/>
    <col min="7701" max="7701" width="6.375" style="508" customWidth="1"/>
    <col min="7702" max="7702" width="5.75" style="508" customWidth="1"/>
    <col min="7703" max="7703" width="12.625" style="508" customWidth="1"/>
    <col min="7704" max="7704" width="8.375" style="508" customWidth="1"/>
    <col min="7705" max="7705" width="24.875" style="508" customWidth="1"/>
    <col min="7706" max="7706" width="9" style="508"/>
    <col min="7707" max="7707" width="37.5" style="508" customWidth="1"/>
    <col min="7708" max="7924" width="9" style="508"/>
    <col min="7925" max="7926" width="3.75" style="508" customWidth="1"/>
    <col min="7927" max="7927" width="3.5" style="508" customWidth="1"/>
    <col min="7928" max="7928" width="3.875" style="508" customWidth="1"/>
    <col min="7929" max="7930" width="7.625" style="508" customWidth="1"/>
    <col min="7931" max="7931" width="6.375" style="508" customWidth="1"/>
    <col min="7932" max="7932" width="6.25" style="508" customWidth="1"/>
    <col min="7933" max="7933" width="6.625" style="508" customWidth="1"/>
    <col min="7934" max="7934" width="4.875" style="508" customWidth="1"/>
    <col min="7935" max="7935" width="4.75" style="508" customWidth="1"/>
    <col min="7936" max="7936" width="6.75" style="508" customWidth="1"/>
    <col min="7937" max="7937" width="0" style="508" hidden="1" customWidth="1"/>
    <col min="7938" max="7938" width="4.375" style="508" customWidth="1"/>
    <col min="7939" max="7939" width="5.625" style="508" customWidth="1"/>
    <col min="7940" max="7940" width="5.375" style="508" customWidth="1"/>
    <col min="7941" max="7941" width="6.875" style="508" customWidth="1"/>
    <col min="7942" max="7942" width="5.125" style="508" customWidth="1"/>
    <col min="7943" max="7943" width="4.75" style="508" customWidth="1"/>
    <col min="7944" max="7944" width="5.625" style="508" customWidth="1"/>
    <col min="7945" max="7945" width="4.875" style="508" customWidth="1"/>
    <col min="7946" max="7946" width="5.25" style="508" customWidth="1"/>
    <col min="7947" max="7947" width="16.25" style="508" customWidth="1"/>
    <col min="7948" max="7948" width="9.25" style="508" customWidth="1"/>
    <col min="7949" max="7949" width="9.5" style="508" bestFit="1" customWidth="1"/>
    <col min="7950" max="7950" width="9.875" style="508" customWidth="1"/>
    <col min="7951" max="7952" width="10" style="508" customWidth="1"/>
    <col min="7953" max="7953" width="6.625" style="508" customWidth="1"/>
    <col min="7954" max="7954" width="6.5" style="508" customWidth="1"/>
    <col min="7955" max="7955" width="9" style="508"/>
    <col min="7956" max="7956" width="8.5" style="508" customWidth="1"/>
    <col min="7957" max="7957" width="6.375" style="508" customWidth="1"/>
    <col min="7958" max="7958" width="5.75" style="508" customWidth="1"/>
    <col min="7959" max="7959" width="12.625" style="508" customWidth="1"/>
    <col min="7960" max="7960" width="8.375" style="508" customWidth="1"/>
    <col min="7961" max="7961" width="24.875" style="508" customWidth="1"/>
    <col min="7962" max="7962" width="9" style="508"/>
    <col min="7963" max="7963" width="37.5" style="508" customWidth="1"/>
    <col min="7964" max="8180" width="9" style="508"/>
    <col min="8181" max="8182" width="3.75" style="508" customWidth="1"/>
    <col min="8183" max="8183" width="3.5" style="508" customWidth="1"/>
    <col min="8184" max="8184" width="3.875" style="508" customWidth="1"/>
    <col min="8185" max="8186" width="7.625" style="508" customWidth="1"/>
    <col min="8187" max="8187" width="6.375" style="508" customWidth="1"/>
    <col min="8188" max="8188" width="6.25" style="508" customWidth="1"/>
    <col min="8189" max="8189" width="6.625" style="508" customWidth="1"/>
    <col min="8190" max="8190" width="4.875" style="508" customWidth="1"/>
    <col min="8191" max="8191" width="4.75" style="508" customWidth="1"/>
    <col min="8192" max="8192" width="6.75" style="508" customWidth="1"/>
    <col min="8193" max="8193" width="0" style="508" hidden="1" customWidth="1"/>
    <col min="8194" max="8194" width="4.375" style="508" customWidth="1"/>
    <col min="8195" max="8195" width="5.625" style="508" customWidth="1"/>
    <col min="8196" max="8196" width="5.375" style="508" customWidth="1"/>
    <col min="8197" max="8197" width="6.875" style="508" customWidth="1"/>
    <col min="8198" max="8198" width="5.125" style="508" customWidth="1"/>
    <col min="8199" max="8199" width="4.75" style="508" customWidth="1"/>
    <col min="8200" max="8200" width="5.625" style="508" customWidth="1"/>
    <col min="8201" max="8201" width="4.875" style="508" customWidth="1"/>
    <col min="8202" max="8202" width="5.25" style="508" customWidth="1"/>
    <col min="8203" max="8203" width="16.25" style="508" customWidth="1"/>
    <col min="8204" max="8204" width="9.25" style="508" customWidth="1"/>
    <col min="8205" max="8205" width="9.5" style="508" bestFit="1" customWidth="1"/>
    <col min="8206" max="8206" width="9.875" style="508" customWidth="1"/>
    <col min="8207" max="8208" width="10" style="508" customWidth="1"/>
    <col min="8209" max="8209" width="6.625" style="508" customWidth="1"/>
    <col min="8210" max="8210" width="6.5" style="508" customWidth="1"/>
    <col min="8211" max="8211" width="9" style="508"/>
    <col min="8212" max="8212" width="8.5" style="508" customWidth="1"/>
    <col min="8213" max="8213" width="6.375" style="508" customWidth="1"/>
    <col min="8214" max="8214" width="5.75" style="508" customWidth="1"/>
    <col min="8215" max="8215" width="12.625" style="508" customWidth="1"/>
    <col min="8216" max="8216" width="8.375" style="508" customWidth="1"/>
    <col min="8217" max="8217" width="24.875" style="508" customWidth="1"/>
    <col min="8218" max="8218" width="9" style="508"/>
    <col min="8219" max="8219" width="37.5" style="508" customWidth="1"/>
    <col min="8220" max="8436" width="9" style="508"/>
    <col min="8437" max="8438" width="3.75" style="508" customWidth="1"/>
    <col min="8439" max="8439" width="3.5" style="508" customWidth="1"/>
    <col min="8440" max="8440" width="3.875" style="508" customWidth="1"/>
    <col min="8441" max="8442" width="7.625" style="508" customWidth="1"/>
    <col min="8443" max="8443" width="6.375" style="508" customWidth="1"/>
    <col min="8444" max="8444" width="6.25" style="508" customWidth="1"/>
    <col min="8445" max="8445" width="6.625" style="508" customWidth="1"/>
    <col min="8446" max="8446" width="4.875" style="508" customWidth="1"/>
    <col min="8447" max="8447" width="4.75" style="508" customWidth="1"/>
    <col min="8448" max="8448" width="6.75" style="508" customWidth="1"/>
    <col min="8449" max="8449" width="0" style="508" hidden="1" customWidth="1"/>
    <col min="8450" max="8450" width="4.375" style="508" customWidth="1"/>
    <col min="8451" max="8451" width="5.625" style="508" customWidth="1"/>
    <col min="8452" max="8452" width="5.375" style="508" customWidth="1"/>
    <col min="8453" max="8453" width="6.875" style="508" customWidth="1"/>
    <col min="8454" max="8454" width="5.125" style="508" customWidth="1"/>
    <col min="8455" max="8455" width="4.75" style="508" customWidth="1"/>
    <col min="8456" max="8456" width="5.625" style="508" customWidth="1"/>
    <col min="8457" max="8457" width="4.875" style="508" customWidth="1"/>
    <col min="8458" max="8458" width="5.25" style="508" customWidth="1"/>
    <col min="8459" max="8459" width="16.25" style="508" customWidth="1"/>
    <col min="8460" max="8460" width="9.25" style="508" customWidth="1"/>
    <col min="8461" max="8461" width="9.5" style="508" bestFit="1" customWidth="1"/>
    <col min="8462" max="8462" width="9.875" style="508" customWidth="1"/>
    <col min="8463" max="8464" width="10" style="508" customWidth="1"/>
    <col min="8465" max="8465" width="6.625" style="508" customWidth="1"/>
    <col min="8466" max="8466" width="6.5" style="508" customWidth="1"/>
    <col min="8467" max="8467" width="9" style="508"/>
    <col min="8468" max="8468" width="8.5" style="508" customWidth="1"/>
    <col min="8469" max="8469" width="6.375" style="508" customWidth="1"/>
    <col min="8470" max="8470" width="5.75" style="508" customWidth="1"/>
    <col min="8471" max="8471" width="12.625" style="508" customWidth="1"/>
    <col min="8472" max="8472" width="8.375" style="508" customWidth="1"/>
    <col min="8473" max="8473" width="24.875" style="508" customWidth="1"/>
    <col min="8474" max="8474" width="9" style="508"/>
    <col min="8475" max="8475" width="37.5" style="508" customWidth="1"/>
    <col min="8476" max="8692" width="9" style="508"/>
    <col min="8693" max="8694" width="3.75" style="508" customWidth="1"/>
    <col min="8695" max="8695" width="3.5" style="508" customWidth="1"/>
    <col min="8696" max="8696" width="3.875" style="508" customWidth="1"/>
    <col min="8697" max="8698" width="7.625" style="508" customWidth="1"/>
    <col min="8699" max="8699" width="6.375" style="508" customWidth="1"/>
    <col min="8700" max="8700" width="6.25" style="508" customWidth="1"/>
    <col min="8701" max="8701" width="6.625" style="508" customWidth="1"/>
    <col min="8702" max="8702" width="4.875" style="508" customWidth="1"/>
    <col min="8703" max="8703" width="4.75" style="508" customWidth="1"/>
    <col min="8704" max="8704" width="6.75" style="508" customWidth="1"/>
    <col min="8705" max="8705" width="0" style="508" hidden="1" customWidth="1"/>
    <col min="8706" max="8706" width="4.375" style="508" customWidth="1"/>
    <col min="8707" max="8707" width="5.625" style="508" customWidth="1"/>
    <col min="8708" max="8708" width="5.375" style="508" customWidth="1"/>
    <col min="8709" max="8709" width="6.875" style="508" customWidth="1"/>
    <col min="8710" max="8710" width="5.125" style="508" customWidth="1"/>
    <col min="8711" max="8711" width="4.75" style="508" customWidth="1"/>
    <col min="8712" max="8712" width="5.625" style="508" customWidth="1"/>
    <col min="8713" max="8713" width="4.875" style="508" customWidth="1"/>
    <col min="8714" max="8714" width="5.25" style="508" customWidth="1"/>
    <col min="8715" max="8715" width="16.25" style="508" customWidth="1"/>
    <col min="8716" max="8716" width="9.25" style="508" customWidth="1"/>
    <col min="8717" max="8717" width="9.5" style="508" bestFit="1" customWidth="1"/>
    <col min="8718" max="8718" width="9.875" style="508" customWidth="1"/>
    <col min="8719" max="8720" width="10" style="508" customWidth="1"/>
    <col min="8721" max="8721" width="6.625" style="508" customWidth="1"/>
    <col min="8722" max="8722" width="6.5" style="508" customWidth="1"/>
    <col min="8723" max="8723" width="9" style="508"/>
    <col min="8724" max="8724" width="8.5" style="508" customWidth="1"/>
    <col min="8725" max="8725" width="6.375" style="508" customWidth="1"/>
    <col min="8726" max="8726" width="5.75" style="508" customWidth="1"/>
    <col min="8727" max="8727" width="12.625" style="508" customWidth="1"/>
    <col min="8728" max="8728" width="8.375" style="508" customWidth="1"/>
    <col min="8729" max="8729" width="24.875" style="508" customWidth="1"/>
    <col min="8730" max="8730" width="9" style="508"/>
    <col min="8731" max="8731" width="37.5" style="508" customWidth="1"/>
    <col min="8732" max="8948" width="9" style="508"/>
    <col min="8949" max="8950" width="3.75" style="508" customWidth="1"/>
    <col min="8951" max="8951" width="3.5" style="508" customWidth="1"/>
    <col min="8952" max="8952" width="3.875" style="508" customWidth="1"/>
    <col min="8953" max="8954" width="7.625" style="508" customWidth="1"/>
    <col min="8955" max="8955" width="6.375" style="508" customWidth="1"/>
    <col min="8956" max="8956" width="6.25" style="508" customWidth="1"/>
    <col min="8957" max="8957" width="6.625" style="508" customWidth="1"/>
    <col min="8958" max="8958" width="4.875" style="508" customWidth="1"/>
    <col min="8959" max="8959" width="4.75" style="508" customWidth="1"/>
    <col min="8960" max="8960" width="6.75" style="508" customWidth="1"/>
    <col min="8961" max="8961" width="0" style="508" hidden="1" customWidth="1"/>
    <col min="8962" max="8962" width="4.375" style="508" customWidth="1"/>
    <col min="8963" max="8963" width="5.625" style="508" customWidth="1"/>
    <col min="8964" max="8964" width="5.375" style="508" customWidth="1"/>
    <col min="8965" max="8965" width="6.875" style="508" customWidth="1"/>
    <col min="8966" max="8966" width="5.125" style="508" customWidth="1"/>
    <col min="8967" max="8967" width="4.75" style="508" customWidth="1"/>
    <col min="8968" max="8968" width="5.625" style="508" customWidth="1"/>
    <col min="8969" max="8969" width="4.875" style="508" customWidth="1"/>
    <col min="8970" max="8970" width="5.25" style="508" customWidth="1"/>
    <col min="8971" max="8971" width="16.25" style="508" customWidth="1"/>
    <col min="8972" max="8972" width="9.25" style="508" customWidth="1"/>
    <col min="8973" max="8973" width="9.5" style="508" bestFit="1" customWidth="1"/>
    <col min="8974" max="8974" width="9.875" style="508" customWidth="1"/>
    <col min="8975" max="8976" width="10" style="508" customWidth="1"/>
    <col min="8977" max="8977" width="6.625" style="508" customWidth="1"/>
    <col min="8978" max="8978" width="6.5" style="508" customWidth="1"/>
    <col min="8979" max="8979" width="9" style="508"/>
    <col min="8980" max="8980" width="8.5" style="508" customWidth="1"/>
    <col min="8981" max="8981" width="6.375" style="508" customWidth="1"/>
    <col min="8982" max="8982" width="5.75" style="508" customWidth="1"/>
    <col min="8983" max="8983" width="12.625" style="508" customWidth="1"/>
    <col min="8984" max="8984" width="8.375" style="508" customWidth="1"/>
    <col min="8985" max="8985" width="24.875" style="508" customWidth="1"/>
    <col min="8986" max="8986" width="9" style="508"/>
    <col min="8987" max="8987" width="37.5" style="508" customWidth="1"/>
    <col min="8988" max="9204" width="9" style="508"/>
    <col min="9205" max="9206" width="3.75" style="508" customWidth="1"/>
    <col min="9207" max="9207" width="3.5" style="508" customWidth="1"/>
    <col min="9208" max="9208" width="3.875" style="508" customWidth="1"/>
    <col min="9209" max="9210" width="7.625" style="508" customWidth="1"/>
    <col min="9211" max="9211" width="6.375" style="508" customWidth="1"/>
    <col min="9212" max="9212" width="6.25" style="508" customWidth="1"/>
    <col min="9213" max="9213" width="6.625" style="508" customWidth="1"/>
    <col min="9214" max="9214" width="4.875" style="508" customWidth="1"/>
    <col min="9215" max="9215" width="4.75" style="508" customWidth="1"/>
    <col min="9216" max="9216" width="6.75" style="508" customWidth="1"/>
    <col min="9217" max="9217" width="0" style="508" hidden="1" customWidth="1"/>
    <col min="9218" max="9218" width="4.375" style="508" customWidth="1"/>
    <col min="9219" max="9219" width="5.625" style="508" customWidth="1"/>
    <col min="9220" max="9220" width="5.375" style="508" customWidth="1"/>
    <col min="9221" max="9221" width="6.875" style="508" customWidth="1"/>
    <col min="9222" max="9222" width="5.125" style="508" customWidth="1"/>
    <col min="9223" max="9223" width="4.75" style="508" customWidth="1"/>
    <col min="9224" max="9224" width="5.625" style="508" customWidth="1"/>
    <col min="9225" max="9225" width="4.875" style="508" customWidth="1"/>
    <col min="9226" max="9226" width="5.25" style="508" customWidth="1"/>
    <col min="9227" max="9227" width="16.25" style="508" customWidth="1"/>
    <col min="9228" max="9228" width="9.25" style="508" customWidth="1"/>
    <col min="9229" max="9229" width="9.5" style="508" bestFit="1" customWidth="1"/>
    <col min="9230" max="9230" width="9.875" style="508" customWidth="1"/>
    <col min="9231" max="9232" width="10" style="508" customWidth="1"/>
    <col min="9233" max="9233" width="6.625" style="508" customWidth="1"/>
    <col min="9234" max="9234" width="6.5" style="508" customWidth="1"/>
    <col min="9235" max="9235" width="9" style="508"/>
    <col min="9236" max="9236" width="8.5" style="508" customWidth="1"/>
    <col min="9237" max="9237" width="6.375" style="508" customWidth="1"/>
    <col min="9238" max="9238" width="5.75" style="508" customWidth="1"/>
    <col min="9239" max="9239" width="12.625" style="508" customWidth="1"/>
    <col min="9240" max="9240" width="8.375" style="508" customWidth="1"/>
    <col min="9241" max="9241" width="24.875" style="508" customWidth="1"/>
    <col min="9242" max="9242" width="9" style="508"/>
    <col min="9243" max="9243" width="37.5" style="508" customWidth="1"/>
    <col min="9244" max="9460" width="9" style="508"/>
    <col min="9461" max="9462" width="3.75" style="508" customWidth="1"/>
    <col min="9463" max="9463" width="3.5" style="508" customWidth="1"/>
    <col min="9464" max="9464" width="3.875" style="508" customWidth="1"/>
    <col min="9465" max="9466" width="7.625" style="508" customWidth="1"/>
    <col min="9467" max="9467" width="6.375" style="508" customWidth="1"/>
    <col min="9468" max="9468" width="6.25" style="508" customWidth="1"/>
    <col min="9469" max="9469" width="6.625" style="508" customWidth="1"/>
    <col min="9470" max="9470" width="4.875" style="508" customWidth="1"/>
    <col min="9471" max="9471" width="4.75" style="508" customWidth="1"/>
    <col min="9472" max="9472" width="6.75" style="508" customWidth="1"/>
    <col min="9473" max="9473" width="0" style="508" hidden="1" customWidth="1"/>
    <col min="9474" max="9474" width="4.375" style="508" customWidth="1"/>
    <col min="9475" max="9475" width="5.625" style="508" customWidth="1"/>
    <col min="9476" max="9476" width="5.375" style="508" customWidth="1"/>
    <col min="9477" max="9477" width="6.875" style="508" customWidth="1"/>
    <col min="9478" max="9478" width="5.125" style="508" customWidth="1"/>
    <col min="9479" max="9479" width="4.75" style="508" customWidth="1"/>
    <col min="9480" max="9480" width="5.625" style="508" customWidth="1"/>
    <col min="9481" max="9481" width="4.875" style="508" customWidth="1"/>
    <col min="9482" max="9482" width="5.25" style="508" customWidth="1"/>
    <col min="9483" max="9483" width="16.25" style="508" customWidth="1"/>
    <col min="9484" max="9484" width="9.25" style="508" customWidth="1"/>
    <col min="9485" max="9485" width="9.5" style="508" bestFit="1" customWidth="1"/>
    <col min="9486" max="9486" width="9.875" style="508" customWidth="1"/>
    <col min="9487" max="9488" width="10" style="508" customWidth="1"/>
    <col min="9489" max="9489" width="6.625" style="508" customWidth="1"/>
    <col min="9490" max="9490" width="6.5" style="508" customWidth="1"/>
    <col min="9491" max="9491" width="9" style="508"/>
    <col min="9492" max="9492" width="8.5" style="508" customWidth="1"/>
    <col min="9493" max="9493" width="6.375" style="508" customWidth="1"/>
    <col min="9494" max="9494" width="5.75" style="508" customWidth="1"/>
    <col min="9495" max="9495" width="12.625" style="508" customWidth="1"/>
    <col min="9496" max="9496" width="8.375" style="508" customWidth="1"/>
    <col min="9497" max="9497" width="24.875" style="508" customWidth="1"/>
    <col min="9498" max="9498" width="9" style="508"/>
    <col min="9499" max="9499" width="37.5" style="508" customWidth="1"/>
    <col min="9500" max="9716" width="9" style="508"/>
    <col min="9717" max="9718" width="3.75" style="508" customWidth="1"/>
    <col min="9719" max="9719" width="3.5" style="508" customWidth="1"/>
    <col min="9720" max="9720" width="3.875" style="508" customWidth="1"/>
    <col min="9721" max="9722" width="7.625" style="508" customWidth="1"/>
    <col min="9723" max="9723" width="6.375" style="508" customWidth="1"/>
    <col min="9724" max="9724" width="6.25" style="508" customWidth="1"/>
    <col min="9725" max="9725" width="6.625" style="508" customWidth="1"/>
    <col min="9726" max="9726" width="4.875" style="508" customWidth="1"/>
    <col min="9727" max="9727" width="4.75" style="508" customWidth="1"/>
    <col min="9728" max="9728" width="6.75" style="508" customWidth="1"/>
    <col min="9729" max="9729" width="0" style="508" hidden="1" customWidth="1"/>
    <col min="9730" max="9730" width="4.375" style="508" customWidth="1"/>
    <col min="9731" max="9731" width="5.625" style="508" customWidth="1"/>
    <col min="9732" max="9732" width="5.375" style="508" customWidth="1"/>
    <col min="9733" max="9733" width="6.875" style="508" customWidth="1"/>
    <col min="9734" max="9734" width="5.125" style="508" customWidth="1"/>
    <col min="9735" max="9735" width="4.75" style="508" customWidth="1"/>
    <col min="9736" max="9736" width="5.625" style="508" customWidth="1"/>
    <col min="9737" max="9737" width="4.875" style="508" customWidth="1"/>
    <col min="9738" max="9738" width="5.25" style="508" customWidth="1"/>
    <col min="9739" max="9739" width="16.25" style="508" customWidth="1"/>
    <col min="9740" max="9740" width="9.25" style="508" customWidth="1"/>
    <col min="9741" max="9741" width="9.5" style="508" bestFit="1" customWidth="1"/>
    <col min="9742" max="9742" width="9.875" style="508" customWidth="1"/>
    <col min="9743" max="9744" width="10" style="508" customWidth="1"/>
    <col min="9745" max="9745" width="6.625" style="508" customWidth="1"/>
    <col min="9746" max="9746" width="6.5" style="508" customWidth="1"/>
    <col min="9747" max="9747" width="9" style="508"/>
    <col min="9748" max="9748" width="8.5" style="508" customWidth="1"/>
    <col min="9749" max="9749" width="6.375" style="508" customWidth="1"/>
    <col min="9750" max="9750" width="5.75" style="508" customWidth="1"/>
    <col min="9751" max="9751" width="12.625" style="508" customWidth="1"/>
    <col min="9752" max="9752" width="8.375" style="508" customWidth="1"/>
    <col min="9753" max="9753" width="24.875" style="508" customWidth="1"/>
    <col min="9754" max="9754" width="9" style="508"/>
    <col min="9755" max="9755" width="37.5" style="508" customWidth="1"/>
    <col min="9756" max="9972" width="9" style="508"/>
    <col min="9973" max="9974" width="3.75" style="508" customWidth="1"/>
    <col min="9975" max="9975" width="3.5" style="508" customWidth="1"/>
    <col min="9976" max="9976" width="3.875" style="508" customWidth="1"/>
    <col min="9977" max="9978" width="7.625" style="508" customWidth="1"/>
    <col min="9979" max="9979" width="6.375" style="508" customWidth="1"/>
    <col min="9980" max="9980" width="6.25" style="508" customWidth="1"/>
    <col min="9981" max="9981" width="6.625" style="508" customWidth="1"/>
    <col min="9982" max="9982" width="4.875" style="508" customWidth="1"/>
    <col min="9983" max="9983" width="4.75" style="508" customWidth="1"/>
    <col min="9984" max="9984" width="6.75" style="508" customWidth="1"/>
    <col min="9985" max="9985" width="0" style="508" hidden="1" customWidth="1"/>
    <col min="9986" max="9986" width="4.375" style="508" customWidth="1"/>
    <col min="9987" max="9987" width="5.625" style="508" customWidth="1"/>
    <col min="9988" max="9988" width="5.375" style="508" customWidth="1"/>
    <col min="9989" max="9989" width="6.875" style="508" customWidth="1"/>
    <col min="9990" max="9990" width="5.125" style="508" customWidth="1"/>
    <col min="9991" max="9991" width="4.75" style="508" customWidth="1"/>
    <col min="9992" max="9992" width="5.625" style="508" customWidth="1"/>
    <col min="9993" max="9993" width="4.875" style="508" customWidth="1"/>
    <col min="9994" max="9994" width="5.25" style="508" customWidth="1"/>
    <col min="9995" max="9995" width="16.25" style="508" customWidth="1"/>
    <col min="9996" max="9996" width="9.25" style="508" customWidth="1"/>
    <col min="9997" max="9997" width="9.5" style="508" bestFit="1" customWidth="1"/>
    <col min="9998" max="9998" width="9.875" style="508" customWidth="1"/>
    <col min="9999" max="10000" width="10" style="508" customWidth="1"/>
    <col min="10001" max="10001" width="6.625" style="508" customWidth="1"/>
    <col min="10002" max="10002" width="6.5" style="508" customWidth="1"/>
    <col min="10003" max="10003" width="9" style="508"/>
    <col min="10004" max="10004" width="8.5" style="508" customWidth="1"/>
    <col min="10005" max="10005" width="6.375" style="508" customWidth="1"/>
    <col min="10006" max="10006" width="5.75" style="508" customWidth="1"/>
    <col min="10007" max="10007" width="12.625" style="508" customWidth="1"/>
    <col min="10008" max="10008" width="8.375" style="508" customWidth="1"/>
    <col min="10009" max="10009" width="24.875" style="508" customWidth="1"/>
    <col min="10010" max="10010" width="9" style="508"/>
    <col min="10011" max="10011" width="37.5" style="508" customWidth="1"/>
    <col min="10012" max="10228" width="9" style="508"/>
    <col min="10229" max="10230" width="3.75" style="508" customWidth="1"/>
    <col min="10231" max="10231" width="3.5" style="508" customWidth="1"/>
    <col min="10232" max="10232" width="3.875" style="508" customWidth="1"/>
    <col min="10233" max="10234" width="7.625" style="508" customWidth="1"/>
    <col min="10235" max="10235" width="6.375" style="508" customWidth="1"/>
    <col min="10236" max="10236" width="6.25" style="508" customWidth="1"/>
    <col min="10237" max="10237" width="6.625" style="508" customWidth="1"/>
    <col min="10238" max="10238" width="4.875" style="508" customWidth="1"/>
    <col min="10239" max="10239" width="4.75" style="508" customWidth="1"/>
    <col min="10240" max="10240" width="6.75" style="508" customWidth="1"/>
    <col min="10241" max="10241" width="0" style="508" hidden="1" customWidth="1"/>
    <col min="10242" max="10242" width="4.375" style="508" customWidth="1"/>
    <col min="10243" max="10243" width="5.625" style="508" customWidth="1"/>
    <col min="10244" max="10244" width="5.375" style="508" customWidth="1"/>
    <col min="10245" max="10245" width="6.875" style="508" customWidth="1"/>
    <col min="10246" max="10246" width="5.125" style="508" customWidth="1"/>
    <col min="10247" max="10247" width="4.75" style="508" customWidth="1"/>
    <col min="10248" max="10248" width="5.625" style="508" customWidth="1"/>
    <col min="10249" max="10249" width="4.875" style="508" customWidth="1"/>
    <col min="10250" max="10250" width="5.25" style="508" customWidth="1"/>
    <col min="10251" max="10251" width="16.25" style="508" customWidth="1"/>
    <col min="10252" max="10252" width="9.25" style="508" customWidth="1"/>
    <col min="10253" max="10253" width="9.5" style="508" bestFit="1" customWidth="1"/>
    <col min="10254" max="10254" width="9.875" style="508" customWidth="1"/>
    <col min="10255" max="10256" width="10" style="508" customWidth="1"/>
    <col min="10257" max="10257" width="6.625" style="508" customWidth="1"/>
    <col min="10258" max="10258" width="6.5" style="508" customWidth="1"/>
    <col min="10259" max="10259" width="9" style="508"/>
    <col min="10260" max="10260" width="8.5" style="508" customWidth="1"/>
    <col min="10261" max="10261" width="6.375" style="508" customWidth="1"/>
    <col min="10262" max="10262" width="5.75" style="508" customWidth="1"/>
    <col min="10263" max="10263" width="12.625" style="508" customWidth="1"/>
    <col min="10264" max="10264" width="8.375" style="508" customWidth="1"/>
    <col min="10265" max="10265" width="24.875" style="508" customWidth="1"/>
    <col min="10266" max="10266" width="9" style="508"/>
    <col min="10267" max="10267" width="37.5" style="508" customWidth="1"/>
    <col min="10268" max="10484" width="9" style="508"/>
    <col min="10485" max="10486" width="3.75" style="508" customWidth="1"/>
    <col min="10487" max="10487" width="3.5" style="508" customWidth="1"/>
    <col min="10488" max="10488" width="3.875" style="508" customWidth="1"/>
    <col min="10489" max="10490" width="7.625" style="508" customWidth="1"/>
    <col min="10491" max="10491" width="6.375" style="508" customWidth="1"/>
    <col min="10492" max="10492" width="6.25" style="508" customWidth="1"/>
    <col min="10493" max="10493" width="6.625" style="508" customWidth="1"/>
    <col min="10494" max="10494" width="4.875" style="508" customWidth="1"/>
    <col min="10495" max="10495" width="4.75" style="508" customWidth="1"/>
    <col min="10496" max="10496" width="6.75" style="508" customWidth="1"/>
    <col min="10497" max="10497" width="0" style="508" hidden="1" customWidth="1"/>
    <col min="10498" max="10498" width="4.375" style="508" customWidth="1"/>
    <col min="10499" max="10499" width="5.625" style="508" customWidth="1"/>
    <col min="10500" max="10500" width="5.375" style="508" customWidth="1"/>
    <col min="10501" max="10501" width="6.875" style="508" customWidth="1"/>
    <col min="10502" max="10502" width="5.125" style="508" customWidth="1"/>
    <col min="10503" max="10503" width="4.75" style="508" customWidth="1"/>
    <col min="10504" max="10504" width="5.625" style="508" customWidth="1"/>
    <col min="10505" max="10505" width="4.875" style="508" customWidth="1"/>
    <col min="10506" max="10506" width="5.25" style="508" customWidth="1"/>
    <col min="10507" max="10507" width="16.25" style="508" customWidth="1"/>
    <col min="10508" max="10508" width="9.25" style="508" customWidth="1"/>
    <col min="10509" max="10509" width="9.5" style="508" bestFit="1" customWidth="1"/>
    <col min="10510" max="10510" width="9.875" style="508" customWidth="1"/>
    <col min="10511" max="10512" width="10" style="508" customWidth="1"/>
    <col min="10513" max="10513" width="6.625" style="508" customWidth="1"/>
    <col min="10514" max="10514" width="6.5" style="508" customWidth="1"/>
    <col min="10515" max="10515" width="9" style="508"/>
    <col min="10516" max="10516" width="8.5" style="508" customWidth="1"/>
    <col min="10517" max="10517" width="6.375" style="508" customWidth="1"/>
    <col min="10518" max="10518" width="5.75" style="508" customWidth="1"/>
    <col min="10519" max="10519" width="12.625" style="508" customWidth="1"/>
    <col min="10520" max="10520" width="8.375" style="508" customWidth="1"/>
    <col min="10521" max="10521" width="24.875" style="508" customWidth="1"/>
    <col min="10522" max="10522" width="9" style="508"/>
    <col min="10523" max="10523" width="37.5" style="508" customWidth="1"/>
    <col min="10524" max="10740" width="9" style="508"/>
    <col min="10741" max="10742" width="3.75" style="508" customWidth="1"/>
    <col min="10743" max="10743" width="3.5" style="508" customWidth="1"/>
    <col min="10744" max="10744" width="3.875" style="508" customWidth="1"/>
    <col min="10745" max="10746" width="7.625" style="508" customWidth="1"/>
    <col min="10747" max="10747" width="6.375" style="508" customWidth="1"/>
    <col min="10748" max="10748" width="6.25" style="508" customWidth="1"/>
    <col min="10749" max="10749" width="6.625" style="508" customWidth="1"/>
    <col min="10750" max="10750" width="4.875" style="508" customWidth="1"/>
    <col min="10751" max="10751" width="4.75" style="508" customWidth="1"/>
    <col min="10752" max="10752" width="6.75" style="508" customWidth="1"/>
    <col min="10753" max="10753" width="0" style="508" hidden="1" customWidth="1"/>
    <col min="10754" max="10754" width="4.375" style="508" customWidth="1"/>
    <col min="10755" max="10755" width="5.625" style="508" customWidth="1"/>
    <col min="10756" max="10756" width="5.375" style="508" customWidth="1"/>
    <col min="10757" max="10757" width="6.875" style="508" customWidth="1"/>
    <col min="10758" max="10758" width="5.125" style="508" customWidth="1"/>
    <col min="10759" max="10759" width="4.75" style="508" customWidth="1"/>
    <col min="10760" max="10760" width="5.625" style="508" customWidth="1"/>
    <col min="10761" max="10761" width="4.875" style="508" customWidth="1"/>
    <col min="10762" max="10762" width="5.25" style="508" customWidth="1"/>
    <col min="10763" max="10763" width="16.25" style="508" customWidth="1"/>
    <col min="10764" max="10764" width="9.25" style="508" customWidth="1"/>
    <col min="10765" max="10765" width="9.5" style="508" bestFit="1" customWidth="1"/>
    <col min="10766" max="10766" width="9.875" style="508" customWidth="1"/>
    <col min="10767" max="10768" width="10" style="508" customWidth="1"/>
    <col min="10769" max="10769" width="6.625" style="508" customWidth="1"/>
    <col min="10770" max="10770" width="6.5" style="508" customWidth="1"/>
    <col min="10771" max="10771" width="9" style="508"/>
    <col min="10772" max="10772" width="8.5" style="508" customWidth="1"/>
    <col min="10773" max="10773" width="6.375" style="508" customWidth="1"/>
    <col min="10774" max="10774" width="5.75" style="508" customWidth="1"/>
    <col min="10775" max="10775" width="12.625" style="508" customWidth="1"/>
    <col min="10776" max="10776" width="8.375" style="508" customWidth="1"/>
    <col min="10777" max="10777" width="24.875" style="508" customWidth="1"/>
    <col min="10778" max="10778" width="9" style="508"/>
    <col min="10779" max="10779" width="37.5" style="508" customWidth="1"/>
    <col min="10780" max="10996" width="9" style="508"/>
    <col min="10997" max="10998" width="3.75" style="508" customWidth="1"/>
    <col min="10999" max="10999" width="3.5" style="508" customWidth="1"/>
    <col min="11000" max="11000" width="3.875" style="508" customWidth="1"/>
    <col min="11001" max="11002" width="7.625" style="508" customWidth="1"/>
    <col min="11003" max="11003" width="6.375" style="508" customWidth="1"/>
    <col min="11004" max="11004" width="6.25" style="508" customWidth="1"/>
    <col min="11005" max="11005" width="6.625" style="508" customWidth="1"/>
    <col min="11006" max="11006" width="4.875" style="508" customWidth="1"/>
    <col min="11007" max="11007" width="4.75" style="508" customWidth="1"/>
    <col min="11008" max="11008" width="6.75" style="508" customWidth="1"/>
    <col min="11009" max="11009" width="0" style="508" hidden="1" customWidth="1"/>
    <col min="11010" max="11010" width="4.375" style="508" customWidth="1"/>
    <col min="11011" max="11011" width="5.625" style="508" customWidth="1"/>
    <col min="11012" max="11012" width="5.375" style="508" customWidth="1"/>
    <col min="11013" max="11013" width="6.875" style="508" customWidth="1"/>
    <col min="11014" max="11014" width="5.125" style="508" customWidth="1"/>
    <col min="11015" max="11015" width="4.75" style="508" customWidth="1"/>
    <col min="11016" max="11016" width="5.625" style="508" customWidth="1"/>
    <col min="11017" max="11017" width="4.875" style="508" customWidth="1"/>
    <col min="11018" max="11018" width="5.25" style="508" customWidth="1"/>
    <col min="11019" max="11019" width="16.25" style="508" customWidth="1"/>
    <col min="11020" max="11020" width="9.25" style="508" customWidth="1"/>
    <col min="11021" max="11021" width="9.5" style="508" bestFit="1" customWidth="1"/>
    <col min="11022" max="11022" width="9.875" style="508" customWidth="1"/>
    <col min="11023" max="11024" width="10" style="508" customWidth="1"/>
    <col min="11025" max="11025" width="6.625" style="508" customWidth="1"/>
    <col min="11026" max="11026" width="6.5" style="508" customWidth="1"/>
    <col min="11027" max="11027" width="9" style="508"/>
    <col min="11028" max="11028" width="8.5" style="508" customWidth="1"/>
    <col min="11029" max="11029" width="6.375" style="508" customWidth="1"/>
    <col min="11030" max="11030" width="5.75" style="508" customWidth="1"/>
    <col min="11031" max="11031" width="12.625" style="508" customWidth="1"/>
    <col min="11032" max="11032" width="8.375" style="508" customWidth="1"/>
    <col min="11033" max="11033" width="24.875" style="508" customWidth="1"/>
    <col min="11034" max="11034" width="9" style="508"/>
    <col min="11035" max="11035" width="37.5" style="508" customWidth="1"/>
    <col min="11036" max="11252" width="9" style="508"/>
    <col min="11253" max="11254" width="3.75" style="508" customWidth="1"/>
    <col min="11255" max="11255" width="3.5" style="508" customWidth="1"/>
    <col min="11256" max="11256" width="3.875" style="508" customWidth="1"/>
    <col min="11257" max="11258" width="7.625" style="508" customWidth="1"/>
    <col min="11259" max="11259" width="6.375" style="508" customWidth="1"/>
    <col min="11260" max="11260" width="6.25" style="508" customWidth="1"/>
    <col min="11261" max="11261" width="6.625" style="508" customWidth="1"/>
    <col min="11262" max="11262" width="4.875" style="508" customWidth="1"/>
    <col min="11263" max="11263" width="4.75" style="508" customWidth="1"/>
    <col min="11264" max="11264" width="6.75" style="508" customWidth="1"/>
    <col min="11265" max="11265" width="0" style="508" hidden="1" customWidth="1"/>
    <col min="11266" max="11266" width="4.375" style="508" customWidth="1"/>
    <col min="11267" max="11267" width="5.625" style="508" customWidth="1"/>
    <col min="11268" max="11268" width="5.375" style="508" customWidth="1"/>
    <col min="11269" max="11269" width="6.875" style="508" customWidth="1"/>
    <col min="11270" max="11270" width="5.125" style="508" customWidth="1"/>
    <col min="11271" max="11271" width="4.75" style="508" customWidth="1"/>
    <col min="11272" max="11272" width="5.625" style="508" customWidth="1"/>
    <col min="11273" max="11273" width="4.875" style="508" customWidth="1"/>
    <col min="11274" max="11274" width="5.25" style="508" customWidth="1"/>
    <col min="11275" max="11275" width="16.25" style="508" customWidth="1"/>
    <col min="11276" max="11276" width="9.25" style="508" customWidth="1"/>
    <col min="11277" max="11277" width="9.5" style="508" bestFit="1" customWidth="1"/>
    <col min="11278" max="11278" width="9.875" style="508" customWidth="1"/>
    <col min="11279" max="11280" width="10" style="508" customWidth="1"/>
    <col min="11281" max="11281" width="6.625" style="508" customWidth="1"/>
    <col min="11282" max="11282" width="6.5" style="508" customWidth="1"/>
    <col min="11283" max="11283" width="9" style="508"/>
    <col min="11284" max="11284" width="8.5" style="508" customWidth="1"/>
    <col min="11285" max="11285" width="6.375" style="508" customWidth="1"/>
    <col min="11286" max="11286" width="5.75" style="508" customWidth="1"/>
    <col min="11287" max="11287" width="12.625" style="508" customWidth="1"/>
    <col min="11288" max="11288" width="8.375" style="508" customWidth="1"/>
    <col min="11289" max="11289" width="24.875" style="508" customWidth="1"/>
    <col min="11290" max="11290" width="9" style="508"/>
    <col min="11291" max="11291" width="37.5" style="508" customWidth="1"/>
    <col min="11292" max="11508" width="9" style="508"/>
    <col min="11509" max="11510" width="3.75" style="508" customWidth="1"/>
    <col min="11511" max="11511" width="3.5" style="508" customWidth="1"/>
    <col min="11512" max="11512" width="3.875" style="508" customWidth="1"/>
    <col min="11513" max="11514" width="7.625" style="508" customWidth="1"/>
    <col min="11515" max="11515" width="6.375" style="508" customWidth="1"/>
    <col min="11516" max="11516" width="6.25" style="508" customWidth="1"/>
    <col min="11517" max="11517" width="6.625" style="508" customWidth="1"/>
    <col min="11518" max="11518" width="4.875" style="508" customWidth="1"/>
    <col min="11519" max="11519" width="4.75" style="508" customWidth="1"/>
    <col min="11520" max="11520" width="6.75" style="508" customWidth="1"/>
    <col min="11521" max="11521" width="0" style="508" hidden="1" customWidth="1"/>
    <col min="11522" max="11522" width="4.375" style="508" customWidth="1"/>
    <col min="11523" max="11523" width="5.625" style="508" customWidth="1"/>
    <col min="11524" max="11524" width="5.375" style="508" customWidth="1"/>
    <col min="11525" max="11525" width="6.875" style="508" customWidth="1"/>
    <col min="11526" max="11526" width="5.125" style="508" customWidth="1"/>
    <col min="11527" max="11527" width="4.75" style="508" customWidth="1"/>
    <col min="11528" max="11528" width="5.625" style="508" customWidth="1"/>
    <col min="11529" max="11529" width="4.875" style="508" customWidth="1"/>
    <col min="11530" max="11530" width="5.25" style="508" customWidth="1"/>
    <col min="11531" max="11531" width="16.25" style="508" customWidth="1"/>
    <col min="11532" max="11532" width="9.25" style="508" customWidth="1"/>
    <col min="11533" max="11533" width="9.5" style="508" bestFit="1" customWidth="1"/>
    <col min="11534" max="11534" width="9.875" style="508" customWidth="1"/>
    <col min="11535" max="11536" width="10" style="508" customWidth="1"/>
    <col min="11537" max="11537" width="6.625" style="508" customWidth="1"/>
    <col min="11538" max="11538" width="6.5" style="508" customWidth="1"/>
    <col min="11539" max="11539" width="9" style="508"/>
    <col min="11540" max="11540" width="8.5" style="508" customWidth="1"/>
    <col min="11541" max="11541" width="6.375" style="508" customWidth="1"/>
    <col min="11542" max="11542" width="5.75" style="508" customWidth="1"/>
    <col min="11543" max="11543" width="12.625" style="508" customWidth="1"/>
    <col min="11544" max="11544" width="8.375" style="508" customWidth="1"/>
    <col min="11545" max="11545" width="24.875" style="508" customWidth="1"/>
    <col min="11546" max="11546" width="9" style="508"/>
    <col min="11547" max="11547" width="37.5" style="508" customWidth="1"/>
    <col min="11548" max="11764" width="9" style="508"/>
    <col min="11765" max="11766" width="3.75" style="508" customWidth="1"/>
    <col min="11767" max="11767" width="3.5" style="508" customWidth="1"/>
    <col min="11768" max="11768" width="3.875" style="508" customWidth="1"/>
    <col min="11769" max="11770" width="7.625" style="508" customWidth="1"/>
    <col min="11771" max="11771" width="6.375" style="508" customWidth="1"/>
    <col min="11772" max="11772" width="6.25" style="508" customWidth="1"/>
    <col min="11773" max="11773" width="6.625" style="508" customWidth="1"/>
    <col min="11774" max="11774" width="4.875" style="508" customWidth="1"/>
    <col min="11775" max="11775" width="4.75" style="508" customWidth="1"/>
    <col min="11776" max="11776" width="6.75" style="508" customWidth="1"/>
    <col min="11777" max="11777" width="0" style="508" hidden="1" customWidth="1"/>
    <col min="11778" max="11778" width="4.375" style="508" customWidth="1"/>
    <col min="11779" max="11779" width="5.625" style="508" customWidth="1"/>
    <col min="11780" max="11780" width="5.375" style="508" customWidth="1"/>
    <col min="11781" max="11781" width="6.875" style="508" customWidth="1"/>
    <col min="11782" max="11782" width="5.125" style="508" customWidth="1"/>
    <col min="11783" max="11783" width="4.75" style="508" customWidth="1"/>
    <col min="11784" max="11784" width="5.625" style="508" customWidth="1"/>
    <col min="11785" max="11785" width="4.875" style="508" customWidth="1"/>
    <col min="11786" max="11786" width="5.25" style="508" customWidth="1"/>
    <col min="11787" max="11787" width="16.25" style="508" customWidth="1"/>
    <col min="11788" max="11788" width="9.25" style="508" customWidth="1"/>
    <col min="11789" max="11789" width="9.5" style="508" bestFit="1" customWidth="1"/>
    <col min="11790" max="11790" width="9.875" style="508" customWidth="1"/>
    <col min="11791" max="11792" width="10" style="508" customWidth="1"/>
    <col min="11793" max="11793" width="6.625" style="508" customWidth="1"/>
    <col min="11794" max="11794" width="6.5" style="508" customWidth="1"/>
    <col min="11795" max="11795" width="9" style="508"/>
    <col min="11796" max="11796" width="8.5" style="508" customWidth="1"/>
    <col min="11797" max="11797" width="6.375" style="508" customWidth="1"/>
    <col min="11798" max="11798" width="5.75" style="508" customWidth="1"/>
    <col min="11799" max="11799" width="12.625" style="508" customWidth="1"/>
    <col min="11800" max="11800" width="8.375" style="508" customWidth="1"/>
    <col min="11801" max="11801" width="24.875" style="508" customWidth="1"/>
    <col min="11802" max="11802" width="9" style="508"/>
    <col min="11803" max="11803" width="37.5" style="508" customWidth="1"/>
    <col min="11804" max="12020" width="9" style="508"/>
    <col min="12021" max="12022" width="3.75" style="508" customWidth="1"/>
    <col min="12023" max="12023" width="3.5" style="508" customWidth="1"/>
    <col min="12024" max="12024" width="3.875" style="508" customWidth="1"/>
    <col min="12025" max="12026" width="7.625" style="508" customWidth="1"/>
    <col min="12027" max="12027" width="6.375" style="508" customWidth="1"/>
    <col min="12028" max="12028" width="6.25" style="508" customWidth="1"/>
    <col min="12029" max="12029" width="6.625" style="508" customWidth="1"/>
    <col min="12030" max="12030" width="4.875" style="508" customWidth="1"/>
    <col min="12031" max="12031" width="4.75" style="508" customWidth="1"/>
    <col min="12032" max="12032" width="6.75" style="508" customWidth="1"/>
    <col min="12033" max="12033" width="0" style="508" hidden="1" customWidth="1"/>
    <col min="12034" max="12034" width="4.375" style="508" customWidth="1"/>
    <col min="12035" max="12035" width="5.625" style="508" customWidth="1"/>
    <col min="12036" max="12036" width="5.375" style="508" customWidth="1"/>
    <col min="12037" max="12037" width="6.875" style="508" customWidth="1"/>
    <col min="12038" max="12038" width="5.125" style="508" customWidth="1"/>
    <col min="12039" max="12039" width="4.75" style="508" customWidth="1"/>
    <col min="12040" max="12040" width="5.625" style="508" customWidth="1"/>
    <col min="12041" max="12041" width="4.875" style="508" customWidth="1"/>
    <col min="12042" max="12042" width="5.25" style="508" customWidth="1"/>
    <col min="12043" max="12043" width="16.25" style="508" customWidth="1"/>
    <col min="12044" max="12044" width="9.25" style="508" customWidth="1"/>
    <col min="12045" max="12045" width="9.5" style="508" bestFit="1" customWidth="1"/>
    <col min="12046" max="12046" width="9.875" style="508" customWidth="1"/>
    <col min="12047" max="12048" width="10" style="508" customWidth="1"/>
    <col min="12049" max="12049" width="6.625" style="508" customWidth="1"/>
    <col min="12050" max="12050" width="6.5" style="508" customWidth="1"/>
    <col min="12051" max="12051" width="9" style="508"/>
    <col min="12052" max="12052" width="8.5" style="508" customWidth="1"/>
    <col min="12053" max="12053" width="6.375" style="508" customWidth="1"/>
    <col min="12054" max="12054" width="5.75" style="508" customWidth="1"/>
    <col min="12055" max="12055" width="12.625" style="508" customWidth="1"/>
    <col min="12056" max="12056" width="8.375" style="508" customWidth="1"/>
    <col min="12057" max="12057" width="24.875" style="508" customWidth="1"/>
    <col min="12058" max="12058" width="9" style="508"/>
    <col min="12059" max="12059" width="37.5" style="508" customWidth="1"/>
    <col min="12060" max="12276" width="9" style="508"/>
    <col min="12277" max="12278" width="3.75" style="508" customWidth="1"/>
    <col min="12279" max="12279" width="3.5" style="508" customWidth="1"/>
    <col min="12280" max="12280" width="3.875" style="508" customWidth="1"/>
    <col min="12281" max="12282" width="7.625" style="508" customWidth="1"/>
    <col min="12283" max="12283" width="6.375" style="508" customWidth="1"/>
    <col min="12284" max="12284" width="6.25" style="508" customWidth="1"/>
    <col min="12285" max="12285" width="6.625" style="508" customWidth="1"/>
    <col min="12286" max="12286" width="4.875" style="508" customWidth="1"/>
    <col min="12287" max="12287" width="4.75" style="508" customWidth="1"/>
    <col min="12288" max="12288" width="6.75" style="508" customWidth="1"/>
    <col min="12289" max="12289" width="0" style="508" hidden="1" customWidth="1"/>
    <col min="12290" max="12290" width="4.375" style="508" customWidth="1"/>
    <col min="12291" max="12291" width="5.625" style="508" customWidth="1"/>
    <col min="12292" max="12292" width="5.375" style="508" customWidth="1"/>
    <col min="12293" max="12293" width="6.875" style="508" customWidth="1"/>
    <col min="12294" max="12294" width="5.125" style="508" customWidth="1"/>
    <col min="12295" max="12295" width="4.75" style="508" customWidth="1"/>
    <col min="12296" max="12296" width="5.625" style="508" customWidth="1"/>
    <col min="12297" max="12297" width="4.875" style="508" customWidth="1"/>
    <col min="12298" max="12298" width="5.25" style="508" customWidth="1"/>
    <col min="12299" max="12299" width="16.25" style="508" customWidth="1"/>
    <col min="12300" max="12300" width="9.25" style="508" customWidth="1"/>
    <col min="12301" max="12301" width="9.5" style="508" bestFit="1" customWidth="1"/>
    <col min="12302" max="12302" width="9.875" style="508" customWidth="1"/>
    <col min="12303" max="12304" width="10" style="508" customWidth="1"/>
    <col min="12305" max="12305" width="6.625" style="508" customWidth="1"/>
    <col min="12306" max="12306" width="6.5" style="508" customWidth="1"/>
    <col min="12307" max="12307" width="9" style="508"/>
    <col min="12308" max="12308" width="8.5" style="508" customWidth="1"/>
    <col min="12309" max="12309" width="6.375" style="508" customWidth="1"/>
    <col min="12310" max="12310" width="5.75" style="508" customWidth="1"/>
    <col min="12311" max="12311" width="12.625" style="508" customWidth="1"/>
    <col min="12312" max="12312" width="8.375" style="508" customWidth="1"/>
    <col min="12313" max="12313" width="24.875" style="508" customWidth="1"/>
    <col min="12314" max="12314" width="9" style="508"/>
    <col min="12315" max="12315" width="37.5" style="508" customWidth="1"/>
    <col min="12316" max="12532" width="9" style="508"/>
    <col min="12533" max="12534" width="3.75" style="508" customWidth="1"/>
    <col min="12535" max="12535" width="3.5" style="508" customWidth="1"/>
    <col min="12536" max="12536" width="3.875" style="508" customWidth="1"/>
    <col min="12537" max="12538" width="7.625" style="508" customWidth="1"/>
    <col min="12539" max="12539" width="6.375" style="508" customWidth="1"/>
    <col min="12540" max="12540" width="6.25" style="508" customWidth="1"/>
    <col min="12541" max="12541" width="6.625" style="508" customWidth="1"/>
    <col min="12542" max="12542" width="4.875" style="508" customWidth="1"/>
    <col min="12543" max="12543" width="4.75" style="508" customWidth="1"/>
    <col min="12544" max="12544" width="6.75" style="508" customWidth="1"/>
    <col min="12545" max="12545" width="0" style="508" hidden="1" customWidth="1"/>
    <col min="12546" max="12546" width="4.375" style="508" customWidth="1"/>
    <col min="12547" max="12547" width="5.625" style="508" customWidth="1"/>
    <col min="12548" max="12548" width="5.375" style="508" customWidth="1"/>
    <col min="12549" max="12549" width="6.875" style="508" customWidth="1"/>
    <col min="12550" max="12550" width="5.125" style="508" customWidth="1"/>
    <col min="12551" max="12551" width="4.75" style="508" customWidth="1"/>
    <col min="12552" max="12552" width="5.625" style="508" customWidth="1"/>
    <col min="12553" max="12553" width="4.875" style="508" customWidth="1"/>
    <col min="12554" max="12554" width="5.25" style="508" customWidth="1"/>
    <col min="12555" max="12555" width="16.25" style="508" customWidth="1"/>
    <col min="12556" max="12556" width="9.25" style="508" customWidth="1"/>
    <col min="12557" max="12557" width="9.5" style="508" bestFit="1" customWidth="1"/>
    <col min="12558" max="12558" width="9.875" style="508" customWidth="1"/>
    <col min="12559" max="12560" width="10" style="508" customWidth="1"/>
    <col min="12561" max="12561" width="6.625" style="508" customWidth="1"/>
    <col min="12562" max="12562" width="6.5" style="508" customWidth="1"/>
    <col min="12563" max="12563" width="9" style="508"/>
    <col min="12564" max="12564" width="8.5" style="508" customWidth="1"/>
    <col min="12565" max="12565" width="6.375" style="508" customWidth="1"/>
    <col min="12566" max="12566" width="5.75" style="508" customWidth="1"/>
    <col min="12567" max="12567" width="12.625" style="508" customWidth="1"/>
    <col min="12568" max="12568" width="8.375" style="508" customWidth="1"/>
    <col min="12569" max="12569" width="24.875" style="508" customWidth="1"/>
    <col min="12570" max="12570" width="9" style="508"/>
    <col min="12571" max="12571" width="37.5" style="508" customWidth="1"/>
    <col min="12572" max="12788" width="9" style="508"/>
    <col min="12789" max="12790" width="3.75" style="508" customWidth="1"/>
    <col min="12791" max="12791" width="3.5" style="508" customWidth="1"/>
    <col min="12792" max="12792" width="3.875" style="508" customWidth="1"/>
    <col min="12793" max="12794" width="7.625" style="508" customWidth="1"/>
    <col min="12795" max="12795" width="6.375" style="508" customWidth="1"/>
    <col min="12796" max="12796" width="6.25" style="508" customWidth="1"/>
    <col min="12797" max="12797" width="6.625" style="508" customWidth="1"/>
    <col min="12798" max="12798" width="4.875" style="508" customWidth="1"/>
    <col min="12799" max="12799" width="4.75" style="508" customWidth="1"/>
    <col min="12800" max="12800" width="6.75" style="508" customWidth="1"/>
    <col min="12801" max="12801" width="0" style="508" hidden="1" customWidth="1"/>
    <col min="12802" max="12802" width="4.375" style="508" customWidth="1"/>
    <col min="12803" max="12803" width="5.625" style="508" customWidth="1"/>
    <col min="12804" max="12804" width="5.375" style="508" customWidth="1"/>
    <col min="12805" max="12805" width="6.875" style="508" customWidth="1"/>
    <col min="12806" max="12806" width="5.125" style="508" customWidth="1"/>
    <col min="12807" max="12807" width="4.75" style="508" customWidth="1"/>
    <col min="12808" max="12808" width="5.625" style="508" customWidth="1"/>
    <col min="12809" max="12809" width="4.875" style="508" customWidth="1"/>
    <col min="12810" max="12810" width="5.25" style="508" customWidth="1"/>
    <col min="12811" max="12811" width="16.25" style="508" customWidth="1"/>
    <col min="12812" max="12812" width="9.25" style="508" customWidth="1"/>
    <col min="12813" max="12813" width="9.5" style="508" bestFit="1" customWidth="1"/>
    <col min="12814" max="12814" width="9.875" style="508" customWidth="1"/>
    <col min="12815" max="12816" width="10" style="508" customWidth="1"/>
    <col min="12817" max="12817" width="6.625" style="508" customWidth="1"/>
    <col min="12818" max="12818" width="6.5" style="508" customWidth="1"/>
    <col min="12819" max="12819" width="9" style="508"/>
    <col min="12820" max="12820" width="8.5" style="508" customWidth="1"/>
    <col min="12821" max="12821" width="6.375" style="508" customWidth="1"/>
    <col min="12822" max="12822" width="5.75" style="508" customWidth="1"/>
    <col min="12823" max="12823" width="12.625" style="508" customWidth="1"/>
    <col min="12824" max="12824" width="8.375" style="508" customWidth="1"/>
    <col min="12825" max="12825" width="24.875" style="508" customWidth="1"/>
    <col min="12826" max="12826" width="9" style="508"/>
    <col min="12827" max="12827" width="37.5" style="508" customWidth="1"/>
    <col min="12828" max="13044" width="9" style="508"/>
    <col min="13045" max="13046" width="3.75" style="508" customWidth="1"/>
    <col min="13047" max="13047" width="3.5" style="508" customWidth="1"/>
    <col min="13048" max="13048" width="3.875" style="508" customWidth="1"/>
    <col min="13049" max="13050" width="7.625" style="508" customWidth="1"/>
    <col min="13051" max="13051" width="6.375" style="508" customWidth="1"/>
    <col min="13052" max="13052" width="6.25" style="508" customWidth="1"/>
    <col min="13053" max="13053" width="6.625" style="508" customWidth="1"/>
    <col min="13054" max="13054" width="4.875" style="508" customWidth="1"/>
    <col min="13055" max="13055" width="4.75" style="508" customWidth="1"/>
    <col min="13056" max="13056" width="6.75" style="508" customWidth="1"/>
    <col min="13057" max="13057" width="0" style="508" hidden="1" customWidth="1"/>
    <col min="13058" max="13058" width="4.375" style="508" customWidth="1"/>
    <col min="13059" max="13059" width="5.625" style="508" customWidth="1"/>
    <col min="13060" max="13060" width="5.375" style="508" customWidth="1"/>
    <col min="13061" max="13061" width="6.875" style="508" customWidth="1"/>
    <col min="13062" max="13062" width="5.125" style="508" customWidth="1"/>
    <col min="13063" max="13063" width="4.75" style="508" customWidth="1"/>
    <col min="13064" max="13064" width="5.625" style="508" customWidth="1"/>
    <col min="13065" max="13065" width="4.875" style="508" customWidth="1"/>
    <col min="13066" max="13066" width="5.25" style="508" customWidth="1"/>
    <col min="13067" max="13067" width="16.25" style="508" customWidth="1"/>
    <col min="13068" max="13068" width="9.25" style="508" customWidth="1"/>
    <col min="13069" max="13069" width="9.5" style="508" bestFit="1" customWidth="1"/>
    <col min="13070" max="13070" width="9.875" style="508" customWidth="1"/>
    <col min="13071" max="13072" width="10" style="508" customWidth="1"/>
    <col min="13073" max="13073" width="6.625" style="508" customWidth="1"/>
    <col min="13074" max="13074" width="6.5" style="508" customWidth="1"/>
    <col min="13075" max="13075" width="9" style="508"/>
    <col min="13076" max="13076" width="8.5" style="508" customWidth="1"/>
    <col min="13077" max="13077" width="6.375" style="508" customWidth="1"/>
    <col min="13078" max="13078" width="5.75" style="508" customWidth="1"/>
    <col min="13079" max="13079" width="12.625" style="508" customWidth="1"/>
    <col min="13080" max="13080" width="8.375" style="508" customWidth="1"/>
    <col min="13081" max="13081" width="24.875" style="508" customWidth="1"/>
    <col min="13082" max="13082" width="9" style="508"/>
    <col min="13083" max="13083" width="37.5" style="508" customWidth="1"/>
    <col min="13084" max="13300" width="9" style="508"/>
    <col min="13301" max="13302" width="3.75" style="508" customWidth="1"/>
    <col min="13303" max="13303" width="3.5" style="508" customWidth="1"/>
    <col min="13304" max="13304" width="3.875" style="508" customWidth="1"/>
    <col min="13305" max="13306" width="7.625" style="508" customWidth="1"/>
    <col min="13307" max="13307" width="6.375" style="508" customWidth="1"/>
    <col min="13308" max="13308" width="6.25" style="508" customWidth="1"/>
    <col min="13309" max="13309" width="6.625" style="508" customWidth="1"/>
    <col min="13310" max="13310" width="4.875" style="508" customWidth="1"/>
    <col min="13311" max="13311" width="4.75" style="508" customWidth="1"/>
    <col min="13312" max="13312" width="6.75" style="508" customWidth="1"/>
    <col min="13313" max="13313" width="0" style="508" hidden="1" customWidth="1"/>
    <col min="13314" max="13314" width="4.375" style="508" customWidth="1"/>
    <col min="13315" max="13315" width="5.625" style="508" customWidth="1"/>
    <col min="13316" max="13316" width="5.375" style="508" customWidth="1"/>
    <col min="13317" max="13317" width="6.875" style="508" customWidth="1"/>
    <col min="13318" max="13318" width="5.125" style="508" customWidth="1"/>
    <col min="13319" max="13319" width="4.75" style="508" customWidth="1"/>
    <col min="13320" max="13320" width="5.625" style="508" customWidth="1"/>
    <col min="13321" max="13321" width="4.875" style="508" customWidth="1"/>
    <col min="13322" max="13322" width="5.25" style="508" customWidth="1"/>
    <col min="13323" max="13323" width="16.25" style="508" customWidth="1"/>
    <col min="13324" max="13324" width="9.25" style="508" customWidth="1"/>
    <col min="13325" max="13325" width="9.5" style="508" bestFit="1" customWidth="1"/>
    <col min="13326" max="13326" width="9.875" style="508" customWidth="1"/>
    <col min="13327" max="13328" width="10" style="508" customWidth="1"/>
    <col min="13329" max="13329" width="6.625" style="508" customWidth="1"/>
    <col min="13330" max="13330" width="6.5" style="508" customWidth="1"/>
    <col min="13331" max="13331" width="9" style="508"/>
    <col min="13332" max="13332" width="8.5" style="508" customWidth="1"/>
    <col min="13333" max="13333" width="6.375" style="508" customWidth="1"/>
    <col min="13334" max="13334" width="5.75" style="508" customWidth="1"/>
    <col min="13335" max="13335" width="12.625" style="508" customWidth="1"/>
    <col min="13336" max="13336" width="8.375" style="508" customWidth="1"/>
    <col min="13337" max="13337" width="24.875" style="508" customWidth="1"/>
    <col min="13338" max="13338" width="9" style="508"/>
    <col min="13339" max="13339" width="37.5" style="508" customWidth="1"/>
    <col min="13340" max="13556" width="9" style="508"/>
    <col min="13557" max="13558" width="3.75" style="508" customWidth="1"/>
    <col min="13559" max="13559" width="3.5" style="508" customWidth="1"/>
    <col min="13560" max="13560" width="3.875" style="508" customWidth="1"/>
    <col min="13561" max="13562" width="7.625" style="508" customWidth="1"/>
    <col min="13563" max="13563" width="6.375" style="508" customWidth="1"/>
    <col min="13564" max="13564" width="6.25" style="508" customWidth="1"/>
    <col min="13565" max="13565" width="6.625" style="508" customWidth="1"/>
    <col min="13566" max="13566" width="4.875" style="508" customWidth="1"/>
    <col min="13567" max="13567" width="4.75" style="508" customWidth="1"/>
    <col min="13568" max="13568" width="6.75" style="508" customWidth="1"/>
    <col min="13569" max="13569" width="0" style="508" hidden="1" customWidth="1"/>
    <col min="13570" max="13570" width="4.375" style="508" customWidth="1"/>
    <col min="13571" max="13571" width="5.625" style="508" customWidth="1"/>
    <col min="13572" max="13572" width="5.375" style="508" customWidth="1"/>
    <col min="13573" max="13573" width="6.875" style="508" customWidth="1"/>
    <col min="13574" max="13574" width="5.125" style="508" customWidth="1"/>
    <col min="13575" max="13575" width="4.75" style="508" customWidth="1"/>
    <col min="13576" max="13576" width="5.625" style="508" customWidth="1"/>
    <col min="13577" max="13577" width="4.875" style="508" customWidth="1"/>
    <col min="13578" max="13578" width="5.25" style="508" customWidth="1"/>
    <col min="13579" max="13579" width="16.25" style="508" customWidth="1"/>
    <col min="13580" max="13580" width="9.25" style="508" customWidth="1"/>
    <col min="13581" max="13581" width="9.5" style="508" bestFit="1" customWidth="1"/>
    <col min="13582" max="13582" width="9.875" style="508" customWidth="1"/>
    <col min="13583" max="13584" width="10" style="508" customWidth="1"/>
    <col min="13585" max="13585" width="6.625" style="508" customWidth="1"/>
    <col min="13586" max="13586" width="6.5" style="508" customWidth="1"/>
    <col min="13587" max="13587" width="9" style="508"/>
    <col min="13588" max="13588" width="8.5" style="508" customWidth="1"/>
    <col min="13589" max="13589" width="6.375" style="508" customWidth="1"/>
    <col min="13590" max="13590" width="5.75" style="508" customWidth="1"/>
    <col min="13591" max="13591" width="12.625" style="508" customWidth="1"/>
    <col min="13592" max="13592" width="8.375" style="508" customWidth="1"/>
    <col min="13593" max="13593" width="24.875" style="508" customWidth="1"/>
    <col min="13594" max="13594" width="9" style="508"/>
    <col min="13595" max="13595" width="37.5" style="508" customWidth="1"/>
    <col min="13596" max="13812" width="9" style="508"/>
    <col min="13813" max="13814" width="3.75" style="508" customWidth="1"/>
    <col min="13815" max="13815" width="3.5" style="508" customWidth="1"/>
    <col min="13816" max="13816" width="3.875" style="508" customWidth="1"/>
    <col min="13817" max="13818" width="7.625" style="508" customWidth="1"/>
    <col min="13819" max="13819" width="6.375" style="508" customWidth="1"/>
    <col min="13820" max="13820" width="6.25" style="508" customWidth="1"/>
    <col min="13821" max="13821" width="6.625" style="508" customWidth="1"/>
    <col min="13822" max="13822" width="4.875" style="508" customWidth="1"/>
    <col min="13823" max="13823" width="4.75" style="508" customWidth="1"/>
    <col min="13824" max="13824" width="6.75" style="508" customWidth="1"/>
    <col min="13825" max="13825" width="0" style="508" hidden="1" customWidth="1"/>
    <col min="13826" max="13826" width="4.375" style="508" customWidth="1"/>
    <col min="13827" max="13827" width="5.625" style="508" customWidth="1"/>
    <col min="13828" max="13828" width="5.375" style="508" customWidth="1"/>
    <col min="13829" max="13829" width="6.875" style="508" customWidth="1"/>
    <col min="13830" max="13830" width="5.125" style="508" customWidth="1"/>
    <col min="13831" max="13831" width="4.75" style="508" customWidth="1"/>
    <col min="13832" max="13832" width="5.625" style="508" customWidth="1"/>
    <col min="13833" max="13833" width="4.875" style="508" customWidth="1"/>
    <col min="13834" max="13834" width="5.25" style="508" customWidth="1"/>
    <col min="13835" max="13835" width="16.25" style="508" customWidth="1"/>
    <col min="13836" max="13836" width="9.25" style="508" customWidth="1"/>
    <col min="13837" max="13837" width="9.5" style="508" bestFit="1" customWidth="1"/>
    <col min="13838" max="13838" width="9.875" style="508" customWidth="1"/>
    <col min="13839" max="13840" width="10" style="508" customWidth="1"/>
    <col min="13841" max="13841" width="6.625" style="508" customWidth="1"/>
    <col min="13842" max="13842" width="6.5" style="508" customWidth="1"/>
    <col min="13843" max="13843" width="9" style="508"/>
    <col min="13844" max="13844" width="8.5" style="508" customWidth="1"/>
    <col min="13845" max="13845" width="6.375" style="508" customWidth="1"/>
    <col min="13846" max="13846" width="5.75" style="508" customWidth="1"/>
    <col min="13847" max="13847" width="12.625" style="508" customWidth="1"/>
    <col min="13848" max="13848" width="8.375" style="508" customWidth="1"/>
    <col min="13849" max="13849" width="24.875" style="508" customWidth="1"/>
    <col min="13850" max="13850" width="9" style="508"/>
    <col min="13851" max="13851" width="37.5" style="508" customWidth="1"/>
    <col min="13852" max="14068" width="9" style="508"/>
    <col min="14069" max="14070" width="3.75" style="508" customWidth="1"/>
    <col min="14071" max="14071" width="3.5" style="508" customWidth="1"/>
    <col min="14072" max="14072" width="3.875" style="508" customWidth="1"/>
    <col min="14073" max="14074" width="7.625" style="508" customWidth="1"/>
    <col min="14075" max="14075" width="6.375" style="508" customWidth="1"/>
    <col min="14076" max="14076" width="6.25" style="508" customWidth="1"/>
    <col min="14077" max="14077" width="6.625" style="508" customWidth="1"/>
    <col min="14078" max="14078" width="4.875" style="508" customWidth="1"/>
    <col min="14079" max="14079" width="4.75" style="508" customWidth="1"/>
    <col min="14080" max="14080" width="6.75" style="508" customWidth="1"/>
    <col min="14081" max="14081" width="0" style="508" hidden="1" customWidth="1"/>
    <col min="14082" max="14082" width="4.375" style="508" customWidth="1"/>
    <col min="14083" max="14083" width="5.625" style="508" customWidth="1"/>
    <col min="14084" max="14084" width="5.375" style="508" customWidth="1"/>
    <col min="14085" max="14085" width="6.875" style="508" customWidth="1"/>
    <col min="14086" max="14086" width="5.125" style="508" customWidth="1"/>
    <col min="14087" max="14087" width="4.75" style="508" customWidth="1"/>
    <col min="14088" max="14088" width="5.625" style="508" customWidth="1"/>
    <col min="14089" max="14089" width="4.875" style="508" customWidth="1"/>
    <col min="14090" max="14090" width="5.25" style="508" customWidth="1"/>
    <col min="14091" max="14091" width="16.25" style="508" customWidth="1"/>
    <col min="14092" max="14092" width="9.25" style="508" customWidth="1"/>
    <col min="14093" max="14093" width="9.5" style="508" bestFit="1" customWidth="1"/>
    <col min="14094" max="14094" width="9.875" style="508" customWidth="1"/>
    <col min="14095" max="14096" width="10" style="508" customWidth="1"/>
    <col min="14097" max="14097" width="6.625" style="508" customWidth="1"/>
    <col min="14098" max="14098" width="6.5" style="508" customWidth="1"/>
    <col min="14099" max="14099" width="9" style="508"/>
    <col min="14100" max="14100" width="8.5" style="508" customWidth="1"/>
    <col min="14101" max="14101" width="6.375" style="508" customWidth="1"/>
    <col min="14102" max="14102" width="5.75" style="508" customWidth="1"/>
    <col min="14103" max="14103" width="12.625" style="508" customWidth="1"/>
    <col min="14104" max="14104" width="8.375" style="508" customWidth="1"/>
    <col min="14105" max="14105" width="24.875" style="508" customWidth="1"/>
    <col min="14106" max="14106" width="9" style="508"/>
    <col min="14107" max="14107" width="37.5" style="508" customWidth="1"/>
    <col min="14108" max="14324" width="9" style="508"/>
    <col min="14325" max="14326" width="3.75" style="508" customWidth="1"/>
    <col min="14327" max="14327" width="3.5" style="508" customWidth="1"/>
    <col min="14328" max="14328" width="3.875" style="508" customWidth="1"/>
    <col min="14329" max="14330" width="7.625" style="508" customWidth="1"/>
    <col min="14331" max="14331" width="6.375" style="508" customWidth="1"/>
    <col min="14332" max="14332" width="6.25" style="508" customWidth="1"/>
    <col min="14333" max="14333" width="6.625" style="508" customWidth="1"/>
    <col min="14334" max="14334" width="4.875" style="508" customWidth="1"/>
    <col min="14335" max="14335" width="4.75" style="508" customWidth="1"/>
    <col min="14336" max="14336" width="6.75" style="508" customWidth="1"/>
    <col min="14337" max="14337" width="0" style="508" hidden="1" customWidth="1"/>
    <col min="14338" max="14338" width="4.375" style="508" customWidth="1"/>
    <col min="14339" max="14339" width="5.625" style="508" customWidth="1"/>
    <col min="14340" max="14340" width="5.375" style="508" customWidth="1"/>
    <col min="14341" max="14341" width="6.875" style="508" customWidth="1"/>
    <col min="14342" max="14342" width="5.125" style="508" customWidth="1"/>
    <col min="14343" max="14343" width="4.75" style="508" customWidth="1"/>
    <col min="14344" max="14344" width="5.625" style="508" customWidth="1"/>
    <col min="14345" max="14345" width="4.875" style="508" customWidth="1"/>
    <col min="14346" max="14346" width="5.25" style="508" customWidth="1"/>
    <col min="14347" max="14347" width="16.25" style="508" customWidth="1"/>
    <col min="14348" max="14348" width="9.25" style="508" customWidth="1"/>
    <col min="14349" max="14349" width="9.5" style="508" bestFit="1" customWidth="1"/>
    <col min="14350" max="14350" width="9.875" style="508" customWidth="1"/>
    <col min="14351" max="14352" width="10" style="508" customWidth="1"/>
    <col min="14353" max="14353" width="6.625" style="508" customWidth="1"/>
    <col min="14354" max="14354" width="6.5" style="508" customWidth="1"/>
    <col min="14355" max="14355" width="9" style="508"/>
    <col min="14356" max="14356" width="8.5" style="508" customWidth="1"/>
    <col min="14357" max="14357" width="6.375" style="508" customWidth="1"/>
    <col min="14358" max="14358" width="5.75" style="508" customWidth="1"/>
    <col min="14359" max="14359" width="12.625" style="508" customWidth="1"/>
    <col min="14360" max="14360" width="8.375" style="508" customWidth="1"/>
    <col min="14361" max="14361" width="24.875" style="508" customWidth="1"/>
    <col min="14362" max="14362" width="9" style="508"/>
    <col min="14363" max="14363" width="37.5" style="508" customWidth="1"/>
    <col min="14364" max="14580" width="9" style="508"/>
    <col min="14581" max="14582" width="3.75" style="508" customWidth="1"/>
    <col min="14583" max="14583" width="3.5" style="508" customWidth="1"/>
    <col min="14584" max="14584" width="3.875" style="508" customWidth="1"/>
    <col min="14585" max="14586" width="7.625" style="508" customWidth="1"/>
    <col min="14587" max="14587" width="6.375" style="508" customWidth="1"/>
    <col min="14588" max="14588" width="6.25" style="508" customWidth="1"/>
    <col min="14589" max="14589" width="6.625" style="508" customWidth="1"/>
    <col min="14590" max="14590" width="4.875" style="508" customWidth="1"/>
    <col min="14591" max="14591" width="4.75" style="508" customWidth="1"/>
    <col min="14592" max="14592" width="6.75" style="508" customWidth="1"/>
    <col min="14593" max="14593" width="0" style="508" hidden="1" customWidth="1"/>
    <col min="14594" max="14594" width="4.375" style="508" customWidth="1"/>
    <col min="14595" max="14595" width="5.625" style="508" customWidth="1"/>
    <col min="14596" max="14596" width="5.375" style="508" customWidth="1"/>
    <col min="14597" max="14597" width="6.875" style="508" customWidth="1"/>
    <col min="14598" max="14598" width="5.125" style="508" customWidth="1"/>
    <col min="14599" max="14599" width="4.75" style="508" customWidth="1"/>
    <col min="14600" max="14600" width="5.625" style="508" customWidth="1"/>
    <col min="14601" max="14601" width="4.875" style="508" customWidth="1"/>
    <col min="14602" max="14602" width="5.25" style="508" customWidth="1"/>
    <col min="14603" max="14603" width="16.25" style="508" customWidth="1"/>
    <col min="14604" max="14604" width="9.25" style="508" customWidth="1"/>
    <col min="14605" max="14605" width="9.5" style="508" bestFit="1" customWidth="1"/>
    <col min="14606" max="14606" width="9.875" style="508" customWidth="1"/>
    <col min="14607" max="14608" width="10" style="508" customWidth="1"/>
    <col min="14609" max="14609" width="6.625" style="508" customWidth="1"/>
    <col min="14610" max="14610" width="6.5" style="508" customWidth="1"/>
    <col min="14611" max="14611" width="9" style="508"/>
    <col min="14612" max="14612" width="8.5" style="508" customWidth="1"/>
    <col min="14613" max="14613" width="6.375" style="508" customWidth="1"/>
    <col min="14614" max="14614" width="5.75" style="508" customWidth="1"/>
    <col min="14615" max="14615" width="12.625" style="508" customWidth="1"/>
    <col min="14616" max="14616" width="8.375" style="508" customWidth="1"/>
    <col min="14617" max="14617" width="24.875" style="508" customWidth="1"/>
    <col min="14618" max="14618" width="9" style="508"/>
    <col min="14619" max="14619" width="37.5" style="508" customWidth="1"/>
    <col min="14620" max="14836" width="9" style="508"/>
    <col min="14837" max="14838" width="3.75" style="508" customWidth="1"/>
    <col min="14839" max="14839" width="3.5" style="508" customWidth="1"/>
    <col min="14840" max="14840" width="3.875" style="508" customWidth="1"/>
    <col min="14841" max="14842" width="7.625" style="508" customWidth="1"/>
    <col min="14843" max="14843" width="6.375" style="508" customWidth="1"/>
    <col min="14844" max="14844" width="6.25" style="508" customWidth="1"/>
    <col min="14845" max="14845" width="6.625" style="508" customWidth="1"/>
    <col min="14846" max="14846" width="4.875" style="508" customWidth="1"/>
    <col min="14847" max="14847" width="4.75" style="508" customWidth="1"/>
    <col min="14848" max="14848" width="6.75" style="508" customWidth="1"/>
    <col min="14849" max="14849" width="0" style="508" hidden="1" customWidth="1"/>
    <col min="14850" max="14850" width="4.375" style="508" customWidth="1"/>
    <col min="14851" max="14851" width="5.625" style="508" customWidth="1"/>
    <col min="14852" max="14852" width="5.375" style="508" customWidth="1"/>
    <col min="14853" max="14853" width="6.875" style="508" customWidth="1"/>
    <col min="14854" max="14854" width="5.125" style="508" customWidth="1"/>
    <col min="14855" max="14855" width="4.75" style="508" customWidth="1"/>
    <col min="14856" max="14856" width="5.625" style="508" customWidth="1"/>
    <col min="14857" max="14857" width="4.875" style="508" customWidth="1"/>
    <col min="14858" max="14858" width="5.25" style="508" customWidth="1"/>
    <col min="14859" max="14859" width="16.25" style="508" customWidth="1"/>
    <col min="14860" max="14860" width="9.25" style="508" customWidth="1"/>
    <col min="14861" max="14861" width="9.5" style="508" bestFit="1" customWidth="1"/>
    <col min="14862" max="14862" width="9.875" style="508" customWidth="1"/>
    <col min="14863" max="14864" width="10" style="508" customWidth="1"/>
    <col min="14865" max="14865" width="6.625" style="508" customWidth="1"/>
    <col min="14866" max="14866" width="6.5" style="508" customWidth="1"/>
    <col min="14867" max="14867" width="9" style="508"/>
    <col min="14868" max="14868" width="8.5" style="508" customWidth="1"/>
    <col min="14869" max="14869" width="6.375" style="508" customWidth="1"/>
    <col min="14870" max="14870" width="5.75" style="508" customWidth="1"/>
    <col min="14871" max="14871" width="12.625" style="508" customWidth="1"/>
    <col min="14872" max="14872" width="8.375" style="508" customWidth="1"/>
    <col min="14873" max="14873" width="24.875" style="508" customWidth="1"/>
    <col min="14874" max="14874" width="9" style="508"/>
    <col min="14875" max="14875" width="37.5" style="508" customWidth="1"/>
    <col min="14876" max="15092" width="9" style="508"/>
    <col min="15093" max="15094" width="3.75" style="508" customWidth="1"/>
    <col min="15095" max="15095" width="3.5" style="508" customWidth="1"/>
    <col min="15096" max="15096" width="3.875" style="508" customWidth="1"/>
    <col min="15097" max="15098" width="7.625" style="508" customWidth="1"/>
    <col min="15099" max="15099" width="6.375" style="508" customWidth="1"/>
    <col min="15100" max="15100" width="6.25" style="508" customWidth="1"/>
    <col min="15101" max="15101" width="6.625" style="508" customWidth="1"/>
    <col min="15102" max="15102" width="4.875" style="508" customWidth="1"/>
    <col min="15103" max="15103" width="4.75" style="508" customWidth="1"/>
    <col min="15104" max="15104" width="6.75" style="508" customWidth="1"/>
    <col min="15105" max="15105" width="0" style="508" hidden="1" customWidth="1"/>
    <col min="15106" max="15106" width="4.375" style="508" customWidth="1"/>
    <col min="15107" max="15107" width="5.625" style="508" customWidth="1"/>
    <col min="15108" max="15108" width="5.375" style="508" customWidth="1"/>
    <col min="15109" max="15109" width="6.875" style="508" customWidth="1"/>
    <col min="15110" max="15110" width="5.125" style="508" customWidth="1"/>
    <col min="15111" max="15111" width="4.75" style="508" customWidth="1"/>
    <col min="15112" max="15112" width="5.625" style="508" customWidth="1"/>
    <col min="15113" max="15113" width="4.875" style="508" customWidth="1"/>
    <col min="15114" max="15114" width="5.25" style="508" customWidth="1"/>
    <col min="15115" max="15115" width="16.25" style="508" customWidth="1"/>
    <col min="15116" max="15116" width="9.25" style="508" customWidth="1"/>
    <col min="15117" max="15117" width="9.5" style="508" bestFit="1" customWidth="1"/>
    <col min="15118" max="15118" width="9.875" style="508" customWidth="1"/>
    <col min="15119" max="15120" width="10" style="508" customWidth="1"/>
    <col min="15121" max="15121" width="6.625" style="508" customWidth="1"/>
    <col min="15122" max="15122" width="6.5" style="508" customWidth="1"/>
    <col min="15123" max="15123" width="9" style="508"/>
    <col min="15124" max="15124" width="8.5" style="508" customWidth="1"/>
    <col min="15125" max="15125" width="6.375" style="508" customWidth="1"/>
    <col min="15126" max="15126" width="5.75" style="508" customWidth="1"/>
    <col min="15127" max="15127" width="12.625" style="508" customWidth="1"/>
    <col min="15128" max="15128" width="8.375" style="508" customWidth="1"/>
    <col min="15129" max="15129" width="24.875" style="508" customWidth="1"/>
    <col min="15130" max="15130" width="9" style="508"/>
    <col min="15131" max="15131" width="37.5" style="508" customWidth="1"/>
    <col min="15132" max="15348" width="9" style="508"/>
    <col min="15349" max="15350" width="3.75" style="508" customWidth="1"/>
    <col min="15351" max="15351" width="3.5" style="508" customWidth="1"/>
    <col min="15352" max="15352" width="3.875" style="508" customWidth="1"/>
    <col min="15353" max="15354" width="7.625" style="508" customWidth="1"/>
    <col min="15355" max="15355" width="6.375" style="508" customWidth="1"/>
    <col min="15356" max="15356" width="6.25" style="508" customWidth="1"/>
    <col min="15357" max="15357" width="6.625" style="508" customWidth="1"/>
    <col min="15358" max="15358" width="4.875" style="508" customWidth="1"/>
    <col min="15359" max="15359" width="4.75" style="508" customWidth="1"/>
    <col min="15360" max="15360" width="6.75" style="508" customWidth="1"/>
    <col min="15361" max="15361" width="0" style="508" hidden="1" customWidth="1"/>
    <col min="15362" max="15362" width="4.375" style="508" customWidth="1"/>
    <col min="15363" max="15363" width="5.625" style="508" customWidth="1"/>
    <col min="15364" max="15364" width="5.375" style="508" customWidth="1"/>
    <col min="15365" max="15365" width="6.875" style="508" customWidth="1"/>
    <col min="15366" max="15366" width="5.125" style="508" customWidth="1"/>
    <col min="15367" max="15367" width="4.75" style="508" customWidth="1"/>
    <col min="15368" max="15368" width="5.625" style="508" customWidth="1"/>
    <col min="15369" max="15369" width="4.875" style="508" customWidth="1"/>
    <col min="15370" max="15370" width="5.25" style="508" customWidth="1"/>
    <col min="15371" max="15371" width="16.25" style="508" customWidth="1"/>
    <col min="15372" max="15372" width="9.25" style="508" customWidth="1"/>
    <col min="15373" max="15373" width="9.5" style="508" bestFit="1" customWidth="1"/>
    <col min="15374" max="15374" width="9.875" style="508" customWidth="1"/>
    <col min="15375" max="15376" width="10" style="508" customWidth="1"/>
    <col min="15377" max="15377" width="6.625" style="508" customWidth="1"/>
    <col min="15378" max="15378" width="6.5" style="508" customWidth="1"/>
    <col min="15379" max="15379" width="9" style="508"/>
    <col min="15380" max="15380" width="8.5" style="508" customWidth="1"/>
    <col min="15381" max="15381" width="6.375" style="508" customWidth="1"/>
    <col min="15382" max="15382" width="5.75" style="508" customWidth="1"/>
    <col min="15383" max="15383" width="12.625" style="508" customWidth="1"/>
    <col min="15384" max="15384" width="8.375" style="508" customWidth="1"/>
    <col min="15385" max="15385" width="24.875" style="508" customWidth="1"/>
    <col min="15386" max="15386" width="9" style="508"/>
    <col min="15387" max="15387" width="37.5" style="508" customWidth="1"/>
    <col min="15388" max="15604" width="9" style="508"/>
    <col min="15605" max="15606" width="3.75" style="508" customWidth="1"/>
    <col min="15607" max="15607" width="3.5" style="508" customWidth="1"/>
    <col min="15608" max="15608" width="3.875" style="508" customWidth="1"/>
    <col min="15609" max="15610" width="7.625" style="508" customWidth="1"/>
    <col min="15611" max="15611" width="6.375" style="508" customWidth="1"/>
    <col min="15612" max="15612" width="6.25" style="508" customWidth="1"/>
    <col min="15613" max="15613" width="6.625" style="508" customWidth="1"/>
    <col min="15614" max="15614" width="4.875" style="508" customWidth="1"/>
    <col min="15615" max="15615" width="4.75" style="508" customWidth="1"/>
    <col min="15616" max="15616" width="6.75" style="508" customWidth="1"/>
    <col min="15617" max="15617" width="0" style="508" hidden="1" customWidth="1"/>
    <col min="15618" max="15618" width="4.375" style="508" customWidth="1"/>
    <col min="15619" max="15619" width="5.625" style="508" customWidth="1"/>
    <col min="15620" max="15620" width="5.375" style="508" customWidth="1"/>
    <col min="15621" max="15621" width="6.875" style="508" customWidth="1"/>
    <col min="15622" max="15622" width="5.125" style="508" customWidth="1"/>
    <col min="15623" max="15623" width="4.75" style="508" customWidth="1"/>
    <col min="15624" max="15624" width="5.625" style="508" customWidth="1"/>
    <col min="15625" max="15625" width="4.875" style="508" customWidth="1"/>
    <col min="15626" max="15626" width="5.25" style="508" customWidth="1"/>
    <col min="15627" max="15627" width="16.25" style="508" customWidth="1"/>
    <col min="15628" max="15628" width="9.25" style="508" customWidth="1"/>
    <col min="15629" max="15629" width="9.5" style="508" bestFit="1" customWidth="1"/>
    <col min="15630" max="15630" width="9.875" style="508" customWidth="1"/>
    <col min="15631" max="15632" width="10" style="508" customWidth="1"/>
    <col min="15633" max="15633" width="6.625" style="508" customWidth="1"/>
    <col min="15634" max="15634" width="6.5" style="508" customWidth="1"/>
    <col min="15635" max="15635" width="9" style="508"/>
    <col min="15636" max="15636" width="8.5" style="508" customWidth="1"/>
    <col min="15637" max="15637" width="6.375" style="508" customWidth="1"/>
    <col min="15638" max="15638" width="5.75" style="508" customWidth="1"/>
    <col min="15639" max="15639" width="12.625" style="508" customWidth="1"/>
    <col min="15640" max="15640" width="8.375" style="508" customWidth="1"/>
    <col min="15641" max="15641" width="24.875" style="508" customWidth="1"/>
    <col min="15642" max="15642" width="9" style="508"/>
    <col min="15643" max="15643" width="37.5" style="508" customWidth="1"/>
    <col min="15644" max="15860" width="9" style="508"/>
    <col min="15861" max="15862" width="3.75" style="508" customWidth="1"/>
    <col min="15863" max="15863" width="3.5" style="508" customWidth="1"/>
    <col min="15864" max="15864" width="3.875" style="508" customWidth="1"/>
    <col min="15865" max="15866" width="7.625" style="508" customWidth="1"/>
    <col min="15867" max="15867" width="6.375" style="508" customWidth="1"/>
    <col min="15868" max="15868" width="6.25" style="508" customWidth="1"/>
    <col min="15869" max="15869" width="6.625" style="508" customWidth="1"/>
    <col min="15870" max="15870" width="4.875" style="508" customWidth="1"/>
    <col min="15871" max="15871" width="4.75" style="508" customWidth="1"/>
    <col min="15872" max="15872" width="6.75" style="508" customWidth="1"/>
    <col min="15873" max="15873" width="0" style="508" hidden="1" customWidth="1"/>
    <col min="15874" max="15874" width="4.375" style="508" customWidth="1"/>
    <col min="15875" max="15875" width="5.625" style="508" customWidth="1"/>
    <col min="15876" max="15876" width="5.375" style="508" customWidth="1"/>
    <col min="15877" max="15877" width="6.875" style="508" customWidth="1"/>
    <col min="15878" max="15878" width="5.125" style="508" customWidth="1"/>
    <col min="15879" max="15879" width="4.75" style="508" customWidth="1"/>
    <col min="15880" max="15880" width="5.625" style="508" customWidth="1"/>
    <col min="15881" max="15881" width="4.875" style="508" customWidth="1"/>
    <col min="15882" max="15882" width="5.25" style="508" customWidth="1"/>
    <col min="15883" max="15883" width="16.25" style="508" customWidth="1"/>
    <col min="15884" max="15884" width="9.25" style="508" customWidth="1"/>
    <col min="15885" max="15885" width="9.5" style="508" bestFit="1" customWidth="1"/>
    <col min="15886" max="15886" width="9.875" style="508" customWidth="1"/>
    <col min="15887" max="15888" width="10" style="508" customWidth="1"/>
    <col min="15889" max="15889" width="6.625" style="508" customWidth="1"/>
    <col min="15890" max="15890" width="6.5" style="508" customWidth="1"/>
    <col min="15891" max="15891" width="9" style="508"/>
    <col min="15892" max="15892" width="8.5" style="508" customWidth="1"/>
    <col min="15893" max="15893" width="6.375" style="508" customWidth="1"/>
    <col min="15894" max="15894" width="5.75" style="508" customWidth="1"/>
    <col min="15895" max="15895" width="12.625" style="508" customWidth="1"/>
    <col min="15896" max="15896" width="8.375" style="508" customWidth="1"/>
    <col min="15897" max="15897" width="24.875" style="508" customWidth="1"/>
    <col min="15898" max="15898" width="9" style="508"/>
    <col min="15899" max="15899" width="37.5" style="508" customWidth="1"/>
    <col min="15900" max="16116" width="9" style="508"/>
    <col min="16117" max="16118" width="3.75" style="508" customWidth="1"/>
    <col min="16119" max="16119" width="3.5" style="508" customWidth="1"/>
    <col min="16120" max="16120" width="3.875" style="508" customWidth="1"/>
    <col min="16121" max="16122" width="7.625" style="508" customWidth="1"/>
    <col min="16123" max="16123" width="6.375" style="508" customWidth="1"/>
    <col min="16124" max="16124" width="6.25" style="508" customWidth="1"/>
    <col min="16125" max="16125" width="6.625" style="508" customWidth="1"/>
    <col min="16126" max="16126" width="4.875" style="508" customWidth="1"/>
    <col min="16127" max="16127" width="4.75" style="508" customWidth="1"/>
    <col min="16128" max="16128" width="6.75" style="508" customWidth="1"/>
    <col min="16129" max="16129" width="0" style="508" hidden="1" customWidth="1"/>
    <col min="16130" max="16130" width="4.375" style="508" customWidth="1"/>
    <col min="16131" max="16131" width="5.625" style="508" customWidth="1"/>
    <col min="16132" max="16132" width="5.375" style="508" customWidth="1"/>
    <col min="16133" max="16133" width="6.875" style="508" customWidth="1"/>
    <col min="16134" max="16134" width="5.125" style="508" customWidth="1"/>
    <col min="16135" max="16135" width="4.75" style="508" customWidth="1"/>
    <col min="16136" max="16136" width="5.625" style="508" customWidth="1"/>
    <col min="16137" max="16137" width="4.875" style="508" customWidth="1"/>
    <col min="16138" max="16138" width="5.25" style="508" customWidth="1"/>
    <col min="16139" max="16139" width="16.25" style="508" customWidth="1"/>
    <col min="16140" max="16140" width="9.25" style="508" customWidth="1"/>
    <col min="16141" max="16141" width="9.5" style="508" bestFit="1" customWidth="1"/>
    <col min="16142" max="16142" width="9.875" style="508" customWidth="1"/>
    <col min="16143" max="16144" width="10" style="508" customWidth="1"/>
    <col min="16145" max="16145" width="6.625" style="508" customWidth="1"/>
    <col min="16146" max="16146" width="6.5" style="508" customWidth="1"/>
    <col min="16147" max="16147" width="9" style="508"/>
    <col min="16148" max="16148" width="8.5" style="508" customWidth="1"/>
    <col min="16149" max="16149" width="6.375" style="508" customWidth="1"/>
    <col min="16150" max="16150" width="5.75" style="508" customWidth="1"/>
    <col min="16151" max="16151" width="12.625" style="508" customWidth="1"/>
    <col min="16152" max="16152" width="8.375" style="508" customWidth="1"/>
    <col min="16153" max="16153" width="24.875" style="508" customWidth="1"/>
    <col min="16154" max="16154" width="9" style="508"/>
    <col min="16155" max="16155" width="37.5" style="508" customWidth="1"/>
    <col min="16156" max="16384" width="9" style="508"/>
  </cols>
  <sheetData>
    <row r="1" spans="1:18" ht="27.75" customHeight="1">
      <c r="A1" s="1001" t="s">
        <v>1155</v>
      </c>
      <c r="B1" s="1001"/>
      <c r="C1" s="1001"/>
      <c r="D1" s="1001"/>
      <c r="E1" s="1001"/>
      <c r="F1" s="1001"/>
      <c r="G1" s="536"/>
      <c r="H1" s="535"/>
      <c r="I1" s="1003"/>
      <c r="J1" s="1003"/>
      <c r="K1" s="1003"/>
      <c r="L1" s="1003"/>
      <c r="M1" s="1003"/>
    </row>
    <row r="2" spans="1:18" ht="20.100000000000001" customHeight="1">
      <c r="A2" s="521"/>
      <c r="B2" s="519" t="s">
        <v>758</v>
      </c>
      <c r="C2" s="519" t="str">
        <f>古典门板作业单!B2</f>
        <v>赵蕊</v>
      </c>
      <c r="D2" s="521" t="s">
        <v>1092</v>
      </c>
      <c r="E2" s="519" t="str">
        <f>古典门板作业单!D2</f>
        <v>廊坊</v>
      </c>
      <c r="F2" s="519"/>
      <c r="G2" s="516"/>
      <c r="I2" s="521" t="s">
        <v>1124</v>
      </c>
      <c r="J2" s="521" t="s">
        <v>1123</v>
      </c>
      <c r="K2" s="521" t="s">
        <v>1073</v>
      </c>
      <c r="L2" s="533" t="s">
        <v>1122</v>
      </c>
    </row>
    <row r="3" spans="1:18" ht="20.100000000000001" customHeight="1">
      <c r="A3" s="521"/>
      <c r="B3" s="519" t="s">
        <v>1089</v>
      </c>
      <c r="C3" s="519">
        <f>古典门板作业单!K2</f>
        <v>15530608063</v>
      </c>
      <c r="D3" s="519" t="str">
        <f>古典门板作业单!L2</f>
        <v>版本型录号</v>
      </c>
      <c r="E3" s="519">
        <f>古典门板作业单!M2</f>
        <v>123</v>
      </c>
      <c r="F3" s="519"/>
      <c r="G3" s="516"/>
      <c r="I3" s="534"/>
      <c r="J3" s="534"/>
      <c r="K3" s="521"/>
      <c r="L3" s="533">
        <f>+I3*J3*K3/1000000</f>
        <v>0</v>
      </c>
    </row>
    <row r="4" spans="1:18" ht="20.100000000000001" customHeight="1">
      <c r="A4" s="521"/>
      <c r="B4" s="519"/>
      <c r="C4" s="519"/>
      <c r="D4" s="519"/>
      <c r="E4" s="519"/>
      <c r="F4" s="519"/>
      <c r="G4" s="518"/>
      <c r="H4" s="532"/>
      <c r="I4" s="509"/>
      <c r="J4" s="509"/>
    </row>
    <row r="5" spans="1:18" ht="20.100000000000001" customHeight="1">
      <c r="A5" s="519" t="s">
        <v>1121</v>
      </c>
      <c r="B5" s="519" t="s">
        <v>1120</v>
      </c>
      <c r="C5" s="519" t="s">
        <v>1119</v>
      </c>
      <c r="D5" s="519" t="s">
        <v>1073</v>
      </c>
      <c r="E5" s="519" t="s">
        <v>1118</v>
      </c>
      <c r="F5" s="519" t="s">
        <v>1117</v>
      </c>
      <c r="G5" s="516"/>
      <c r="H5" s="532"/>
      <c r="I5" s="521" t="s">
        <v>1116</v>
      </c>
      <c r="J5" s="511"/>
    </row>
    <row r="6" spans="1:18" ht="20.100000000000001" customHeight="1">
      <c r="A6" s="1000" t="s">
        <v>1115</v>
      </c>
      <c r="B6" s="519">
        <v>1</v>
      </c>
      <c r="C6" s="519" t="s">
        <v>1160</v>
      </c>
      <c r="D6" s="520">
        <f>古典门板作业单!O51-古典门板作业单!O42-古典门板作业单!O43-古典门板作业单!O44-古典门板作业单!O45-古典门板作业单!O47</f>
        <v>0</v>
      </c>
      <c r="E6" s="519" t="s">
        <v>1109</v>
      </c>
      <c r="F6" s="520"/>
      <c r="G6" s="517"/>
      <c r="I6" s="521" t="s">
        <v>1114</v>
      </c>
      <c r="J6" s="511"/>
    </row>
    <row r="7" spans="1:18" ht="20.100000000000001" customHeight="1">
      <c r="A7" s="1000"/>
      <c r="B7" s="519">
        <v>2</v>
      </c>
      <c r="C7" s="519" t="s">
        <v>1161</v>
      </c>
      <c r="D7" s="520">
        <f>古典门板作业单!O42+古典门板作业单!O43+古典门板作业单!O44+古典门板作业单!O45+古典门板作业单!O46+古典门板作业单!O47</f>
        <v>0</v>
      </c>
      <c r="E7" s="519" t="s">
        <v>1109</v>
      </c>
      <c r="F7" s="520"/>
      <c r="G7" s="517"/>
      <c r="I7" s="521" t="s">
        <v>1113</v>
      </c>
      <c r="J7" s="511"/>
    </row>
    <row r="8" spans="1:18" ht="20.100000000000001" customHeight="1">
      <c r="A8" s="1000"/>
      <c r="B8" s="519"/>
      <c r="C8" s="519"/>
      <c r="D8" s="519"/>
      <c r="E8" s="519"/>
      <c r="F8" s="519"/>
      <c r="G8" s="516"/>
    </row>
    <row r="9" spans="1:18" ht="20.100000000000001" customHeight="1">
      <c r="A9" s="1000" t="s">
        <v>1112</v>
      </c>
      <c r="B9" s="519">
        <v>1</v>
      </c>
      <c r="C9" s="521" t="s">
        <v>1159</v>
      </c>
      <c r="D9" s="528">
        <f>L3/0.75</f>
        <v>0</v>
      </c>
      <c r="E9" s="519" t="s">
        <v>1101</v>
      </c>
      <c r="F9" s="528"/>
      <c r="G9" s="527"/>
      <c r="I9" s="526" t="str">
        <f>+'[3]2014-2-28现存量'!$C$889</f>
        <v>尼龙胀塞8*60</v>
      </c>
      <c r="J9" s="526" t="s">
        <v>1099</v>
      </c>
      <c r="K9" s="526">
        <f>+K10</f>
        <v>4</v>
      </c>
      <c r="M9" s="526" t="s">
        <v>1105</v>
      </c>
      <c r="N9" s="526" t="s">
        <v>1111</v>
      </c>
      <c r="O9" s="529" t="s">
        <v>1110</v>
      </c>
      <c r="P9" s="526" t="s">
        <v>1109</v>
      </c>
      <c r="Q9" s="526">
        <v>0.5</v>
      </c>
    </row>
    <row r="10" spans="1:18" ht="20.100000000000001" customHeight="1">
      <c r="A10" s="1000"/>
      <c r="B10" s="519">
        <v>2</v>
      </c>
      <c r="C10" s="531" t="s">
        <v>1108</v>
      </c>
      <c r="D10" s="528">
        <f>古典门板作业单!P51</f>
        <v>0</v>
      </c>
      <c r="E10" s="519" t="s">
        <v>1097</v>
      </c>
      <c r="F10" s="528"/>
      <c r="G10" s="527"/>
      <c r="I10" s="530" t="s">
        <v>1107</v>
      </c>
      <c r="J10" s="530" t="s">
        <v>1106</v>
      </c>
      <c r="K10" s="526">
        <v>4</v>
      </c>
      <c r="M10" s="526" t="s">
        <v>1105</v>
      </c>
      <c r="N10" s="526" t="s">
        <v>1104</v>
      </c>
      <c r="O10" s="529" t="s">
        <v>1103</v>
      </c>
      <c r="P10" s="526" t="s">
        <v>81</v>
      </c>
      <c r="Q10" s="526">
        <v>0.5</v>
      </c>
    </row>
    <row r="11" spans="1:18" ht="20.100000000000001" customHeight="1">
      <c r="A11" s="1000"/>
      <c r="B11" s="519">
        <v>3</v>
      </c>
      <c r="C11" s="521" t="s">
        <v>1102</v>
      </c>
      <c r="D11" s="528">
        <f>L3/0.8</f>
        <v>0</v>
      </c>
      <c r="E11" s="519" t="s">
        <v>1101</v>
      </c>
      <c r="F11" s="528"/>
      <c r="G11" s="527"/>
      <c r="I11" s="526" t="s">
        <v>1100</v>
      </c>
      <c r="J11" s="526" t="s">
        <v>1099</v>
      </c>
      <c r="K11" s="526">
        <f>+K10*3</f>
        <v>12</v>
      </c>
      <c r="N11" s="524"/>
      <c r="O11" s="524"/>
      <c r="P11" s="524"/>
      <c r="Q11" s="525"/>
      <c r="R11" s="524"/>
    </row>
    <row r="12" spans="1:18" ht="20.100000000000001" customHeight="1">
      <c r="A12" s="1000"/>
      <c r="B12" s="519"/>
      <c r="C12" s="519"/>
      <c r="D12" s="519"/>
      <c r="E12" s="519"/>
      <c r="F12" s="519"/>
      <c r="G12" s="516"/>
      <c r="M12" s="524"/>
      <c r="N12" s="524"/>
      <c r="O12" s="524"/>
      <c r="P12" s="524"/>
      <c r="Q12" s="525"/>
      <c r="R12" s="524"/>
    </row>
    <row r="13" spans="1:18" ht="20.100000000000001" customHeight="1">
      <c r="A13" s="1000"/>
      <c r="B13" s="519"/>
      <c r="C13" s="519"/>
      <c r="D13" s="519"/>
      <c r="E13" s="519"/>
      <c r="F13" s="519"/>
      <c r="G13" s="516"/>
      <c r="N13" s="524"/>
      <c r="O13" s="524"/>
      <c r="P13" s="1004"/>
      <c r="Q13" s="1002"/>
      <c r="R13" s="1004"/>
    </row>
    <row r="14" spans="1:18" ht="20.100000000000001" customHeight="1">
      <c r="A14" s="1000"/>
      <c r="B14" s="519"/>
      <c r="C14" s="519"/>
      <c r="D14" s="519"/>
      <c r="E14" s="519"/>
      <c r="F14" s="519"/>
      <c r="G14" s="516"/>
      <c r="N14" s="524"/>
      <c r="O14" s="524"/>
      <c r="P14" s="1004"/>
      <c r="Q14" s="1002"/>
      <c r="R14" s="1004"/>
    </row>
    <row r="15" spans="1:18" ht="20.100000000000001" customHeight="1">
      <c r="A15" s="1000"/>
      <c r="B15" s="519"/>
      <c r="C15" s="519"/>
      <c r="D15" s="519"/>
      <c r="E15" s="519"/>
      <c r="F15" s="519"/>
      <c r="G15" s="516"/>
    </row>
    <row r="16" spans="1:18" ht="20.100000000000001" customHeight="1">
      <c r="A16" s="1000"/>
      <c r="B16" s="519"/>
      <c r="C16" s="519"/>
      <c r="D16" s="519"/>
      <c r="E16" s="519"/>
      <c r="F16" s="519"/>
      <c r="G16" s="516"/>
      <c r="M16" s="1008"/>
      <c r="N16" s="1008"/>
      <c r="O16" s="1008"/>
      <c r="P16" s="1008"/>
      <c r="Q16" s="513"/>
      <c r="R16" s="513"/>
    </row>
    <row r="17" spans="1:18" ht="20.100000000000001" customHeight="1">
      <c r="A17" s="1000"/>
      <c r="B17" s="519"/>
      <c r="C17" s="519"/>
      <c r="D17" s="520"/>
      <c r="E17" s="519"/>
      <c r="F17" s="519"/>
      <c r="G17" s="516"/>
      <c r="M17" s="516"/>
      <c r="N17" s="516"/>
      <c r="O17" s="516"/>
      <c r="P17" s="516"/>
      <c r="Q17" s="513"/>
      <c r="R17" s="513"/>
    </row>
    <row r="18" spans="1:18" ht="20.100000000000001" customHeight="1">
      <c r="A18" s="1000"/>
      <c r="B18" s="1000"/>
      <c r="C18" s="523"/>
      <c r="D18" s="522"/>
      <c r="E18" s="519"/>
      <c r="F18" s="519"/>
      <c r="G18" s="516"/>
      <c r="M18" s="516"/>
      <c r="N18" s="516"/>
      <c r="O18" s="516"/>
      <c r="P18" s="516"/>
      <c r="Q18" s="513"/>
      <c r="R18" s="513"/>
    </row>
    <row r="19" spans="1:18" ht="20.100000000000001" customHeight="1">
      <c r="A19" s="1000"/>
      <c r="B19" s="1000"/>
      <c r="C19" s="523"/>
      <c r="D19" s="522"/>
      <c r="E19" s="519"/>
      <c r="F19" s="519"/>
      <c r="G19" s="516"/>
      <c r="M19" s="516"/>
      <c r="N19" s="516"/>
      <c r="O19" s="516"/>
      <c r="P19" s="516"/>
      <c r="Q19" s="513"/>
      <c r="R19" s="513"/>
    </row>
    <row r="20" spans="1:18" ht="20.100000000000001" customHeight="1">
      <c r="A20" s="1000"/>
      <c r="B20" s="519"/>
      <c r="C20" s="519"/>
      <c r="D20" s="519"/>
      <c r="E20" s="519"/>
      <c r="F20" s="519"/>
      <c r="G20" s="516"/>
      <c r="M20" s="516"/>
      <c r="N20" s="516"/>
      <c r="O20" s="516"/>
      <c r="P20" s="516"/>
      <c r="Q20" s="513"/>
      <c r="R20" s="513"/>
    </row>
    <row r="21" spans="1:18" ht="20.100000000000001" customHeight="1">
      <c r="A21" s="1000"/>
      <c r="B21" s="519"/>
      <c r="C21" s="519"/>
      <c r="D21" s="519"/>
      <c r="E21" s="519"/>
      <c r="F21" s="519"/>
      <c r="G21" s="516"/>
      <c r="M21" s="516"/>
      <c r="N21" s="516"/>
      <c r="O21" s="516"/>
      <c r="P21" s="516"/>
      <c r="Q21" s="513"/>
      <c r="R21" s="513"/>
    </row>
    <row r="22" spans="1:18" ht="20.100000000000001" customHeight="1">
      <c r="A22" s="1000"/>
      <c r="B22" s="519"/>
      <c r="C22" s="519"/>
      <c r="D22" s="519"/>
      <c r="E22" s="519"/>
      <c r="F22" s="519"/>
      <c r="G22" s="516"/>
      <c r="M22" s="516"/>
      <c r="N22" s="516"/>
      <c r="O22" s="516"/>
      <c r="P22" s="516"/>
      <c r="Q22" s="513"/>
      <c r="R22" s="513"/>
    </row>
    <row r="23" spans="1:18" ht="20.100000000000001" customHeight="1">
      <c r="A23" s="1000"/>
      <c r="B23" s="519"/>
      <c r="C23" s="519"/>
      <c r="D23" s="519"/>
      <c r="E23" s="519"/>
      <c r="F23" s="519"/>
      <c r="G23" s="516"/>
      <c r="M23" s="516"/>
      <c r="N23" s="516"/>
      <c r="O23" s="516"/>
      <c r="P23" s="516"/>
      <c r="Q23" s="513"/>
      <c r="R23" s="513"/>
    </row>
    <row r="24" spans="1:18" ht="20.100000000000001" customHeight="1">
      <c r="A24" s="1000"/>
      <c r="B24" s="519"/>
      <c r="C24" s="519"/>
      <c r="D24" s="519"/>
      <c r="E24" s="519"/>
      <c r="F24" s="519"/>
      <c r="G24" s="516"/>
      <c r="M24" s="516"/>
      <c r="N24" s="516"/>
      <c r="O24" s="516"/>
      <c r="P24" s="516"/>
      <c r="Q24" s="513"/>
      <c r="R24" s="513"/>
    </row>
    <row r="25" spans="1:18" ht="20.100000000000001" customHeight="1">
      <c r="A25" s="519"/>
      <c r="B25" s="519"/>
      <c r="C25" s="519" t="s">
        <v>1098</v>
      </c>
      <c r="D25" s="520">
        <f>古典门板作业单!V52</f>
        <v>0</v>
      </c>
      <c r="E25" s="519" t="s">
        <v>1097</v>
      </c>
      <c r="F25" s="519"/>
      <c r="G25" s="516"/>
      <c r="M25" s="516"/>
      <c r="N25" s="516"/>
      <c r="O25" s="516"/>
      <c r="P25" s="516"/>
      <c r="Q25" s="513"/>
      <c r="R25" s="513"/>
    </row>
    <row r="26" spans="1:18" ht="20.100000000000001" customHeight="1">
      <c r="A26" s="521"/>
      <c r="B26" s="521"/>
      <c r="C26" s="521" t="s">
        <v>1096</v>
      </c>
      <c r="D26" s="520">
        <f>D25/12</f>
        <v>0</v>
      </c>
      <c r="E26" s="519" t="s">
        <v>1095</v>
      </c>
      <c r="F26" s="519"/>
      <c r="G26" s="518"/>
      <c r="M26" s="1007"/>
      <c r="N26" s="1007"/>
      <c r="O26" s="1007"/>
      <c r="P26" s="1007"/>
      <c r="Q26" s="513"/>
      <c r="R26" s="513"/>
    </row>
    <row r="27" spans="1:18" ht="20.100000000000001" customHeight="1">
      <c r="A27" s="561"/>
      <c r="B27" s="516"/>
      <c r="C27" s="516"/>
      <c r="D27" s="517"/>
      <c r="E27" s="516"/>
      <c r="F27" s="562"/>
      <c r="G27" s="516"/>
      <c r="M27" s="515"/>
      <c r="N27" s="515"/>
      <c r="O27" s="515"/>
      <c r="P27" s="515"/>
      <c r="Q27" s="513"/>
      <c r="R27" s="513"/>
    </row>
    <row r="28" spans="1:18" ht="20.100000000000001" customHeight="1">
      <c r="A28" s="563"/>
      <c r="B28" s="564"/>
      <c r="C28" s="516"/>
      <c r="D28" s="517"/>
      <c r="E28" s="516"/>
      <c r="F28" s="562"/>
      <c r="G28" s="516"/>
      <c r="M28" s="515"/>
      <c r="N28" s="515"/>
      <c r="O28" s="515"/>
      <c r="P28" s="515"/>
      <c r="Q28" s="513"/>
      <c r="R28" s="513"/>
    </row>
    <row r="29" spans="1:18" ht="20.100000000000001" customHeight="1">
      <c r="A29" s="565" t="s">
        <v>1094</v>
      </c>
      <c r="B29" s="566"/>
      <c r="C29" s="566"/>
      <c r="D29" s="566"/>
      <c r="E29" s="566"/>
      <c r="F29" s="567"/>
      <c r="G29" s="514"/>
      <c r="M29" s="1006"/>
      <c r="N29" s="1006"/>
      <c r="O29" s="1006"/>
      <c r="P29" s="1006"/>
      <c r="Q29" s="513"/>
      <c r="R29" s="513"/>
    </row>
    <row r="30" spans="1:18" ht="20.100000000000001" customHeight="1">
      <c r="A30" s="1005"/>
      <c r="B30" s="1005"/>
      <c r="C30" s="1005"/>
      <c r="D30" s="1005"/>
      <c r="E30" s="1005"/>
      <c r="F30" s="568"/>
      <c r="G30" s="512"/>
    </row>
    <row r="31" spans="1:18" ht="20.100000000000001" customHeight="1">
      <c r="A31" s="1005"/>
      <c r="B31" s="1005"/>
      <c r="C31" s="1005"/>
      <c r="D31" s="1005"/>
      <c r="E31" s="1005"/>
      <c r="F31" s="568"/>
      <c r="G31" s="512"/>
    </row>
  </sheetData>
  <mergeCells count="15">
    <mergeCell ref="R13:R14"/>
    <mergeCell ref="P13:P14"/>
    <mergeCell ref="A30:E31"/>
    <mergeCell ref="M29:P29"/>
    <mergeCell ref="A22:A24"/>
    <mergeCell ref="A9:A16"/>
    <mergeCell ref="A20:A21"/>
    <mergeCell ref="M26:P26"/>
    <mergeCell ref="M16:P16"/>
    <mergeCell ref="A6:A8"/>
    <mergeCell ref="A17:A19"/>
    <mergeCell ref="B18:B19"/>
    <mergeCell ref="A1:F1"/>
    <mergeCell ref="Q13:Q14"/>
    <mergeCell ref="I1:M1"/>
  </mergeCells>
  <phoneticPr fontId="76" type="noConversion"/>
  <dataValidations count="2">
    <dataValidation type="list" allowBlank="1" showInputMessage="1" showErrorMessage="1" sqref="C9">
      <formula1>$I$5:$I$7</formula1>
    </dataValidation>
    <dataValidation type="list" allowBlank="1" showInputMessage="1" showErrorMessage="1" sqref="WUY983057:WUZ983057 C65554 C983058 C917522 C851986 C786450 C720914 C655378 C589842 C524306 C458770 C393234 C327698 C262162 C196626 C131090 WLC983057:WLD983057 WBG983057:WBH983057 VRK983057:VRL983057 VHO983057:VHP983057 UXS983057:UXT983057 UNW983057:UNX983057 UEA983057:UEB983057 TUE983057:TUF983057 TKI983057:TKJ983057 TAM983057:TAN983057 SQQ983057:SQR983057 SGU983057:SGV983057 RWY983057:RWZ983057 RNC983057:RND983057 RDG983057:RDH983057 QTK983057:QTL983057 QJO983057:QJP983057 PZS983057:PZT983057 PPW983057:PPX983057 PGA983057:PGB983057 OWE983057:OWF983057 OMI983057:OMJ983057 OCM983057:OCN983057 NSQ983057:NSR983057 NIU983057:NIV983057 MYY983057:MYZ983057 MPC983057:MPD983057 MFG983057:MFH983057 LVK983057:LVL983057 LLO983057:LLP983057 LBS983057:LBT983057 KRW983057:KRX983057 KIA983057:KIB983057 JYE983057:JYF983057 JOI983057:JOJ983057 JEM983057:JEN983057 IUQ983057:IUR983057 IKU983057:IKV983057 IAY983057:IAZ983057 HRC983057:HRD983057 HHG983057:HHH983057 GXK983057:GXL983057 GNO983057:GNP983057 GDS983057:GDT983057 FTW983057:FTX983057 FKA983057:FKB983057 FAE983057:FAF983057 EQI983057:EQJ983057 EGM983057:EGN983057 DWQ983057:DWR983057 DMU983057:DMV983057 DCY983057:DCZ983057 CTC983057:CTD983057 CJG983057:CJH983057 BZK983057:BZL983057 BPO983057:BPP983057 BFS983057:BFT983057 AVW983057:AVX983057 AMA983057:AMB983057 ACE983057:ACF983057 SI983057:SJ983057 IM983057:IN983057 WUY917521:WUZ917521 WLC917521:WLD917521 WBG917521:WBH917521 VRK917521:VRL917521 VHO917521:VHP917521 UXS917521:UXT917521 UNW917521:UNX917521 UEA917521:UEB917521 TUE917521:TUF917521 TKI917521:TKJ917521 TAM917521:TAN917521 SQQ917521:SQR917521 SGU917521:SGV917521 RWY917521:RWZ917521 RNC917521:RND917521 RDG917521:RDH917521 QTK917521:QTL917521 QJO917521:QJP917521 PZS917521:PZT917521 PPW917521:PPX917521 PGA917521:PGB917521 OWE917521:OWF917521 OMI917521:OMJ917521 OCM917521:OCN917521 NSQ917521:NSR917521 NIU917521:NIV917521 MYY917521:MYZ917521 MPC917521:MPD917521 MFG917521:MFH917521 LVK917521:LVL917521 LLO917521:LLP917521 LBS917521:LBT917521 KRW917521:KRX917521 KIA917521:KIB917521 JYE917521:JYF917521 JOI917521:JOJ917521 JEM917521:JEN917521 IUQ917521:IUR917521 IKU917521:IKV917521 IAY917521:IAZ917521 HRC917521:HRD917521 HHG917521:HHH917521 GXK917521:GXL917521 GNO917521:GNP917521 GDS917521:GDT917521 FTW917521:FTX917521 FKA917521:FKB917521 FAE917521:FAF917521 EQI917521:EQJ917521 EGM917521:EGN917521 DWQ917521:DWR917521 DMU917521:DMV917521 DCY917521:DCZ917521 CTC917521:CTD917521 CJG917521:CJH917521 BZK917521:BZL917521 BPO917521:BPP917521 BFS917521:BFT917521 AVW917521:AVX917521 AMA917521:AMB917521 ACE917521:ACF917521 SI917521:SJ917521 IM917521:IN917521 WUY851985:WUZ851985 WLC851985:WLD851985 WBG851985:WBH851985 VRK851985:VRL851985 VHO851985:VHP851985 UXS851985:UXT851985 UNW851985:UNX851985 UEA851985:UEB851985 TUE851985:TUF851985 TKI851985:TKJ851985 TAM851985:TAN851985 SQQ851985:SQR851985 SGU851985:SGV851985 RWY851985:RWZ851985 RNC851985:RND851985 RDG851985:RDH851985 QTK851985:QTL851985 QJO851985:QJP851985 PZS851985:PZT851985 PPW851985:PPX851985 PGA851985:PGB851985 OWE851985:OWF851985 OMI851985:OMJ851985 OCM851985:OCN851985 NSQ851985:NSR851985 NIU851985:NIV851985 MYY851985:MYZ851985 MPC851985:MPD851985 MFG851985:MFH851985 LVK851985:LVL851985 LLO851985:LLP851985 LBS851985:LBT851985 KRW851985:KRX851985 KIA851985:KIB851985 JYE851985:JYF851985 JOI851985:JOJ851985 JEM851985:JEN851985 IUQ851985:IUR851985 IKU851985:IKV851985 IAY851985:IAZ851985 HRC851985:HRD851985 HHG851985:HHH851985 GXK851985:GXL851985 GNO851985:GNP851985 GDS851985:GDT851985 FTW851985:FTX851985 FKA851985:FKB851985 FAE851985:FAF851985 EQI851985:EQJ851985 EGM851985:EGN851985 DWQ851985:DWR851985 DMU851985:DMV851985 DCY851985:DCZ851985 CTC851985:CTD851985 CJG851985:CJH851985 BZK851985:BZL851985 BPO851985:BPP851985 BFS851985:BFT851985 AVW851985:AVX851985 AMA851985:AMB851985 ACE851985:ACF851985 SI851985:SJ851985 IM851985:IN851985 WUY786449:WUZ786449 WLC786449:WLD786449 WBG786449:WBH786449 VRK786449:VRL786449 VHO786449:VHP786449 UXS786449:UXT786449 UNW786449:UNX786449 UEA786449:UEB786449 TUE786449:TUF786449 TKI786449:TKJ786449 TAM786449:TAN786449 SQQ786449:SQR786449 SGU786449:SGV786449 RWY786449:RWZ786449 RNC786449:RND786449 RDG786449:RDH786449 QTK786449:QTL786449 QJO786449:QJP786449 PZS786449:PZT786449 PPW786449:PPX786449 PGA786449:PGB786449 OWE786449:OWF786449 OMI786449:OMJ786449 OCM786449:OCN786449 NSQ786449:NSR786449 NIU786449:NIV786449 MYY786449:MYZ786449 MPC786449:MPD786449 MFG786449:MFH786449 LVK786449:LVL786449 LLO786449:LLP786449 LBS786449:LBT786449 KRW786449:KRX786449 KIA786449:KIB786449 JYE786449:JYF786449 JOI786449:JOJ786449 JEM786449:JEN786449 IUQ786449:IUR786449 IKU786449:IKV786449 IAY786449:IAZ786449 HRC786449:HRD786449 HHG786449:HHH786449 GXK786449:GXL786449 GNO786449:GNP786449 GDS786449:GDT786449 FTW786449:FTX786449 FKA786449:FKB786449 FAE786449:FAF786449 EQI786449:EQJ786449 EGM786449:EGN786449 DWQ786449:DWR786449 DMU786449:DMV786449 DCY786449:DCZ786449 CTC786449:CTD786449 CJG786449:CJH786449 BZK786449:BZL786449 BPO786449:BPP786449 BFS786449:BFT786449 AVW786449:AVX786449 AMA786449:AMB786449 ACE786449:ACF786449 SI786449:SJ786449 IM786449:IN786449 WUY720913:WUZ720913 WLC720913:WLD720913 WBG720913:WBH720913 VRK720913:VRL720913 VHO720913:VHP720913 UXS720913:UXT720913 UNW720913:UNX720913 UEA720913:UEB720913 TUE720913:TUF720913 TKI720913:TKJ720913 TAM720913:TAN720913 SQQ720913:SQR720913 SGU720913:SGV720913 RWY720913:RWZ720913 RNC720913:RND720913 RDG720913:RDH720913 QTK720913:QTL720913 QJO720913:QJP720913 PZS720913:PZT720913 PPW720913:PPX720913 PGA720913:PGB720913 OWE720913:OWF720913 OMI720913:OMJ720913 OCM720913:OCN720913 NSQ720913:NSR720913 NIU720913:NIV720913 MYY720913:MYZ720913 MPC720913:MPD720913 MFG720913:MFH720913 LVK720913:LVL720913 LLO720913:LLP720913 LBS720913:LBT720913 KRW720913:KRX720913 KIA720913:KIB720913 JYE720913:JYF720913 JOI720913:JOJ720913 JEM720913:JEN720913 IUQ720913:IUR720913 IKU720913:IKV720913 IAY720913:IAZ720913 HRC720913:HRD720913 HHG720913:HHH720913 GXK720913:GXL720913 GNO720913:GNP720913 GDS720913:GDT720913 FTW720913:FTX720913 FKA720913:FKB720913 FAE720913:FAF720913 EQI720913:EQJ720913 EGM720913:EGN720913 DWQ720913:DWR720913 DMU720913:DMV720913 DCY720913:DCZ720913 CTC720913:CTD720913 CJG720913:CJH720913 BZK720913:BZL720913 BPO720913:BPP720913 BFS720913:BFT720913 AVW720913:AVX720913 AMA720913:AMB720913 ACE720913:ACF720913 SI720913:SJ720913 IM720913:IN720913 WUY655377:WUZ655377 WLC655377:WLD655377 WBG655377:WBH655377 VRK655377:VRL655377 VHO655377:VHP655377 UXS655377:UXT655377 UNW655377:UNX655377 UEA655377:UEB655377 TUE655377:TUF655377 TKI655377:TKJ655377 TAM655377:TAN655377 SQQ655377:SQR655377 SGU655377:SGV655377 RWY655377:RWZ655377 RNC655377:RND655377 RDG655377:RDH655377 QTK655377:QTL655377 QJO655377:QJP655377 PZS655377:PZT655377 PPW655377:PPX655377 PGA655377:PGB655377 OWE655377:OWF655377 OMI655377:OMJ655377 OCM655377:OCN655377 NSQ655377:NSR655377 NIU655377:NIV655377 MYY655377:MYZ655377 MPC655377:MPD655377 MFG655377:MFH655377 LVK655377:LVL655377 LLO655377:LLP655377 LBS655377:LBT655377 KRW655377:KRX655377 KIA655377:KIB655377 JYE655377:JYF655377 JOI655377:JOJ655377 JEM655377:JEN655377 IUQ655377:IUR655377 IKU655377:IKV655377 IAY655377:IAZ655377 HRC655377:HRD655377 HHG655377:HHH655377 GXK655377:GXL655377 GNO655377:GNP655377 GDS655377:GDT655377 FTW655377:FTX655377 FKA655377:FKB655377 FAE655377:FAF655377 EQI655377:EQJ655377 EGM655377:EGN655377 DWQ655377:DWR655377 DMU655377:DMV655377 DCY655377:DCZ655377 CTC655377:CTD655377 CJG655377:CJH655377 BZK655377:BZL655377 BPO655377:BPP655377 BFS655377:BFT655377 AVW655377:AVX655377 AMA655377:AMB655377 ACE655377:ACF655377 SI655377:SJ655377 IM655377:IN655377 WUY589841:WUZ589841 WLC589841:WLD589841 WBG589841:WBH589841 VRK589841:VRL589841 VHO589841:VHP589841 UXS589841:UXT589841 UNW589841:UNX589841 UEA589841:UEB589841 TUE589841:TUF589841 TKI589841:TKJ589841 TAM589841:TAN589841 SQQ589841:SQR589841 SGU589841:SGV589841 RWY589841:RWZ589841 RNC589841:RND589841 RDG589841:RDH589841 QTK589841:QTL589841 QJO589841:QJP589841 PZS589841:PZT589841 PPW589841:PPX589841 PGA589841:PGB589841 OWE589841:OWF589841 OMI589841:OMJ589841 OCM589841:OCN589841 NSQ589841:NSR589841 NIU589841:NIV589841 MYY589841:MYZ589841 MPC589841:MPD589841 MFG589841:MFH589841 LVK589841:LVL589841 LLO589841:LLP589841 LBS589841:LBT589841 KRW589841:KRX589841 KIA589841:KIB589841 JYE589841:JYF589841 JOI589841:JOJ589841 JEM589841:JEN589841 IUQ589841:IUR589841 IKU589841:IKV589841 IAY589841:IAZ589841 HRC589841:HRD589841 HHG589841:HHH589841 GXK589841:GXL589841 GNO589841:GNP589841 GDS589841:GDT589841 FTW589841:FTX589841 FKA589841:FKB589841 FAE589841:FAF589841 EQI589841:EQJ589841 EGM589841:EGN589841 DWQ589841:DWR589841 DMU589841:DMV589841 DCY589841:DCZ589841 CTC589841:CTD589841 CJG589841:CJH589841 BZK589841:BZL589841 BPO589841:BPP589841 BFS589841:BFT589841 AVW589841:AVX589841 AMA589841:AMB589841 ACE589841:ACF589841 SI589841:SJ589841 IM589841:IN589841 WUY524305:WUZ524305 WLC524305:WLD524305 WBG524305:WBH524305 VRK524305:VRL524305 VHO524305:VHP524305 UXS524305:UXT524305 UNW524305:UNX524305 UEA524305:UEB524305 TUE524305:TUF524305 TKI524305:TKJ524305 TAM524305:TAN524305 SQQ524305:SQR524305 SGU524305:SGV524305 RWY524305:RWZ524305 RNC524305:RND524305 RDG524305:RDH524305 QTK524305:QTL524305 QJO524305:QJP524305 PZS524305:PZT524305 PPW524305:PPX524305 PGA524305:PGB524305 OWE524305:OWF524305 OMI524305:OMJ524305 OCM524305:OCN524305 NSQ524305:NSR524305 NIU524305:NIV524305 MYY524305:MYZ524305 MPC524305:MPD524305 MFG524305:MFH524305 LVK524305:LVL524305 LLO524305:LLP524305 LBS524305:LBT524305 KRW524305:KRX524305 KIA524305:KIB524305 JYE524305:JYF524305 JOI524305:JOJ524305 JEM524305:JEN524305 IUQ524305:IUR524305 IKU524305:IKV524305 IAY524305:IAZ524305 HRC524305:HRD524305 HHG524305:HHH524305 GXK524305:GXL524305 GNO524305:GNP524305 GDS524305:GDT524305 FTW524305:FTX524305 FKA524305:FKB524305 FAE524305:FAF524305 EQI524305:EQJ524305 EGM524305:EGN524305 DWQ524305:DWR524305 DMU524305:DMV524305 DCY524305:DCZ524305 CTC524305:CTD524305 CJG524305:CJH524305 BZK524305:BZL524305 BPO524305:BPP524305 BFS524305:BFT524305 AVW524305:AVX524305 AMA524305:AMB524305 ACE524305:ACF524305 SI524305:SJ524305 IM524305:IN524305 WUY458769:WUZ458769 WLC458769:WLD458769 WBG458769:WBH458769 VRK458769:VRL458769 VHO458769:VHP458769 UXS458769:UXT458769 UNW458769:UNX458769 UEA458769:UEB458769 TUE458769:TUF458769 TKI458769:TKJ458769 TAM458769:TAN458769 SQQ458769:SQR458769 SGU458769:SGV458769 RWY458769:RWZ458769 RNC458769:RND458769 RDG458769:RDH458769 QTK458769:QTL458769 QJO458769:QJP458769 PZS458769:PZT458769 PPW458769:PPX458769 PGA458769:PGB458769 OWE458769:OWF458769 OMI458769:OMJ458769 OCM458769:OCN458769 NSQ458769:NSR458769 NIU458769:NIV458769 MYY458769:MYZ458769 MPC458769:MPD458769 MFG458769:MFH458769 LVK458769:LVL458769 LLO458769:LLP458769 LBS458769:LBT458769 KRW458769:KRX458769 KIA458769:KIB458769 JYE458769:JYF458769 JOI458769:JOJ458769 JEM458769:JEN458769 IUQ458769:IUR458769 IKU458769:IKV458769 IAY458769:IAZ458769 HRC458769:HRD458769 HHG458769:HHH458769 GXK458769:GXL458769 GNO458769:GNP458769 GDS458769:GDT458769 FTW458769:FTX458769 FKA458769:FKB458769 FAE458769:FAF458769 EQI458769:EQJ458769 EGM458769:EGN458769 DWQ458769:DWR458769 DMU458769:DMV458769 DCY458769:DCZ458769 CTC458769:CTD458769 CJG458769:CJH458769 BZK458769:BZL458769 BPO458769:BPP458769 BFS458769:BFT458769 AVW458769:AVX458769 AMA458769:AMB458769 ACE458769:ACF458769 SI458769:SJ458769 IM458769:IN458769 WUY393233:WUZ393233 WLC393233:WLD393233 WBG393233:WBH393233 VRK393233:VRL393233 VHO393233:VHP393233 UXS393233:UXT393233 UNW393233:UNX393233 UEA393233:UEB393233 TUE393233:TUF393233 TKI393233:TKJ393233 TAM393233:TAN393233 SQQ393233:SQR393233 SGU393233:SGV393233 RWY393233:RWZ393233 RNC393233:RND393233 RDG393233:RDH393233 QTK393233:QTL393233 QJO393233:QJP393233 PZS393233:PZT393233 PPW393233:PPX393233 PGA393233:PGB393233 OWE393233:OWF393233 OMI393233:OMJ393233 OCM393233:OCN393233 NSQ393233:NSR393233 NIU393233:NIV393233 MYY393233:MYZ393233 MPC393233:MPD393233 MFG393233:MFH393233 LVK393233:LVL393233 LLO393233:LLP393233 LBS393233:LBT393233 KRW393233:KRX393233 KIA393233:KIB393233 JYE393233:JYF393233 JOI393233:JOJ393233 JEM393233:JEN393233 IUQ393233:IUR393233 IKU393233:IKV393233 IAY393233:IAZ393233 HRC393233:HRD393233 HHG393233:HHH393233 GXK393233:GXL393233 GNO393233:GNP393233 GDS393233:GDT393233 FTW393233:FTX393233 FKA393233:FKB393233 FAE393233:FAF393233 EQI393233:EQJ393233 EGM393233:EGN393233 DWQ393233:DWR393233 DMU393233:DMV393233 DCY393233:DCZ393233 CTC393233:CTD393233 CJG393233:CJH393233 BZK393233:BZL393233 BPO393233:BPP393233 BFS393233:BFT393233 AVW393233:AVX393233 AMA393233:AMB393233 ACE393233:ACF393233 SI393233:SJ393233 IM393233:IN393233 WUY327697:WUZ327697 WLC327697:WLD327697 WBG327697:WBH327697 VRK327697:VRL327697 VHO327697:VHP327697 UXS327697:UXT327697 UNW327697:UNX327697 UEA327697:UEB327697 TUE327697:TUF327697 TKI327697:TKJ327697 TAM327697:TAN327697 SQQ327697:SQR327697 SGU327697:SGV327697 RWY327697:RWZ327697 RNC327697:RND327697 RDG327697:RDH327697 QTK327697:QTL327697 QJO327697:QJP327697 PZS327697:PZT327697 PPW327697:PPX327697 PGA327697:PGB327697 OWE327697:OWF327697 OMI327697:OMJ327697 OCM327697:OCN327697 NSQ327697:NSR327697 NIU327697:NIV327697 MYY327697:MYZ327697 MPC327697:MPD327697 MFG327697:MFH327697 LVK327697:LVL327697 LLO327697:LLP327697 LBS327697:LBT327697 KRW327697:KRX327697 KIA327697:KIB327697 JYE327697:JYF327697 JOI327697:JOJ327697 JEM327697:JEN327697 IUQ327697:IUR327697 IKU327697:IKV327697 IAY327697:IAZ327697 HRC327697:HRD327697 HHG327697:HHH327697 GXK327697:GXL327697 GNO327697:GNP327697 GDS327697:GDT327697 FTW327697:FTX327697 FKA327697:FKB327697 FAE327697:FAF327697 EQI327697:EQJ327697 EGM327697:EGN327697 DWQ327697:DWR327697 DMU327697:DMV327697 DCY327697:DCZ327697 CTC327697:CTD327697 CJG327697:CJH327697 BZK327697:BZL327697 BPO327697:BPP327697 BFS327697:BFT327697 AVW327697:AVX327697 AMA327697:AMB327697 ACE327697:ACF327697 SI327697:SJ327697 IM327697:IN327697 WUY262161:WUZ262161 WLC262161:WLD262161 WBG262161:WBH262161 VRK262161:VRL262161 VHO262161:VHP262161 UXS262161:UXT262161 UNW262161:UNX262161 UEA262161:UEB262161 TUE262161:TUF262161 TKI262161:TKJ262161 TAM262161:TAN262161 SQQ262161:SQR262161 SGU262161:SGV262161 RWY262161:RWZ262161 RNC262161:RND262161 RDG262161:RDH262161 QTK262161:QTL262161 QJO262161:QJP262161 PZS262161:PZT262161 PPW262161:PPX262161 PGA262161:PGB262161 OWE262161:OWF262161 OMI262161:OMJ262161 OCM262161:OCN262161 NSQ262161:NSR262161 NIU262161:NIV262161 MYY262161:MYZ262161 MPC262161:MPD262161 MFG262161:MFH262161 LVK262161:LVL262161 LLO262161:LLP262161 LBS262161:LBT262161 KRW262161:KRX262161 KIA262161:KIB262161 JYE262161:JYF262161 JOI262161:JOJ262161 JEM262161:JEN262161 IUQ262161:IUR262161 IKU262161:IKV262161 IAY262161:IAZ262161 HRC262161:HRD262161 HHG262161:HHH262161 GXK262161:GXL262161 GNO262161:GNP262161 GDS262161:GDT262161 FTW262161:FTX262161 FKA262161:FKB262161 FAE262161:FAF262161 EQI262161:EQJ262161 EGM262161:EGN262161 DWQ262161:DWR262161 DMU262161:DMV262161 DCY262161:DCZ262161 CTC262161:CTD262161 CJG262161:CJH262161 BZK262161:BZL262161 BPO262161:BPP262161 BFS262161:BFT262161 AVW262161:AVX262161 AMA262161:AMB262161 ACE262161:ACF262161 SI262161:SJ262161 IM262161:IN262161 WUY196625:WUZ196625 WLC196625:WLD196625 WBG196625:WBH196625 VRK196625:VRL196625 VHO196625:VHP196625 UXS196625:UXT196625 UNW196625:UNX196625 UEA196625:UEB196625 TUE196625:TUF196625 TKI196625:TKJ196625 TAM196625:TAN196625 SQQ196625:SQR196625 SGU196625:SGV196625 RWY196625:RWZ196625 RNC196625:RND196625 RDG196625:RDH196625 QTK196625:QTL196625 QJO196625:QJP196625 PZS196625:PZT196625 PPW196625:PPX196625 PGA196625:PGB196625 OWE196625:OWF196625 OMI196625:OMJ196625 OCM196625:OCN196625 NSQ196625:NSR196625 NIU196625:NIV196625 MYY196625:MYZ196625 MPC196625:MPD196625 MFG196625:MFH196625 LVK196625:LVL196625 LLO196625:LLP196625 LBS196625:LBT196625 KRW196625:KRX196625 KIA196625:KIB196625 JYE196625:JYF196625 JOI196625:JOJ196625 JEM196625:JEN196625 IUQ196625:IUR196625 IKU196625:IKV196625 IAY196625:IAZ196625 HRC196625:HRD196625 HHG196625:HHH196625 GXK196625:GXL196625 GNO196625:GNP196625 GDS196625:GDT196625 FTW196625:FTX196625 FKA196625:FKB196625 FAE196625:FAF196625 EQI196625:EQJ196625 EGM196625:EGN196625 DWQ196625:DWR196625 DMU196625:DMV196625 DCY196625:DCZ196625 CTC196625:CTD196625 CJG196625:CJH196625 BZK196625:BZL196625 BPO196625:BPP196625 BFS196625:BFT196625 AVW196625:AVX196625 AMA196625:AMB196625 ACE196625:ACF196625 SI196625:SJ196625 IM196625:IN196625 WUY131089:WUZ131089 WLC131089:WLD131089 WBG131089:WBH131089 VRK131089:VRL131089 VHO131089:VHP131089 UXS131089:UXT131089 UNW131089:UNX131089 UEA131089:UEB131089 TUE131089:TUF131089 TKI131089:TKJ131089 TAM131089:TAN131089 SQQ131089:SQR131089 SGU131089:SGV131089 RWY131089:RWZ131089 RNC131089:RND131089 RDG131089:RDH131089 QTK131089:QTL131089 QJO131089:QJP131089 PZS131089:PZT131089 PPW131089:PPX131089 PGA131089:PGB131089 OWE131089:OWF131089 OMI131089:OMJ131089 OCM131089:OCN131089 NSQ131089:NSR131089 NIU131089:NIV131089 MYY131089:MYZ131089 MPC131089:MPD131089 MFG131089:MFH131089 LVK131089:LVL131089 LLO131089:LLP131089 LBS131089:LBT131089 KRW131089:KRX131089 KIA131089:KIB131089 JYE131089:JYF131089 JOI131089:JOJ131089 JEM131089:JEN131089 IUQ131089:IUR131089 IKU131089:IKV131089 IAY131089:IAZ131089 HRC131089:HRD131089 HHG131089:HHH131089 GXK131089:GXL131089 GNO131089:GNP131089 GDS131089:GDT131089 FTW131089:FTX131089 FKA131089:FKB131089 FAE131089:FAF131089 EQI131089:EQJ131089 EGM131089:EGN131089 DWQ131089:DWR131089 DMU131089:DMV131089 DCY131089:DCZ131089 CTC131089:CTD131089 CJG131089:CJH131089 BZK131089:BZL131089 BPO131089:BPP131089 BFS131089:BFT131089 AVW131089:AVX131089 AMA131089:AMB131089 ACE131089:ACF131089 SI131089:SJ131089 IM131089:IN131089 WUY65553:WUZ65553 WLC65553:WLD65553 WBG65553:WBH65553 VRK65553:VRL65553 VHO65553:VHP65553 UXS65553:UXT65553 UNW65553:UNX65553 UEA65553:UEB65553 TUE65553:TUF65553 TKI65553:TKJ65553 TAM65553:TAN65553 SQQ65553:SQR65553 SGU65553:SGV65553 RWY65553:RWZ65553 RNC65553:RND65553 RDG65553:RDH65553 QTK65553:QTL65553 QJO65553:QJP65553 PZS65553:PZT65553 PPW65553:PPX65553 PGA65553:PGB65553 OWE65553:OWF65553 OMI65553:OMJ65553 OCM65553:OCN65553 NSQ65553:NSR65553 NIU65553:NIV65553 MYY65553:MYZ65553 MPC65553:MPD65553 MFG65553:MFH65553 LVK65553:LVL65553 LLO65553:LLP65553 LBS65553:LBT65553 KRW65553:KRX65553 KIA65553:KIB65553 JYE65553:JYF65553 JOI65553:JOJ65553 JEM65553:JEN65553 IUQ65553:IUR65553 IKU65553:IKV65553 IAY65553:IAZ65553 HRC65553:HRD65553 HHG65553:HHH65553 GXK65553:GXL65553 GNO65553:GNP65553 GDS65553:GDT65553 FTW65553:FTX65553 FKA65553:FKB65553 FAE65553:FAF65553 EQI65553:EQJ65553 EGM65553:EGN65553 DWQ65553:DWR65553 DMU65553:DMV65553 DCY65553:DCZ65553 CTC65553:CTD65553 CJG65553:CJH65553 BZK65553:BZL65553 BPO65553:BPP65553 BFS65553:BFT65553 AVW65553:AVX65553 AMA65553:AMB65553 ACE65553:ACF65553 SI65553:SJ65553 IM65553:IN65553 SI9:SJ9 ACE9:ACF9 AMA9:AMB9 AVW9:AVX9 BFS9:BFT9 BPO9:BPP9 BZK9:BZL9 CJG9:CJH9 CTC9:CTD9 DCY9:DCZ9 DMU9:DMV9 DWQ9:DWR9 EGM9:EGN9 EQI9:EQJ9 FAE9:FAF9 FKA9:FKB9 FTW9:FTX9 GDS9:GDT9 GNO9:GNP9 GXK9:GXL9 HHG9:HHH9 HRC9:HRD9 IAY9:IAZ9 IKU9:IKV9 IUQ9:IUR9 JEM9:JEN9 JOI9:JOJ9 JYE9:JYF9 KIA9:KIB9 KRW9:KRX9 LBS9:LBT9 LLO9:LLP9 LVK9:LVL9 MFG9:MFH9 MPC9:MPD9 MYY9:MYZ9 NIU9:NIV9 NSQ9:NSR9 OCM9:OCN9 OMI9:OMJ9 OWE9:OWF9 PGA9:PGB9 PPW9:PPX9 PZS9:PZT9 QJO9:QJP9 QTK9:QTL9 RDG9:RDH9 RNC9:RND9 RWY9:RWZ9 SGU9:SGV9 SQQ9:SQR9 TAM9:TAN9 TKI9:TKJ9 TUE9:TUF9 UEA9:UEB9 UNW9:UNX9 UXS9:UXT9 VHO9:VHP9 VRK9:VRL9 WBG9:WBH9 WLC9:WLD9 WUY9:WUZ9 IM9:IN9">
      <formula1>$K$7:$K$8</formula1>
    </dataValidation>
  </dataValidations>
  <printOptions horizontalCentered="1"/>
  <pageMargins left="0.19685039370078741" right="0.19685039370078741" top="0.74803149606299213" bottom="0.74803149606299213" header="0.31496062992125984" footer="0.31496062992125984"/>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J47"/>
  <sheetViews>
    <sheetView view="pageBreakPreview" zoomScaleSheetLayoutView="100" workbookViewId="0">
      <selection activeCell="L11" sqref="L11"/>
    </sheetView>
  </sheetViews>
  <sheetFormatPr defaultRowHeight="20.100000000000001" customHeight="1"/>
  <cols>
    <col min="1" max="1" width="7.5" style="449" customWidth="1"/>
    <col min="2" max="2" width="7.375" style="438" customWidth="1"/>
    <col min="3" max="3" width="12.5" style="438" customWidth="1"/>
    <col min="4" max="4" width="9.375" style="449" customWidth="1"/>
    <col min="5" max="5" width="5.875" style="449" customWidth="1"/>
    <col min="6" max="6" width="8" style="449" customWidth="1"/>
    <col min="7" max="7" width="8.75" style="449" customWidth="1"/>
    <col min="8" max="8" width="9.375" style="449" customWidth="1"/>
    <col min="9" max="9" width="6.125" style="449" customWidth="1"/>
    <col min="10" max="10" width="6.625" style="449" customWidth="1"/>
    <col min="11" max="16384" width="9" style="449"/>
  </cols>
  <sheetData>
    <row r="1" spans="1:10" ht="24.75" customHeight="1">
      <c r="A1" s="978" t="s">
        <v>1193</v>
      </c>
      <c r="B1" s="978"/>
      <c r="C1" s="978"/>
      <c r="D1" s="978"/>
      <c r="E1" s="978"/>
      <c r="F1" s="978"/>
      <c r="G1" s="978"/>
      <c r="H1" s="978"/>
      <c r="I1" s="978"/>
      <c r="J1" s="978"/>
    </row>
    <row r="2" spans="1:10" ht="19.5" customHeight="1">
      <c r="A2" s="537" t="s">
        <v>1194</v>
      </c>
      <c r="B2" s="977" t="str">
        <f>柜体!B2</f>
        <v>赵蕊</v>
      </c>
      <c r="C2" s="977"/>
      <c r="D2" s="538" t="s">
        <v>1195</v>
      </c>
      <c r="E2" s="977">
        <f>柜体!E2</f>
        <v>15530608063</v>
      </c>
      <c r="F2" s="977"/>
      <c r="G2" s="977"/>
      <c r="H2" s="538" t="s">
        <v>1196</v>
      </c>
      <c r="I2" s="866">
        <f>柜体!I2</f>
        <v>0</v>
      </c>
      <c r="J2" s="866"/>
    </row>
    <row r="3" spans="1:10" ht="19.5" customHeight="1">
      <c r="A3" s="538" t="s">
        <v>1197</v>
      </c>
      <c r="B3" s="977" t="str">
        <f>[4]西迪布赛下料单!M5</f>
        <v>西迪布赛</v>
      </c>
      <c r="C3" s="977"/>
      <c r="D3" s="538" t="s">
        <v>1198</v>
      </c>
      <c r="E3" s="977">
        <f>西迪布赛作业单!B4</f>
        <v>0</v>
      </c>
      <c r="F3" s="977"/>
      <c r="G3" s="977"/>
      <c r="H3" s="538" t="s">
        <v>1199</v>
      </c>
      <c r="I3" s="866">
        <f>柜体!I3</f>
        <v>43129</v>
      </c>
      <c r="J3" s="866"/>
    </row>
    <row r="4" spans="1:10" ht="27.75" customHeight="1">
      <c r="A4" s="538" t="s">
        <v>1200</v>
      </c>
      <c r="B4" s="977" t="str">
        <f>柜体!B4</f>
        <v>廊坊</v>
      </c>
      <c r="C4" s="977"/>
      <c r="D4" s="450" t="s">
        <v>1201</v>
      </c>
      <c r="E4" s="976">
        <f>柜体!E4</f>
        <v>123</v>
      </c>
      <c r="F4" s="976"/>
      <c r="G4" s="976"/>
      <c r="H4" s="538" t="s">
        <v>1202</v>
      </c>
      <c r="I4" s="866">
        <f>柜体!I4</f>
        <v>43169</v>
      </c>
      <c r="J4" s="866"/>
    </row>
    <row r="5" spans="1:10" ht="19.5" customHeight="1">
      <c r="A5" s="538" t="s">
        <v>1203</v>
      </c>
      <c r="B5" s="538" t="s">
        <v>1204</v>
      </c>
      <c r="C5" s="574" t="s">
        <v>1205</v>
      </c>
      <c r="D5" s="538" t="s">
        <v>1206</v>
      </c>
      <c r="E5" s="538" t="s">
        <v>1207</v>
      </c>
      <c r="F5" s="538" t="s">
        <v>1208</v>
      </c>
      <c r="G5" s="538" t="s">
        <v>1209</v>
      </c>
      <c r="H5" s="538" t="s">
        <v>1210</v>
      </c>
      <c r="I5" s="977" t="s">
        <v>1211</v>
      </c>
      <c r="J5" s="977"/>
    </row>
    <row r="6" spans="1:10" ht="19.5" customHeight="1">
      <c r="A6" s="538" t="s">
        <v>1212</v>
      </c>
      <c r="B6" s="977"/>
      <c r="C6" s="977"/>
      <c r="D6" s="538" t="s">
        <v>1213</v>
      </c>
      <c r="E6" s="977"/>
      <c r="F6" s="977"/>
      <c r="G6" s="977"/>
      <c r="H6" s="538" t="s">
        <v>1214</v>
      </c>
      <c r="I6" s="977"/>
      <c r="J6" s="977"/>
    </row>
    <row r="7" spans="1:10" ht="19.5" customHeight="1">
      <c r="A7" s="538" t="s">
        <v>1215</v>
      </c>
      <c r="B7" s="538" t="s">
        <v>1216</v>
      </c>
      <c r="C7" s="538" t="s">
        <v>1217</v>
      </c>
      <c r="D7" s="538" t="s">
        <v>1218</v>
      </c>
      <c r="E7" s="538" t="s">
        <v>1219</v>
      </c>
      <c r="F7" s="538" t="s">
        <v>1196</v>
      </c>
      <c r="G7" s="538" t="s">
        <v>1220</v>
      </c>
      <c r="H7" s="538" t="s">
        <v>1221</v>
      </c>
      <c r="I7" s="538" t="s">
        <v>1222</v>
      </c>
      <c r="J7" s="538" t="s">
        <v>1223</v>
      </c>
    </row>
    <row r="8" spans="1:10" ht="19.5" customHeight="1">
      <c r="A8" s="538">
        <v>1</v>
      </c>
      <c r="B8" s="975" t="s">
        <v>1224</v>
      </c>
      <c r="C8" s="350" t="s">
        <v>1225</v>
      </c>
      <c r="D8" s="538"/>
      <c r="E8" s="538" t="s">
        <v>1226</v>
      </c>
      <c r="F8" s="538"/>
      <c r="G8" s="538"/>
      <c r="H8" s="538"/>
      <c r="I8" s="538"/>
      <c r="J8" s="575"/>
    </row>
    <row r="9" spans="1:10" ht="19.5" customHeight="1">
      <c r="A9" s="538">
        <v>2</v>
      </c>
      <c r="B9" s="975"/>
      <c r="C9" s="350" t="s">
        <v>261</v>
      </c>
      <c r="D9" s="538"/>
      <c r="E9" s="538" t="s">
        <v>1226</v>
      </c>
      <c r="F9" s="538"/>
      <c r="G9" s="538"/>
      <c r="H9" s="538"/>
      <c r="I9" s="538"/>
      <c r="J9" s="575"/>
    </row>
    <row r="10" spans="1:10" ht="19.5" customHeight="1">
      <c r="A10" s="538">
        <v>3</v>
      </c>
      <c r="B10" s="975"/>
      <c r="C10" s="539" t="s">
        <v>1227</v>
      </c>
      <c r="D10" s="538"/>
      <c r="E10" s="538" t="s">
        <v>1228</v>
      </c>
      <c r="F10" s="538"/>
      <c r="G10" s="538"/>
      <c r="H10" s="538"/>
      <c r="I10" s="538"/>
      <c r="J10" s="575"/>
    </row>
    <row r="11" spans="1:10" ht="19.5" customHeight="1">
      <c r="A11" s="538">
        <v>4</v>
      </c>
      <c r="B11" s="975" t="s">
        <v>1229</v>
      </c>
      <c r="C11" s="350" t="s">
        <v>1230</v>
      </c>
      <c r="D11" s="538"/>
      <c r="E11" s="538" t="s">
        <v>1231</v>
      </c>
      <c r="F11" s="538"/>
      <c r="G11" s="538"/>
      <c r="H11" s="538"/>
      <c r="I11" s="538"/>
      <c r="J11" s="575"/>
    </row>
    <row r="12" spans="1:10" ht="19.5" customHeight="1">
      <c r="A12" s="538">
        <v>5</v>
      </c>
      <c r="B12" s="975"/>
      <c r="C12" s="350" t="s">
        <v>261</v>
      </c>
      <c r="D12" s="538"/>
      <c r="E12" s="538" t="s">
        <v>1231</v>
      </c>
      <c r="F12" s="538"/>
      <c r="G12" s="538"/>
      <c r="H12" s="538"/>
      <c r="I12" s="538"/>
      <c r="J12" s="575"/>
    </row>
    <row r="13" spans="1:10" ht="19.5" customHeight="1">
      <c r="A13" s="538">
        <v>6</v>
      </c>
      <c r="B13" s="975"/>
      <c r="C13" s="539" t="s">
        <v>1232</v>
      </c>
      <c r="D13" s="538"/>
      <c r="E13" s="538" t="s">
        <v>1231</v>
      </c>
      <c r="F13" s="538"/>
      <c r="G13" s="538"/>
      <c r="H13" s="538"/>
      <c r="I13" s="538"/>
      <c r="J13" s="575"/>
    </row>
    <row r="14" spans="1:10" ht="19.5" customHeight="1">
      <c r="A14" s="538">
        <v>7</v>
      </c>
      <c r="B14" s="351" t="s">
        <v>1233</v>
      </c>
      <c r="C14" s="539" t="s">
        <v>1234</v>
      </c>
      <c r="D14" s="538"/>
      <c r="E14" s="538" t="s">
        <v>1231</v>
      </c>
      <c r="F14" s="538"/>
      <c r="G14" s="538"/>
      <c r="H14" s="538"/>
      <c r="I14" s="538"/>
      <c r="J14" s="575"/>
    </row>
    <row r="15" spans="1:10" ht="19.5" customHeight="1">
      <c r="A15" s="538">
        <v>8</v>
      </c>
      <c r="B15" s="975" t="s">
        <v>1235</v>
      </c>
      <c r="C15" s="350" t="s">
        <v>1236</v>
      </c>
      <c r="D15" s="538"/>
      <c r="E15" s="538" t="s">
        <v>1231</v>
      </c>
      <c r="F15" s="538"/>
      <c r="G15" s="538"/>
      <c r="H15" s="538"/>
      <c r="I15" s="538"/>
      <c r="J15" s="575"/>
    </row>
    <row r="16" spans="1:10" ht="19.5" customHeight="1">
      <c r="A16" s="538">
        <v>9</v>
      </c>
      <c r="B16" s="975"/>
      <c r="C16" s="350" t="s">
        <v>1237</v>
      </c>
      <c r="D16" s="538">
        <f>西迪布赛作业单!J2</f>
        <v>0</v>
      </c>
      <c r="E16" s="538" t="s">
        <v>1231</v>
      </c>
      <c r="F16" s="538"/>
      <c r="G16" s="538"/>
      <c r="H16" s="538"/>
      <c r="I16" s="538"/>
      <c r="J16" s="575"/>
    </row>
    <row r="17" spans="1:10" ht="14.25">
      <c r="A17" s="538">
        <v>10</v>
      </c>
      <c r="B17" s="975" t="s">
        <v>1238</v>
      </c>
      <c r="C17" s="350" t="s">
        <v>1239</v>
      </c>
      <c r="D17" s="538">
        <f>D16</f>
        <v>0</v>
      </c>
      <c r="E17" s="538" t="s">
        <v>1231</v>
      </c>
      <c r="F17" s="538"/>
      <c r="G17" s="538"/>
      <c r="H17" s="538"/>
      <c r="I17" s="538"/>
      <c r="J17" s="575"/>
    </row>
    <row r="18" spans="1:10" ht="14.25">
      <c r="A18" s="538">
        <v>11</v>
      </c>
      <c r="B18" s="975"/>
      <c r="C18" s="350" t="s">
        <v>1240</v>
      </c>
      <c r="D18" s="538"/>
      <c r="E18" s="538" t="s">
        <v>1231</v>
      </c>
      <c r="F18" s="538"/>
      <c r="G18" s="538"/>
      <c r="H18" s="538"/>
      <c r="I18" s="538"/>
      <c r="J18" s="575"/>
    </row>
    <row r="19" spans="1:10" ht="14.25">
      <c r="A19" s="538">
        <v>12</v>
      </c>
      <c r="B19" s="975"/>
      <c r="C19" s="350" t="s">
        <v>1241</v>
      </c>
      <c r="D19" s="538"/>
      <c r="E19" s="538" t="s">
        <v>1231</v>
      </c>
      <c r="F19" s="538"/>
      <c r="G19" s="538"/>
      <c r="H19" s="538"/>
      <c r="I19" s="538"/>
      <c r="J19" s="575"/>
    </row>
    <row r="20" spans="1:10" ht="14.25">
      <c r="A20" s="538">
        <v>13</v>
      </c>
      <c r="B20" s="975"/>
      <c r="C20" s="350" t="s">
        <v>1242</v>
      </c>
      <c r="D20" s="538"/>
      <c r="E20" s="538" t="s">
        <v>1231</v>
      </c>
      <c r="F20" s="538"/>
      <c r="G20" s="538"/>
      <c r="H20" s="538"/>
      <c r="I20" s="538"/>
      <c r="J20" s="575"/>
    </row>
    <row r="21" spans="1:10" ht="14.25">
      <c r="A21" s="538">
        <v>14</v>
      </c>
      <c r="B21" s="975" t="s">
        <v>1243</v>
      </c>
      <c r="C21" s="350" t="s">
        <v>1244</v>
      </c>
      <c r="D21" s="538"/>
      <c r="E21" s="538" t="s">
        <v>1245</v>
      </c>
      <c r="F21" s="538"/>
      <c r="G21" s="538"/>
      <c r="H21" s="538"/>
      <c r="I21" s="538"/>
      <c r="J21" s="575"/>
    </row>
    <row r="22" spans="1:10" ht="14.25">
      <c r="A22" s="538">
        <v>15</v>
      </c>
      <c r="B22" s="975"/>
      <c r="C22" s="350" t="s">
        <v>1246</v>
      </c>
      <c r="D22" s="538"/>
      <c r="E22" s="538" t="s">
        <v>1247</v>
      </c>
      <c r="F22" s="538"/>
      <c r="G22" s="538"/>
      <c r="H22" s="538"/>
      <c r="I22" s="538"/>
      <c r="J22" s="575"/>
    </row>
    <row r="23" spans="1:10" ht="14.25">
      <c r="A23" s="538">
        <v>16</v>
      </c>
      <c r="B23" s="975"/>
      <c r="C23" s="540" t="s">
        <v>1248</v>
      </c>
      <c r="D23" s="538"/>
      <c r="E23" s="538" t="s">
        <v>1249</v>
      </c>
      <c r="F23" s="538"/>
      <c r="G23" s="538"/>
      <c r="H23" s="538"/>
      <c r="I23" s="538"/>
      <c r="J23" s="575"/>
    </row>
    <row r="24" spans="1:10" ht="14.25">
      <c r="A24" s="538">
        <v>17</v>
      </c>
      <c r="B24" s="976" t="s">
        <v>1250</v>
      </c>
      <c r="C24" s="55" t="s">
        <v>1251</v>
      </c>
      <c r="D24" s="576">
        <f>西迪布赛作业单!L67</f>
        <v>0</v>
      </c>
      <c r="E24" s="538" t="s">
        <v>1247</v>
      </c>
      <c r="F24" s="538"/>
      <c r="G24" s="538"/>
      <c r="H24" s="538"/>
      <c r="I24" s="538"/>
      <c r="J24" s="575"/>
    </row>
    <row r="25" spans="1:10" ht="14.25">
      <c r="A25" s="538">
        <v>18</v>
      </c>
      <c r="B25" s="976"/>
      <c r="C25" s="55" t="s">
        <v>1252</v>
      </c>
      <c r="D25" s="576">
        <f>D24</f>
        <v>0</v>
      </c>
      <c r="E25" s="538" t="s">
        <v>1247</v>
      </c>
      <c r="F25" s="538"/>
      <c r="G25" s="538"/>
      <c r="H25" s="538"/>
      <c r="I25" s="538"/>
      <c r="J25" s="575"/>
    </row>
    <row r="26" spans="1:10" ht="14.25">
      <c r="A26" s="538">
        <v>19</v>
      </c>
      <c r="B26" s="870" t="s">
        <v>1253</v>
      </c>
      <c r="C26" s="55" t="s">
        <v>1254</v>
      </c>
      <c r="D26" s="576">
        <f>D24</f>
        <v>0</v>
      </c>
      <c r="E26" s="538" t="s">
        <v>1247</v>
      </c>
      <c r="F26" s="538"/>
      <c r="G26" s="538"/>
      <c r="H26" s="538"/>
      <c r="I26" s="538"/>
      <c r="J26" s="575"/>
    </row>
    <row r="27" spans="1:10" ht="14.25">
      <c r="A27" s="538">
        <v>20</v>
      </c>
      <c r="B27" s="871"/>
      <c r="C27" s="55" t="s">
        <v>1255</v>
      </c>
      <c r="D27" s="538"/>
      <c r="E27" s="538" t="s">
        <v>1247</v>
      </c>
      <c r="F27" s="538"/>
      <c r="G27" s="538"/>
      <c r="H27" s="538"/>
      <c r="I27" s="538"/>
      <c r="J27" s="575"/>
    </row>
    <row r="28" spans="1:10" ht="14.25">
      <c r="A28" s="538">
        <v>21</v>
      </c>
      <c r="B28" s="539" t="s">
        <v>1256</v>
      </c>
      <c r="C28" s="55" t="s">
        <v>1257</v>
      </c>
      <c r="D28" s="538">
        <f>D16</f>
        <v>0</v>
      </c>
      <c r="E28" s="538" t="s">
        <v>1231</v>
      </c>
      <c r="F28" s="538"/>
      <c r="G28" s="538"/>
      <c r="H28" s="538"/>
      <c r="I28" s="538"/>
      <c r="J28" s="575"/>
    </row>
    <row r="29" spans="1:10" ht="14.25">
      <c r="A29" s="442"/>
      <c r="B29" s="442"/>
      <c r="C29" s="445"/>
      <c r="D29" s="442"/>
      <c r="E29" s="442"/>
      <c r="F29" s="442"/>
      <c r="G29" s="442"/>
      <c r="H29" s="442"/>
      <c r="I29" s="442"/>
      <c r="J29" s="577"/>
    </row>
    <row r="30" spans="1:10" ht="14.25">
      <c r="A30" s="442"/>
      <c r="B30" s="442"/>
      <c r="C30" s="447"/>
      <c r="D30" s="442"/>
      <c r="E30" s="442"/>
      <c r="F30" s="442"/>
      <c r="G30" s="442"/>
      <c r="H30" s="442"/>
      <c r="I30" s="442"/>
      <c r="J30" s="577"/>
    </row>
    <row r="31" spans="1:10" ht="14.25">
      <c r="A31" s="442"/>
      <c r="B31" s="442"/>
      <c r="C31" s="446"/>
      <c r="D31" s="442"/>
      <c r="E31" s="442"/>
      <c r="F31" s="442"/>
      <c r="G31" s="442"/>
      <c r="H31" s="442"/>
      <c r="I31" s="442"/>
      <c r="J31" s="577"/>
    </row>
    <row r="32" spans="1:10" ht="14.25">
      <c r="A32" s="442"/>
      <c r="B32" s="442"/>
      <c r="C32" s="446"/>
      <c r="D32" s="442"/>
      <c r="E32" s="442"/>
      <c r="F32" s="442"/>
      <c r="G32" s="442"/>
      <c r="H32" s="442"/>
      <c r="I32" s="442"/>
      <c r="J32" s="577"/>
    </row>
    <row r="33" spans="1:10" ht="14.25">
      <c r="A33" s="442"/>
      <c r="B33" s="442"/>
      <c r="C33" s="442"/>
      <c r="D33" s="442"/>
      <c r="E33" s="442"/>
      <c r="F33" s="442"/>
      <c r="G33" s="442"/>
      <c r="H33" s="442"/>
      <c r="I33" s="442"/>
      <c r="J33" s="577"/>
    </row>
    <row r="34" spans="1:10" ht="14.25">
      <c r="A34" s="442"/>
      <c r="B34" s="442"/>
      <c r="C34" s="442"/>
      <c r="D34" s="442"/>
      <c r="E34" s="442"/>
      <c r="F34" s="442"/>
      <c r="G34" s="442"/>
      <c r="H34" s="442"/>
      <c r="I34" s="442"/>
      <c r="J34" s="577"/>
    </row>
    <row r="35" spans="1:10" ht="14.25">
      <c r="A35" s="442"/>
      <c r="B35" s="442"/>
      <c r="C35" s="442"/>
      <c r="D35" s="442"/>
      <c r="E35" s="442"/>
      <c r="F35" s="442"/>
      <c r="G35" s="442"/>
      <c r="H35" s="442"/>
      <c r="I35" s="442"/>
      <c r="J35" s="577"/>
    </row>
    <row r="36" spans="1:10" ht="14.25">
      <c r="A36" s="442"/>
      <c r="B36" s="442"/>
      <c r="C36" s="442"/>
      <c r="D36" s="442"/>
      <c r="E36" s="442"/>
      <c r="F36" s="442"/>
      <c r="G36" s="442"/>
      <c r="H36" s="442"/>
      <c r="I36" s="442"/>
      <c r="J36" s="577"/>
    </row>
    <row r="37" spans="1:10" ht="14.25">
      <c r="A37" s="442"/>
      <c r="B37" s="442"/>
      <c r="C37" s="445"/>
      <c r="D37" s="442"/>
      <c r="E37" s="442"/>
      <c r="F37" s="442"/>
      <c r="G37" s="442"/>
      <c r="H37" s="442"/>
      <c r="I37" s="442"/>
      <c r="J37" s="577"/>
    </row>
    <row r="38" spans="1:10" ht="14.25">
      <c r="A38" s="442"/>
      <c r="B38" s="442"/>
      <c r="C38" s="445"/>
      <c r="D38" s="442"/>
      <c r="E38" s="442"/>
      <c r="F38" s="442"/>
      <c r="G38" s="442"/>
      <c r="H38" s="442"/>
      <c r="I38" s="442"/>
      <c r="J38" s="577"/>
    </row>
    <row r="39" spans="1:10" ht="14.25">
      <c r="A39" s="442"/>
      <c r="B39" s="442"/>
      <c r="C39" s="444"/>
      <c r="D39" s="442"/>
      <c r="E39" s="442"/>
      <c r="F39" s="442"/>
      <c r="G39" s="442"/>
      <c r="H39" s="442"/>
      <c r="I39" s="442"/>
      <c r="J39" s="577"/>
    </row>
    <row r="40" spans="1:10" ht="14.25">
      <c r="A40" s="442"/>
      <c r="B40" s="442"/>
      <c r="C40" s="442"/>
      <c r="D40" s="442"/>
      <c r="E40" s="442"/>
      <c r="F40" s="442"/>
      <c r="G40" s="442"/>
      <c r="H40" s="442"/>
      <c r="I40" s="442"/>
      <c r="J40" s="577"/>
    </row>
    <row r="41" spans="1:10" ht="14.25">
      <c r="A41" s="442"/>
      <c r="B41" s="442"/>
      <c r="C41" s="442"/>
      <c r="D41" s="442"/>
      <c r="E41" s="442"/>
      <c r="F41" s="442"/>
      <c r="G41" s="442"/>
      <c r="H41" s="442"/>
      <c r="I41" s="442"/>
      <c r="J41" s="577"/>
    </row>
    <row r="42" spans="1:10" ht="14.25">
      <c r="A42" s="442"/>
      <c r="B42" s="442"/>
      <c r="C42" s="443"/>
      <c r="D42" s="442"/>
      <c r="E42" s="442"/>
      <c r="F42" s="442"/>
      <c r="G42" s="442"/>
      <c r="H42" s="442"/>
      <c r="I42" s="442"/>
      <c r="J42" s="577"/>
    </row>
    <row r="43" spans="1:10" ht="14.25">
      <c r="A43" s="442"/>
      <c r="B43" s="442"/>
      <c r="C43" s="443"/>
      <c r="D43" s="442"/>
      <c r="E43" s="442"/>
      <c r="F43" s="442"/>
      <c r="G43" s="442"/>
      <c r="H43" s="442"/>
      <c r="I43" s="442"/>
      <c r="J43" s="577"/>
    </row>
    <row r="44" spans="1:10" ht="14.25">
      <c r="A44" s="442"/>
      <c r="B44" s="442"/>
      <c r="C44" s="442"/>
      <c r="D44" s="442"/>
      <c r="E44" s="442"/>
      <c r="F44" s="442"/>
      <c r="G44" s="442"/>
      <c r="H44" s="442"/>
      <c r="I44" s="442"/>
      <c r="J44" s="577"/>
    </row>
    <row r="45" spans="1:10" ht="14.25">
      <c r="A45" s="442"/>
      <c r="B45" s="442"/>
      <c r="C45" s="442"/>
      <c r="D45" s="442"/>
      <c r="E45" s="442"/>
      <c r="F45" s="442"/>
      <c r="G45" s="442"/>
      <c r="H45" s="442"/>
      <c r="I45" s="442"/>
      <c r="J45" s="577"/>
    </row>
    <row r="46" spans="1:10" ht="14.25">
      <c r="A46" s="442"/>
      <c r="B46" s="442"/>
      <c r="C46" s="442"/>
      <c r="D46" s="442"/>
      <c r="E46" s="442"/>
      <c r="F46" s="442"/>
      <c r="G46" s="442"/>
      <c r="H46" s="442"/>
      <c r="I46" s="442"/>
      <c r="J46" s="577"/>
    </row>
    <row r="47" spans="1:10" ht="14.25">
      <c r="A47" s="578"/>
      <c r="B47" s="440"/>
      <c r="C47" s="440"/>
      <c r="D47" s="578"/>
      <c r="E47" s="578"/>
      <c r="F47" s="578"/>
      <c r="G47" s="578"/>
      <c r="H47" s="578"/>
      <c r="I47" s="578"/>
      <c r="J47" s="578"/>
    </row>
  </sheetData>
  <mergeCells count="21">
    <mergeCell ref="B26:B27"/>
    <mergeCell ref="B8:B10"/>
    <mergeCell ref="B11:B13"/>
    <mergeCell ref="B15:B16"/>
    <mergeCell ref="B17:B20"/>
    <mergeCell ref="B21:B23"/>
    <mergeCell ref="B24:B25"/>
    <mergeCell ref="B4:C4"/>
    <mergeCell ref="E4:G4"/>
    <mergeCell ref="I4:J4"/>
    <mergeCell ref="I5:J5"/>
    <mergeCell ref="B6:C6"/>
    <mergeCell ref="E6:G6"/>
    <mergeCell ref="I6:J6"/>
    <mergeCell ref="A1:J1"/>
    <mergeCell ref="B2:C2"/>
    <mergeCell ref="E2:G2"/>
    <mergeCell ref="I2:J2"/>
    <mergeCell ref="B3:C3"/>
    <mergeCell ref="E3:G3"/>
    <mergeCell ref="I3:J3"/>
  </mergeCells>
  <phoneticPr fontId="76" type="noConversion"/>
  <conditionalFormatting sqref="C18:C19">
    <cfRule type="duplicateValues" dxfId="41" priority="14" stopIfTrue="1"/>
  </conditionalFormatting>
  <conditionalFormatting sqref="C21">
    <cfRule type="duplicateValues" dxfId="40" priority="13" stopIfTrue="1"/>
  </conditionalFormatting>
  <conditionalFormatting sqref="C20 C22">
    <cfRule type="duplicateValues" dxfId="39" priority="12" stopIfTrue="1"/>
  </conditionalFormatting>
  <conditionalFormatting sqref="C20">
    <cfRule type="duplicateValues" dxfId="38" priority="11"/>
  </conditionalFormatting>
  <conditionalFormatting sqref="C13:C17">
    <cfRule type="duplicateValues" dxfId="37" priority="10" stopIfTrue="1"/>
  </conditionalFormatting>
  <conditionalFormatting sqref="C10">
    <cfRule type="duplicateValues" dxfId="36" priority="9" stopIfTrue="1"/>
  </conditionalFormatting>
  <conditionalFormatting sqref="C11">
    <cfRule type="duplicateValues" dxfId="35" priority="8" stopIfTrue="1"/>
  </conditionalFormatting>
  <conditionalFormatting sqref="C12">
    <cfRule type="duplicateValues" dxfId="34" priority="7" stopIfTrue="1"/>
  </conditionalFormatting>
  <conditionalFormatting sqref="C17">
    <cfRule type="duplicateValues" dxfId="33" priority="6" stopIfTrue="1"/>
  </conditionalFormatting>
  <conditionalFormatting sqref="C23">
    <cfRule type="duplicateValues" dxfId="32" priority="5"/>
  </conditionalFormatting>
  <conditionalFormatting sqref="C39">
    <cfRule type="duplicateValues" dxfId="31" priority="4" stopIfTrue="1"/>
  </conditionalFormatting>
  <conditionalFormatting sqref="C13:C14">
    <cfRule type="duplicateValues" dxfId="30" priority="3" stopIfTrue="1"/>
  </conditionalFormatting>
  <conditionalFormatting sqref="C14">
    <cfRule type="duplicateValues" dxfId="29" priority="2" stopIfTrue="1"/>
  </conditionalFormatting>
  <conditionalFormatting sqref="C14">
    <cfRule type="duplicateValues" dxfId="28" priority="1" stopIfTrue="1"/>
  </conditionalFormatting>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X233"/>
  <sheetViews>
    <sheetView view="pageBreakPreview" zoomScaleSheetLayoutView="100" workbookViewId="0">
      <selection activeCell="P1" sqref="P1"/>
    </sheetView>
  </sheetViews>
  <sheetFormatPr defaultRowHeight="16.5"/>
  <cols>
    <col min="1" max="1" width="7.75" style="763" customWidth="1"/>
    <col min="2" max="9" width="8.375" style="754" customWidth="1"/>
    <col min="10" max="10" width="15" style="754" customWidth="1"/>
    <col min="11" max="11" width="10.5" style="789" customWidth="1"/>
    <col min="12" max="14" width="10.5" style="754" customWidth="1"/>
    <col min="15" max="20" width="7.875" style="752" customWidth="1"/>
    <col min="21" max="21" width="8" style="752" customWidth="1"/>
    <col min="22" max="22" width="7.875" style="752" customWidth="1"/>
    <col min="23" max="24" width="7.75" style="752" customWidth="1"/>
    <col min="25" max="25" width="6.625" style="752" customWidth="1"/>
    <col min="26" max="27" width="7.375" style="752" customWidth="1"/>
    <col min="28" max="28" width="14.125" style="752" customWidth="1"/>
    <col min="29" max="29" width="9" style="752"/>
    <col min="30" max="50" width="9" style="753"/>
    <col min="51" max="16384" width="9" style="754"/>
  </cols>
  <sheetData>
    <row r="1" spans="1:50" ht="29.25">
      <c r="A1" s="1029" t="s">
        <v>1537</v>
      </c>
      <c r="B1" s="1029"/>
      <c r="C1" s="1029"/>
      <c r="D1" s="1029"/>
      <c r="E1" s="1029"/>
      <c r="F1" s="1029"/>
      <c r="G1" s="1029"/>
      <c r="H1" s="1029"/>
      <c r="I1" s="1029"/>
      <c r="J1" s="1029"/>
      <c r="K1" s="1029"/>
      <c r="L1" s="1029"/>
      <c r="M1" s="1029"/>
      <c r="N1" s="1029"/>
      <c r="O1" s="774"/>
      <c r="P1" s="774"/>
      <c r="Q1" s="774"/>
      <c r="R1" s="774"/>
      <c r="S1" s="774"/>
      <c r="T1" s="751"/>
    </row>
    <row r="2" spans="1:50">
      <c r="A2" s="484" t="s">
        <v>248</v>
      </c>
      <c r="B2" s="1011">
        <f>下料单!H2</f>
        <v>15530608063</v>
      </c>
      <c r="C2" s="1013"/>
      <c r="D2" s="484" t="s">
        <v>17</v>
      </c>
      <c r="E2" s="484" t="str">
        <f>下料单!W2</f>
        <v>廊坊</v>
      </c>
      <c r="F2" s="484" t="s">
        <v>1570</v>
      </c>
      <c r="G2" s="484" t="s">
        <v>1571</v>
      </c>
      <c r="H2" s="1014" t="s">
        <v>953</v>
      </c>
      <c r="I2" s="1015"/>
      <c r="J2" s="484">
        <f>SUM(D8:D66)</f>
        <v>0</v>
      </c>
      <c r="K2" s="787"/>
      <c r="L2" s="775"/>
      <c r="M2" s="484"/>
      <c r="N2" s="484"/>
      <c r="O2" s="774"/>
      <c r="P2" s="774"/>
      <c r="Q2" s="774"/>
      <c r="R2" s="774"/>
      <c r="S2" s="774"/>
      <c r="T2" s="747"/>
      <c r="U2" s="747"/>
      <c r="V2" s="747"/>
      <c r="W2" s="747"/>
      <c r="X2" s="747"/>
      <c r="Y2" s="747"/>
      <c r="Z2" s="747"/>
      <c r="AA2" s="747"/>
      <c r="AB2" s="117"/>
    </row>
    <row r="3" spans="1:50" ht="16.5" customHeight="1">
      <c r="A3" s="484" t="s">
        <v>1258</v>
      </c>
      <c r="B3" s="1019" t="str">
        <f>下料单!C2</f>
        <v>赵蕊</v>
      </c>
      <c r="C3" s="1020"/>
      <c r="D3" s="484"/>
      <c r="E3" s="484"/>
      <c r="F3" s="487" t="s">
        <v>1261</v>
      </c>
      <c r="G3" s="777" t="s">
        <v>515</v>
      </c>
      <c r="H3" s="1011" t="s">
        <v>1260</v>
      </c>
      <c r="I3" s="1013"/>
      <c r="J3" s="776">
        <f>下料单!AG2</f>
        <v>43169</v>
      </c>
      <c r="K3" s="787"/>
      <c r="L3" s="775"/>
      <c r="M3" s="777"/>
      <c r="N3" s="777"/>
      <c r="O3" s="747"/>
      <c r="P3" s="747"/>
      <c r="Q3" s="747"/>
      <c r="R3" s="747"/>
      <c r="S3" s="747"/>
      <c r="T3" s="747"/>
      <c r="U3" s="747"/>
      <c r="V3" s="747"/>
      <c r="W3" s="747"/>
      <c r="X3" s="747"/>
      <c r="Y3" s="747"/>
      <c r="Z3" s="747"/>
      <c r="AA3" s="747"/>
      <c r="AB3" s="117" t="s">
        <v>1538</v>
      </c>
    </row>
    <row r="4" spans="1:50">
      <c r="A4" s="484" t="s">
        <v>952</v>
      </c>
      <c r="B4" s="1016">
        <f>M8</f>
        <v>0</v>
      </c>
      <c r="C4" s="1017"/>
      <c r="D4" s="1017"/>
      <c r="E4" s="1017"/>
      <c r="F4" s="1017"/>
      <c r="G4" s="1017"/>
      <c r="H4" s="1017"/>
      <c r="I4" s="1017"/>
      <c r="J4" s="1017"/>
      <c r="K4" s="1017"/>
      <c r="L4" s="1017"/>
      <c r="M4" s="1017"/>
      <c r="N4" s="1018"/>
      <c r="O4" s="747"/>
      <c r="P4" s="747"/>
      <c r="Q4" s="747"/>
      <c r="R4" s="747"/>
      <c r="S4" s="747"/>
      <c r="T4" s="747"/>
      <c r="U4" s="747"/>
      <c r="V4" s="747"/>
      <c r="W4" s="747"/>
      <c r="X4" s="747"/>
      <c r="Y4" s="747"/>
      <c r="Z4" s="747"/>
      <c r="AA4" s="747"/>
      <c r="AB4" s="117" t="s">
        <v>1539</v>
      </c>
    </row>
    <row r="5" spans="1:50">
      <c r="A5" s="1021" t="s">
        <v>1540</v>
      </c>
      <c r="B5" s="1022"/>
      <c r="C5" s="1022"/>
      <c r="D5" s="1022"/>
      <c r="E5" s="1022"/>
      <c r="F5" s="1022"/>
      <c r="G5" s="1022"/>
      <c r="H5" s="1022"/>
      <c r="I5" s="1023"/>
      <c r="J5" s="1011" t="s">
        <v>0</v>
      </c>
      <c r="K5" s="1012"/>
      <c r="L5" s="1012"/>
      <c r="M5" s="1012"/>
      <c r="N5" s="1013"/>
      <c r="O5" s="755"/>
      <c r="P5" s="755"/>
      <c r="Q5" s="755"/>
      <c r="R5" s="755"/>
      <c r="S5" s="755"/>
      <c r="T5" s="755"/>
      <c r="U5" s="117"/>
      <c r="V5" s="117"/>
      <c r="W5" s="749"/>
      <c r="X5" s="749"/>
      <c r="Y5" s="749"/>
      <c r="Z5" s="749"/>
      <c r="AA5" s="749"/>
      <c r="AB5" s="117"/>
    </row>
    <row r="6" spans="1:50">
      <c r="A6" s="1009" t="s">
        <v>237</v>
      </c>
      <c r="B6" s="1011" t="s">
        <v>235</v>
      </c>
      <c r="C6" s="1012"/>
      <c r="D6" s="1013"/>
      <c r="E6" s="1011" t="s">
        <v>1541</v>
      </c>
      <c r="F6" s="1012"/>
      <c r="G6" s="1012"/>
      <c r="H6" s="1012"/>
      <c r="I6" s="1013"/>
      <c r="J6" s="1040" t="s">
        <v>512</v>
      </c>
      <c r="K6" s="1040"/>
      <c r="L6" s="1036" t="s">
        <v>951</v>
      </c>
      <c r="M6" s="1036" t="s">
        <v>950</v>
      </c>
      <c r="N6" s="1038" t="s">
        <v>949</v>
      </c>
      <c r="O6" s="1035" t="s">
        <v>1575</v>
      </c>
      <c r="P6" s="1035"/>
      <c r="Q6" s="1035"/>
      <c r="R6" s="1035"/>
      <c r="S6" s="1035"/>
      <c r="T6" s="1035"/>
      <c r="AA6" s="747"/>
      <c r="AB6" s="117"/>
    </row>
    <row r="7" spans="1:50">
      <c r="A7" s="1010"/>
      <c r="B7" s="484" t="s">
        <v>233</v>
      </c>
      <c r="C7" s="484" t="s">
        <v>238</v>
      </c>
      <c r="D7" s="484" t="s">
        <v>4</v>
      </c>
      <c r="E7" s="484" t="s">
        <v>331</v>
      </c>
      <c r="F7" s="484" t="s">
        <v>1542</v>
      </c>
      <c r="G7" s="484" t="s">
        <v>241</v>
      </c>
      <c r="H7" s="484" t="s">
        <v>238</v>
      </c>
      <c r="I7" s="484" t="s">
        <v>4</v>
      </c>
      <c r="J7" s="775" t="s">
        <v>1572</v>
      </c>
      <c r="K7" s="788" t="s">
        <v>1574</v>
      </c>
      <c r="L7" s="1037"/>
      <c r="M7" s="1037"/>
      <c r="N7" s="1039"/>
      <c r="O7" s="785" t="s">
        <v>1578</v>
      </c>
      <c r="P7" s="785" t="s">
        <v>1579</v>
      </c>
      <c r="Q7" s="785" t="s">
        <v>1580</v>
      </c>
      <c r="R7" s="785" t="s">
        <v>1581</v>
      </c>
      <c r="S7" s="785" t="s">
        <v>1582</v>
      </c>
      <c r="T7" s="785" t="s">
        <v>1583</v>
      </c>
      <c r="U7" s="784" t="s">
        <v>1566</v>
      </c>
      <c r="V7" s="784" t="s">
        <v>949</v>
      </c>
      <c r="AA7" s="747"/>
      <c r="AB7" s="117"/>
    </row>
    <row r="8" spans="1:50" s="756" customFormat="1">
      <c r="A8" s="1024"/>
      <c r="B8" s="1026"/>
      <c r="C8" s="1026"/>
      <c r="D8" s="1026"/>
      <c r="E8" s="484" t="s">
        <v>1543</v>
      </c>
      <c r="F8" s="484">
        <v>22</v>
      </c>
      <c r="G8" s="484">
        <f>+B8+2</f>
        <v>2</v>
      </c>
      <c r="H8" s="484">
        <f>+C8+2</f>
        <v>2</v>
      </c>
      <c r="I8" s="484">
        <f>+D8</f>
        <v>0</v>
      </c>
      <c r="J8" s="484" t="s">
        <v>1268</v>
      </c>
      <c r="K8" s="487" t="s">
        <v>1544</v>
      </c>
      <c r="L8" s="485"/>
      <c r="M8" s="485"/>
      <c r="N8" s="484" t="str">
        <f>IF(M8="","",VLOOKUP(M8,$A$74:$B$115,2,0))</f>
        <v/>
      </c>
      <c r="O8" s="747">
        <f>G8*H8*I8/1000000/1.22/2.44/0.85</f>
        <v>0</v>
      </c>
      <c r="P8" s="747"/>
      <c r="Q8" s="747"/>
      <c r="R8" s="747"/>
      <c r="S8" s="747"/>
      <c r="T8" s="747"/>
      <c r="U8" s="747"/>
      <c r="V8" s="747">
        <f>B8*C8*D8/1000000</f>
        <v>0</v>
      </c>
      <c r="W8" s="752"/>
      <c r="X8" s="752"/>
      <c r="Y8" s="747"/>
      <c r="Z8" s="747"/>
      <c r="AA8" s="747"/>
      <c r="AB8" s="747"/>
      <c r="AC8" s="752"/>
      <c r="AD8" s="753"/>
      <c r="AE8" s="753"/>
      <c r="AF8" s="753"/>
      <c r="AG8" s="753"/>
      <c r="AH8" s="753"/>
      <c r="AI8" s="753"/>
      <c r="AJ8" s="753"/>
      <c r="AK8" s="753"/>
      <c r="AL8" s="753"/>
      <c r="AM8" s="753"/>
      <c r="AN8" s="753"/>
      <c r="AO8" s="753"/>
      <c r="AP8" s="753"/>
      <c r="AQ8" s="753"/>
      <c r="AR8" s="753"/>
      <c r="AS8" s="753"/>
      <c r="AT8" s="753"/>
      <c r="AU8" s="753"/>
      <c r="AV8" s="753"/>
      <c r="AW8" s="753"/>
      <c r="AX8" s="753"/>
    </row>
    <row r="9" spans="1:50" s="756" customFormat="1">
      <c r="A9" s="1025"/>
      <c r="B9" s="1027"/>
      <c r="C9" s="1027"/>
      <c r="D9" s="1027"/>
      <c r="E9" s="484"/>
      <c r="F9" s="484"/>
      <c r="G9" s="484"/>
      <c r="H9" s="484"/>
      <c r="I9" s="484"/>
      <c r="J9" s="484"/>
      <c r="K9" s="487"/>
      <c r="L9" s="485"/>
      <c r="M9" s="485"/>
      <c r="N9" s="484" t="str">
        <f t="shared" ref="N9:N67" si="0">IF(M9="","",VLOOKUP(M9,$A$74:$B$115,2,0))</f>
        <v/>
      </c>
      <c r="O9" s="747"/>
      <c r="P9" s="747">
        <f>+G9*H9*I9/1000000/1.22/2.44/0.85</f>
        <v>0</v>
      </c>
      <c r="Q9" s="747"/>
      <c r="R9" s="747"/>
      <c r="S9" s="747"/>
      <c r="T9" s="747"/>
      <c r="U9" s="747"/>
      <c r="V9" s="747">
        <f>B9*C9*D9/1000000</f>
        <v>0</v>
      </c>
      <c r="W9" s="752"/>
      <c r="X9" s="752"/>
      <c r="Y9" s="747"/>
      <c r="Z9" s="747"/>
      <c r="AA9" s="747"/>
      <c r="AB9" s="117"/>
      <c r="AC9" s="752"/>
      <c r="AD9" s="753"/>
      <c r="AE9" s="753"/>
      <c r="AF9" s="753"/>
      <c r="AG9" s="753"/>
      <c r="AH9" s="753"/>
      <c r="AI9" s="753"/>
      <c r="AJ9" s="753"/>
      <c r="AK9" s="753"/>
      <c r="AL9" s="753"/>
      <c r="AM9" s="753"/>
      <c r="AN9" s="753"/>
      <c r="AO9" s="753"/>
      <c r="AP9" s="753"/>
      <c r="AQ9" s="753"/>
      <c r="AR9" s="753"/>
      <c r="AS9" s="753"/>
      <c r="AT9" s="753"/>
      <c r="AU9" s="753"/>
      <c r="AV9" s="753"/>
      <c r="AW9" s="753"/>
      <c r="AX9" s="753"/>
    </row>
    <row r="10" spans="1:50" s="756" customFormat="1">
      <c r="A10" s="1024"/>
      <c r="B10" s="1026"/>
      <c r="C10" s="1026"/>
      <c r="D10" s="1026"/>
      <c r="E10" s="484" t="s">
        <v>1543</v>
      </c>
      <c r="F10" s="484">
        <v>22</v>
      </c>
      <c r="G10" s="484">
        <f>+B10+2</f>
        <v>2</v>
      </c>
      <c r="H10" s="484">
        <f>+C10+2</f>
        <v>2</v>
      </c>
      <c r="I10" s="484">
        <f>+D10</f>
        <v>0</v>
      </c>
      <c r="J10" s="484" t="s">
        <v>1268</v>
      </c>
      <c r="K10" s="487" t="s">
        <v>1545</v>
      </c>
      <c r="L10" s="485"/>
      <c r="M10" s="485"/>
      <c r="N10" s="484" t="str">
        <f t="shared" si="0"/>
        <v/>
      </c>
      <c r="O10" s="747">
        <f>G10*H10*I10/1000000/1.22/2.44/0.85</f>
        <v>0</v>
      </c>
      <c r="P10" s="747"/>
      <c r="Q10" s="747"/>
      <c r="R10" s="747"/>
      <c r="S10" s="747"/>
      <c r="T10" s="747"/>
      <c r="U10" s="747"/>
      <c r="V10" s="747">
        <f t="shared" ref="V10:V67" si="1">B10*C10*D10/1000000</f>
        <v>0</v>
      </c>
      <c r="W10" s="752"/>
      <c r="X10" s="752"/>
      <c r="Y10" s="747"/>
      <c r="Z10" s="747"/>
      <c r="AA10" s="747"/>
      <c r="AB10" s="117"/>
      <c r="AC10" s="752"/>
      <c r="AD10" s="753"/>
      <c r="AE10" s="753"/>
      <c r="AF10" s="753"/>
      <c r="AG10" s="753"/>
      <c r="AH10" s="753"/>
      <c r="AI10" s="753"/>
      <c r="AJ10" s="753"/>
      <c r="AK10" s="753"/>
      <c r="AL10" s="753"/>
      <c r="AM10" s="753"/>
      <c r="AN10" s="753"/>
      <c r="AO10" s="753"/>
      <c r="AP10" s="753"/>
      <c r="AQ10" s="753"/>
      <c r="AR10" s="753"/>
      <c r="AS10" s="753"/>
      <c r="AT10" s="753"/>
      <c r="AU10" s="753"/>
      <c r="AV10" s="753"/>
      <c r="AW10" s="753"/>
      <c r="AX10" s="753"/>
    </row>
    <row r="11" spans="1:50" s="756" customFormat="1">
      <c r="A11" s="1025"/>
      <c r="B11" s="1027"/>
      <c r="C11" s="1027"/>
      <c r="D11" s="1027"/>
      <c r="E11" s="484"/>
      <c r="F11" s="484"/>
      <c r="G11" s="484"/>
      <c r="H11" s="484"/>
      <c r="I11" s="484"/>
      <c r="J11" s="484"/>
      <c r="K11" s="487"/>
      <c r="L11" s="485"/>
      <c r="M11" s="485"/>
      <c r="N11" s="484" t="str">
        <f t="shared" si="0"/>
        <v/>
      </c>
      <c r="O11" s="747"/>
      <c r="P11" s="747">
        <f>+G11*H11*I11/1000000/1.22/2.44/0.85</f>
        <v>0</v>
      </c>
      <c r="Q11" s="747"/>
      <c r="R11" s="747"/>
      <c r="S11" s="747"/>
      <c r="T11" s="747"/>
      <c r="U11" s="747"/>
      <c r="V11" s="747">
        <f t="shared" si="1"/>
        <v>0</v>
      </c>
      <c r="W11" s="752"/>
      <c r="X11" s="752"/>
      <c r="Y11" s="747"/>
      <c r="Z11" s="747"/>
      <c r="AA11" s="747"/>
      <c r="AB11" s="117"/>
      <c r="AC11" s="752"/>
      <c r="AD11" s="753"/>
      <c r="AE11" s="753"/>
      <c r="AF11" s="753"/>
      <c r="AG11" s="753"/>
      <c r="AH11" s="753"/>
      <c r="AI11" s="753"/>
      <c r="AJ11" s="753"/>
      <c r="AK11" s="753"/>
      <c r="AL11" s="753"/>
      <c r="AM11" s="753"/>
      <c r="AN11" s="753"/>
      <c r="AO11" s="753"/>
      <c r="AP11" s="753"/>
      <c r="AQ11" s="753"/>
      <c r="AR11" s="753"/>
      <c r="AS11" s="753"/>
      <c r="AT11" s="753"/>
      <c r="AU11" s="753"/>
      <c r="AV11" s="753"/>
      <c r="AW11" s="753"/>
      <c r="AX11" s="753"/>
    </row>
    <row r="12" spans="1:50" s="756" customFormat="1">
      <c r="A12" s="1024"/>
      <c r="B12" s="1026"/>
      <c r="C12" s="1026"/>
      <c r="D12" s="1026"/>
      <c r="E12" s="484" t="s">
        <v>1543</v>
      </c>
      <c r="F12" s="484">
        <v>22</v>
      </c>
      <c r="G12" s="484">
        <f>+B12+2</f>
        <v>2</v>
      </c>
      <c r="H12" s="484">
        <f>+C12+2</f>
        <v>2</v>
      </c>
      <c r="I12" s="484">
        <f>+D12</f>
        <v>0</v>
      </c>
      <c r="J12" s="484" t="s">
        <v>1269</v>
      </c>
      <c r="K12" s="487"/>
      <c r="L12" s="485"/>
      <c r="M12" s="485"/>
      <c r="N12" s="484" t="str">
        <f t="shared" si="0"/>
        <v/>
      </c>
      <c r="O12" s="747">
        <f>G12*H12*I12/1000000/1.22/2.44/0.85</f>
        <v>0</v>
      </c>
      <c r="P12" s="747"/>
      <c r="Q12" s="747"/>
      <c r="R12" s="747"/>
      <c r="S12" s="747"/>
      <c r="T12" s="747"/>
      <c r="U12" s="747">
        <f>+(B12+C12)*2*D12/1000/0.8</f>
        <v>0</v>
      </c>
      <c r="V12" s="747">
        <f>B12*C12*D12/1000000</f>
        <v>0</v>
      </c>
      <c r="W12" s="752"/>
      <c r="X12" s="752"/>
      <c r="Y12" s="747"/>
      <c r="Z12" s="747"/>
      <c r="AA12" s="747"/>
      <c r="AB12" s="117"/>
      <c r="AC12" s="752"/>
      <c r="AD12" s="753"/>
      <c r="AE12" s="753"/>
      <c r="AF12" s="753"/>
      <c r="AG12" s="753"/>
      <c r="AH12" s="753"/>
      <c r="AI12" s="753"/>
      <c r="AJ12" s="753"/>
      <c r="AK12" s="753"/>
      <c r="AL12" s="753"/>
      <c r="AM12" s="753"/>
      <c r="AN12" s="753"/>
      <c r="AO12" s="753"/>
      <c r="AP12" s="753"/>
      <c r="AQ12" s="753"/>
      <c r="AR12" s="753"/>
      <c r="AS12" s="753"/>
      <c r="AT12" s="753"/>
      <c r="AU12" s="753"/>
      <c r="AV12" s="753"/>
      <c r="AW12" s="753"/>
      <c r="AX12" s="753"/>
    </row>
    <row r="13" spans="1:50" s="756" customFormat="1">
      <c r="A13" s="1025"/>
      <c r="B13" s="1027"/>
      <c r="C13" s="1027"/>
      <c r="D13" s="1027"/>
      <c r="E13" s="484" t="s">
        <v>1546</v>
      </c>
      <c r="F13" s="484">
        <v>9</v>
      </c>
      <c r="G13" s="484">
        <f>+B12-124</f>
        <v>-124</v>
      </c>
      <c r="H13" s="484">
        <f>+C12-124</f>
        <v>-124</v>
      </c>
      <c r="I13" s="484">
        <f>+D12</f>
        <v>0</v>
      </c>
      <c r="J13" s="484" t="s">
        <v>1547</v>
      </c>
      <c r="K13" s="487"/>
      <c r="L13" s="485"/>
      <c r="M13" s="485"/>
      <c r="N13" s="484" t="str">
        <f t="shared" si="0"/>
        <v/>
      </c>
      <c r="O13" s="747"/>
      <c r="P13" s="747">
        <f>+G13*H13*I13/1000000/1.22/2.44/0.85</f>
        <v>0</v>
      </c>
      <c r="Q13" s="747"/>
      <c r="R13" s="747"/>
      <c r="S13" s="747"/>
      <c r="T13" s="747"/>
      <c r="U13" s="747"/>
      <c r="V13" s="747">
        <f>B13*C13*D13/1000000</f>
        <v>0</v>
      </c>
      <c r="W13" s="752"/>
      <c r="X13" s="752"/>
      <c r="Y13" s="747"/>
      <c r="Z13" s="747"/>
      <c r="AA13" s="747"/>
      <c r="AB13" s="117"/>
      <c r="AC13" s="752"/>
      <c r="AD13" s="753"/>
      <c r="AE13" s="753"/>
      <c r="AF13" s="753"/>
      <c r="AG13" s="753"/>
      <c r="AH13" s="753"/>
      <c r="AI13" s="753"/>
      <c r="AJ13" s="753"/>
      <c r="AK13" s="753"/>
      <c r="AL13" s="753"/>
      <c r="AM13" s="753"/>
      <c r="AN13" s="753"/>
      <c r="AO13" s="753"/>
      <c r="AP13" s="753"/>
      <c r="AQ13" s="753"/>
      <c r="AR13" s="753"/>
      <c r="AS13" s="753"/>
      <c r="AT13" s="753"/>
      <c r="AU13" s="753"/>
      <c r="AV13" s="753"/>
      <c r="AW13" s="753"/>
      <c r="AX13" s="753"/>
    </row>
    <row r="14" spans="1:50" s="756" customFormat="1">
      <c r="A14" s="1024"/>
      <c r="B14" s="1026"/>
      <c r="C14" s="1026"/>
      <c r="D14" s="1026"/>
      <c r="E14" s="484" t="s">
        <v>1543</v>
      </c>
      <c r="F14" s="484">
        <v>22</v>
      </c>
      <c r="G14" s="484">
        <f>+B14+2</f>
        <v>2</v>
      </c>
      <c r="H14" s="484">
        <f>+C14+2</f>
        <v>2</v>
      </c>
      <c r="I14" s="484">
        <f>+D14</f>
        <v>0</v>
      </c>
      <c r="J14" s="484" t="s">
        <v>1269</v>
      </c>
      <c r="K14" s="487"/>
      <c r="L14" s="485"/>
      <c r="M14" s="485"/>
      <c r="N14" s="484" t="str">
        <f t="shared" si="0"/>
        <v/>
      </c>
      <c r="O14" s="747">
        <f>G14*H14*I14/1000000/1.22/2.44/0.85</f>
        <v>0</v>
      </c>
      <c r="P14" s="747"/>
      <c r="Q14" s="747"/>
      <c r="R14" s="747"/>
      <c r="S14" s="747"/>
      <c r="T14" s="747"/>
      <c r="U14" s="747">
        <f>+(B14+C14)*2*D14/1000/0.8</f>
        <v>0</v>
      </c>
      <c r="V14" s="747">
        <f t="shared" si="1"/>
        <v>0</v>
      </c>
      <c r="W14" s="752"/>
      <c r="X14" s="752"/>
      <c r="Y14" s="747"/>
      <c r="Z14" s="747"/>
      <c r="AA14" s="747"/>
      <c r="AB14" s="117"/>
      <c r="AC14" s="752"/>
      <c r="AD14" s="753"/>
      <c r="AE14" s="753"/>
      <c r="AF14" s="753"/>
      <c r="AG14" s="753"/>
      <c r="AH14" s="753"/>
      <c r="AI14" s="753"/>
      <c r="AJ14" s="753"/>
      <c r="AK14" s="753"/>
      <c r="AL14" s="753"/>
      <c r="AM14" s="753"/>
      <c r="AN14" s="753"/>
      <c r="AO14" s="753"/>
      <c r="AP14" s="753"/>
      <c r="AQ14" s="753"/>
      <c r="AR14" s="753"/>
      <c r="AS14" s="753"/>
      <c r="AT14" s="753"/>
      <c r="AU14" s="753"/>
      <c r="AV14" s="753"/>
      <c r="AW14" s="753"/>
      <c r="AX14" s="753"/>
    </row>
    <row r="15" spans="1:50" s="756" customFormat="1">
      <c r="A15" s="1025"/>
      <c r="B15" s="1027"/>
      <c r="C15" s="1027"/>
      <c r="D15" s="1027"/>
      <c r="E15" s="484" t="s">
        <v>1546</v>
      </c>
      <c r="F15" s="484">
        <v>9</v>
      </c>
      <c r="G15" s="484">
        <f>+B14-124</f>
        <v>-124</v>
      </c>
      <c r="H15" s="484">
        <f>+C14-124</f>
        <v>-124</v>
      </c>
      <c r="I15" s="484">
        <f>+D14</f>
        <v>0</v>
      </c>
      <c r="J15" s="484" t="s">
        <v>1547</v>
      </c>
      <c r="K15" s="487"/>
      <c r="L15" s="485"/>
      <c r="M15" s="485"/>
      <c r="N15" s="484" t="str">
        <f t="shared" si="0"/>
        <v/>
      </c>
      <c r="O15" s="747"/>
      <c r="P15" s="747">
        <f>+G15*H15*I15/1000000/1.22/2.44/0.85</f>
        <v>0</v>
      </c>
      <c r="Q15" s="747"/>
      <c r="R15" s="747"/>
      <c r="S15" s="747"/>
      <c r="T15" s="747"/>
      <c r="U15" s="747"/>
      <c r="V15" s="747">
        <f t="shared" si="1"/>
        <v>0</v>
      </c>
      <c r="W15" s="752"/>
      <c r="X15" s="752"/>
      <c r="Y15" s="747"/>
      <c r="Z15" s="747"/>
      <c r="AA15" s="747"/>
      <c r="AB15" s="117"/>
      <c r="AC15" s="752"/>
      <c r="AD15" s="753"/>
      <c r="AE15" s="753"/>
      <c r="AF15" s="753"/>
      <c r="AG15" s="753"/>
      <c r="AH15" s="753"/>
      <c r="AI15" s="753"/>
      <c r="AJ15" s="753"/>
      <c r="AK15" s="753"/>
      <c r="AL15" s="753"/>
      <c r="AM15" s="753"/>
      <c r="AN15" s="753"/>
      <c r="AO15" s="753"/>
      <c r="AP15" s="753"/>
      <c r="AQ15" s="753"/>
      <c r="AR15" s="753"/>
      <c r="AS15" s="753"/>
      <c r="AT15" s="753"/>
      <c r="AU15" s="753"/>
      <c r="AV15" s="753"/>
      <c r="AW15" s="753"/>
      <c r="AX15" s="753"/>
    </row>
    <row r="16" spans="1:50" s="756" customFormat="1">
      <c r="A16" s="1024"/>
      <c r="B16" s="1026"/>
      <c r="C16" s="1026"/>
      <c r="D16" s="1026"/>
      <c r="E16" s="484" t="s">
        <v>1543</v>
      </c>
      <c r="F16" s="484">
        <v>22</v>
      </c>
      <c r="G16" s="484">
        <f>+B16+2</f>
        <v>2</v>
      </c>
      <c r="H16" s="484">
        <f>+C16+2</f>
        <v>2</v>
      </c>
      <c r="I16" s="484">
        <f>+D16</f>
        <v>0</v>
      </c>
      <c r="J16" s="484" t="s">
        <v>1269</v>
      </c>
      <c r="K16" s="487"/>
      <c r="L16" s="485"/>
      <c r="M16" s="485"/>
      <c r="N16" s="484" t="str">
        <f t="shared" si="0"/>
        <v/>
      </c>
      <c r="O16" s="747">
        <f>G16*H16*I16/1000000/1.22/2.44/0.85</f>
        <v>0</v>
      </c>
      <c r="P16" s="747"/>
      <c r="Q16" s="747"/>
      <c r="R16" s="747"/>
      <c r="S16" s="747"/>
      <c r="T16" s="747"/>
      <c r="U16" s="747">
        <f>+(B16+C16)*2*D16/1000/0.8</f>
        <v>0</v>
      </c>
      <c r="V16" s="747">
        <f t="shared" si="1"/>
        <v>0</v>
      </c>
      <c r="W16" s="752"/>
      <c r="X16" s="752"/>
      <c r="Y16" s="747"/>
      <c r="Z16" s="747"/>
      <c r="AA16" s="747"/>
      <c r="AB16" s="117"/>
      <c r="AC16" s="752"/>
      <c r="AD16" s="753"/>
      <c r="AE16" s="753"/>
      <c r="AF16" s="753"/>
      <c r="AG16" s="753"/>
      <c r="AH16" s="753"/>
      <c r="AI16" s="753"/>
      <c r="AJ16" s="753"/>
      <c r="AK16" s="753"/>
      <c r="AL16" s="753"/>
      <c r="AM16" s="753"/>
      <c r="AN16" s="753"/>
      <c r="AO16" s="753"/>
      <c r="AP16" s="753"/>
      <c r="AQ16" s="753"/>
      <c r="AR16" s="753"/>
      <c r="AS16" s="753"/>
      <c r="AT16" s="753"/>
      <c r="AU16" s="753"/>
      <c r="AV16" s="753"/>
      <c r="AW16" s="753"/>
      <c r="AX16" s="753"/>
    </row>
    <row r="17" spans="1:50" s="756" customFormat="1" ht="33">
      <c r="A17" s="1025"/>
      <c r="B17" s="1027"/>
      <c r="C17" s="1027"/>
      <c r="D17" s="1027"/>
      <c r="E17" s="487" t="s">
        <v>1548</v>
      </c>
      <c r="F17" s="484">
        <v>5</v>
      </c>
      <c r="G17" s="484">
        <f>+B16-124</f>
        <v>-124</v>
      </c>
      <c r="H17" s="484">
        <f>+C16-124</f>
        <v>-124</v>
      </c>
      <c r="I17" s="484">
        <f>+D16</f>
        <v>0</v>
      </c>
      <c r="J17" s="484"/>
      <c r="K17" s="487"/>
      <c r="L17" s="485"/>
      <c r="M17" s="485"/>
      <c r="N17" s="484" t="str">
        <f t="shared" si="0"/>
        <v/>
      </c>
      <c r="O17" s="747"/>
      <c r="P17" s="747">
        <f>+G17*H17*I17/1000000/1.22/2.44/0.85</f>
        <v>0</v>
      </c>
      <c r="Q17" s="747"/>
      <c r="R17" s="747"/>
      <c r="S17" s="747"/>
      <c r="T17" s="747"/>
      <c r="U17" s="747"/>
      <c r="V17" s="747">
        <f t="shared" si="1"/>
        <v>0</v>
      </c>
      <c r="W17" s="752"/>
      <c r="X17" s="752"/>
      <c r="Y17" s="747"/>
      <c r="Z17" s="747"/>
      <c r="AA17" s="747"/>
      <c r="AB17" s="117"/>
      <c r="AC17" s="752"/>
      <c r="AD17" s="753"/>
      <c r="AE17" s="753"/>
      <c r="AF17" s="753"/>
      <c r="AG17" s="753"/>
      <c r="AH17" s="753"/>
      <c r="AI17" s="753"/>
      <c r="AJ17" s="753"/>
      <c r="AK17" s="753"/>
      <c r="AL17" s="753"/>
      <c r="AM17" s="753"/>
      <c r="AN17" s="753"/>
      <c r="AO17" s="753"/>
      <c r="AP17" s="753"/>
      <c r="AQ17" s="753"/>
      <c r="AR17" s="753"/>
      <c r="AS17" s="753"/>
      <c r="AT17" s="753"/>
      <c r="AU17" s="753"/>
      <c r="AV17" s="753"/>
      <c r="AW17" s="753"/>
      <c r="AX17" s="753"/>
    </row>
    <row r="18" spans="1:50" s="756" customFormat="1">
      <c r="A18" s="1024"/>
      <c r="B18" s="1026"/>
      <c r="C18" s="1026"/>
      <c r="D18" s="1026"/>
      <c r="E18" s="484" t="s">
        <v>1543</v>
      </c>
      <c r="F18" s="484">
        <v>22</v>
      </c>
      <c r="G18" s="484">
        <f>+B18+2</f>
        <v>2</v>
      </c>
      <c r="H18" s="484">
        <f>+C18+2</f>
        <v>2</v>
      </c>
      <c r="I18" s="484">
        <f>+D18</f>
        <v>0</v>
      </c>
      <c r="J18" s="484" t="s">
        <v>1269</v>
      </c>
      <c r="K18" s="487"/>
      <c r="L18" s="485"/>
      <c r="M18" s="485"/>
      <c r="N18" s="484" t="str">
        <f t="shared" si="0"/>
        <v/>
      </c>
      <c r="O18" s="747">
        <f>G18*H18*I18/1000000/1.22/2.44/0.85</f>
        <v>0</v>
      </c>
      <c r="P18" s="747"/>
      <c r="Q18" s="747"/>
      <c r="R18" s="747"/>
      <c r="S18" s="747"/>
      <c r="T18" s="747"/>
      <c r="U18" s="747">
        <f>+(B18+C18)*2*D18/1000/0.8</f>
        <v>0</v>
      </c>
      <c r="V18" s="747">
        <f t="shared" si="1"/>
        <v>0</v>
      </c>
      <c r="W18" s="752"/>
      <c r="X18" s="752"/>
      <c r="Y18" s="747"/>
      <c r="Z18" s="747"/>
      <c r="AA18" s="747"/>
      <c r="AB18" s="117"/>
      <c r="AC18" s="752"/>
      <c r="AD18" s="753"/>
      <c r="AE18" s="753"/>
      <c r="AF18" s="753"/>
      <c r="AG18" s="753"/>
      <c r="AH18" s="753"/>
      <c r="AI18" s="753"/>
      <c r="AJ18" s="753"/>
      <c r="AK18" s="753"/>
      <c r="AL18" s="753"/>
      <c r="AM18" s="753"/>
      <c r="AN18" s="753"/>
      <c r="AO18" s="753"/>
      <c r="AP18" s="753"/>
      <c r="AQ18" s="753"/>
      <c r="AR18" s="753"/>
      <c r="AS18" s="753"/>
      <c r="AT18" s="753"/>
      <c r="AU18" s="753"/>
      <c r="AV18" s="753"/>
      <c r="AW18" s="753"/>
      <c r="AX18" s="753"/>
    </row>
    <row r="19" spans="1:50" s="756" customFormat="1">
      <c r="A19" s="1025"/>
      <c r="B19" s="1027"/>
      <c r="C19" s="1027"/>
      <c r="D19" s="1027"/>
      <c r="E19" s="484"/>
      <c r="F19" s="484"/>
      <c r="G19" s="484"/>
      <c r="H19" s="484"/>
      <c r="I19" s="484"/>
      <c r="J19" s="484"/>
      <c r="K19" s="487"/>
      <c r="L19" s="485"/>
      <c r="M19" s="485"/>
      <c r="N19" s="484" t="str">
        <f t="shared" si="0"/>
        <v/>
      </c>
      <c r="O19" s="747"/>
      <c r="P19" s="747">
        <f>+G19*H19*I19/1000000/1.22/2.44/0.85</f>
        <v>0</v>
      </c>
      <c r="Q19" s="747"/>
      <c r="R19" s="747"/>
      <c r="S19" s="747"/>
      <c r="T19" s="747"/>
      <c r="U19" s="747"/>
      <c r="V19" s="747">
        <f t="shared" si="1"/>
        <v>0</v>
      </c>
      <c r="W19" s="752"/>
      <c r="X19" s="752"/>
      <c r="Y19" s="747"/>
      <c r="Z19" s="747"/>
      <c r="AA19" s="747"/>
      <c r="AB19" s="117"/>
      <c r="AC19" s="752"/>
      <c r="AD19" s="753"/>
      <c r="AE19" s="753"/>
      <c r="AF19" s="753"/>
      <c r="AG19" s="753"/>
      <c r="AH19" s="753"/>
      <c r="AI19" s="753"/>
      <c r="AJ19" s="753"/>
      <c r="AK19" s="753"/>
      <c r="AL19" s="753"/>
      <c r="AM19" s="753"/>
      <c r="AN19" s="753"/>
      <c r="AO19" s="753"/>
      <c r="AP19" s="753"/>
      <c r="AQ19" s="753"/>
      <c r="AR19" s="753"/>
      <c r="AS19" s="753"/>
      <c r="AT19" s="753"/>
      <c r="AU19" s="753"/>
      <c r="AV19" s="753"/>
      <c r="AW19" s="753"/>
      <c r="AX19" s="753"/>
    </row>
    <row r="20" spans="1:50" s="756" customFormat="1">
      <c r="A20" s="1024"/>
      <c r="B20" s="1026"/>
      <c r="C20" s="1026"/>
      <c r="D20" s="1026"/>
      <c r="E20" s="484" t="s">
        <v>1543</v>
      </c>
      <c r="F20" s="484">
        <v>22</v>
      </c>
      <c r="G20" s="484">
        <f>+B20+2</f>
        <v>2</v>
      </c>
      <c r="H20" s="484">
        <f>+C20+2</f>
        <v>2</v>
      </c>
      <c r="I20" s="484">
        <f>+D20</f>
        <v>0</v>
      </c>
      <c r="J20" s="484" t="s">
        <v>1269</v>
      </c>
      <c r="K20" s="487"/>
      <c r="L20" s="485"/>
      <c r="M20" s="485"/>
      <c r="N20" s="484" t="str">
        <f t="shared" si="0"/>
        <v/>
      </c>
      <c r="O20" s="747">
        <f>G20*H20*I20/1000000/1.22/2.44/0.85</f>
        <v>0</v>
      </c>
      <c r="P20" s="747"/>
      <c r="Q20" s="747"/>
      <c r="R20" s="747"/>
      <c r="S20" s="747"/>
      <c r="T20" s="747"/>
      <c r="U20" s="747">
        <f>+(B20+C20)*2*D20/1000/0.8</f>
        <v>0</v>
      </c>
      <c r="V20" s="747">
        <f t="shared" si="1"/>
        <v>0</v>
      </c>
      <c r="W20" s="752"/>
      <c r="X20" s="752"/>
      <c r="Y20" s="747"/>
      <c r="Z20" s="747"/>
      <c r="AA20" s="747"/>
      <c r="AB20" s="117"/>
      <c r="AC20" s="752"/>
      <c r="AD20" s="753"/>
      <c r="AE20" s="753"/>
      <c r="AF20" s="753"/>
      <c r="AG20" s="753"/>
      <c r="AH20" s="753"/>
      <c r="AI20" s="753"/>
      <c r="AJ20" s="753"/>
      <c r="AK20" s="753"/>
      <c r="AL20" s="753"/>
      <c r="AM20" s="753"/>
      <c r="AN20" s="753"/>
      <c r="AO20" s="753"/>
      <c r="AP20" s="753"/>
      <c r="AQ20" s="753"/>
      <c r="AR20" s="753"/>
      <c r="AS20" s="753"/>
      <c r="AT20" s="753"/>
      <c r="AU20" s="753"/>
      <c r="AV20" s="753"/>
      <c r="AW20" s="753"/>
      <c r="AX20" s="753"/>
    </row>
    <row r="21" spans="1:50" s="756" customFormat="1">
      <c r="A21" s="1025"/>
      <c r="B21" s="1027"/>
      <c r="C21" s="1027"/>
      <c r="D21" s="1027"/>
      <c r="E21" s="484" t="s">
        <v>1546</v>
      </c>
      <c r="F21" s="484">
        <v>9</v>
      </c>
      <c r="G21" s="484">
        <f>+B20-124</f>
        <v>-124</v>
      </c>
      <c r="H21" s="484">
        <f>+C20-124</f>
        <v>-124</v>
      </c>
      <c r="I21" s="484">
        <f>+D20</f>
        <v>0</v>
      </c>
      <c r="J21" s="484" t="s">
        <v>1547</v>
      </c>
      <c r="K21" s="487"/>
      <c r="L21" s="485"/>
      <c r="M21" s="485"/>
      <c r="N21" s="484" t="str">
        <f t="shared" si="0"/>
        <v/>
      </c>
      <c r="O21" s="747"/>
      <c r="P21" s="747">
        <f>+G21*H21*I21/1000000/1.22/2.44/0.85</f>
        <v>0</v>
      </c>
      <c r="Q21" s="747"/>
      <c r="R21" s="747"/>
      <c r="S21" s="747"/>
      <c r="T21" s="747"/>
      <c r="U21" s="747"/>
      <c r="V21" s="747">
        <f t="shared" si="1"/>
        <v>0</v>
      </c>
      <c r="W21" s="752"/>
      <c r="X21" s="752"/>
      <c r="Y21" s="747"/>
      <c r="Z21" s="747"/>
      <c r="AA21" s="747"/>
      <c r="AB21" s="117"/>
      <c r="AC21" s="752"/>
      <c r="AD21" s="753"/>
      <c r="AE21" s="753"/>
      <c r="AF21" s="753"/>
      <c r="AG21" s="753"/>
      <c r="AH21" s="753"/>
      <c r="AI21" s="753"/>
      <c r="AJ21" s="753"/>
      <c r="AK21" s="753"/>
      <c r="AL21" s="753"/>
      <c r="AM21" s="753"/>
      <c r="AN21" s="753"/>
      <c r="AO21" s="753"/>
      <c r="AP21" s="753"/>
      <c r="AQ21" s="753"/>
      <c r="AR21" s="753"/>
      <c r="AS21" s="753"/>
      <c r="AT21" s="753"/>
      <c r="AU21" s="753"/>
      <c r="AV21" s="753"/>
      <c r="AW21" s="753"/>
      <c r="AX21" s="753"/>
    </row>
    <row r="22" spans="1:50" s="756" customFormat="1">
      <c r="A22" s="1024"/>
      <c r="B22" s="1026"/>
      <c r="C22" s="1026"/>
      <c r="D22" s="1026"/>
      <c r="E22" s="484" t="s">
        <v>1543</v>
      </c>
      <c r="F22" s="484">
        <v>22</v>
      </c>
      <c r="G22" s="484">
        <f>+B22+2</f>
        <v>2</v>
      </c>
      <c r="H22" s="484">
        <f>+C22+2</f>
        <v>2</v>
      </c>
      <c r="I22" s="484">
        <f>+D22</f>
        <v>0</v>
      </c>
      <c r="J22" s="484" t="s">
        <v>1269</v>
      </c>
      <c r="K22" s="487"/>
      <c r="L22" s="485"/>
      <c r="M22" s="485"/>
      <c r="N22" s="484" t="str">
        <f t="shared" si="0"/>
        <v/>
      </c>
      <c r="O22" s="747">
        <f>G22*H22*I22/1000000/1.22/2.44/0.85</f>
        <v>0</v>
      </c>
      <c r="P22" s="747"/>
      <c r="Q22" s="747"/>
      <c r="R22" s="747"/>
      <c r="S22" s="747"/>
      <c r="T22" s="747"/>
      <c r="U22" s="747">
        <f t="shared" ref="U22:U31" si="2">+(B22+C22)*2*D22/1000</f>
        <v>0</v>
      </c>
      <c r="V22" s="747">
        <f t="shared" si="1"/>
        <v>0</v>
      </c>
      <c r="W22" s="752"/>
      <c r="X22" s="752"/>
      <c r="Y22" s="747"/>
      <c r="Z22" s="747"/>
      <c r="AA22" s="747"/>
      <c r="AB22" s="117"/>
      <c r="AC22" s="752"/>
      <c r="AD22" s="753"/>
      <c r="AE22" s="753"/>
      <c r="AF22" s="753"/>
      <c r="AG22" s="753"/>
      <c r="AH22" s="753"/>
      <c r="AI22" s="753"/>
      <c r="AJ22" s="753"/>
      <c r="AK22" s="753"/>
      <c r="AL22" s="753"/>
      <c r="AM22" s="753"/>
      <c r="AN22" s="753"/>
      <c r="AO22" s="753"/>
      <c r="AP22" s="753"/>
      <c r="AQ22" s="753"/>
      <c r="AR22" s="753"/>
      <c r="AS22" s="753"/>
      <c r="AT22" s="753"/>
      <c r="AU22" s="753"/>
      <c r="AV22" s="753"/>
      <c r="AW22" s="753"/>
      <c r="AX22" s="753"/>
    </row>
    <row r="23" spans="1:50" s="756" customFormat="1">
      <c r="A23" s="1025"/>
      <c r="B23" s="1027"/>
      <c r="C23" s="1027"/>
      <c r="D23" s="1027"/>
      <c r="E23" s="484" t="s">
        <v>1546</v>
      </c>
      <c r="F23" s="484">
        <v>9</v>
      </c>
      <c r="G23" s="484">
        <f>+B22-124</f>
        <v>-124</v>
      </c>
      <c r="H23" s="484">
        <f>+C22-124</f>
        <v>-124</v>
      </c>
      <c r="I23" s="484">
        <f>+D22</f>
        <v>0</v>
      </c>
      <c r="J23" s="484" t="s">
        <v>1547</v>
      </c>
      <c r="K23" s="487"/>
      <c r="L23" s="485"/>
      <c r="M23" s="485"/>
      <c r="N23" s="484" t="str">
        <f t="shared" si="0"/>
        <v/>
      </c>
      <c r="O23" s="747"/>
      <c r="P23" s="747">
        <f>+G23*H23*I23/1000000/1.22/2.44/0.85</f>
        <v>0</v>
      </c>
      <c r="Q23" s="747"/>
      <c r="R23" s="747"/>
      <c r="S23" s="747"/>
      <c r="T23" s="747"/>
      <c r="U23" s="747">
        <f t="shared" si="2"/>
        <v>0</v>
      </c>
      <c r="V23" s="747">
        <f t="shared" si="1"/>
        <v>0</v>
      </c>
      <c r="W23" s="752"/>
      <c r="X23" s="752"/>
      <c r="Y23" s="747"/>
      <c r="Z23" s="747"/>
      <c r="AA23" s="747"/>
      <c r="AB23" s="117"/>
      <c r="AC23" s="752"/>
      <c r="AD23" s="753"/>
      <c r="AE23" s="753"/>
      <c r="AF23" s="753"/>
      <c r="AG23" s="753"/>
      <c r="AH23" s="753"/>
      <c r="AI23" s="753"/>
      <c r="AJ23" s="753"/>
      <c r="AK23" s="753"/>
      <c r="AL23" s="753"/>
      <c r="AM23" s="753"/>
      <c r="AN23" s="753"/>
      <c r="AO23" s="753"/>
      <c r="AP23" s="753"/>
      <c r="AQ23" s="753"/>
      <c r="AR23" s="753"/>
      <c r="AS23" s="753"/>
      <c r="AT23" s="753"/>
      <c r="AU23" s="753"/>
      <c r="AV23" s="753"/>
      <c r="AW23" s="753"/>
      <c r="AX23" s="753"/>
    </row>
    <row r="24" spans="1:50" s="756" customFormat="1">
      <c r="A24" s="1024"/>
      <c r="B24" s="1026"/>
      <c r="C24" s="1026"/>
      <c r="D24" s="1026"/>
      <c r="E24" s="484" t="s">
        <v>1543</v>
      </c>
      <c r="F24" s="484">
        <v>22</v>
      </c>
      <c r="G24" s="484">
        <f>+B24+2</f>
        <v>2</v>
      </c>
      <c r="H24" s="484">
        <f>+C24+2</f>
        <v>2</v>
      </c>
      <c r="I24" s="484">
        <f>+D24</f>
        <v>0</v>
      </c>
      <c r="J24" s="484" t="s">
        <v>1269</v>
      </c>
      <c r="K24" s="487"/>
      <c r="L24" s="485"/>
      <c r="M24" s="485"/>
      <c r="N24" s="484" t="str">
        <f t="shared" si="0"/>
        <v/>
      </c>
      <c r="O24" s="747">
        <f>G24*H24*I24/1000000/1.22/2.44/0.85</f>
        <v>0</v>
      </c>
      <c r="P24" s="747"/>
      <c r="Q24" s="747"/>
      <c r="R24" s="747"/>
      <c r="S24" s="747"/>
      <c r="T24" s="747"/>
      <c r="U24" s="747">
        <f t="shared" si="2"/>
        <v>0</v>
      </c>
      <c r="V24" s="747">
        <f t="shared" si="1"/>
        <v>0</v>
      </c>
      <c r="W24" s="752"/>
      <c r="X24" s="752"/>
      <c r="Y24" s="747"/>
      <c r="Z24" s="747"/>
      <c r="AA24" s="747"/>
      <c r="AB24" s="117"/>
      <c r="AC24" s="752"/>
      <c r="AD24" s="753"/>
      <c r="AE24" s="753"/>
      <c r="AF24" s="753"/>
      <c r="AG24" s="753"/>
      <c r="AH24" s="753"/>
      <c r="AI24" s="753"/>
      <c r="AJ24" s="753"/>
      <c r="AK24" s="753"/>
      <c r="AL24" s="753"/>
      <c r="AM24" s="753"/>
      <c r="AN24" s="753"/>
      <c r="AO24" s="753"/>
      <c r="AP24" s="753"/>
      <c r="AQ24" s="753"/>
      <c r="AR24" s="753"/>
      <c r="AS24" s="753"/>
      <c r="AT24" s="753"/>
      <c r="AU24" s="753"/>
      <c r="AV24" s="753"/>
      <c r="AW24" s="753"/>
      <c r="AX24" s="753"/>
    </row>
    <row r="25" spans="1:50" s="756" customFormat="1">
      <c r="A25" s="1025"/>
      <c r="B25" s="1027"/>
      <c r="C25" s="1027"/>
      <c r="D25" s="1027"/>
      <c r="E25" s="484" t="s">
        <v>1546</v>
      </c>
      <c r="F25" s="484">
        <v>9</v>
      </c>
      <c r="G25" s="484">
        <f>+B24-124</f>
        <v>-124</v>
      </c>
      <c r="H25" s="484">
        <f>+C24-124</f>
        <v>-124</v>
      </c>
      <c r="I25" s="484">
        <f>+D24</f>
        <v>0</v>
      </c>
      <c r="J25" s="484" t="s">
        <v>1547</v>
      </c>
      <c r="K25" s="487"/>
      <c r="L25" s="485"/>
      <c r="M25" s="485"/>
      <c r="N25" s="484" t="str">
        <f t="shared" si="0"/>
        <v/>
      </c>
      <c r="O25" s="747"/>
      <c r="P25" s="747">
        <f>+G25*H25*I25/1000000/1.22/2.44/0.85</f>
        <v>0</v>
      </c>
      <c r="Q25" s="747"/>
      <c r="R25" s="747"/>
      <c r="S25" s="747"/>
      <c r="T25" s="747"/>
      <c r="U25" s="747">
        <f t="shared" si="2"/>
        <v>0</v>
      </c>
      <c r="V25" s="747">
        <f t="shared" si="1"/>
        <v>0</v>
      </c>
      <c r="W25" s="752"/>
      <c r="X25" s="752"/>
      <c r="Y25" s="747"/>
      <c r="Z25" s="747"/>
      <c r="AA25" s="747"/>
      <c r="AB25" s="117"/>
      <c r="AC25" s="752"/>
      <c r="AD25" s="753"/>
      <c r="AE25" s="753"/>
      <c r="AF25" s="753"/>
      <c r="AG25" s="753"/>
      <c r="AH25" s="753"/>
      <c r="AI25" s="753"/>
      <c r="AJ25" s="753"/>
      <c r="AK25" s="753"/>
      <c r="AL25" s="753"/>
      <c r="AM25" s="753"/>
      <c r="AN25" s="753"/>
      <c r="AO25" s="753"/>
      <c r="AP25" s="753"/>
      <c r="AQ25" s="753"/>
      <c r="AR25" s="753"/>
      <c r="AS25" s="753"/>
      <c r="AT25" s="753"/>
      <c r="AU25" s="753"/>
      <c r="AV25" s="753"/>
      <c r="AW25" s="753"/>
      <c r="AX25" s="753"/>
    </row>
    <row r="26" spans="1:50" s="756" customFormat="1">
      <c r="A26" s="1024"/>
      <c r="B26" s="1026"/>
      <c r="C26" s="1026"/>
      <c r="D26" s="1026"/>
      <c r="E26" s="484" t="s">
        <v>1543</v>
      </c>
      <c r="F26" s="484">
        <v>22</v>
      </c>
      <c r="G26" s="484">
        <f>+B26+2</f>
        <v>2</v>
      </c>
      <c r="H26" s="484">
        <f>+C26+2</f>
        <v>2</v>
      </c>
      <c r="I26" s="484">
        <f>+D26</f>
        <v>0</v>
      </c>
      <c r="J26" s="484" t="s">
        <v>1269</v>
      </c>
      <c r="K26" s="487"/>
      <c r="L26" s="485"/>
      <c r="M26" s="485"/>
      <c r="N26" s="484" t="str">
        <f t="shared" si="0"/>
        <v/>
      </c>
      <c r="O26" s="747">
        <f>G26*H26*I26/1000000/1.22/2.44/0.85</f>
        <v>0</v>
      </c>
      <c r="P26" s="747"/>
      <c r="Q26" s="747"/>
      <c r="R26" s="747"/>
      <c r="S26" s="747"/>
      <c r="T26" s="747"/>
      <c r="U26" s="747">
        <f t="shared" si="2"/>
        <v>0</v>
      </c>
      <c r="V26" s="747">
        <f t="shared" si="1"/>
        <v>0</v>
      </c>
      <c r="W26" s="752"/>
      <c r="X26" s="752"/>
      <c r="Y26" s="747"/>
      <c r="Z26" s="747"/>
      <c r="AA26" s="747"/>
      <c r="AB26" s="117"/>
      <c r="AC26" s="752"/>
      <c r="AD26" s="753"/>
      <c r="AE26" s="753"/>
      <c r="AF26" s="753"/>
      <c r="AG26" s="753"/>
      <c r="AH26" s="753"/>
      <c r="AI26" s="753"/>
      <c r="AJ26" s="753"/>
      <c r="AK26" s="753"/>
      <c r="AL26" s="753"/>
      <c r="AM26" s="753"/>
      <c r="AN26" s="753"/>
      <c r="AO26" s="753"/>
      <c r="AP26" s="753"/>
      <c r="AQ26" s="753"/>
      <c r="AR26" s="753"/>
      <c r="AS26" s="753"/>
      <c r="AT26" s="753"/>
      <c r="AU26" s="753"/>
      <c r="AV26" s="753"/>
      <c r="AW26" s="753"/>
      <c r="AX26" s="753"/>
    </row>
    <row r="27" spans="1:50" s="756" customFormat="1">
      <c r="A27" s="1025"/>
      <c r="B27" s="1027"/>
      <c r="C27" s="1027"/>
      <c r="D27" s="1027"/>
      <c r="E27" s="484" t="s">
        <v>1546</v>
      </c>
      <c r="F27" s="484">
        <v>9</v>
      </c>
      <c r="G27" s="484">
        <f>+B26-124</f>
        <v>-124</v>
      </c>
      <c r="H27" s="484">
        <f>+C26-124</f>
        <v>-124</v>
      </c>
      <c r="I27" s="484">
        <f>+D26</f>
        <v>0</v>
      </c>
      <c r="J27" s="484" t="s">
        <v>1547</v>
      </c>
      <c r="K27" s="487"/>
      <c r="L27" s="485"/>
      <c r="M27" s="485"/>
      <c r="N27" s="484" t="str">
        <f t="shared" si="0"/>
        <v/>
      </c>
      <c r="O27" s="747"/>
      <c r="P27" s="747">
        <f>+G27*H27*I27/1000000/1.22/2.44/0.85</f>
        <v>0</v>
      </c>
      <c r="Q27" s="747"/>
      <c r="R27" s="747"/>
      <c r="S27" s="747"/>
      <c r="T27" s="747"/>
      <c r="U27" s="747">
        <f t="shared" si="2"/>
        <v>0</v>
      </c>
      <c r="V27" s="747">
        <f t="shared" si="1"/>
        <v>0</v>
      </c>
      <c r="W27" s="752"/>
      <c r="X27" s="752"/>
      <c r="Y27" s="747"/>
      <c r="Z27" s="747"/>
      <c r="AA27" s="747"/>
      <c r="AB27" s="117"/>
      <c r="AC27" s="752"/>
      <c r="AD27" s="753"/>
      <c r="AE27" s="753"/>
      <c r="AF27" s="753"/>
      <c r="AG27" s="753"/>
      <c r="AH27" s="753"/>
      <c r="AI27" s="753"/>
      <c r="AJ27" s="753"/>
      <c r="AK27" s="753"/>
      <c r="AL27" s="753"/>
      <c r="AM27" s="753"/>
      <c r="AN27" s="753"/>
      <c r="AO27" s="753"/>
      <c r="AP27" s="753"/>
      <c r="AQ27" s="753"/>
      <c r="AR27" s="753"/>
      <c r="AS27" s="753"/>
      <c r="AT27" s="753"/>
      <c r="AU27" s="753"/>
      <c r="AV27" s="753"/>
      <c r="AW27" s="753"/>
      <c r="AX27" s="753"/>
    </row>
    <row r="28" spans="1:50" s="756" customFormat="1">
      <c r="A28" s="1024"/>
      <c r="B28" s="1026"/>
      <c r="C28" s="1026"/>
      <c r="D28" s="1026"/>
      <c r="E28" s="484" t="s">
        <v>1543</v>
      </c>
      <c r="F28" s="484">
        <v>22</v>
      </c>
      <c r="G28" s="484">
        <f>+B28+2</f>
        <v>2</v>
      </c>
      <c r="H28" s="484">
        <f>+C28+2</f>
        <v>2</v>
      </c>
      <c r="I28" s="484">
        <f>+D28</f>
        <v>0</v>
      </c>
      <c r="J28" s="484" t="s">
        <v>1269</v>
      </c>
      <c r="K28" s="487"/>
      <c r="L28" s="485"/>
      <c r="M28" s="485"/>
      <c r="N28" s="484" t="str">
        <f t="shared" si="0"/>
        <v/>
      </c>
      <c r="O28" s="747">
        <f>G28*H28*I28/1000000/1.22/2.44/0.85</f>
        <v>0</v>
      </c>
      <c r="P28" s="747"/>
      <c r="Q28" s="747"/>
      <c r="R28" s="747"/>
      <c r="S28" s="747"/>
      <c r="T28" s="747"/>
      <c r="U28" s="747">
        <f t="shared" si="2"/>
        <v>0</v>
      </c>
      <c r="V28" s="747">
        <f t="shared" si="1"/>
        <v>0</v>
      </c>
      <c r="W28" s="752"/>
      <c r="X28" s="752"/>
      <c r="Y28" s="747"/>
      <c r="Z28" s="747"/>
      <c r="AA28" s="747"/>
      <c r="AB28" s="117"/>
      <c r="AC28" s="752"/>
      <c r="AD28" s="753"/>
      <c r="AE28" s="753"/>
      <c r="AF28" s="753"/>
      <c r="AG28" s="753"/>
      <c r="AH28" s="753"/>
      <c r="AI28" s="753"/>
      <c r="AJ28" s="753"/>
      <c r="AK28" s="753"/>
      <c r="AL28" s="753"/>
      <c r="AM28" s="753"/>
      <c r="AN28" s="753"/>
      <c r="AO28" s="753"/>
      <c r="AP28" s="753"/>
      <c r="AQ28" s="753"/>
      <c r="AR28" s="753"/>
      <c r="AS28" s="753"/>
      <c r="AT28" s="753"/>
      <c r="AU28" s="753"/>
      <c r="AV28" s="753"/>
      <c r="AW28" s="753"/>
      <c r="AX28" s="753"/>
    </row>
    <row r="29" spans="1:50" s="756" customFormat="1">
      <c r="A29" s="1025"/>
      <c r="B29" s="1027"/>
      <c r="C29" s="1027"/>
      <c r="D29" s="1027"/>
      <c r="E29" s="484" t="s">
        <v>1546</v>
      </c>
      <c r="F29" s="484">
        <v>9</v>
      </c>
      <c r="G29" s="484">
        <f>+B28-124</f>
        <v>-124</v>
      </c>
      <c r="H29" s="484">
        <f>+C28-124</f>
        <v>-124</v>
      </c>
      <c r="I29" s="484">
        <f>+D28</f>
        <v>0</v>
      </c>
      <c r="J29" s="484" t="s">
        <v>1547</v>
      </c>
      <c r="K29" s="487"/>
      <c r="L29" s="485"/>
      <c r="M29" s="485"/>
      <c r="N29" s="484" t="str">
        <f t="shared" si="0"/>
        <v/>
      </c>
      <c r="O29" s="747"/>
      <c r="P29" s="747">
        <f>+G29*H29*I29/1000000/1.22/2.44/0.85</f>
        <v>0</v>
      </c>
      <c r="Q29" s="747"/>
      <c r="R29" s="747"/>
      <c r="S29" s="747"/>
      <c r="T29" s="747"/>
      <c r="U29" s="747">
        <f t="shared" si="2"/>
        <v>0</v>
      </c>
      <c r="V29" s="747">
        <f t="shared" si="1"/>
        <v>0</v>
      </c>
      <c r="W29" s="752"/>
      <c r="X29" s="752"/>
      <c r="Y29" s="747"/>
      <c r="Z29" s="747"/>
      <c r="AA29" s="747"/>
      <c r="AB29" s="117"/>
      <c r="AC29" s="752"/>
      <c r="AD29" s="753"/>
      <c r="AE29" s="753"/>
      <c r="AF29" s="753"/>
      <c r="AG29" s="753"/>
      <c r="AH29" s="753"/>
      <c r="AI29" s="753"/>
      <c r="AJ29" s="753"/>
      <c r="AK29" s="753"/>
      <c r="AL29" s="753"/>
      <c r="AM29" s="753"/>
      <c r="AN29" s="753"/>
      <c r="AO29" s="753"/>
      <c r="AP29" s="753"/>
      <c r="AQ29" s="753"/>
      <c r="AR29" s="753"/>
      <c r="AS29" s="753"/>
      <c r="AT29" s="753"/>
      <c r="AU29" s="753"/>
      <c r="AV29" s="753"/>
      <c r="AW29" s="753"/>
      <c r="AX29" s="753"/>
    </row>
    <row r="30" spans="1:50" s="756" customFormat="1">
      <c r="A30" s="1024"/>
      <c r="B30" s="1026"/>
      <c r="C30" s="1026"/>
      <c r="D30" s="1026"/>
      <c r="E30" s="484" t="s">
        <v>1543</v>
      </c>
      <c r="F30" s="484">
        <v>22</v>
      </c>
      <c r="G30" s="484">
        <f>+B30+2</f>
        <v>2</v>
      </c>
      <c r="H30" s="484">
        <f>+C30+2</f>
        <v>2</v>
      </c>
      <c r="I30" s="484">
        <f>+D30</f>
        <v>0</v>
      </c>
      <c r="J30" s="484" t="s">
        <v>1269</v>
      </c>
      <c r="K30" s="487"/>
      <c r="L30" s="485"/>
      <c r="M30" s="485"/>
      <c r="N30" s="484" t="str">
        <f t="shared" si="0"/>
        <v/>
      </c>
      <c r="O30" s="747">
        <f>G30*H30*I30/1000000/1.22/2.44/0.85</f>
        <v>0</v>
      </c>
      <c r="P30" s="747"/>
      <c r="Q30" s="747"/>
      <c r="R30" s="747"/>
      <c r="S30" s="747"/>
      <c r="T30" s="747"/>
      <c r="U30" s="747">
        <f t="shared" si="2"/>
        <v>0</v>
      </c>
      <c r="V30" s="747">
        <f t="shared" si="1"/>
        <v>0</v>
      </c>
      <c r="W30" s="752"/>
      <c r="X30" s="752"/>
      <c r="Y30" s="747"/>
      <c r="Z30" s="747"/>
      <c r="AA30" s="747"/>
      <c r="AB30" s="117"/>
      <c r="AC30" s="752"/>
      <c r="AD30" s="753"/>
      <c r="AE30" s="753"/>
      <c r="AF30" s="753"/>
      <c r="AG30" s="753"/>
      <c r="AH30" s="753"/>
      <c r="AI30" s="753"/>
      <c r="AJ30" s="753"/>
      <c r="AK30" s="753"/>
      <c r="AL30" s="753"/>
      <c r="AM30" s="753"/>
      <c r="AN30" s="753"/>
      <c r="AO30" s="753"/>
      <c r="AP30" s="753"/>
      <c r="AQ30" s="753"/>
      <c r="AR30" s="753"/>
      <c r="AS30" s="753"/>
      <c r="AT30" s="753"/>
      <c r="AU30" s="753"/>
      <c r="AV30" s="753"/>
      <c r="AW30" s="753"/>
      <c r="AX30" s="753"/>
    </row>
    <row r="31" spans="1:50" s="756" customFormat="1">
      <c r="A31" s="1025"/>
      <c r="B31" s="1027"/>
      <c r="C31" s="1027"/>
      <c r="D31" s="1027"/>
      <c r="E31" s="484" t="s">
        <v>1546</v>
      </c>
      <c r="F31" s="484">
        <v>9</v>
      </c>
      <c r="G31" s="484">
        <f>+B30-124</f>
        <v>-124</v>
      </c>
      <c r="H31" s="484">
        <f>+C30-124</f>
        <v>-124</v>
      </c>
      <c r="I31" s="484">
        <f>+D30</f>
        <v>0</v>
      </c>
      <c r="J31" s="484" t="s">
        <v>1547</v>
      </c>
      <c r="K31" s="487"/>
      <c r="L31" s="485"/>
      <c r="M31" s="485"/>
      <c r="N31" s="484" t="str">
        <f t="shared" si="0"/>
        <v/>
      </c>
      <c r="O31" s="747"/>
      <c r="P31" s="747">
        <f>+G31*H31*I31/1000000/1.22/2.44/0.85</f>
        <v>0</v>
      </c>
      <c r="Q31" s="747"/>
      <c r="R31" s="747"/>
      <c r="S31" s="747"/>
      <c r="T31" s="747"/>
      <c r="U31" s="747">
        <f t="shared" si="2"/>
        <v>0</v>
      </c>
      <c r="V31" s="747">
        <f t="shared" si="1"/>
        <v>0</v>
      </c>
      <c r="W31" s="752"/>
      <c r="X31" s="752"/>
      <c r="Y31" s="747"/>
      <c r="Z31" s="747"/>
      <c r="AA31" s="747"/>
      <c r="AB31" s="117"/>
      <c r="AC31" s="752"/>
      <c r="AD31" s="753"/>
      <c r="AE31" s="753"/>
      <c r="AF31" s="753"/>
      <c r="AG31" s="753"/>
      <c r="AH31" s="753"/>
      <c r="AI31" s="753"/>
      <c r="AJ31" s="753"/>
      <c r="AK31" s="753"/>
      <c r="AL31" s="753"/>
      <c r="AM31" s="753"/>
      <c r="AN31" s="753"/>
      <c r="AO31" s="753"/>
      <c r="AP31" s="753"/>
      <c r="AQ31" s="753"/>
      <c r="AR31" s="753"/>
      <c r="AS31" s="753"/>
      <c r="AT31" s="753"/>
      <c r="AU31" s="753"/>
      <c r="AV31" s="753"/>
      <c r="AW31" s="753"/>
      <c r="AX31" s="753"/>
    </row>
    <row r="32" spans="1:50">
      <c r="A32" s="778"/>
      <c r="B32" s="485"/>
      <c r="C32" s="485"/>
      <c r="D32" s="485"/>
      <c r="E32" s="484"/>
      <c r="F32" s="484">
        <v>22</v>
      </c>
      <c r="G32" s="484">
        <f>+B32</f>
        <v>0</v>
      </c>
      <c r="H32" s="484">
        <f>+C32</f>
        <v>0</v>
      </c>
      <c r="I32" s="484">
        <f>+D32</f>
        <v>0</v>
      </c>
      <c r="J32" s="484" t="s">
        <v>1053</v>
      </c>
      <c r="K32" s="487" t="s">
        <v>1549</v>
      </c>
      <c r="L32" s="485"/>
      <c r="M32" s="485"/>
      <c r="N32" s="484" t="str">
        <f t="shared" si="0"/>
        <v/>
      </c>
      <c r="O32" s="747">
        <f>G32*H32*I32/1000000/1.22/2.44/0.85</f>
        <v>0</v>
      </c>
      <c r="P32" s="747"/>
      <c r="Q32" s="747"/>
      <c r="R32" s="747"/>
      <c r="S32" s="747"/>
      <c r="T32" s="747"/>
      <c r="U32" s="747"/>
      <c r="V32" s="747">
        <f t="shared" si="1"/>
        <v>0</v>
      </c>
      <c r="Y32" s="747"/>
      <c r="Z32" s="747"/>
      <c r="AA32" s="747"/>
      <c r="AB32" s="747"/>
    </row>
    <row r="33" spans="1:50" s="756" customFormat="1">
      <c r="A33" s="1024"/>
      <c r="B33" s="1028"/>
      <c r="C33" s="1028"/>
      <c r="D33" s="1028"/>
      <c r="E33" s="484" t="s">
        <v>1543</v>
      </c>
      <c r="F33" s="484">
        <v>22</v>
      </c>
      <c r="G33" s="484">
        <f>+B33+2</f>
        <v>2</v>
      </c>
      <c r="H33" s="484">
        <f>+C33+2</f>
        <v>2</v>
      </c>
      <c r="I33" s="484">
        <f>+D33</f>
        <v>0</v>
      </c>
      <c r="J33" s="484" t="s">
        <v>1269</v>
      </c>
      <c r="K33" s="487"/>
      <c r="L33" s="485"/>
      <c r="M33" s="485"/>
      <c r="N33" s="484" t="str">
        <f t="shared" si="0"/>
        <v/>
      </c>
      <c r="O33" s="747">
        <f>G33*H33*I33/1000000/1.22/2.44/0.85</f>
        <v>0</v>
      </c>
      <c r="P33" s="747"/>
      <c r="Q33" s="747"/>
      <c r="R33" s="747"/>
      <c r="S33" s="747"/>
      <c r="T33" s="747"/>
      <c r="U33" s="747">
        <f>+(B33+C33)*2*D33/1000</f>
        <v>0</v>
      </c>
      <c r="V33" s="747">
        <f t="shared" si="1"/>
        <v>0</v>
      </c>
      <c r="W33" s="752"/>
      <c r="X33" s="752"/>
      <c r="Y33" s="747"/>
      <c r="Z33" s="747"/>
      <c r="AA33" s="747"/>
      <c r="AB33" s="117"/>
      <c r="AC33" s="752"/>
      <c r="AD33" s="753"/>
      <c r="AE33" s="753"/>
      <c r="AF33" s="753"/>
      <c r="AG33" s="753"/>
      <c r="AH33" s="753"/>
      <c r="AI33" s="753"/>
      <c r="AJ33" s="753"/>
      <c r="AK33" s="753"/>
      <c r="AL33" s="753"/>
      <c r="AM33" s="753"/>
      <c r="AN33" s="753"/>
      <c r="AO33" s="753"/>
      <c r="AP33" s="753"/>
      <c r="AQ33" s="753"/>
      <c r="AR33" s="753"/>
      <c r="AS33" s="753"/>
      <c r="AT33" s="753"/>
      <c r="AU33" s="753"/>
      <c r="AV33" s="753"/>
      <c r="AW33" s="753"/>
      <c r="AX33" s="753"/>
    </row>
    <row r="34" spans="1:50" s="756" customFormat="1">
      <c r="A34" s="1025"/>
      <c r="B34" s="1028"/>
      <c r="C34" s="1028"/>
      <c r="D34" s="1028"/>
      <c r="E34" s="484" t="s">
        <v>1546</v>
      </c>
      <c r="F34" s="484">
        <v>9</v>
      </c>
      <c r="G34" s="484">
        <f>+B33-124</f>
        <v>-124</v>
      </c>
      <c r="H34" s="484">
        <f>+C33-124</f>
        <v>-124</v>
      </c>
      <c r="I34" s="484">
        <f>+D33</f>
        <v>0</v>
      </c>
      <c r="J34" s="484" t="s">
        <v>1547</v>
      </c>
      <c r="K34" s="487"/>
      <c r="L34" s="485"/>
      <c r="M34" s="485"/>
      <c r="N34" s="484" t="str">
        <f t="shared" si="0"/>
        <v/>
      </c>
      <c r="O34" s="747"/>
      <c r="P34" s="747">
        <f>+G34*H34*I34/1000000/1.22/2.44/0.85</f>
        <v>0</v>
      </c>
      <c r="Q34" s="747"/>
      <c r="R34" s="747"/>
      <c r="S34" s="747"/>
      <c r="T34" s="747"/>
      <c r="U34" s="747">
        <f>+(B34+C34)*2*D34/1000</f>
        <v>0</v>
      </c>
      <c r="V34" s="747">
        <f t="shared" si="1"/>
        <v>0</v>
      </c>
      <c r="W34" s="752"/>
      <c r="X34" s="752"/>
      <c r="Y34" s="747"/>
      <c r="Z34" s="747"/>
      <c r="AA34" s="747"/>
      <c r="AB34" s="117"/>
      <c r="AC34" s="752"/>
      <c r="AD34" s="753"/>
      <c r="AE34" s="753"/>
      <c r="AF34" s="753"/>
      <c r="AG34" s="753"/>
      <c r="AH34" s="753"/>
      <c r="AI34" s="753"/>
      <c r="AJ34" s="753"/>
      <c r="AK34" s="753"/>
      <c r="AL34" s="753"/>
      <c r="AM34" s="753"/>
      <c r="AN34" s="753"/>
      <c r="AO34" s="753"/>
      <c r="AP34" s="753"/>
      <c r="AQ34" s="753"/>
      <c r="AR34" s="753"/>
      <c r="AS34" s="753"/>
      <c r="AT34" s="753"/>
      <c r="AU34" s="753"/>
      <c r="AV34" s="753"/>
      <c r="AW34" s="753"/>
      <c r="AX34" s="753"/>
    </row>
    <row r="35" spans="1:50">
      <c r="A35" s="778"/>
      <c r="B35" s="485"/>
      <c r="C35" s="485"/>
      <c r="D35" s="485"/>
      <c r="E35" s="484"/>
      <c r="F35" s="484">
        <v>22</v>
      </c>
      <c r="G35" s="484">
        <f>+B35</f>
        <v>0</v>
      </c>
      <c r="H35" s="484">
        <f>+C35</f>
        <v>0</v>
      </c>
      <c r="I35" s="484">
        <f>+D35</f>
        <v>0</v>
      </c>
      <c r="J35" s="484" t="s">
        <v>1053</v>
      </c>
      <c r="K35" s="487" t="s">
        <v>1549</v>
      </c>
      <c r="L35" s="485"/>
      <c r="M35" s="485"/>
      <c r="N35" s="484" t="str">
        <f t="shared" si="0"/>
        <v/>
      </c>
      <c r="O35" s="747">
        <f>G35*H35*I35/1000000/1.22/2.44/0.85</f>
        <v>0</v>
      </c>
      <c r="P35" s="747"/>
      <c r="Q35" s="747"/>
      <c r="R35" s="747"/>
      <c r="S35" s="747"/>
      <c r="T35" s="747"/>
      <c r="U35" s="747"/>
      <c r="V35" s="747">
        <f t="shared" si="1"/>
        <v>0</v>
      </c>
      <c r="Y35" s="747"/>
      <c r="Z35" s="747"/>
      <c r="AA35" s="747"/>
      <c r="AB35" s="747"/>
    </row>
    <row r="36" spans="1:50" s="756" customFormat="1">
      <c r="A36" s="1024" t="s">
        <v>1550</v>
      </c>
      <c r="B36" s="1026"/>
      <c r="C36" s="1026"/>
      <c r="D36" s="1026"/>
      <c r="E36" s="484" t="s">
        <v>1543</v>
      </c>
      <c r="F36" s="484">
        <v>22</v>
      </c>
      <c r="G36" s="484">
        <f>+B36+2</f>
        <v>2</v>
      </c>
      <c r="H36" s="484">
        <f>+C36+2</f>
        <v>2</v>
      </c>
      <c r="I36" s="484">
        <f>+D36</f>
        <v>0</v>
      </c>
      <c r="J36" s="484" t="s">
        <v>1269</v>
      </c>
      <c r="K36" s="487"/>
      <c r="L36" s="485"/>
      <c r="M36" s="485"/>
      <c r="N36" s="484" t="str">
        <f t="shared" si="0"/>
        <v/>
      </c>
      <c r="O36" s="747">
        <f>G36*H36*I36/1000000/1.22/2.44/0.85</f>
        <v>0</v>
      </c>
      <c r="P36" s="747"/>
      <c r="Q36" s="747"/>
      <c r="R36" s="747"/>
      <c r="S36" s="747"/>
      <c r="T36" s="747"/>
      <c r="U36" s="747">
        <f t="shared" ref="U36:U45" si="3">+(B36+C36)*2*D36/1000</f>
        <v>0</v>
      </c>
      <c r="V36" s="747">
        <f t="shared" si="1"/>
        <v>0</v>
      </c>
      <c r="W36" s="752"/>
      <c r="X36" s="752"/>
      <c r="Y36" s="747"/>
      <c r="Z36" s="747"/>
      <c r="AA36" s="747"/>
      <c r="AB36" s="117"/>
      <c r="AC36" s="752"/>
      <c r="AD36" s="753"/>
      <c r="AE36" s="753"/>
      <c r="AF36" s="753"/>
      <c r="AG36" s="753"/>
      <c r="AH36" s="753"/>
      <c r="AI36" s="753"/>
      <c r="AJ36" s="753"/>
      <c r="AK36" s="753"/>
      <c r="AL36" s="753"/>
      <c r="AM36" s="753"/>
      <c r="AN36" s="753"/>
      <c r="AO36" s="753"/>
      <c r="AP36" s="753"/>
      <c r="AQ36" s="753"/>
      <c r="AR36" s="753"/>
      <c r="AS36" s="753"/>
      <c r="AT36" s="753"/>
      <c r="AU36" s="753"/>
      <c r="AV36" s="753"/>
      <c r="AW36" s="753"/>
      <c r="AX36" s="753"/>
    </row>
    <row r="37" spans="1:50" s="756" customFormat="1">
      <c r="A37" s="1025"/>
      <c r="B37" s="1027"/>
      <c r="C37" s="1027"/>
      <c r="D37" s="1027"/>
      <c r="E37" s="484" t="s">
        <v>1546</v>
      </c>
      <c r="F37" s="484">
        <v>9</v>
      </c>
      <c r="G37" s="484">
        <f>+B36-124</f>
        <v>-124</v>
      </c>
      <c r="H37" s="484">
        <f>+C36-124</f>
        <v>-124</v>
      </c>
      <c r="I37" s="484">
        <f>+D36</f>
        <v>0</v>
      </c>
      <c r="J37" s="484" t="s">
        <v>1547</v>
      </c>
      <c r="K37" s="487"/>
      <c r="L37" s="485"/>
      <c r="M37" s="485"/>
      <c r="N37" s="484" t="str">
        <f t="shared" si="0"/>
        <v/>
      </c>
      <c r="O37" s="747"/>
      <c r="P37" s="747">
        <f>+G37*H37*I37/1000000/1.22/2.44/0.85</f>
        <v>0</v>
      </c>
      <c r="Q37" s="747"/>
      <c r="R37" s="747"/>
      <c r="S37" s="747"/>
      <c r="T37" s="747"/>
      <c r="U37" s="747">
        <f t="shared" si="3"/>
        <v>0</v>
      </c>
      <c r="V37" s="747">
        <f t="shared" si="1"/>
        <v>0</v>
      </c>
      <c r="W37" s="752"/>
      <c r="X37" s="752"/>
      <c r="Y37" s="747"/>
      <c r="Z37" s="747"/>
      <c r="AA37" s="747"/>
      <c r="AB37" s="117"/>
      <c r="AC37" s="752"/>
      <c r="AD37" s="753"/>
      <c r="AE37" s="753"/>
      <c r="AF37" s="753"/>
      <c r="AG37" s="753"/>
      <c r="AH37" s="753"/>
      <c r="AI37" s="753"/>
      <c r="AJ37" s="753"/>
      <c r="AK37" s="753"/>
      <c r="AL37" s="753"/>
      <c r="AM37" s="753"/>
      <c r="AN37" s="753"/>
      <c r="AO37" s="753"/>
      <c r="AP37" s="753"/>
      <c r="AQ37" s="753"/>
      <c r="AR37" s="753"/>
      <c r="AS37" s="753"/>
      <c r="AT37" s="753"/>
      <c r="AU37" s="753"/>
      <c r="AV37" s="753"/>
      <c r="AW37" s="753"/>
      <c r="AX37" s="753"/>
    </row>
    <row r="38" spans="1:50" s="756" customFormat="1">
      <c r="A38" s="1024"/>
      <c r="B38" s="1026"/>
      <c r="C38" s="1026"/>
      <c r="D38" s="1026"/>
      <c r="E38" s="484" t="s">
        <v>1543</v>
      </c>
      <c r="F38" s="484">
        <v>22</v>
      </c>
      <c r="G38" s="484">
        <f>+B38+2</f>
        <v>2</v>
      </c>
      <c r="H38" s="484">
        <f>+C38+2</f>
        <v>2</v>
      </c>
      <c r="I38" s="484">
        <f>+D38</f>
        <v>0</v>
      </c>
      <c r="J38" s="484" t="s">
        <v>1269</v>
      </c>
      <c r="K38" s="487"/>
      <c r="L38" s="485"/>
      <c r="M38" s="485"/>
      <c r="N38" s="484" t="str">
        <f t="shared" si="0"/>
        <v/>
      </c>
      <c r="O38" s="747">
        <f>G38*H38*I38/1000000/1.22/2.44/0.85</f>
        <v>0</v>
      </c>
      <c r="P38" s="747"/>
      <c r="Q38" s="747"/>
      <c r="R38" s="747"/>
      <c r="S38" s="747"/>
      <c r="T38" s="747"/>
      <c r="U38" s="747">
        <f t="shared" si="3"/>
        <v>0</v>
      </c>
      <c r="V38" s="747">
        <f t="shared" si="1"/>
        <v>0</v>
      </c>
      <c r="W38" s="752"/>
      <c r="X38" s="752"/>
      <c r="Y38" s="747"/>
      <c r="Z38" s="747"/>
      <c r="AA38" s="747"/>
      <c r="AB38" s="117"/>
      <c r="AC38" s="752"/>
      <c r="AD38" s="753"/>
      <c r="AE38" s="753"/>
      <c r="AF38" s="753"/>
      <c r="AG38" s="753"/>
      <c r="AH38" s="753"/>
      <c r="AI38" s="753"/>
      <c r="AJ38" s="753"/>
      <c r="AK38" s="753"/>
      <c r="AL38" s="753"/>
      <c r="AM38" s="753"/>
      <c r="AN38" s="753"/>
      <c r="AO38" s="753"/>
      <c r="AP38" s="753"/>
      <c r="AQ38" s="753"/>
      <c r="AR38" s="753"/>
      <c r="AS38" s="753"/>
      <c r="AT38" s="753"/>
      <c r="AU38" s="753"/>
      <c r="AV38" s="753"/>
      <c r="AW38" s="753"/>
      <c r="AX38" s="753"/>
    </row>
    <row r="39" spans="1:50" s="756" customFormat="1">
      <c r="A39" s="1025"/>
      <c r="B39" s="1027"/>
      <c r="C39" s="1027"/>
      <c r="D39" s="1027"/>
      <c r="E39" s="484" t="s">
        <v>1546</v>
      </c>
      <c r="F39" s="484">
        <v>9</v>
      </c>
      <c r="G39" s="484">
        <f>+B38-124</f>
        <v>-124</v>
      </c>
      <c r="H39" s="484">
        <f>+C38-124</f>
        <v>-124</v>
      </c>
      <c r="I39" s="484">
        <f>+D38</f>
        <v>0</v>
      </c>
      <c r="J39" s="484" t="s">
        <v>1547</v>
      </c>
      <c r="K39" s="487"/>
      <c r="L39" s="485"/>
      <c r="M39" s="485"/>
      <c r="N39" s="484" t="str">
        <f t="shared" si="0"/>
        <v/>
      </c>
      <c r="O39" s="747"/>
      <c r="P39" s="747">
        <f>+G39*H39*I39/1000000/1.22/2.44/0.85</f>
        <v>0</v>
      </c>
      <c r="Q39" s="747"/>
      <c r="R39" s="747"/>
      <c r="S39" s="747"/>
      <c r="T39" s="747"/>
      <c r="U39" s="747">
        <f t="shared" si="3"/>
        <v>0</v>
      </c>
      <c r="V39" s="747">
        <f t="shared" si="1"/>
        <v>0</v>
      </c>
      <c r="W39" s="752"/>
      <c r="X39" s="752"/>
      <c r="Y39" s="747"/>
      <c r="Z39" s="747"/>
      <c r="AA39" s="747"/>
      <c r="AB39" s="117"/>
      <c r="AC39" s="752"/>
      <c r="AD39" s="753"/>
      <c r="AE39" s="753"/>
      <c r="AF39" s="753"/>
      <c r="AG39" s="753"/>
      <c r="AH39" s="753"/>
      <c r="AI39" s="753"/>
      <c r="AJ39" s="753"/>
      <c r="AK39" s="753"/>
      <c r="AL39" s="753"/>
      <c r="AM39" s="753"/>
      <c r="AN39" s="753"/>
      <c r="AO39" s="753"/>
      <c r="AP39" s="753"/>
      <c r="AQ39" s="753"/>
      <c r="AR39" s="753"/>
      <c r="AS39" s="753"/>
      <c r="AT39" s="753"/>
      <c r="AU39" s="753"/>
      <c r="AV39" s="753"/>
      <c r="AW39" s="753"/>
      <c r="AX39" s="753"/>
    </row>
    <row r="40" spans="1:50" s="756" customFormat="1">
      <c r="A40" s="1024" t="s">
        <v>1551</v>
      </c>
      <c r="B40" s="1026"/>
      <c r="C40" s="1026"/>
      <c r="D40" s="1026"/>
      <c r="E40" s="484" t="s">
        <v>1543</v>
      </c>
      <c r="F40" s="484">
        <v>22</v>
      </c>
      <c r="G40" s="484">
        <f>+B40+2</f>
        <v>2</v>
      </c>
      <c r="H40" s="484">
        <f>+C40+2</f>
        <v>2</v>
      </c>
      <c r="I40" s="484">
        <f>+D40</f>
        <v>0</v>
      </c>
      <c r="J40" s="484" t="s">
        <v>1269</v>
      </c>
      <c r="K40" s="487"/>
      <c r="L40" s="485"/>
      <c r="M40" s="485"/>
      <c r="N40" s="484" t="str">
        <f t="shared" si="0"/>
        <v/>
      </c>
      <c r="O40" s="747">
        <f>G40*H40*I40/1000000/1.22/2.44/0.85</f>
        <v>0</v>
      </c>
      <c r="P40" s="747"/>
      <c r="Q40" s="747"/>
      <c r="R40" s="747"/>
      <c r="S40" s="747"/>
      <c r="T40" s="747"/>
      <c r="U40" s="747">
        <f t="shared" si="3"/>
        <v>0</v>
      </c>
      <c r="V40" s="747">
        <f t="shared" si="1"/>
        <v>0</v>
      </c>
      <c r="W40" s="752"/>
      <c r="X40" s="752"/>
      <c r="Y40" s="747"/>
      <c r="Z40" s="747"/>
      <c r="AA40" s="747"/>
      <c r="AB40" s="117"/>
      <c r="AC40" s="752"/>
      <c r="AD40" s="753"/>
      <c r="AE40" s="753"/>
      <c r="AF40" s="753"/>
      <c r="AG40" s="753"/>
      <c r="AH40" s="753"/>
      <c r="AI40" s="753"/>
      <c r="AJ40" s="753"/>
      <c r="AK40" s="753"/>
      <c r="AL40" s="753"/>
      <c r="AM40" s="753"/>
      <c r="AN40" s="753"/>
      <c r="AO40" s="753"/>
      <c r="AP40" s="753"/>
      <c r="AQ40" s="753"/>
      <c r="AR40" s="753"/>
      <c r="AS40" s="753"/>
      <c r="AT40" s="753"/>
      <c r="AU40" s="753"/>
      <c r="AV40" s="753"/>
      <c r="AW40" s="753"/>
      <c r="AX40" s="753"/>
    </row>
    <row r="41" spans="1:50" s="756" customFormat="1">
      <c r="A41" s="1025"/>
      <c r="B41" s="1027"/>
      <c r="C41" s="1027"/>
      <c r="D41" s="1027"/>
      <c r="E41" s="484" t="s">
        <v>1546</v>
      </c>
      <c r="F41" s="484">
        <v>9</v>
      </c>
      <c r="G41" s="484">
        <f>+B40-124</f>
        <v>-124</v>
      </c>
      <c r="H41" s="484">
        <f>+C40-124</f>
        <v>-124</v>
      </c>
      <c r="I41" s="484">
        <f>+D40</f>
        <v>0</v>
      </c>
      <c r="J41" s="484" t="s">
        <v>1547</v>
      </c>
      <c r="K41" s="487"/>
      <c r="L41" s="485"/>
      <c r="M41" s="485"/>
      <c r="N41" s="484" t="str">
        <f t="shared" si="0"/>
        <v/>
      </c>
      <c r="O41" s="747"/>
      <c r="P41" s="747">
        <f>+G41*H41*I41/1000000/1.22/2.44/0.85</f>
        <v>0</v>
      </c>
      <c r="Q41" s="747"/>
      <c r="R41" s="747"/>
      <c r="S41" s="747"/>
      <c r="T41" s="747"/>
      <c r="U41" s="747">
        <f t="shared" si="3"/>
        <v>0</v>
      </c>
      <c r="V41" s="747">
        <f t="shared" si="1"/>
        <v>0</v>
      </c>
      <c r="W41" s="752"/>
      <c r="X41" s="752"/>
      <c r="Y41" s="747"/>
      <c r="Z41" s="747"/>
      <c r="AA41" s="747"/>
      <c r="AB41" s="117"/>
      <c r="AC41" s="752"/>
      <c r="AD41" s="753"/>
      <c r="AE41" s="753"/>
      <c r="AF41" s="753"/>
      <c r="AG41" s="753"/>
      <c r="AH41" s="753"/>
      <c r="AI41" s="753"/>
      <c r="AJ41" s="753"/>
      <c r="AK41" s="753"/>
      <c r="AL41" s="753"/>
      <c r="AM41" s="753"/>
      <c r="AN41" s="753"/>
      <c r="AO41" s="753"/>
      <c r="AP41" s="753"/>
      <c r="AQ41" s="753"/>
      <c r="AR41" s="753"/>
      <c r="AS41" s="753"/>
      <c r="AT41" s="753"/>
      <c r="AU41" s="753"/>
      <c r="AV41" s="753"/>
      <c r="AW41" s="753"/>
      <c r="AX41" s="753"/>
    </row>
    <row r="42" spans="1:50" s="756" customFormat="1">
      <c r="A42" s="1024" t="s">
        <v>1354</v>
      </c>
      <c r="B42" s="1026"/>
      <c r="C42" s="1026"/>
      <c r="D42" s="1026"/>
      <c r="E42" s="484" t="s">
        <v>1543</v>
      </c>
      <c r="F42" s="484">
        <v>22</v>
      </c>
      <c r="G42" s="484">
        <f>+B42+2</f>
        <v>2</v>
      </c>
      <c r="H42" s="484">
        <f>+C42+2</f>
        <v>2</v>
      </c>
      <c r="I42" s="484">
        <f>+D42</f>
        <v>0</v>
      </c>
      <c r="J42" s="484" t="s">
        <v>1269</v>
      </c>
      <c r="K42" s="487" t="s">
        <v>1354</v>
      </c>
      <c r="L42" s="485"/>
      <c r="M42" s="485"/>
      <c r="N42" s="484" t="str">
        <f t="shared" si="0"/>
        <v/>
      </c>
      <c r="O42" s="747">
        <f>G42*H42*I42/1000000/1.22/2.44/0.85</f>
        <v>0</v>
      </c>
      <c r="P42" s="747"/>
      <c r="Q42" s="747"/>
      <c r="R42" s="747"/>
      <c r="S42" s="747"/>
      <c r="T42" s="747"/>
      <c r="U42" s="747">
        <f t="shared" si="3"/>
        <v>0</v>
      </c>
      <c r="V42" s="747">
        <f t="shared" si="1"/>
        <v>0</v>
      </c>
      <c r="W42" s="752"/>
      <c r="X42" s="752"/>
      <c r="Y42" s="747"/>
      <c r="Z42" s="747"/>
      <c r="AA42" s="747"/>
      <c r="AB42" s="117"/>
      <c r="AC42" s="752"/>
      <c r="AD42" s="753"/>
      <c r="AE42" s="753"/>
      <c r="AF42" s="753"/>
      <c r="AG42" s="753"/>
      <c r="AH42" s="753"/>
      <c r="AI42" s="753"/>
      <c r="AJ42" s="753"/>
      <c r="AK42" s="753"/>
      <c r="AL42" s="753"/>
      <c r="AM42" s="753"/>
      <c r="AN42" s="753"/>
      <c r="AO42" s="753"/>
      <c r="AP42" s="753"/>
      <c r="AQ42" s="753"/>
      <c r="AR42" s="753"/>
      <c r="AS42" s="753"/>
      <c r="AT42" s="753"/>
      <c r="AU42" s="753"/>
      <c r="AV42" s="753"/>
      <c r="AW42" s="753"/>
      <c r="AX42" s="753"/>
    </row>
    <row r="43" spans="1:50" s="756" customFormat="1">
      <c r="A43" s="1025"/>
      <c r="B43" s="1027"/>
      <c r="C43" s="1027"/>
      <c r="D43" s="1027"/>
      <c r="E43" s="484" t="s">
        <v>1552</v>
      </c>
      <c r="F43" s="484">
        <v>5</v>
      </c>
      <c r="G43" s="484">
        <f>+B42-124</f>
        <v>-124</v>
      </c>
      <c r="H43" s="484">
        <f>+C42-124</f>
        <v>-124</v>
      </c>
      <c r="I43" s="484">
        <f>+D42</f>
        <v>0</v>
      </c>
      <c r="J43" s="484" t="str">
        <f>IF(F43=15,"帕拉迪奥‘芯板’刀型",IF(F43=25,"帕拉迪奥边框刀型",""))</f>
        <v/>
      </c>
      <c r="K43" s="487"/>
      <c r="L43" s="485"/>
      <c r="M43" s="485"/>
      <c r="N43" s="484" t="str">
        <f t="shared" si="0"/>
        <v/>
      </c>
      <c r="O43" s="747"/>
      <c r="P43" s="747"/>
      <c r="Q43" s="747"/>
      <c r="R43" s="747"/>
      <c r="S43" s="747"/>
      <c r="T43" s="747"/>
      <c r="U43" s="747">
        <f t="shared" si="3"/>
        <v>0</v>
      </c>
      <c r="V43" s="747">
        <f t="shared" si="1"/>
        <v>0</v>
      </c>
      <c r="W43" s="752"/>
      <c r="X43" s="752"/>
      <c r="Y43" s="747"/>
      <c r="Z43" s="747"/>
      <c r="AA43" s="747"/>
      <c r="AB43" s="117"/>
      <c r="AC43" s="752"/>
      <c r="AD43" s="753"/>
      <c r="AE43" s="753"/>
      <c r="AF43" s="753"/>
      <c r="AG43" s="753"/>
      <c r="AH43" s="753"/>
      <c r="AI43" s="753"/>
      <c r="AJ43" s="753"/>
      <c r="AK43" s="753"/>
      <c r="AL43" s="753"/>
      <c r="AM43" s="753"/>
      <c r="AN43" s="753"/>
      <c r="AO43" s="753"/>
      <c r="AP43" s="753"/>
      <c r="AQ43" s="753"/>
      <c r="AR43" s="753"/>
      <c r="AS43" s="753"/>
      <c r="AT43" s="753"/>
      <c r="AU43" s="753"/>
      <c r="AV43" s="753"/>
      <c r="AW43" s="753"/>
      <c r="AX43" s="753"/>
    </row>
    <row r="44" spans="1:50" s="756" customFormat="1">
      <c r="A44" s="1024" t="s">
        <v>1354</v>
      </c>
      <c r="B44" s="1026"/>
      <c r="C44" s="1026"/>
      <c r="D44" s="1026"/>
      <c r="E44" s="484" t="s">
        <v>1543</v>
      </c>
      <c r="F44" s="484">
        <v>22</v>
      </c>
      <c r="G44" s="484">
        <f>+B44+2</f>
        <v>2</v>
      </c>
      <c r="H44" s="484">
        <f>+C44+2</f>
        <v>2</v>
      </c>
      <c r="I44" s="484">
        <f>+D44</f>
        <v>0</v>
      </c>
      <c r="J44" s="484" t="s">
        <v>1269</v>
      </c>
      <c r="K44" s="487" t="s">
        <v>1354</v>
      </c>
      <c r="L44" s="485"/>
      <c r="M44" s="485"/>
      <c r="N44" s="484" t="str">
        <f t="shared" si="0"/>
        <v/>
      </c>
      <c r="O44" s="747">
        <f>G44*H44*I44/1000000/1.22/2.44/0.85</f>
        <v>0</v>
      </c>
      <c r="P44" s="747"/>
      <c r="Q44" s="747"/>
      <c r="R44" s="747"/>
      <c r="S44" s="747"/>
      <c r="T44" s="747"/>
      <c r="U44" s="747">
        <f t="shared" si="3"/>
        <v>0</v>
      </c>
      <c r="V44" s="747">
        <f t="shared" si="1"/>
        <v>0</v>
      </c>
      <c r="W44" s="752"/>
      <c r="X44" s="752"/>
      <c r="Y44" s="747"/>
      <c r="Z44" s="747"/>
      <c r="AA44" s="747"/>
      <c r="AB44" s="117"/>
      <c r="AC44" s="752"/>
      <c r="AD44" s="753"/>
      <c r="AE44" s="753"/>
      <c r="AF44" s="753"/>
      <c r="AG44" s="753"/>
      <c r="AH44" s="753"/>
      <c r="AI44" s="753"/>
      <c r="AJ44" s="753"/>
      <c r="AK44" s="753"/>
      <c r="AL44" s="753"/>
      <c r="AM44" s="753"/>
      <c r="AN44" s="753"/>
      <c r="AO44" s="753"/>
      <c r="AP44" s="753"/>
      <c r="AQ44" s="753"/>
      <c r="AR44" s="753"/>
      <c r="AS44" s="753"/>
      <c r="AT44" s="753"/>
      <c r="AU44" s="753"/>
      <c r="AV44" s="753"/>
      <c r="AW44" s="753"/>
      <c r="AX44" s="753"/>
    </row>
    <row r="45" spans="1:50" s="756" customFormat="1">
      <c r="A45" s="1025"/>
      <c r="B45" s="1027"/>
      <c r="C45" s="1027"/>
      <c r="D45" s="1027"/>
      <c r="E45" s="484" t="s">
        <v>1552</v>
      </c>
      <c r="F45" s="484">
        <v>5</v>
      </c>
      <c r="G45" s="484">
        <f>+B44-124</f>
        <v>-124</v>
      </c>
      <c r="H45" s="484">
        <f>+C44-124</f>
        <v>-124</v>
      </c>
      <c r="I45" s="484">
        <f>+D44</f>
        <v>0</v>
      </c>
      <c r="J45" s="484" t="str">
        <f>IF(F45=15,"帕拉迪奥‘芯板’刀型",IF(F45=25,"帕拉迪奥边框刀型",""))</f>
        <v/>
      </c>
      <c r="K45" s="487"/>
      <c r="L45" s="485"/>
      <c r="M45" s="485"/>
      <c r="N45" s="484" t="str">
        <f t="shared" si="0"/>
        <v/>
      </c>
      <c r="O45" s="747"/>
      <c r="P45" s="747"/>
      <c r="Q45" s="747"/>
      <c r="R45" s="747"/>
      <c r="S45" s="747"/>
      <c r="T45" s="747"/>
      <c r="U45" s="747">
        <f t="shared" si="3"/>
        <v>0</v>
      </c>
      <c r="V45" s="747">
        <f t="shared" si="1"/>
        <v>0</v>
      </c>
      <c r="W45" s="752"/>
      <c r="X45" s="752"/>
      <c r="Y45" s="747"/>
      <c r="Z45" s="747"/>
      <c r="AA45" s="747"/>
      <c r="AB45" s="117"/>
      <c r="AC45" s="752"/>
      <c r="AD45" s="753"/>
      <c r="AE45" s="753"/>
      <c r="AF45" s="753"/>
      <c r="AG45" s="753"/>
      <c r="AH45" s="753"/>
      <c r="AI45" s="753"/>
      <c r="AJ45" s="753"/>
      <c r="AK45" s="753"/>
      <c r="AL45" s="753"/>
      <c r="AM45" s="753"/>
      <c r="AN45" s="753"/>
      <c r="AO45" s="753"/>
      <c r="AP45" s="753"/>
      <c r="AQ45" s="753"/>
      <c r="AR45" s="753"/>
      <c r="AS45" s="753"/>
      <c r="AT45" s="753"/>
      <c r="AU45" s="753"/>
      <c r="AV45" s="753"/>
      <c r="AW45" s="753"/>
      <c r="AX45" s="753"/>
    </row>
    <row r="46" spans="1:50">
      <c r="A46" s="778"/>
      <c r="B46" s="484"/>
      <c r="C46" s="484"/>
      <c r="D46" s="741"/>
      <c r="E46" s="484"/>
      <c r="F46" s="484"/>
      <c r="G46" s="484"/>
      <c r="H46" s="484"/>
      <c r="I46" s="484"/>
      <c r="J46" s="484"/>
      <c r="K46" s="487"/>
      <c r="L46" s="485"/>
      <c r="M46" s="485"/>
      <c r="N46" s="484" t="str">
        <f t="shared" si="0"/>
        <v/>
      </c>
      <c r="O46" s="747"/>
      <c r="P46" s="747"/>
      <c r="Q46" s="747"/>
      <c r="R46" s="747"/>
      <c r="S46" s="747"/>
      <c r="T46" s="747"/>
      <c r="U46" s="747"/>
      <c r="V46" s="747">
        <f t="shared" si="1"/>
        <v>0</v>
      </c>
      <c r="Y46" s="747"/>
      <c r="Z46" s="747"/>
      <c r="AA46" s="747"/>
      <c r="AB46" s="117"/>
    </row>
    <row r="47" spans="1:50">
      <c r="A47" s="1031" t="s">
        <v>1553</v>
      </c>
      <c r="B47" s="779"/>
      <c r="C47" s="779"/>
      <c r="D47" s="779"/>
      <c r="E47" s="742" t="s">
        <v>1554</v>
      </c>
      <c r="F47" s="743">
        <v>12</v>
      </c>
      <c r="G47" s="742">
        <f>+B47+10</f>
        <v>10</v>
      </c>
      <c r="H47" s="742">
        <f>+C47+5</f>
        <v>5</v>
      </c>
      <c r="I47" s="742">
        <f>+D47</f>
        <v>0</v>
      </c>
      <c r="J47" s="742"/>
      <c r="K47" s="790" t="s">
        <v>1555</v>
      </c>
      <c r="L47" s="779"/>
      <c r="M47" s="779"/>
      <c r="N47" s="484" t="str">
        <f t="shared" si="0"/>
        <v/>
      </c>
      <c r="O47" s="747"/>
      <c r="P47" s="747"/>
      <c r="Q47" s="747"/>
      <c r="R47" s="747"/>
      <c r="S47" s="747">
        <f>+G47*H47*I47/1000000/1.22/2.44/0.85</f>
        <v>0</v>
      </c>
      <c r="T47" s="747"/>
      <c r="U47" s="747"/>
      <c r="V47" s="747">
        <f t="shared" si="1"/>
        <v>0</v>
      </c>
      <c r="Y47" s="747"/>
      <c r="Z47" s="747"/>
      <c r="AA47" s="747"/>
      <c r="AB47" s="747"/>
    </row>
    <row r="48" spans="1:50">
      <c r="A48" s="1033"/>
      <c r="B48" s="779"/>
      <c r="C48" s="779"/>
      <c r="D48" s="779"/>
      <c r="E48" s="742" t="s">
        <v>1556</v>
      </c>
      <c r="F48" s="743">
        <v>18</v>
      </c>
      <c r="G48" s="742">
        <v>83</v>
      </c>
      <c r="H48" s="742">
        <f>+G47</f>
        <v>10</v>
      </c>
      <c r="I48" s="742">
        <f>+I47</f>
        <v>0</v>
      </c>
      <c r="J48" s="742"/>
      <c r="K48" s="790"/>
      <c r="L48" s="779"/>
      <c r="M48" s="779"/>
      <c r="N48" s="484" t="str">
        <f t="shared" si="0"/>
        <v/>
      </c>
      <c r="O48" s="747"/>
      <c r="P48" s="747"/>
      <c r="Q48" s="747">
        <f>+G48*H48*I48/1000000/1.22/2.44/0.85</f>
        <v>0</v>
      </c>
      <c r="R48" s="747"/>
      <c r="S48" s="747"/>
      <c r="T48" s="747"/>
      <c r="U48" s="747"/>
      <c r="V48" s="747">
        <f t="shared" si="1"/>
        <v>0</v>
      </c>
      <c r="Y48" s="747"/>
      <c r="Z48" s="747"/>
      <c r="AA48" s="747"/>
      <c r="AB48" s="747"/>
    </row>
    <row r="49" spans="1:50">
      <c r="A49" s="1033"/>
      <c r="B49" s="779"/>
      <c r="C49" s="779"/>
      <c r="D49" s="779"/>
      <c r="E49" s="742" t="s">
        <v>1557</v>
      </c>
      <c r="F49" s="743">
        <v>18</v>
      </c>
      <c r="G49" s="744">
        <v>105</v>
      </c>
      <c r="H49" s="742">
        <f>+H47-83</f>
        <v>-78</v>
      </c>
      <c r="I49" s="744">
        <v>0</v>
      </c>
      <c r="J49" s="742"/>
      <c r="K49" s="790"/>
      <c r="L49" s="779"/>
      <c r="M49" s="779"/>
      <c r="N49" s="484" t="str">
        <f t="shared" si="0"/>
        <v/>
      </c>
      <c r="O49" s="747"/>
      <c r="P49" s="747"/>
      <c r="Q49" s="747">
        <f>+G49*H49*I49/1000000/1.22/2.44/0.85</f>
        <v>0</v>
      </c>
      <c r="R49" s="747"/>
      <c r="S49" s="747"/>
      <c r="T49" s="747"/>
      <c r="U49" s="747"/>
      <c r="V49" s="747">
        <f t="shared" si="1"/>
        <v>0</v>
      </c>
      <c r="Y49" s="747"/>
      <c r="Z49" s="747"/>
      <c r="AA49" s="747"/>
      <c r="AB49" s="747"/>
    </row>
    <row r="50" spans="1:50">
      <c r="A50" s="1032"/>
      <c r="B50" s="779"/>
      <c r="C50" s="779"/>
      <c r="D50" s="779"/>
      <c r="E50" s="742" t="s">
        <v>1557</v>
      </c>
      <c r="F50" s="743">
        <v>18</v>
      </c>
      <c r="G50" s="744">
        <f>57+22</f>
        <v>79</v>
      </c>
      <c r="H50" s="742">
        <f>+H49</f>
        <v>-78</v>
      </c>
      <c r="I50" s="742">
        <v>0</v>
      </c>
      <c r="J50" s="742"/>
      <c r="K50" s="790"/>
      <c r="L50" s="779"/>
      <c r="M50" s="779"/>
      <c r="N50" s="484" t="str">
        <f t="shared" si="0"/>
        <v/>
      </c>
      <c r="O50" s="747"/>
      <c r="P50" s="747"/>
      <c r="Q50" s="747">
        <f>+G50*H50*I50/1000000/1.22/2.44/0.85</f>
        <v>0</v>
      </c>
      <c r="R50" s="747"/>
      <c r="S50" s="747"/>
      <c r="T50" s="747"/>
      <c r="U50" s="747"/>
      <c r="V50" s="747">
        <f t="shared" si="1"/>
        <v>0</v>
      </c>
      <c r="Y50" s="747"/>
      <c r="Z50" s="747"/>
      <c r="AA50" s="747"/>
      <c r="AB50" s="747"/>
    </row>
    <row r="51" spans="1:50">
      <c r="A51" s="1031" t="s">
        <v>1558</v>
      </c>
      <c r="B51" s="779"/>
      <c r="C51" s="779"/>
      <c r="D51" s="779"/>
      <c r="E51" s="742"/>
      <c r="F51" s="743">
        <v>18</v>
      </c>
      <c r="G51" s="742">
        <v>260</v>
      </c>
      <c r="H51" s="742">
        <v>510</v>
      </c>
      <c r="I51" s="742">
        <v>0</v>
      </c>
      <c r="J51" s="742"/>
      <c r="K51" s="790" t="s">
        <v>1559</v>
      </c>
      <c r="L51" s="779"/>
      <c r="M51" s="779"/>
      <c r="N51" s="484" t="str">
        <f t="shared" si="0"/>
        <v/>
      </c>
      <c r="O51" s="747"/>
      <c r="P51" s="747"/>
      <c r="Q51" s="747">
        <f>+G51*H51*I51/1000000/1.22/2.44/0.85</f>
        <v>0</v>
      </c>
      <c r="R51" s="747"/>
      <c r="S51" s="747"/>
      <c r="T51" s="747"/>
      <c r="U51" s="747"/>
      <c r="V51" s="747">
        <f t="shared" si="1"/>
        <v>0</v>
      </c>
      <c r="Y51" s="747"/>
      <c r="Z51" s="747"/>
      <c r="AA51" s="747"/>
      <c r="AB51" s="747"/>
    </row>
    <row r="52" spans="1:50">
      <c r="A52" s="1032"/>
      <c r="B52" s="779"/>
      <c r="C52" s="779"/>
      <c r="D52" s="779"/>
      <c r="E52" s="742"/>
      <c r="F52" s="743">
        <v>15</v>
      </c>
      <c r="G52" s="742">
        <v>260</v>
      </c>
      <c r="H52" s="742">
        <v>510</v>
      </c>
      <c r="I52" s="742">
        <v>0</v>
      </c>
      <c r="J52" s="742"/>
      <c r="K52" s="790"/>
      <c r="L52" s="779"/>
      <c r="M52" s="779"/>
      <c r="N52" s="484" t="str">
        <f t="shared" si="0"/>
        <v/>
      </c>
      <c r="O52" s="747"/>
      <c r="P52" s="747"/>
      <c r="Q52" s="747"/>
      <c r="R52" s="747">
        <f>G52*H52*I52/1000000/1.22/2.44/0.85</f>
        <v>0</v>
      </c>
      <c r="S52" s="747"/>
      <c r="T52" s="747"/>
      <c r="U52" s="747"/>
      <c r="V52" s="747">
        <f t="shared" si="1"/>
        <v>0</v>
      </c>
      <c r="Y52" s="747"/>
      <c r="Z52" s="747"/>
      <c r="AA52" s="747"/>
      <c r="AB52" s="747"/>
    </row>
    <row r="53" spans="1:50" s="756" customFormat="1">
      <c r="A53" s="1024" t="s">
        <v>1560</v>
      </c>
      <c r="B53" s="485"/>
      <c r="C53" s="485"/>
      <c r="D53" s="485"/>
      <c r="E53" s="484" t="s">
        <v>1543</v>
      </c>
      <c r="F53" s="484">
        <v>22</v>
      </c>
      <c r="G53" s="484">
        <f>+B53+2</f>
        <v>2</v>
      </c>
      <c r="H53" s="484">
        <f>+C53+2-100</f>
        <v>-98</v>
      </c>
      <c r="I53" s="484">
        <f>+D53</f>
        <v>0</v>
      </c>
      <c r="J53" s="484" t="s">
        <v>1269</v>
      </c>
      <c r="K53" s="1009" t="s">
        <v>1561</v>
      </c>
      <c r="L53" s="485"/>
      <c r="M53" s="485"/>
      <c r="N53" s="484" t="str">
        <f t="shared" si="0"/>
        <v/>
      </c>
      <c r="O53" s="747">
        <f>G53*H53*I53/1000000/1.22/2.44/0.85</f>
        <v>0</v>
      </c>
      <c r="P53" s="747"/>
      <c r="Q53" s="747"/>
      <c r="R53" s="747"/>
      <c r="S53" s="747"/>
      <c r="T53" s="747"/>
      <c r="U53" s="747">
        <f>+(B53+C53)*2*D53/1000</f>
        <v>0</v>
      </c>
      <c r="V53" s="747">
        <f t="shared" si="1"/>
        <v>0</v>
      </c>
      <c r="W53" s="752"/>
      <c r="X53" s="752"/>
      <c r="Y53" s="747"/>
      <c r="Z53" s="747"/>
      <c r="AA53" s="747"/>
      <c r="AB53" s="117"/>
      <c r="AC53" s="752"/>
      <c r="AD53" s="753"/>
      <c r="AE53" s="753"/>
      <c r="AF53" s="753"/>
      <c r="AG53" s="753"/>
      <c r="AH53" s="753"/>
      <c r="AI53" s="753"/>
      <c r="AJ53" s="753"/>
      <c r="AK53" s="753"/>
      <c r="AL53" s="753"/>
      <c r="AM53" s="753"/>
      <c r="AN53" s="753"/>
      <c r="AO53" s="753"/>
      <c r="AP53" s="753"/>
      <c r="AQ53" s="753"/>
      <c r="AR53" s="753"/>
      <c r="AS53" s="753"/>
      <c r="AT53" s="753"/>
      <c r="AU53" s="753"/>
      <c r="AV53" s="753"/>
      <c r="AW53" s="753"/>
      <c r="AX53" s="753"/>
    </row>
    <row r="54" spans="1:50" s="756" customFormat="1">
      <c r="A54" s="1030"/>
      <c r="B54" s="485"/>
      <c r="C54" s="485"/>
      <c r="D54" s="485"/>
      <c r="E54" s="484" t="s">
        <v>1546</v>
      </c>
      <c r="F54" s="484">
        <v>9</v>
      </c>
      <c r="G54" s="484">
        <f>+B53-124</f>
        <v>-124</v>
      </c>
      <c r="H54" s="484">
        <f>+C53-124-100</f>
        <v>-224</v>
      </c>
      <c r="I54" s="484">
        <f>+D53</f>
        <v>0</v>
      </c>
      <c r="J54" s="484" t="s">
        <v>1547</v>
      </c>
      <c r="K54" s="1034"/>
      <c r="L54" s="485"/>
      <c r="M54" s="485"/>
      <c r="N54" s="484" t="str">
        <f t="shared" si="0"/>
        <v/>
      </c>
      <c r="O54" s="747"/>
      <c r="P54" s="747">
        <f>+G54*H54*I54/1000000/1.22/2.44/0.85</f>
        <v>0</v>
      </c>
      <c r="Q54" s="747"/>
      <c r="R54" s="747"/>
      <c r="S54" s="747"/>
      <c r="T54" s="747"/>
      <c r="U54" s="747">
        <f>+(B54+C54)*2*D54/1000</f>
        <v>0</v>
      </c>
      <c r="V54" s="747">
        <f t="shared" si="1"/>
        <v>0</v>
      </c>
      <c r="W54" s="752"/>
      <c r="X54" s="752"/>
      <c r="Y54" s="747"/>
      <c r="Z54" s="747"/>
      <c r="AA54" s="747"/>
      <c r="AB54" s="117"/>
      <c r="AC54" s="752"/>
      <c r="AD54" s="753"/>
      <c r="AE54" s="753"/>
      <c r="AF54" s="753"/>
      <c r="AG54" s="753"/>
      <c r="AH54" s="753"/>
      <c r="AI54" s="753"/>
      <c r="AJ54" s="753"/>
      <c r="AK54" s="753"/>
      <c r="AL54" s="753"/>
      <c r="AM54" s="753"/>
      <c r="AN54" s="753"/>
      <c r="AO54" s="753"/>
      <c r="AP54" s="753"/>
      <c r="AQ54" s="753"/>
      <c r="AR54" s="753"/>
      <c r="AS54" s="753"/>
      <c r="AT54" s="753"/>
      <c r="AU54" s="753"/>
      <c r="AV54" s="753"/>
      <c r="AW54" s="753"/>
      <c r="AX54" s="753"/>
    </row>
    <row r="55" spans="1:50" s="756" customFormat="1">
      <c r="A55" s="1025"/>
      <c r="B55" s="485"/>
      <c r="C55" s="485"/>
      <c r="D55" s="485"/>
      <c r="E55" s="484" t="s">
        <v>1562</v>
      </c>
      <c r="F55" s="484">
        <v>22</v>
      </c>
      <c r="G55" s="484">
        <f>+B53</f>
        <v>0</v>
      </c>
      <c r="H55" s="484">
        <v>100</v>
      </c>
      <c r="I55" s="484">
        <f>+D53</f>
        <v>0</v>
      </c>
      <c r="J55" s="484" t="s">
        <v>1053</v>
      </c>
      <c r="K55" s="1010"/>
      <c r="L55" s="485"/>
      <c r="M55" s="485"/>
      <c r="N55" s="484" t="str">
        <f t="shared" si="0"/>
        <v/>
      </c>
      <c r="O55" s="747"/>
      <c r="P55" s="747"/>
      <c r="Q55" s="747"/>
      <c r="R55" s="747"/>
      <c r="S55" s="747"/>
      <c r="T55" s="747"/>
      <c r="U55" s="747"/>
      <c r="V55" s="747">
        <f t="shared" si="1"/>
        <v>0</v>
      </c>
      <c r="W55" s="752"/>
      <c r="X55" s="752"/>
      <c r="Y55" s="747"/>
      <c r="Z55" s="747"/>
      <c r="AA55" s="747"/>
      <c r="AB55" s="117"/>
      <c r="AC55" s="752"/>
      <c r="AD55" s="753"/>
      <c r="AE55" s="753"/>
      <c r="AF55" s="753"/>
      <c r="AG55" s="753"/>
      <c r="AH55" s="753"/>
      <c r="AI55" s="753"/>
      <c r="AJ55" s="753"/>
      <c r="AK55" s="753"/>
      <c r="AL55" s="753"/>
      <c r="AM55" s="753"/>
      <c r="AN55" s="753"/>
      <c r="AO55" s="753"/>
      <c r="AP55" s="753"/>
      <c r="AQ55" s="753"/>
      <c r="AR55" s="753"/>
      <c r="AS55" s="753"/>
      <c r="AT55" s="753"/>
      <c r="AU55" s="753"/>
      <c r="AV55" s="753"/>
      <c r="AW55" s="753"/>
      <c r="AX55" s="753"/>
    </row>
    <row r="56" spans="1:50">
      <c r="A56" s="778"/>
      <c r="B56" s="484"/>
      <c r="C56" s="484"/>
      <c r="D56" s="484"/>
      <c r="E56" s="484"/>
      <c r="F56" s="484"/>
      <c r="G56" s="484"/>
      <c r="H56" s="484"/>
      <c r="I56" s="484"/>
      <c r="J56" s="484"/>
      <c r="K56" s="487"/>
      <c r="L56" s="485"/>
      <c r="M56" s="485"/>
      <c r="N56" s="484" t="str">
        <f t="shared" si="0"/>
        <v/>
      </c>
      <c r="O56" s="747"/>
      <c r="P56" s="747"/>
      <c r="Q56" s="747"/>
      <c r="R56" s="747"/>
      <c r="S56" s="747"/>
      <c r="T56" s="747"/>
      <c r="U56" s="747"/>
      <c r="V56" s="747">
        <f t="shared" si="1"/>
        <v>0</v>
      </c>
      <c r="Y56" s="747"/>
      <c r="Z56" s="747"/>
      <c r="AA56" s="747"/>
      <c r="AB56" s="747"/>
    </row>
    <row r="57" spans="1:50">
      <c r="A57" s="778"/>
      <c r="B57" s="484"/>
      <c r="C57" s="484"/>
      <c r="D57" s="484"/>
      <c r="E57" s="484"/>
      <c r="F57" s="484">
        <v>22</v>
      </c>
      <c r="G57" s="484">
        <f t="shared" ref="G57:I63" si="4">+B57</f>
        <v>0</v>
      </c>
      <c r="H57" s="484">
        <f t="shared" si="4"/>
        <v>0</v>
      </c>
      <c r="I57" s="484">
        <f t="shared" si="4"/>
        <v>0</v>
      </c>
      <c r="J57" s="484" t="s">
        <v>1053</v>
      </c>
      <c r="K57" s="487"/>
      <c r="L57" s="485"/>
      <c r="M57" s="485"/>
      <c r="N57" s="484" t="str">
        <f t="shared" si="0"/>
        <v/>
      </c>
      <c r="O57" s="747">
        <f t="shared" ref="O57:O63" si="5">G57*H57*I57/1000000/1.22/2.44/0.85</f>
        <v>0</v>
      </c>
      <c r="P57" s="747"/>
      <c r="Q57" s="747"/>
      <c r="R57" s="747"/>
      <c r="S57" s="747"/>
      <c r="T57" s="747"/>
      <c r="U57" s="747"/>
      <c r="V57" s="747">
        <f t="shared" si="1"/>
        <v>0</v>
      </c>
      <c r="Y57" s="747"/>
      <c r="Z57" s="747"/>
      <c r="AA57" s="747"/>
      <c r="AB57" s="747"/>
    </row>
    <row r="58" spans="1:50">
      <c r="A58" s="778"/>
      <c r="B58" s="484"/>
      <c r="C58" s="484"/>
      <c r="D58" s="484"/>
      <c r="E58" s="484"/>
      <c r="F58" s="484">
        <v>22</v>
      </c>
      <c r="G58" s="484">
        <f t="shared" si="4"/>
        <v>0</v>
      </c>
      <c r="H58" s="484">
        <f t="shared" si="4"/>
        <v>0</v>
      </c>
      <c r="I58" s="484">
        <f t="shared" si="4"/>
        <v>0</v>
      </c>
      <c r="J58" s="484" t="s">
        <v>1053</v>
      </c>
      <c r="K58" s="487"/>
      <c r="L58" s="485"/>
      <c r="M58" s="485"/>
      <c r="N58" s="484" t="str">
        <f t="shared" si="0"/>
        <v/>
      </c>
      <c r="O58" s="747">
        <f t="shared" si="5"/>
        <v>0</v>
      </c>
      <c r="P58" s="747"/>
      <c r="Q58" s="747"/>
      <c r="R58" s="747"/>
      <c r="S58" s="747"/>
      <c r="T58" s="747"/>
      <c r="U58" s="747"/>
      <c r="V58" s="747">
        <f t="shared" si="1"/>
        <v>0</v>
      </c>
      <c r="Y58" s="747"/>
      <c r="Z58" s="747"/>
      <c r="AA58" s="747"/>
      <c r="AB58" s="747"/>
    </row>
    <row r="59" spans="1:50">
      <c r="A59" s="778" t="s">
        <v>1563</v>
      </c>
      <c r="B59" s="484"/>
      <c r="C59" s="484"/>
      <c r="D59" s="484"/>
      <c r="E59" s="484"/>
      <c r="F59" s="484">
        <v>22</v>
      </c>
      <c r="G59" s="484">
        <f t="shared" si="4"/>
        <v>0</v>
      </c>
      <c r="H59" s="484">
        <f t="shared" si="4"/>
        <v>0</v>
      </c>
      <c r="I59" s="484">
        <f t="shared" si="4"/>
        <v>0</v>
      </c>
      <c r="J59" s="484" t="s">
        <v>1053</v>
      </c>
      <c r="K59" s="487"/>
      <c r="L59" s="485"/>
      <c r="M59" s="485"/>
      <c r="N59" s="484" t="str">
        <f t="shared" si="0"/>
        <v/>
      </c>
      <c r="O59" s="747">
        <f t="shared" si="5"/>
        <v>0</v>
      </c>
      <c r="P59" s="747"/>
      <c r="Q59" s="747"/>
      <c r="R59" s="747"/>
      <c r="S59" s="747"/>
      <c r="T59" s="747"/>
      <c r="U59" s="747"/>
      <c r="V59" s="747">
        <f t="shared" si="1"/>
        <v>0</v>
      </c>
      <c r="Y59" s="747"/>
      <c r="Z59" s="747"/>
      <c r="AA59" s="747"/>
      <c r="AB59" s="747"/>
    </row>
    <row r="60" spans="1:50">
      <c r="A60" s="778"/>
      <c r="B60" s="484"/>
      <c r="C60" s="484"/>
      <c r="D60" s="484"/>
      <c r="E60" s="484"/>
      <c r="F60" s="484">
        <v>22</v>
      </c>
      <c r="G60" s="484">
        <f t="shared" si="4"/>
        <v>0</v>
      </c>
      <c r="H60" s="484">
        <f t="shared" si="4"/>
        <v>0</v>
      </c>
      <c r="I60" s="484">
        <f t="shared" si="4"/>
        <v>0</v>
      </c>
      <c r="J60" s="484" t="s">
        <v>1053</v>
      </c>
      <c r="K60" s="487"/>
      <c r="L60" s="485"/>
      <c r="M60" s="485"/>
      <c r="N60" s="484" t="str">
        <f t="shared" si="0"/>
        <v/>
      </c>
      <c r="O60" s="747">
        <f t="shared" si="5"/>
        <v>0</v>
      </c>
      <c r="P60" s="747"/>
      <c r="Q60" s="747"/>
      <c r="R60" s="747"/>
      <c r="S60" s="747"/>
      <c r="T60" s="747"/>
      <c r="U60" s="747"/>
      <c r="V60" s="747">
        <f t="shared" si="1"/>
        <v>0</v>
      </c>
      <c r="Y60" s="747"/>
      <c r="Z60" s="747"/>
      <c r="AA60" s="747"/>
      <c r="AB60" s="747"/>
    </row>
    <row r="61" spans="1:50">
      <c r="A61" s="778" t="s">
        <v>1358</v>
      </c>
      <c r="B61" s="484"/>
      <c r="C61" s="484"/>
      <c r="D61" s="484"/>
      <c r="E61" s="484"/>
      <c r="F61" s="484">
        <v>22</v>
      </c>
      <c r="G61" s="484">
        <f t="shared" si="4"/>
        <v>0</v>
      </c>
      <c r="H61" s="484">
        <f t="shared" si="4"/>
        <v>0</v>
      </c>
      <c r="I61" s="484">
        <f t="shared" si="4"/>
        <v>0</v>
      </c>
      <c r="J61" s="484" t="s">
        <v>1053</v>
      </c>
      <c r="K61" s="487"/>
      <c r="L61" s="485"/>
      <c r="M61" s="485"/>
      <c r="N61" s="484" t="str">
        <f t="shared" si="0"/>
        <v/>
      </c>
      <c r="O61" s="747">
        <f t="shared" si="5"/>
        <v>0</v>
      </c>
      <c r="P61" s="747"/>
      <c r="Q61" s="747"/>
      <c r="R61" s="747"/>
      <c r="S61" s="747"/>
      <c r="T61" s="747"/>
      <c r="U61" s="747"/>
      <c r="V61" s="747">
        <f t="shared" si="1"/>
        <v>0</v>
      </c>
      <c r="Y61" s="747"/>
      <c r="Z61" s="747"/>
      <c r="AA61" s="747"/>
      <c r="AB61" s="747"/>
    </row>
    <row r="62" spans="1:50">
      <c r="A62" s="778"/>
      <c r="B62" s="484"/>
      <c r="C62" s="484"/>
      <c r="D62" s="484"/>
      <c r="E62" s="484"/>
      <c r="F62" s="484">
        <v>22</v>
      </c>
      <c r="G62" s="484">
        <f t="shared" si="4"/>
        <v>0</v>
      </c>
      <c r="H62" s="484">
        <f t="shared" si="4"/>
        <v>0</v>
      </c>
      <c r="I62" s="484">
        <f t="shared" si="4"/>
        <v>0</v>
      </c>
      <c r="J62" s="484" t="s">
        <v>1053</v>
      </c>
      <c r="K62" s="487"/>
      <c r="L62" s="485"/>
      <c r="M62" s="485"/>
      <c r="N62" s="484" t="str">
        <f t="shared" si="0"/>
        <v/>
      </c>
      <c r="O62" s="747">
        <f t="shared" si="5"/>
        <v>0</v>
      </c>
      <c r="P62" s="747"/>
      <c r="Q62" s="747"/>
      <c r="R62" s="747"/>
      <c r="S62" s="747"/>
      <c r="T62" s="747"/>
      <c r="U62" s="747"/>
      <c r="V62" s="747">
        <f t="shared" si="1"/>
        <v>0</v>
      </c>
      <c r="Y62" s="747"/>
      <c r="Z62" s="747"/>
      <c r="AA62" s="747"/>
      <c r="AB62" s="747"/>
    </row>
    <row r="63" spans="1:50">
      <c r="A63" s="778"/>
      <c r="B63" s="484"/>
      <c r="C63" s="484"/>
      <c r="D63" s="484"/>
      <c r="E63" s="484"/>
      <c r="F63" s="484">
        <v>22</v>
      </c>
      <c r="G63" s="484">
        <f t="shared" si="4"/>
        <v>0</v>
      </c>
      <c r="H63" s="484">
        <f t="shared" si="4"/>
        <v>0</v>
      </c>
      <c r="I63" s="484">
        <f t="shared" si="4"/>
        <v>0</v>
      </c>
      <c r="J63" s="484" t="s">
        <v>1053</v>
      </c>
      <c r="K63" s="487"/>
      <c r="L63" s="485"/>
      <c r="M63" s="485"/>
      <c r="N63" s="484" t="str">
        <f t="shared" si="0"/>
        <v/>
      </c>
      <c r="O63" s="747">
        <f t="shared" si="5"/>
        <v>0</v>
      </c>
      <c r="P63" s="747"/>
      <c r="Q63" s="747"/>
      <c r="R63" s="747"/>
      <c r="S63" s="747"/>
      <c r="T63" s="747"/>
      <c r="U63" s="747"/>
      <c r="V63" s="747">
        <f t="shared" si="1"/>
        <v>0</v>
      </c>
      <c r="Y63" s="747"/>
      <c r="Z63" s="747"/>
      <c r="AA63" s="747"/>
      <c r="AB63" s="747"/>
    </row>
    <row r="64" spans="1:50">
      <c r="A64" s="780" t="s">
        <v>242</v>
      </c>
      <c r="B64" s="484"/>
      <c r="C64" s="484"/>
      <c r="D64" s="484"/>
      <c r="E64" s="484"/>
      <c r="F64" s="484">
        <v>18</v>
      </c>
      <c r="G64" s="484">
        <v>2440</v>
      </c>
      <c r="H64" s="484">
        <f>+C64</f>
        <v>0</v>
      </c>
      <c r="I64" s="484">
        <f>D64</f>
        <v>0</v>
      </c>
      <c r="J64" s="484" t="s">
        <v>1053</v>
      </c>
      <c r="K64" s="487"/>
      <c r="L64" s="485"/>
      <c r="M64" s="485"/>
      <c r="N64" s="484" t="str">
        <f t="shared" si="0"/>
        <v/>
      </c>
      <c r="O64" s="747"/>
      <c r="P64" s="747"/>
      <c r="Q64" s="747">
        <f>+G64*H64*I64/1000000/1.22/2.44/0.85</f>
        <v>0</v>
      </c>
      <c r="R64" s="747"/>
      <c r="S64" s="747"/>
      <c r="T64" s="747"/>
      <c r="U64" s="747"/>
      <c r="V64" s="747">
        <f t="shared" si="1"/>
        <v>0</v>
      </c>
      <c r="Y64" s="747"/>
      <c r="Z64" s="747"/>
      <c r="AA64" s="747"/>
      <c r="AB64" s="747"/>
    </row>
    <row r="65" spans="1:50">
      <c r="A65" s="780" t="s">
        <v>31</v>
      </c>
      <c r="B65" s="484"/>
      <c r="C65" s="484"/>
      <c r="D65" s="484"/>
      <c r="E65" s="484"/>
      <c r="F65" s="745">
        <v>25</v>
      </c>
      <c r="G65" s="484">
        <v>2440</v>
      </c>
      <c r="H65" s="484">
        <v>100</v>
      </c>
      <c r="I65" s="484">
        <f>+D65+3</f>
        <v>3</v>
      </c>
      <c r="J65" s="487"/>
      <c r="K65" s="487" t="s">
        <v>1564</v>
      </c>
      <c r="L65" s="485"/>
      <c r="M65" s="485"/>
      <c r="N65" s="484" t="str">
        <f t="shared" si="0"/>
        <v/>
      </c>
      <c r="O65" s="747"/>
      <c r="P65" s="747"/>
      <c r="Q65" s="747"/>
      <c r="R65" s="747"/>
      <c r="S65" s="747"/>
      <c r="T65" s="747">
        <f>ROUNDUP(I65/11,1)</f>
        <v>0.30000000000000004</v>
      </c>
      <c r="U65" s="747"/>
      <c r="V65" s="747">
        <f t="shared" si="1"/>
        <v>0</v>
      </c>
      <c r="Y65" s="747"/>
      <c r="Z65" s="747"/>
      <c r="AA65" s="747"/>
      <c r="AB65" s="747"/>
    </row>
    <row r="66" spans="1:50">
      <c r="A66" s="778" t="s">
        <v>1565</v>
      </c>
      <c r="B66" s="484"/>
      <c r="C66" s="484"/>
      <c r="D66" s="484"/>
      <c r="E66" s="484"/>
      <c r="F66" s="745">
        <v>18</v>
      </c>
      <c r="G66" s="484">
        <v>2440</v>
      </c>
      <c r="H66" s="484">
        <v>60</v>
      </c>
      <c r="I66" s="484">
        <f>+D66</f>
        <v>0</v>
      </c>
      <c r="J66" s="484"/>
      <c r="K66" s="487"/>
      <c r="L66" s="485"/>
      <c r="M66" s="485"/>
      <c r="N66" s="484" t="str">
        <f t="shared" si="0"/>
        <v/>
      </c>
      <c r="O66" s="747"/>
      <c r="P66" s="747"/>
      <c r="Q66" s="747">
        <f>+ROUNDUP(I66/18,1)</f>
        <v>0</v>
      </c>
      <c r="R66" s="747"/>
      <c r="S66" s="747"/>
      <c r="T66" s="747"/>
      <c r="U66" s="747"/>
      <c r="V66" s="747">
        <f t="shared" si="1"/>
        <v>0</v>
      </c>
      <c r="Y66" s="747"/>
      <c r="Z66" s="747"/>
      <c r="AA66" s="747"/>
      <c r="AB66" s="747"/>
    </row>
    <row r="67" spans="1:50" s="760" customFormat="1">
      <c r="A67" s="781"/>
      <c r="B67" s="782"/>
      <c r="C67" s="782"/>
      <c r="D67" s="782"/>
      <c r="E67" s="782"/>
      <c r="F67" s="782"/>
      <c r="G67" s="782"/>
      <c r="H67" s="782"/>
      <c r="I67" s="782"/>
      <c r="J67" s="484"/>
      <c r="K67" s="487"/>
      <c r="L67" s="485"/>
      <c r="M67" s="485"/>
      <c r="N67" s="484" t="str">
        <f t="shared" si="0"/>
        <v/>
      </c>
      <c r="O67" s="757"/>
      <c r="P67" s="757"/>
      <c r="Q67" s="747"/>
      <c r="R67" s="757"/>
      <c r="S67" s="747"/>
      <c r="T67" s="747"/>
      <c r="U67" s="747"/>
      <c r="V67" s="747">
        <f t="shared" si="1"/>
        <v>0</v>
      </c>
      <c r="W67" s="752"/>
      <c r="X67" s="752"/>
      <c r="Y67" s="747"/>
      <c r="Z67" s="747"/>
      <c r="AA67" s="747"/>
      <c r="AB67" s="747"/>
      <c r="AC67" s="758"/>
      <c r="AD67" s="759"/>
      <c r="AE67" s="759"/>
      <c r="AF67" s="759"/>
      <c r="AG67" s="759"/>
      <c r="AH67" s="759"/>
      <c r="AI67" s="759"/>
      <c r="AJ67" s="759"/>
      <c r="AK67" s="759"/>
      <c r="AL67" s="759"/>
      <c r="AM67" s="759"/>
      <c r="AN67" s="759"/>
      <c r="AO67" s="759"/>
      <c r="AP67" s="759"/>
      <c r="AQ67" s="759"/>
      <c r="AR67" s="759"/>
      <c r="AS67" s="759"/>
      <c r="AT67" s="759"/>
      <c r="AU67" s="759"/>
      <c r="AV67" s="759"/>
      <c r="AW67" s="759"/>
      <c r="AX67" s="759"/>
    </row>
    <row r="68" spans="1:50" ht="40.5" customHeight="1">
      <c r="A68" s="896" t="s">
        <v>1573</v>
      </c>
      <c r="B68" s="1017"/>
      <c r="C68" s="1017"/>
      <c r="D68" s="1017"/>
      <c r="E68" s="1017"/>
      <c r="F68" s="1017"/>
      <c r="G68" s="1017"/>
      <c r="H68" s="1017"/>
      <c r="I68" s="1017"/>
      <c r="J68" s="1017"/>
      <c r="K68" s="1017"/>
      <c r="L68" s="1017"/>
      <c r="M68" s="1017"/>
      <c r="N68" s="1018"/>
      <c r="O68" s="747"/>
      <c r="P68" s="747"/>
      <c r="Q68" s="747"/>
      <c r="R68" s="747"/>
      <c r="S68" s="747"/>
      <c r="T68" s="747"/>
      <c r="U68" s="747"/>
      <c r="V68" s="747"/>
      <c r="W68" s="747"/>
      <c r="X68" s="747"/>
      <c r="Y68" s="747"/>
      <c r="Z68" s="747"/>
      <c r="AA68" s="747"/>
      <c r="AB68" s="747"/>
    </row>
    <row r="69" spans="1:50" s="753" customFormat="1">
      <c r="A69" s="761"/>
      <c r="K69" s="746"/>
      <c r="L69" s="762"/>
      <c r="M69" s="762"/>
      <c r="N69" s="762"/>
      <c r="O69" s="783">
        <f t="shared" ref="O69:T69" si="6">ROUNDUP(SUM(O8:O68),1)</f>
        <v>0</v>
      </c>
      <c r="P69" s="783">
        <f t="shared" si="6"/>
        <v>0</v>
      </c>
      <c r="Q69" s="783">
        <f t="shared" si="6"/>
        <v>0</v>
      </c>
      <c r="R69" s="783">
        <f t="shared" si="6"/>
        <v>0</v>
      </c>
      <c r="S69" s="783">
        <f t="shared" si="6"/>
        <v>0</v>
      </c>
      <c r="T69" s="783">
        <f t="shared" si="6"/>
        <v>0.3</v>
      </c>
      <c r="U69" s="783">
        <f>SUM(U8:U68)</f>
        <v>0</v>
      </c>
      <c r="V69" s="786"/>
      <c r="W69" s="752"/>
      <c r="X69" s="752"/>
      <c r="Y69" s="752"/>
      <c r="Z69" s="752"/>
      <c r="AA69" s="752"/>
      <c r="AB69" s="752"/>
      <c r="AC69" s="752"/>
    </row>
    <row r="70" spans="1:50" s="753" customFormat="1">
      <c r="A70" s="746"/>
      <c r="B70" s="747"/>
      <c r="K70" s="746"/>
      <c r="O70" s="748"/>
      <c r="P70" s="748"/>
      <c r="Q70" s="748"/>
      <c r="R70" s="748"/>
      <c r="S70" s="748"/>
      <c r="T70" s="748"/>
      <c r="U70" s="748"/>
      <c r="V70" s="748"/>
      <c r="W70" s="748"/>
      <c r="X70" s="748"/>
      <c r="Y70" s="748"/>
      <c r="Z70" s="748"/>
      <c r="AA70" s="749"/>
      <c r="AB70" s="752"/>
      <c r="AC70" s="752"/>
    </row>
    <row r="71" spans="1:50" s="753" customFormat="1">
      <c r="A71" s="746"/>
      <c r="B71" s="750"/>
      <c r="K71" s="746"/>
      <c r="O71" s="752"/>
      <c r="P71" s="752"/>
      <c r="Q71" s="752"/>
      <c r="R71" s="752"/>
      <c r="S71" s="752"/>
      <c r="T71" s="752"/>
      <c r="U71" s="752"/>
      <c r="V71" s="752"/>
      <c r="W71" s="752"/>
      <c r="X71" s="752"/>
      <c r="Y71" s="752"/>
      <c r="Z71" s="752"/>
      <c r="AA71" s="752"/>
      <c r="AB71" s="752"/>
      <c r="AC71" s="752"/>
    </row>
    <row r="72" spans="1:50" s="753" customFormat="1">
      <c r="A72" s="372" t="s">
        <v>945</v>
      </c>
      <c r="B72" s="366"/>
      <c r="K72" s="746"/>
      <c r="O72" s="752"/>
      <c r="P72" s="752"/>
      <c r="Q72" s="752"/>
      <c r="R72" s="752"/>
      <c r="S72" s="752"/>
      <c r="T72" s="752"/>
      <c r="U72" s="752"/>
      <c r="V72" s="752"/>
      <c r="W72" s="752"/>
      <c r="X72" s="752"/>
      <c r="Y72" s="752"/>
      <c r="Z72" s="752"/>
      <c r="AA72" s="752"/>
      <c r="AB72" s="752"/>
      <c r="AC72" s="752"/>
    </row>
    <row r="73" spans="1:50" s="753" customFormat="1">
      <c r="A73" s="372"/>
      <c r="B73" s="366"/>
      <c r="K73" s="746"/>
      <c r="O73" s="752"/>
      <c r="P73" s="752"/>
      <c r="Q73" s="752"/>
      <c r="R73" s="752"/>
      <c r="S73" s="752"/>
      <c r="T73" s="752"/>
      <c r="U73" s="752"/>
      <c r="V73" s="752"/>
      <c r="W73" s="752"/>
      <c r="X73" s="752"/>
      <c r="Y73" s="752"/>
      <c r="Z73" s="752"/>
      <c r="AA73" s="752"/>
      <c r="AB73" s="752"/>
      <c r="AC73" s="752"/>
    </row>
    <row r="74" spans="1:50" s="753" customFormat="1" ht="33">
      <c r="A74" s="571" t="s">
        <v>729</v>
      </c>
      <c r="B74" s="572">
        <f t="shared" ref="B74:B115" si="7">SUMIF($L$8:$L$67,A74,$V$8:$V$67)</f>
        <v>0</v>
      </c>
      <c r="K74" s="746"/>
      <c r="O74" s="752"/>
      <c r="P74" s="752"/>
      <c r="Q74" s="752"/>
      <c r="R74" s="752"/>
      <c r="S74" s="752"/>
      <c r="T74" s="752"/>
      <c r="U74" s="752"/>
      <c r="V74" s="752"/>
      <c r="W74" s="752"/>
      <c r="X74" s="752"/>
      <c r="Y74" s="752"/>
      <c r="Z74" s="752"/>
      <c r="AA74" s="752"/>
      <c r="AB74" s="752"/>
      <c r="AC74" s="752"/>
    </row>
    <row r="75" spans="1:50" s="753" customFormat="1" ht="33">
      <c r="A75" s="571" t="s">
        <v>730</v>
      </c>
      <c r="B75" s="572">
        <f t="shared" si="7"/>
        <v>0</v>
      </c>
      <c r="K75" s="746"/>
      <c r="O75" s="752"/>
      <c r="P75" s="752"/>
      <c r="Q75" s="752"/>
      <c r="R75" s="752"/>
      <c r="S75" s="752"/>
      <c r="T75" s="752"/>
      <c r="U75" s="752"/>
      <c r="V75" s="752"/>
      <c r="W75" s="752"/>
      <c r="X75" s="752"/>
      <c r="Y75" s="752"/>
      <c r="Z75" s="752"/>
      <c r="AA75" s="752"/>
      <c r="AB75" s="752"/>
      <c r="AC75" s="752"/>
    </row>
    <row r="76" spans="1:50" s="753" customFormat="1">
      <c r="A76" s="571" t="s">
        <v>731</v>
      </c>
      <c r="B76" s="572">
        <f t="shared" si="7"/>
        <v>0</v>
      </c>
      <c r="K76" s="746"/>
      <c r="O76" s="752"/>
      <c r="P76" s="752"/>
      <c r="Q76" s="752"/>
      <c r="R76" s="752"/>
      <c r="S76" s="752"/>
      <c r="T76" s="752"/>
      <c r="U76" s="752"/>
      <c r="V76" s="752"/>
      <c r="W76" s="752"/>
      <c r="X76" s="752"/>
      <c r="Y76" s="752"/>
      <c r="Z76" s="752"/>
      <c r="AA76" s="752"/>
      <c r="AB76" s="752"/>
      <c r="AC76" s="752"/>
    </row>
    <row r="77" spans="1:50" s="753" customFormat="1" ht="33">
      <c r="A77" s="571" t="s">
        <v>732</v>
      </c>
      <c r="B77" s="572">
        <f t="shared" si="7"/>
        <v>0</v>
      </c>
      <c r="K77" s="746"/>
      <c r="O77" s="752"/>
      <c r="P77" s="752"/>
      <c r="Q77" s="752"/>
      <c r="R77" s="752"/>
      <c r="S77" s="752"/>
      <c r="T77" s="752"/>
      <c r="U77" s="752"/>
      <c r="V77" s="752"/>
      <c r="W77" s="752"/>
      <c r="X77" s="752"/>
      <c r="Y77" s="752"/>
      <c r="Z77" s="752"/>
      <c r="AA77" s="752"/>
      <c r="AB77" s="752"/>
      <c r="AC77" s="752"/>
    </row>
    <row r="78" spans="1:50" s="753" customFormat="1">
      <c r="A78" s="571" t="s">
        <v>733</v>
      </c>
      <c r="B78" s="572">
        <f t="shared" si="7"/>
        <v>0</v>
      </c>
      <c r="K78" s="746"/>
      <c r="O78" s="752"/>
      <c r="P78" s="752"/>
      <c r="Q78" s="752"/>
      <c r="R78" s="752"/>
      <c r="S78" s="752"/>
      <c r="T78" s="752"/>
      <c r="U78" s="752"/>
      <c r="V78" s="752"/>
      <c r="W78" s="752"/>
      <c r="X78" s="752"/>
      <c r="Y78" s="752"/>
      <c r="Z78" s="752"/>
      <c r="AA78" s="752"/>
      <c r="AB78" s="752"/>
      <c r="AC78" s="752"/>
    </row>
    <row r="79" spans="1:50" s="753" customFormat="1" ht="33">
      <c r="A79" s="571" t="s">
        <v>734</v>
      </c>
      <c r="B79" s="572">
        <f t="shared" si="7"/>
        <v>0</v>
      </c>
      <c r="K79" s="746"/>
      <c r="O79" s="752"/>
      <c r="P79" s="752"/>
      <c r="Q79" s="752"/>
      <c r="R79" s="752"/>
      <c r="S79" s="752"/>
      <c r="T79" s="752"/>
      <c r="U79" s="752"/>
      <c r="V79" s="752"/>
      <c r="W79" s="752"/>
      <c r="X79" s="752"/>
      <c r="Y79" s="752"/>
      <c r="Z79" s="752"/>
      <c r="AA79" s="752"/>
      <c r="AB79" s="752"/>
      <c r="AC79" s="752"/>
    </row>
    <row r="80" spans="1:50" s="753" customFormat="1">
      <c r="A80" s="571" t="s">
        <v>735</v>
      </c>
      <c r="B80" s="572">
        <f t="shared" si="7"/>
        <v>0</v>
      </c>
      <c r="K80" s="746"/>
      <c r="O80" s="752"/>
      <c r="P80" s="752"/>
      <c r="Q80" s="752"/>
      <c r="R80" s="752"/>
      <c r="S80" s="752"/>
      <c r="T80" s="752"/>
      <c r="U80" s="752"/>
      <c r="V80" s="752"/>
      <c r="W80" s="752"/>
      <c r="X80" s="752"/>
      <c r="Y80" s="752"/>
      <c r="Z80" s="752"/>
      <c r="AA80" s="752"/>
      <c r="AB80" s="752"/>
      <c r="AC80" s="752"/>
    </row>
    <row r="81" spans="1:29" s="753" customFormat="1" ht="33">
      <c r="A81" s="571" t="s">
        <v>736</v>
      </c>
      <c r="B81" s="572">
        <f t="shared" si="7"/>
        <v>0</v>
      </c>
      <c r="K81" s="746"/>
      <c r="O81" s="752"/>
      <c r="P81" s="752"/>
      <c r="Q81" s="752"/>
      <c r="R81" s="752"/>
      <c r="S81" s="752"/>
      <c r="T81" s="752"/>
      <c r="U81" s="752"/>
      <c r="V81" s="752"/>
      <c r="W81" s="752"/>
      <c r="X81" s="752"/>
      <c r="Y81" s="752"/>
      <c r="Z81" s="752"/>
      <c r="AA81" s="752"/>
      <c r="AB81" s="752"/>
      <c r="AC81" s="752"/>
    </row>
    <row r="82" spans="1:29" s="753" customFormat="1">
      <c r="A82" s="571" t="s">
        <v>737</v>
      </c>
      <c r="B82" s="572">
        <f t="shared" si="7"/>
        <v>0</v>
      </c>
      <c r="K82" s="746"/>
      <c r="O82" s="752"/>
      <c r="P82" s="752"/>
      <c r="Q82" s="752"/>
      <c r="R82" s="752"/>
      <c r="S82" s="752"/>
      <c r="T82" s="752"/>
      <c r="U82" s="752"/>
      <c r="V82" s="752"/>
      <c r="W82" s="752"/>
      <c r="X82" s="752"/>
      <c r="Y82" s="752"/>
      <c r="Z82" s="752"/>
      <c r="AA82" s="752"/>
      <c r="AB82" s="752"/>
      <c r="AC82" s="752"/>
    </row>
    <row r="83" spans="1:29" s="753" customFormat="1" ht="33">
      <c r="A83" s="571" t="s">
        <v>738</v>
      </c>
      <c r="B83" s="572">
        <f t="shared" si="7"/>
        <v>0</v>
      </c>
      <c r="K83" s="746"/>
      <c r="O83" s="752"/>
      <c r="P83" s="752"/>
      <c r="Q83" s="752"/>
      <c r="R83" s="752"/>
      <c r="S83" s="752"/>
      <c r="T83" s="752"/>
      <c r="U83" s="752"/>
      <c r="V83" s="752"/>
      <c r="W83" s="752"/>
      <c r="X83" s="752"/>
      <c r="Y83" s="752"/>
      <c r="Z83" s="752"/>
      <c r="AA83" s="752"/>
      <c r="AB83" s="752"/>
      <c r="AC83" s="752"/>
    </row>
    <row r="84" spans="1:29" s="753" customFormat="1" ht="33">
      <c r="A84" s="571" t="s">
        <v>739</v>
      </c>
      <c r="B84" s="572">
        <f t="shared" si="7"/>
        <v>0</v>
      </c>
      <c r="K84" s="746"/>
      <c r="O84" s="752"/>
      <c r="P84" s="752"/>
      <c r="Q84" s="752"/>
      <c r="R84" s="752"/>
      <c r="S84" s="752"/>
      <c r="T84" s="752"/>
      <c r="U84" s="752"/>
      <c r="V84" s="752"/>
      <c r="W84" s="752"/>
      <c r="X84" s="752"/>
      <c r="Y84" s="752"/>
      <c r="Z84" s="752"/>
      <c r="AA84" s="752"/>
      <c r="AB84" s="752"/>
      <c r="AC84" s="752"/>
    </row>
    <row r="85" spans="1:29" s="753" customFormat="1" ht="33">
      <c r="A85" s="571" t="s">
        <v>740</v>
      </c>
      <c r="B85" s="572">
        <f t="shared" si="7"/>
        <v>0</v>
      </c>
      <c r="K85" s="746"/>
      <c r="O85" s="752"/>
      <c r="P85" s="752"/>
      <c r="Q85" s="752"/>
      <c r="R85" s="752"/>
      <c r="S85" s="752"/>
      <c r="T85" s="752"/>
      <c r="U85" s="752"/>
      <c r="V85" s="752"/>
      <c r="W85" s="752"/>
      <c r="X85" s="752"/>
      <c r="Y85" s="752"/>
      <c r="Z85" s="752"/>
      <c r="AA85" s="752"/>
      <c r="AB85" s="752"/>
      <c r="AC85" s="752"/>
    </row>
    <row r="86" spans="1:29" s="753" customFormat="1" ht="33">
      <c r="A86" s="571" t="s">
        <v>741</v>
      </c>
      <c r="B86" s="572">
        <f t="shared" si="7"/>
        <v>0</v>
      </c>
      <c r="K86" s="746"/>
      <c r="O86" s="752"/>
      <c r="P86" s="752"/>
      <c r="Q86" s="752"/>
      <c r="R86" s="752"/>
      <c r="S86" s="752"/>
      <c r="T86" s="752"/>
      <c r="U86" s="752"/>
      <c r="V86" s="752"/>
      <c r="W86" s="752"/>
      <c r="X86" s="752"/>
      <c r="Y86" s="752"/>
      <c r="Z86" s="752"/>
      <c r="AA86" s="752"/>
      <c r="AB86" s="752"/>
      <c r="AC86" s="752"/>
    </row>
    <row r="87" spans="1:29" s="753" customFormat="1" ht="33">
      <c r="A87" s="571" t="s">
        <v>742</v>
      </c>
      <c r="B87" s="572">
        <f t="shared" si="7"/>
        <v>0</v>
      </c>
      <c r="K87" s="746"/>
      <c r="O87" s="752"/>
      <c r="P87" s="752"/>
      <c r="Q87" s="752"/>
      <c r="R87" s="752"/>
      <c r="S87" s="752"/>
      <c r="T87" s="752"/>
      <c r="U87" s="752"/>
      <c r="V87" s="752"/>
      <c r="W87" s="752"/>
      <c r="X87" s="752"/>
      <c r="Y87" s="752"/>
      <c r="Z87" s="752"/>
      <c r="AA87" s="752"/>
      <c r="AB87" s="752"/>
      <c r="AC87" s="752"/>
    </row>
    <row r="88" spans="1:29" s="753" customFormat="1" ht="33">
      <c r="A88" s="571" t="s">
        <v>743</v>
      </c>
      <c r="B88" s="572">
        <f t="shared" si="7"/>
        <v>0</v>
      </c>
      <c r="K88" s="746"/>
      <c r="O88" s="752"/>
      <c r="P88" s="752"/>
      <c r="Q88" s="752"/>
      <c r="R88" s="752"/>
      <c r="S88" s="752"/>
      <c r="T88" s="752"/>
      <c r="U88" s="752"/>
      <c r="V88" s="752"/>
      <c r="W88" s="752"/>
      <c r="X88" s="752"/>
      <c r="Y88" s="752"/>
      <c r="Z88" s="752"/>
      <c r="AA88" s="752"/>
      <c r="AB88" s="752"/>
      <c r="AC88" s="752"/>
    </row>
    <row r="89" spans="1:29" s="753" customFormat="1" ht="33">
      <c r="A89" s="571" t="s">
        <v>744</v>
      </c>
      <c r="B89" s="572">
        <f t="shared" si="7"/>
        <v>0</v>
      </c>
      <c r="K89" s="746"/>
      <c r="O89" s="752"/>
      <c r="P89" s="752"/>
      <c r="Q89" s="752"/>
      <c r="R89" s="752"/>
      <c r="S89" s="752"/>
      <c r="T89" s="752"/>
      <c r="U89" s="752"/>
      <c r="V89" s="752"/>
      <c r="W89" s="752"/>
      <c r="X89" s="752"/>
      <c r="Y89" s="752"/>
      <c r="Z89" s="752"/>
      <c r="AA89" s="752"/>
      <c r="AB89" s="752"/>
      <c r="AC89" s="752"/>
    </row>
    <row r="90" spans="1:29" s="753" customFormat="1" ht="33">
      <c r="A90" s="388" t="s">
        <v>1167</v>
      </c>
      <c r="B90" s="572">
        <f t="shared" si="7"/>
        <v>0</v>
      </c>
      <c r="K90" s="746"/>
      <c r="O90" s="752"/>
      <c r="P90" s="752"/>
      <c r="Q90" s="752"/>
      <c r="R90" s="752"/>
      <c r="S90" s="752"/>
      <c r="T90" s="752"/>
      <c r="U90" s="752"/>
      <c r="V90" s="752"/>
      <c r="W90" s="752"/>
      <c r="X90" s="752"/>
      <c r="Y90" s="752"/>
      <c r="Z90" s="752"/>
      <c r="AA90" s="752"/>
      <c r="AB90" s="752"/>
      <c r="AC90" s="752"/>
    </row>
    <row r="91" spans="1:29" s="753" customFormat="1" ht="33">
      <c r="A91" s="388" t="s">
        <v>1168</v>
      </c>
      <c r="B91" s="572">
        <f t="shared" si="7"/>
        <v>0</v>
      </c>
      <c r="K91" s="746"/>
      <c r="O91" s="752"/>
      <c r="P91" s="752"/>
      <c r="Q91" s="752"/>
      <c r="R91" s="752"/>
      <c r="S91" s="752"/>
      <c r="T91" s="752"/>
      <c r="U91" s="752"/>
      <c r="V91" s="752"/>
      <c r="W91" s="752"/>
      <c r="X91" s="752"/>
      <c r="Y91" s="752"/>
      <c r="Z91" s="752"/>
      <c r="AA91" s="752"/>
      <c r="AB91" s="752"/>
      <c r="AC91" s="752"/>
    </row>
    <row r="92" spans="1:29" s="753" customFormat="1" ht="49.5">
      <c r="A92" s="388" t="s">
        <v>1169</v>
      </c>
      <c r="B92" s="572">
        <f t="shared" si="7"/>
        <v>0</v>
      </c>
      <c r="K92" s="746"/>
      <c r="O92" s="752"/>
      <c r="P92" s="752"/>
      <c r="Q92" s="752"/>
      <c r="R92" s="752"/>
      <c r="S92" s="752"/>
      <c r="T92" s="752"/>
      <c r="U92" s="752"/>
      <c r="V92" s="752"/>
      <c r="W92" s="752"/>
      <c r="X92" s="752"/>
      <c r="Y92" s="752"/>
      <c r="Z92" s="752"/>
      <c r="AA92" s="752"/>
      <c r="AB92" s="752"/>
      <c r="AC92" s="752"/>
    </row>
    <row r="93" spans="1:29" s="753" customFormat="1" ht="33">
      <c r="A93" s="388" t="s">
        <v>1170</v>
      </c>
      <c r="B93" s="572">
        <f t="shared" si="7"/>
        <v>0</v>
      </c>
      <c r="K93" s="746"/>
      <c r="O93" s="752"/>
      <c r="P93" s="752"/>
      <c r="Q93" s="752"/>
      <c r="R93" s="752"/>
      <c r="S93" s="752"/>
      <c r="T93" s="752"/>
      <c r="U93" s="752"/>
      <c r="V93" s="752"/>
      <c r="W93" s="752"/>
      <c r="X93" s="752"/>
      <c r="Y93" s="752"/>
      <c r="Z93" s="752"/>
      <c r="AA93" s="752"/>
      <c r="AB93" s="752"/>
      <c r="AC93" s="752"/>
    </row>
    <row r="94" spans="1:29" s="753" customFormat="1" ht="33">
      <c r="A94" s="388" t="s">
        <v>1171</v>
      </c>
      <c r="B94" s="572">
        <f t="shared" si="7"/>
        <v>0</v>
      </c>
      <c r="K94" s="746"/>
      <c r="O94" s="752"/>
      <c r="P94" s="752"/>
      <c r="Q94" s="752"/>
      <c r="R94" s="752"/>
      <c r="S94" s="752"/>
      <c r="T94" s="752"/>
      <c r="U94" s="752"/>
      <c r="V94" s="752"/>
      <c r="W94" s="752"/>
      <c r="X94" s="752"/>
      <c r="Y94" s="752"/>
      <c r="Z94" s="752"/>
      <c r="AA94" s="752"/>
      <c r="AB94" s="752"/>
      <c r="AC94" s="752"/>
    </row>
    <row r="95" spans="1:29" s="753" customFormat="1" ht="33">
      <c r="A95" s="388" t="s">
        <v>1172</v>
      </c>
      <c r="B95" s="572">
        <f t="shared" si="7"/>
        <v>0</v>
      </c>
      <c r="K95" s="746"/>
      <c r="O95" s="752"/>
      <c r="P95" s="752"/>
      <c r="Q95" s="752"/>
      <c r="R95" s="752"/>
      <c r="S95" s="752"/>
      <c r="T95" s="752"/>
      <c r="U95" s="752"/>
      <c r="V95" s="752"/>
      <c r="W95" s="752"/>
      <c r="X95" s="752"/>
      <c r="Y95" s="752"/>
      <c r="Z95" s="752"/>
      <c r="AA95" s="752"/>
      <c r="AB95" s="752"/>
      <c r="AC95" s="752"/>
    </row>
    <row r="96" spans="1:29" s="753" customFormat="1" ht="33">
      <c r="A96" s="388" t="s">
        <v>1173</v>
      </c>
      <c r="B96" s="572">
        <f t="shared" si="7"/>
        <v>0</v>
      </c>
      <c r="K96" s="746"/>
      <c r="O96" s="752"/>
      <c r="P96" s="752"/>
      <c r="Q96" s="752"/>
      <c r="R96" s="752"/>
      <c r="S96" s="752"/>
      <c r="T96" s="752"/>
      <c r="U96" s="752"/>
      <c r="V96" s="752"/>
      <c r="W96" s="752"/>
      <c r="X96" s="752"/>
      <c r="Y96" s="752"/>
      <c r="Z96" s="752"/>
      <c r="AA96" s="752"/>
      <c r="AB96" s="752"/>
      <c r="AC96" s="752"/>
    </row>
    <row r="97" spans="1:29" s="753" customFormat="1" ht="33">
      <c r="A97" s="388" t="s">
        <v>1174</v>
      </c>
      <c r="B97" s="572">
        <f t="shared" si="7"/>
        <v>0</v>
      </c>
      <c r="K97" s="746"/>
      <c r="O97" s="752"/>
      <c r="P97" s="752"/>
      <c r="Q97" s="752"/>
      <c r="R97" s="752"/>
      <c r="S97" s="752"/>
      <c r="T97" s="752"/>
      <c r="U97" s="752"/>
      <c r="V97" s="752"/>
      <c r="W97" s="752"/>
      <c r="X97" s="752"/>
      <c r="Y97" s="752"/>
      <c r="Z97" s="752"/>
      <c r="AA97" s="752"/>
      <c r="AB97" s="752"/>
      <c r="AC97" s="752"/>
    </row>
    <row r="98" spans="1:29" s="753" customFormat="1" ht="33">
      <c r="A98" s="388" t="s">
        <v>1175</v>
      </c>
      <c r="B98" s="572">
        <f t="shared" si="7"/>
        <v>0</v>
      </c>
      <c r="K98" s="746"/>
      <c r="O98" s="752"/>
      <c r="P98" s="752"/>
      <c r="Q98" s="752"/>
      <c r="R98" s="752"/>
      <c r="S98" s="752"/>
      <c r="T98" s="752"/>
      <c r="U98" s="752"/>
      <c r="V98" s="752"/>
      <c r="W98" s="752"/>
      <c r="X98" s="752"/>
      <c r="Y98" s="752"/>
      <c r="Z98" s="752"/>
      <c r="AA98" s="752"/>
      <c r="AB98" s="752"/>
      <c r="AC98" s="752"/>
    </row>
    <row r="99" spans="1:29" s="753" customFormat="1" ht="33">
      <c r="A99" s="388" t="s">
        <v>1176</v>
      </c>
      <c r="B99" s="572">
        <f t="shared" si="7"/>
        <v>0</v>
      </c>
      <c r="K99" s="746"/>
      <c r="O99" s="752"/>
      <c r="P99" s="752"/>
      <c r="Q99" s="752"/>
      <c r="R99" s="752"/>
      <c r="S99" s="752"/>
      <c r="T99" s="752"/>
      <c r="U99" s="752"/>
      <c r="V99" s="752"/>
      <c r="W99" s="752"/>
      <c r="X99" s="752"/>
      <c r="Y99" s="752"/>
      <c r="Z99" s="752"/>
      <c r="AA99" s="752"/>
      <c r="AB99" s="752"/>
      <c r="AC99" s="752"/>
    </row>
    <row r="100" spans="1:29" s="753" customFormat="1" ht="49.5">
      <c r="A100" s="388" t="s">
        <v>1177</v>
      </c>
      <c r="B100" s="572">
        <f t="shared" si="7"/>
        <v>0</v>
      </c>
      <c r="K100" s="746"/>
      <c r="O100" s="752"/>
      <c r="P100" s="752"/>
      <c r="Q100" s="752"/>
      <c r="R100" s="752"/>
      <c r="S100" s="752"/>
      <c r="T100" s="752"/>
      <c r="U100" s="752"/>
      <c r="V100" s="752"/>
      <c r="W100" s="752"/>
      <c r="X100" s="752"/>
      <c r="Y100" s="752"/>
      <c r="Z100" s="752"/>
      <c r="AA100" s="752"/>
      <c r="AB100" s="752"/>
      <c r="AC100" s="752"/>
    </row>
    <row r="101" spans="1:29" s="753" customFormat="1" ht="33">
      <c r="A101" s="388" t="s">
        <v>1178</v>
      </c>
      <c r="B101" s="572">
        <f t="shared" si="7"/>
        <v>0</v>
      </c>
      <c r="K101" s="746"/>
      <c r="O101" s="752"/>
      <c r="P101" s="752"/>
      <c r="Q101" s="752"/>
      <c r="R101" s="752"/>
      <c r="S101" s="752"/>
      <c r="T101" s="752"/>
      <c r="U101" s="752"/>
      <c r="V101" s="752"/>
      <c r="W101" s="752"/>
      <c r="X101" s="752"/>
      <c r="Y101" s="752"/>
      <c r="Z101" s="752"/>
      <c r="AA101" s="752"/>
      <c r="AB101" s="752"/>
      <c r="AC101" s="752"/>
    </row>
    <row r="102" spans="1:29" s="753" customFormat="1" ht="33">
      <c r="A102" s="388" t="s">
        <v>1179</v>
      </c>
      <c r="B102" s="572">
        <f t="shared" si="7"/>
        <v>0</v>
      </c>
      <c r="K102" s="746"/>
      <c r="O102" s="752"/>
      <c r="P102" s="752"/>
      <c r="Q102" s="752"/>
      <c r="R102" s="752"/>
      <c r="S102" s="752"/>
      <c r="T102" s="752"/>
      <c r="U102" s="752"/>
      <c r="V102" s="752"/>
      <c r="W102" s="752"/>
      <c r="X102" s="752"/>
      <c r="Y102" s="752"/>
      <c r="Z102" s="752"/>
      <c r="AA102" s="752"/>
      <c r="AB102" s="752"/>
      <c r="AC102" s="752"/>
    </row>
    <row r="103" spans="1:29" s="753" customFormat="1" ht="33">
      <c r="A103" s="388" t="s">
        <v>1180</v>
      </c>
      <c r="B103" s="572">
        <f t="shared" si="7"/>
        <v>0</v>
      </c>
      <c r="K103" s="746"/>
      <c r="O103" s="752"/>
      <c r="P103" s="752"/>
      <c r="Q103" s="752"/>
      <c r="R103" s="752"/>
      <c r="S103" s="752"/>
      <c r="T103" s="752"/>
      <c r="U103" s="752"/>
      <c r="V103" s="752"/>
      <c r="W103" s="752"/>
      <c r="X103" s="752"/>
      <c r="Y103" s="752"/>
      <c r="Z103" s="752"/>
      <c r="AA103" s="752"/>
      <c r="AB103" s="752"/>
      <c r="AC103" s="752"/>
    </row>
    <row r="104" spans="1:29" s="753" customFormat="1" ht="33">
      <c r="A104" s="388" t="s">
        <v>1181</v>
      </c>
      <c r="B104" s="572">
        <f t="shared" si="7"/>
        <v>0</v>
      </c>
      <c r="K104" s="746"/>
      <c r="O104" s="752"/>
      <c r="P104" s="752"/>
      <c r="Q104" s="752"/>
      <c r="R104" s="752"/>
      <c r="S104" s="752"/>
      <c r="T104" s="752"/>
      <c r="U104" s="752"/>
      <c r="V104" s="752"/>
      <c r="W104" s="752"/>
      <c r="X104" s="752"/>
      <c r="Y104" s="752"/>
      <c r="Z104" s="752"/>
      <c r="AA104" s="752"/>
      <c r="AB104" s="752"/>
      <c r="AC104" s="752"/>
    </row>
    <row r="105" spans="1:29" s="753" customFormat="1" ht="49.5">
      <c r="A105" s="388" t="s">
        <v>1182</v>
      </c>
      <c r="B105" s="572">
        <f t="shared" si="7"/>
        <v>0</v>
      </c>
      <c r="K105" s="746"/>
      <c r="O105" s="752"/>
      <c r="P105" s="752"/>
      <c r="Q105" s="752"/>
      <c r="R105" s="752"/>
      <c r="S105" s="752"/>
      <c r="T105" s="752"/>
      <c r="U105" s="752"/>
      <c r="V105" s="752"/>
      <c r="W105" s="752"/>
      <c r="X105" s="752"/>
      <c r="Y105" s="752"/>
      <c r="Z105" s="752"/>
      <c r="AA105" s="752"/>
      <c r="AB105" s="752"/>
      <c r="AC105" s="752"/>
    </row>
    <row r="106" spans="1:29" s="753" customFormat="1" ht="49.5">
      <c r="A106" s="388" t="s">
        <v>1183</v>
      </c>
      <c r="B106" s="572">
        <f t="shared" si="7"/>
        <v>0</v>
      </c>
      <c r="K106" s="746"/>
      <c r="O106" s="752"/>
      <c r="P106" s="752"/>
      <c r="Q106" s="752"/>
      <c r="R106" s="752"/>
      <c r="S106" s="752"/>
      <c r="T106" s="752"/>
      <c r="U106" s="752"/>
      <c r="V106" s="752"/>
      <c r="W106" s="752"/>
      <c r="X106" s="752"/>
      <c r="Y106" s="752"/>
      <c r="Z106" s="752"/>
      <c r="AA106" s="752"/>
      <c r="AB106" s="752"/>
      <c r="AC106" s="752"/>
    </row>
    <row r="107" spans="1:29" s="753" customFormat="1" ht="49.5">
      <c r="A107" s="388" t="s">
        <v>1184</v>
      </c>
      <c r="B107" s="572">
        <f t="shared" si="7"/>
        <v>0</v>
      </c>
      <c r="K107" s="746"/>
      <c r="O107" s="752"/>
      <c r="P107" s="752"/>
      <c r="Q107" s="752"/>
      <c r="R107" s="752"/>
      <c r="S107" s="752"/>
      <c r="T107" s="752"/>
      <c r="U107" s="752"/>
      <c r="V107" s="752"/>
      <c r="W107" s="752"/>
      <c r="X107" s="752"/>
      <c r="Y107" s="752"/>
      <c r="Z107" s="752"/>
      <c r="AA107" s="752"/>
      <c r="AB107" s="752"/>
      <c r="AC107" s="752"/>
    </row>
    <row r="108" spans="1:29" s="753" customFormat="1" ht="33">
      <c r="A108" s="388" t="s">
        <v>1185</v>
      </c>
      <c r="B108" s="572">
        <f t="shared" si="7"/>
        <v>0</v>
      </c>
      <c r="K108" s="746"/>
      <c r="O108" s="752"/>
      <c r="P108" s="752"/>
      <c r="Q108" s="752"/>
      <c r="R108" s="752"/>
      <c r="S108" s="752"/>
      <c r="T108" s="752"/>
      <c r="U108" s="752"/>
      <c r="V108" s="752"/>
      <c r="W108" s="752"/>
      <c r="X108" s="752"/>
      <c r="Y108" s="752"/>
      <c r="Z108" s="752"/>
      <c r="AA108" s="752"/>
      <c r="AB108" s="752"/>
      <c r="AC108" s="752"/>
    </row>
    <row r="109" spans="1:29" s="753" customFormat="1" ht="33">
      <c r="A109" s="388" t="s">
        <v>1186</v>
      </c>
      <c r="B109" s="572">
        <f t="shared" si="7"/>
        <v>0</v>
      </c>
      <c r="K109" s="746"/>
      <c r="O109" s="752"/>
      <c r="P109" s="752"/>
      <c r="Q109" s="752"/>
      <c r="R109" s="752"/>
      <c r="S109" s="752"/>
      <c r="T109" s="752"/>
      <c r="U109" s="752"/>
      <c r="V109" s="752"/>
      <c r="W109" s="752"/>
      <c r="X109" s="752"/>
      <c r="Y109" s="752"/>
      <c r="Z109" s="752"/>
      <c r="AA109" s="752"/>
      <c r="AB109" s="752"/>
      <c r="AC109" s="752"/>
    </row>
    <row r="110" spans="1:29" s="753" customFormat="1" ht="49.5">
      <c r="A110" s="388" t="s">
        <v>1187</v>
      </c>
      <c r="B110" s="572">
        <f t="shared" si="7"/>
        <v>0</v>
      </c>
      <c r="K110" s="746"/>
      <c r="O110" s="752"/>
      <c r="P110" s="752"/>
      <c r="Q110" s="752"/>
      <c r="R110" s="752"/>
      <c r="S110" s="752"/>
      <c r="T110" s="752"/>
      <c r="U110" s="752"/>
      <c r="V110" s="752"/>
      <c r="W110" s="752"/>
      <c r="X110" s="752"/>
      <c r="Y110" s="752"/>
      <c r="Z110" s="752"/>
      <c r="AA110" s="752"/>
      <c r="AB110" s="752"/>
      <c r="AC110" s="752"/>
    </row>
    <row r="111" spans="1:29" s="753" customFormat="1" ht="33">
      <c r="A111" s="388" t="s">
        <v>1188</v>
      </c>
      <c r="B111" s="572">
        <f t="shared" si="7"/>
        <v>0</v>
      </c>
      <c r="K111" s="746"/>
      <c r="O111" s="752"/>
      <c r="P111" s="752"/>
      <c r="Q111" s="752"/>
      <c r="R111" s="752"/>
      <c r="S111" s="752"/>
      <c r="T111" s="752"/>
      <c r="U111" s="752"/>
      <c r="V111" s="752"/>
      <c r="W111" s="752"/>
      <c r="X111" s="752"/>
      <c r="Y111" s="752"/>
      <c r="Z111" s="752"/>
      <c r="AA111" s="752"/>
      <c r="AB111" s="752"/>
      <c r="AC111" s="752"/>
    </row>
    <row r="112" spans="1:29" s="753" customFormat="1" ht="33">
      <c r="A112" s="388" t="s">
        <v>1189</v>
      </c>
      <c r="B112" s="572">
        <f t="shared" si="7"/>
        <v>0</v>
      </c>
      <c r="K112" s="746"/>
      <c r="O112" s="752"/>
      <c r="P112" s="752"/>
      <c r="Q112" s="752"/>
      <c r="R112" s="752"/>
      <c r="S112" s="752"/>
      <c r="T112" s="752"/>
      <c r="U112" s="752"/>
      <c r="V112" s="752"/>
      <c r="W112" s="752"/>
      <c r="X112" s="752"/>
      <c r="Y112" s="752"/>
      <c r="Z112" s="752"/>
      <c r="AA112" s="752"/>
      <c r="AB112" s="752"/>
      <c r="AC112" s="752"/>
    </row>
    <row r="113" spans="1:29" s="753" customFormat="1" ht="49.5">
      <c r="A113" s="388" t="s">
        <v>1190</v>
      </c>
      <c r="B113" s="572">
        <f t="shared" si="7"/>
        <v>0</v>
      </c>
      <c r="K113" s="746"/>
      <c r="O113" s="752"/>
      <c r="P113" s="752"/>
      <c r="Q113" s="752"/>
      <c r="R113" s="752"/>
      <c r="S113" s="752"/>
      <c r="T113" s="752"/>
      <c r="U113" s="752"/>
      <c r="V113" s="752"/>
      <c r="W113" s="752"/>
      <c r="X113" s="752"/>
      <c r="Y113" s="752"/>
      <c r="Z113" s="752"/>
      <c r="AA113" s="752"/>
      <c r="AB113" s="752"/>
      <c r="AC113" s="752"/>
    </row>
    <row r="114" spans="1:29" s="753" customFormat="1" ht="33">
      <c r="A114" s="388" t="s">
        <v>1191</v>
      </c>
      <c r="B114" s="572">
        <f t="shared" si="7"/>
        <v>0</v>
      </c>
      <c r="K114" s="746"/>
      <c r="O114" s="752"/>
      <c r="P114" s="752"/>
      <c r="Q114" s="752"/>
      <c r="R114" s="752"/>
      <c r="S114" s="752"/>
      <c r="T114" s="752"/>
      <c r="U114" s="752"/>
      <c r="V114" s="752"/>
      <c r="W114" s="752"/>
      <c r="X114" s="752"/>
      <c r="Y114" s="752"/>
      <c r="Z114" s="752"/>
      <c r="AA114" s="752"/>
      <c r="AB114" s="752"/>
      <c r="AC114" s="752"/>
    </row>
    <row r="115" spans="1:29" s="753" customFormat="1" ht="33">
      <c r="A115" s="388" t="s">
        <v>1192</v>
      </c>
      <c r="B115" s="572">
        <f t="shared" si="7"/>
        <v>0</v>
      </c>
      <c r="K115" s="746"/>
      <c r="O115" s="752"/>
      <c r="P115" s="752"/>
      <c r="Q115" s="752"/>
      <c r="R115" s="752"/>
      <c r="S115" s="752"/>
      <c r="T115" s="752"/>
      <c r="U115" s="752"/>
      <c r="V115" s="752"/>
      <c r="W115" s="752"/>
      <c r="X115" s="752"/>
      <c r="Y115" s="752"/>
      <c r="Z115" s="752"/>
      <c r="AA115" s="752"/>
      <c r="AB115" s="752"/>
      <c r="AC115" s="752"/>
    </row>
    <row r="116" spans="1:29" s="753" customFormat="1">
      <c r="A116" s="761"/>
      <c r="K116" s="746"/>
      <c r="O116" s="752"/>
      <c r="P116" s="752"/>
      <c r="Q116" s="752"/>
      <c r="R116" s="752"/>
      <c r="S116" s="752"/>
      <c r="T116" s="752"/>
      <c r="U116" s="752"/>
      <c r="V116" s="752"/>
      <c r="W116" s="752"/>
      <c r="X116" s="752"/>
      <c r="Y116" s="752"/>
      <c r="Z116" s="752"/>
      <c r="AA116" s="752"/>
      <c r="AB116" s="752"/>
      <c r="AC116" s="752"/>
    </row>
    <row r="117" spans="1:29" s="753" customFormat="1">
      <c r="A117" s="761"/>
      <c r="K117" s="746"/>
      <c r="O117" s="752"/>
      <c r="P117" s="752"/>
      <c r="Q117" s="752"/>
      <c r="R117" s="752"/>
      <c r="S117" s="752"/>
      <c r="T117" s="752"/>
      <c r="U117" s="752"/>
      <c r="V117" s="752"/>
      <c r="W117" s="752"/>
      <c r="X117" s="752"/>
      <c r="Y117" s="752"/>
      <c r="Z117" s="752"/>
      <c r="AA117" s="752"/>
      <c r="AB117" s="752"/>
      <c r="AC117" s="752"/>
    </row>
    <row r="118" spans="1:29" s="753" customFormat="1">
      <c r="A118" s="761"/>
      <c r="K118" s="746"/>
      <c r="O118" s="752"/>
      <c r="P118" s="752"/>
      <c r="Q118" s="752"/>
      <c r="R118" s="752"/>
      <c r="S118" s="752"/>
      <c r="T118" s="752"/>
      <c r="U118" s="752"/>
      <c r="V118" s="752"/>
      <c r="W118" s="752"/>
      <c r="X118" s="752"/>
      <c r="Y118" s="752"/>
      <c r="Z118" s="752"/>
      <c r="AA118" s="752"/>
      <c r="AB118" s="752"/>
      <c r="AC118" s="752"/>
    </row>
    <row r="119" spans="1:29" s="753" customFormat="1">
      <c r="A119" s="761"/>
      <c r="K119" s="746"/>
      <c r="O119" s="752"/>
      <c r="P119" s="752"/>
      <c r="Q119" s="752"/>
      <c r="R119" s="752"/>
      <c r="S119" s="752"/>
      <c r="T119" s="752"/>
      <c r="U119" s="752"/>
      <c r="V119" s="752"/>
      <c r="W119" s="752"/>
      <c r="X119" s="752"/>
      <c r="Y119" s="752"/>
      <c r="Z119" s="752"/>
      <c r="AA119" s="752"/>
      <c r="AB119" s="752"/>
      <c r="AC119" s="752"/>
    </row>
    <row r="120" spans="1:29" s="753" customFormat="1">
      <c r="A120" s="761"/>
      <c r="K120" s="746"/>
      <c r="O120" s="752"/>
      <c r="P120" s="752"/>
      <c r="Q120" s="752"/>
      <c r="R120" s="752"/>
      <c r="S120" s="752"/>
      <c r="T120" s="752"/>
      <c r="U120" s="752"/>
      <c r="V120" s="752"/>
      <c r="W120" s="752"/>
      <c r="X120" s="752"/>
      <c r="Y120" s="752"/>
      <c r="Z120" s="752"/>
      <c r="AA120" s="752"/>
      <c r="AB120" s="752"/>
      <c r="AC120" s="752"/>
    </row>
    <row r="121" spans="1:29" s="753" customFormat="1">
      <c r="A121" s="761"/>
      <c r="K121" s="746"/>
      <c r="O121" s="752"/>
      <c r="P121" s="752"/>
      <c r="Q121" s="752"/>
      <c r="R121" s="752"/>
      <c r="S121" s="752"/>
      <c r="T121" s="752"/>
      <c r="U121" s="752"/>
      <c r="V121" s="752"/>
      <c r="W121" s="752"/>
      <c r="X121" s="752"/>
      <c r="Y121" s="752"/>
      <c r="Z121" s="752"/>
      <c r="AA121" s="752"/>
      <c r="AB121" s="752"/>
      <c r="AC121" s="752"/>
    </row>
    <row r="122" spans="1:29" s="753" customFormat="1">
      <c r="A122" s="761"/>
      <c r="K122" s="746"/>
      <c r="O122" s="752"/>
      <c r="P122" s="752"/>
      <c r="Q122" s="752"/>
      <c r="R122" s="752"/>
      <c r="S122" s="752"/>
      <c r="T122" s="752"/>
      <c r="U122" s="752"/>
      <c r="V122" s="752"/>
      <c r="W122" s="752"/>
      <c r="X122" s="752"/>
      <c r="Y122" s="752"/>
      <c r="Z122" s="752"/>
      <c r="AA122" s="752"/>
      <c r="AB122" s="752"/>
      <c r="AC122" s="752"/>
    </row>
    <row r="123" spans="1:29" s="753" customFormat="1">
      <c r="A123" s="761"/>
      <c r="K123" s="746"/>
      <c r="O123" s="752"/>
      <c r="P123" s="752"/>
      <c r="Q123" s="752"/>
      <c r="R123" s="752"/>
      <c r="S123" s="752"/>
      <c r="T123" s="752"/>
      <c r="U123" s="752"/>
      <c r="V123" s="752"/>
      <c r="W123" s="752"/>
      <c r="X123" s="752"/>
      <c r="Y123" s="752"/>
      <c r="Z123" s="752"/>
      <c r="AA123" s="752"/>
      <c r="AB123" s="752"/>
      <c r="AC123" s="752"/>
    </row>
    <row r="124" spans="1:29" s="753" customFormat="1">
      <c r="A124" s="761"/>
      <c r="K124" s="746"/>
      <c r="O124" s="752"/>
      <c r="P124" s="752"/>
      <c r="Q124" s="752"/>
      <c r="R124" s="752"/>
      <c r="S124" s="752"/>
      <c r="T124" s="752"/>
      <c r="U124" s="752"/>
      <c r="V124" s="752"/>
      <c r="W124" s="752"/>
      <c r="X124" s="752"/>
      <c r="Y124" s="752"/>
      <c r="Z124" s="752"/>
      <c r="AA124" s="752"/>
      <c r="AB124" s="752"/>
      <c r="AC124" s="752"/>
    </row>
    <row r="125" spans="1:29" s="753" customFormat="1">
      <c r="A125" s="761"/>
      <c r="K125" s="746"/>
      <c r="O125" s="752"/>
      <c r="P125" s="752"/>
      <c r="Q125" s="752"/>
      <c r="R125" s="752"/>
      <c r="S125" s="752"/>
      <c r="T125" s="752"/>
      <c r="U125" s="752"/>
      <c r="V125" s="752"/>
      <c r="W125" s="752"/>
      <c r="X125" s="752"/>
      <c r="Y125" s="752"/>
      <c r="Z125" s="752"/>
      <c r="AA125" s="752"/>
      <c r="AB125" s="752"/>
      <c r="AC125" s="752"/>
    </row>
    <row r="126" spans="1:29" s="753" customFormat="1">
      <c r="A126" s="761"/>
      <c r="K126" s="746"/>
      <c r="O126" s="752"/>
      <c r="P126" s="752"/>
      <c r="Q126" s="752"/>
      <c r="R126" s="752"/>
      <c r="S126" s="752"/>
      <c r="T126" s="752"/>
      <c r="U126" s="752"/>
      <c r="V126" s="752"/>
      <c r="W126" s="752"/>
      <c r="X126" s="752"/>
      <c r="Y126" s="752"/>
      <c r="Z126" s="752"/>
      <c r="AA126" s="752"/>
      <c r="AB126" s="752"/>
      <c r="AC126" s="752"/>
    </row>
    <row r="127" spans="1:29" s="753" customFormat="1">
      <c r="A127" s="761"/>
      <c r="K127" s="746"/>
      <c r="O127" s="752"/>
      <c r="P127" s="752"/>
      <c r="Q127" s="752"/>
      <c r="R127" s="752"/>
      <c r="S127" s="752"/>
      <c r="T127" s="752"/>
      <c r="U127" s="752"/>
      <c r="V127" s="752"/>
      <c r="W127" s="752"/>
      <c r="X127" s="752"/>
      <c r="Y127" s="752"/>
      <c r="Z127" s="752"/>
      <c r="AA127" s="752"/>
      <c r="AB127" s="752"/>
      <c r="AC127" s="752"/>
    </row>
    <row r="128" spans="1:29" s="753" customFormat="1">
      <c r="A128" s="761"/>
      <c r="K128" s="746"/>
      <c r="O128" s="752"/>
      <c r="P128" s="752"/>
      <c r="Q128" s="752"/>
      <c r="R128" s="752"/>
      <c r="S128" s="752"/>
      <c r="T128" s="752"/>
      <c r="U128" s="752"/>
      <c r="V128" s="752"/>
      <c r="W128" s="752"/>
      <c r="X128" s="752"/>
      <c r="Y128" s="752"/>
      <c r="Z128" s="752"/>
      <c r="AA128" s="752"/>
      <c r="AB128" s="752"/>
      <c r="AC128" s="752"/>
    </row>
    <row r="129" spans="1:29" s="753" customFormat="1">
      <c r="A129" s="761"/>
      <c r="K129" s="746"/>
      <c r="O129" s="752"/>
      <c r="P129" s="752"/>
      <c r="Q129" s="752"/>
      <c r="R129" s="752"/>
      <c r="S129" s="752"/>
      <c r="T129" s="752"/>
      <c r="U129" s="752"/>
      <c r="V129" s="752"/>
      <c r="W129" s="752"/>
      <c r="X129" s="752"/>
      <c r="Y129" s="752"/>
      <c r="Z129" s="752"/>
      <c r="AA129" s="752"/>
      <c r="AB129" s="752"/>
      <c r="AC129" s="752"/>
    </row>
    <row r="130" spans="1:29" s="753" customFormat="1">
      <c r="A130" s="761"/>
      <c r="K130" s="746"/>
      <c r="O130" s="752"/>
      <c r="P130" s="752"/>
      <c r="Q130" s="752"/>
      <c r="R130" s="752"/>
      <c r="S130" s="752"/>
      <c r="T130" s="752"/>
      <c r="U130" s="752"/>
      <c r="V130" s="752"/>
      <c r="W130" s="752"/>
      <c r="X130" s="752"/>
      <c r="Y130" s="752"/>
      <c r="Z130" s="752"/>
      <c r="AA130" s="752"/>
      <c r="AB130" s="752"/>
      <c r="AC130" s="752"/>
    </row>
    <row r="131" spans="1:29" s="753" customFormat="1">
      <c r="A131" s="761"/>
      <c r="K131" s="746"/>
      <c r="O131" s="752"/>
      <c r="P131" s="752"/>
      <c r="Q131" s="752"/>
      <c r="R131" s="752"/>
      <c r="S131" s="752"/>
      <c r="T131" s="752"/>
      <c r="U131" s="752"/>
      <c r="V131" s="752"/>
      <c r="W131" s="752"/>
      <c r="X131" s="752"/>
      <c r="Y131" s="752"/>
      <c r="Z131" s="752"/>
      <c r="AA131" s="752"/>
      <c r="AB131" s="752"/>
      <c r="AC131" s="752"/>
    </row>
    <row r="132" spans="1:29" s="753" customFormat="1">
      <c r="A132" s="761"/>
      <c r="K132" s="746"/>
      <c r="O132" s="752"/>
      <c r="P132" s="752"/>
      <c r="Q132" s="752"/>
      <c r="R132" s="752"/>
      <c r="S132" s="752"/>
      <c r="T132" s="752"/>
      <c r="U132" s="752"/>
      <c r="V132" s="752"/>
      <c r="W132" s="752"/>
      <c r="X132" s="752"/>
      <c r="Y132" s="752"/>
      <c r="Z132" s="752"/>
      <c r="AA132" s="752"/>
      <c r="AB132" s="752"/>
      <c r="AC132" s="752"/>
    </row>
    <row r="133" spans="1:29" s="753" customFormat="1">
      <c r="A133" s="761"/>
      <c r="K133" s="746"/>
      <c r="O133" s="752"/>
      <c r="P133" s="752"/>
      <c r="Q133" s="752"/>
      <c r="R133" s="752"/>
      <c r="S133" s="752"/>
      <c r="T133" s="752"/>
      <c r="U133" s="752"/>
      <c r="V133" s="752"/>
      <c r="W133" s="752"/>
      <c r="X133" s="752"/>
      <c r="Y133" s="752"/>
      <c r="Z133" s="752"/>
      <c r="AA133" s="752"/>
      <c r="AB133" s="752"/>
      <c r="AC133" s="752"/>
    </row>
    <row r="134" spans="1:29" s="753" customFormat="1">
      <c r="A134" s="761"/>
      <c r="K134" s="746"/>
      <c r="O134" s="752"/>
      <c r="P134" s="752"/>
      <c r="Q134" s="752"/>
      <c r="R134" s="752"/>
      <c r="S134" s="752"/>
      <c r="T134" s="752"/>
      <c r="U134" s="752"/>
      <c r="V134" s="752"/>
      <c r="W134" s="752"/>
      <c r="X134" s="752"/>
      <c r="Y134" s="752"/>
      <c r="Z134" s="752"/>
      <c r="AA134" s="752"/>
      <c r="AB134" s="752"/>
      <c r="AC134" s="752"/>
    </row>
    <row r="135" spans="1:29" s="753" customFormat="1">
      <c r="A135" s="761"/>
      <c r="K135" s="746"/>
      <c r="O135" s="752"/>
      <c r="P135" s="752"/>
      <c r="Q135" s="752"/>
      <c r="R135" s="752"/>
      <c r="S135" s="752"/>
      <c r="T135" s="752"/>
      <c r="U135" s="752"/>
      <c r="V135" s="752"/>
      <c r="W135" s="752"/>
      <c r="X135" s="752"/>
      <c r="Y135" s="752"/>
      <c r="Z135" s="752"/>
      <c r="AA135" s="752"/>
      <c r="AB135" s="752"/>
      <c r="AC135" s="752"/>
    </row>
    <row r="136" spans="1:29" s="753" customFormat="1">
      <c r="A136" s="761"/>
      <c r="K136" s="746"/>
      <c r="O136" s="752"/>
      <c r="P136" s="752"/>
      <c r="Q136" s="752"/>
      <c r="R136" s="752"/>
      <c r="S136" s="752"/>
      <c r="T136" s="752"/>
      <c r="U136" s="752"/>
      <c r="V136" s="752"/>
      <c r="W136" s="752"/>
      <c r="X136" s="752"/>
      <c r="Y136" s="752"/>
      <c r="Z136" s="752"/>
      <c r="AA136" s="752"/>
      <c r="AB136" s="752"/>
      <c r="AC136" s="752"/>
    </row>
    <row r="137" spans="1:29" s="753" customFormat="1">
      <c r="A137" s="761"/>
      <c r="K137" s="746"/>
      <c r="O137" s="752"/>
      <c r="P137" s="752"/>
      <c r="Q137" s="752"/>
      <c r="R137" s="752"/>
      <c r="S137" s="752"/>
      <c r="T137" s="752"/>
      <c r="U137" s="752"/>
      <c r="V137" s="752"/>
      <c r="W137" s="752"/>
      <c r="X137" s="752"/>
      <c r="Y137" s="752"/>
      <c r="Z137" s="752"/>
      <c r="AA137" s="752"/>
      <c r="AB137" s="752"/>
      <c r="AC137" s="752"/>
    </row>
    <row r="138" spans="1:29" s="753" customFormat="1">
      <c r="A138" s="761"/>
      <c r="K138" s="746"/>
      <c r="O138" s="752"/>
      <c r="P138" s="752"/>
      <c r="Q138" s="752"/>
      <c r="R138" s="752"/>
      <c r="S138" s="752"/>
      <c r="T138" s="752"/>
      <c r="U138" s="752"/>
      <c r="V138" s="752"/>
      <c r="W138" s="752"/>
      <c r="X138" s="752"/>
      <c r="Y138" s="752"/>
      <c r="Z138" s="752"/>
      <c r="AA138" s="752"/>
      <c r="AB138" s="752"/>
      <c r="AC138" s="752"/>
    </row>
    <row r="139" spans="1:29" s="753" customFormat="1">
      <c r="A139" s="761"/>
      <c r="K139" s="746"/>
      <c r="O139" s="752"/>
      <c r="P139" s="752"/>
      <c r="Q139" s="752"/>
      <c r="R139" s="752"/>
      <c r="S139" s="752"/>
      <c r="T139" s="752"/>
      <c r="U139" s="752"/>
      <c r="V139" s="752"/>
      <c r="W139" s="752"/>
      <c r="X139" s="752"/>
      <c r="Y139" s="752"/>
      <c r="Z139" s="752"/>
      <c r="AA139" s="752"/>
      <c r="AB139" s="752"/>
      <c r="AC139" s="752"/>
    </row>
    <row r="140" spans="1:29" s="753" customFormat="1">
      <c r="A140" s="761"/>
      <c r="K140" s="746"/>
      <c r="O140" s="752"/>
      <c r="P140" s="752"/>
      <c r="Q140" s="752"/>
      <c r="R140" s="752"/>
      <c r="S140" s="752"/>
      <c r="T140" s="752"/>
      <c r="U140" s="752"/>
      <c r="V140" s="752"/>
      <c r="W140" s="752"/>
      <c r="X140" s="752"/>
      <c r="Y140" s="752"/>
      <c r="Z140" s="752"/>
      <c r="AA140" s="752"/>
      <c r="AB140" s="752"/>
      <c r="AC140" s="752"/>
    </row>
    <row r="141" spans="1:29" s="753" customFormat="1">
      <c r="A141" s="761"/>
      <c r="K141" s="746"/>
      <c r="O141" s="752"/>
      <c r="P141" s="752"/>
      <c r="Q141" s="752"/>
      <c r="R141" s="752"/>
      <c r="S141" s="752"/>
      <c r="T141" s="752"/>
      <c r="U141" s="752"/>
      <c r="V141" s="752"/>
      <c r="W141" s="752"/>
      <c r="X141" s="752"/>
      <c r="Y141" s="752"/>
      <c r="Z141" s="752"/>
      <c r="AA141" s="752"/>
      <c r="AB141" s="752"/>
      <c r="AC141" s="752"/>
    </row>
    <row r="142" spans="1:29" s="753" customFormat="1">
      <c r="A142" s="761"/>
      <c r="K142" s="746"/>
      <c r="O142" s="752"/>
      <c r="P142" s="752"/>
      <c r="Q142" s="752"/>
      <c r="R142" s="752"/>
      <c r="S142" s="752"/>
      <c r="T142" s="752"/>
      <c r="U142" s="752"/>
      <c r="V142" s="752"/>
      <c r="W142" s="752"/>
      <c r="X142" s="752"/>
      <c r="Y142" s="752"/>
      <c r="Z142" s="752"/>
      <c r="AA142" s="752"/>
      <c r="AB142" s="752"/>
      <c r="AC142" s="752"/>
    </row>
    <row r="143" spans="1:29" s="753" customFormat="1">
      <c r="A143" s="761"/>
      <c r="K143" s="746"/>
      <c r="O143" s="752"/>
      <c r="P143" s="752"/>
      <c r="Q143" s="752"/>
      <c r="R143" s="752"/>
      <c r="S143" s="752"/>
      <c r="T143" s="752"/>
      <c r="U143" s="752"/>
      <c r="V143" s="752"/>
      <c r="W143" s="752"/>
      <c r="X143" s="752"/>
      <c r="Y143" s="752"/>
      <c r="Z143" s="752"/>
      <c r="AA143" s="752"/>
      <c r="AB143" s="752"/>
      <c r="AC143" s="752"/>
    </row>
    <row r="144" spans="1:29" s="753" customFormat="1">
      <c r="A144" s="761"/>
      <c r="K144" s="746"/>
      <c r="O144" s="752"/>
      <c r="P144" s="752"/>
      <c r="Q144" s="752"/>
      <c r="R144" s="752"/>
      <c r="S144" s="752"/>
      <c r="T144" s="752"/>
      <c r="U144" s="752"/>
      <c r="V144" s="752"/>
      <c r="W144" s="752"/>
      <c r="X144" s="752"/>
      <c r="Y144" s="752"/>
      <c r="Z144" s="752"/>
      <c r="AA144" s="752"/>
      <c r="AB144" s="752"/>
      <c r="AC144" s="752"/>
    </row>
    <row r="145" spans="1:29" s="753" customFormat="1">
      <c r="A145" s="761"/>
      <c r="K145" s="746"/>
      <c r="O145" s="752"/>
      <c r="P145" s="752"/>
      <c r="Q145" s="752"/>
      <c r="R145" s="752"/>
      <c r="S145" s="752"/>
      <c r="T145" s="752"/>
      <c r="U145" s="752"/>
      <c r="V145" s="752"/>
      <c r="W145" s="752"/>
      <c r="X145" s="752"/>
      <c r="Y145" s="752"/>
      <c r="Z145" s="752"/>
      <c r="AA145" s="752"/>
      <c r="AB145" s="752"/>
      <c r="AC145" s="752"/>
    </row>
    <row r="146" spans="1:29" s="753" customFormat="1">
      <c r="A146" s="761"/>
      <c r="K146" s="746"/>
      <c r="O146" s="752"/>
      <c r="P146" s="752"/>
      <c r="Q146" s="752"/>
      <c r="R146" s="752"/>
      <c r="S146" s="752"/>
      <c r="T146" s="752"/>
      <c r="U146" s="752"/>
      <c r="V146" s="752"/>
      <c r="W146" s="752"/>
      <c r="X146" s="752"/>
      <c r="Y146" s="752"/>
      <c r="Z146" s="752"/>
      <c r="AA146" s="752"/>
      <c r="AB146" s="752"/>
      <c r="AC146" s="752"/>
    </row>
    <row r="147" spans="1:29" s="753" customFormat="1">
      <c r="A147" s="761"/>
      <c r="K147" s="746"/>
      <c r="O147" s="752"/>
      <c r="P147" s="752"/>
      <c r="Q147" s="752"/>
      <c r="R147" s="752"/>
      <c r="S147" s="752"/>
      <c r="T147" s="752"/>
      <c r="U147" s="752"/>
      <c r="V147" s="752"/>
      <c r="W147" s="752"/>
      <c r="X147" s="752"/>
      <c r="Y147" s="752"/>
      <c r="Z147" s="752"/>
      <c r="AA147" s="752"/>
      <c r="AB147" s="752"/>
      <c r="AC147" s="752"/>
    </row>
    <row r="148" spans="1:29" s="753" customFormat="1">
      <c r="A148" s="761"/>
      <c r="K148" s="746"/>
      <c r="O148" s="752"/>
      <c r="P148" s="752"/>
      <c r="Q148" s="752"/>
      <c r="R148" s="752"/>
      <c r="S148" s="752"/>
      <c r="T148" s="752"/>
      <c r="U148" s="752"/>
      <c r="V148" s="752"/>
      <c r="W148" s="752"/>
      <c r="X148" s="752"/>
      <c r="Y148" s="752"/>
      <c r="Z148" s="752"/>
      <c r="AA148" s="752"/>
      <c r="AB148" s="752"/>
      <c r="AC148" s="752"/>
    </row>
    <row r="149" spans="1:29" s="753" customFormat="1">
      <c r="A149" s="761"/>
      <c r="K149" s="746"/>
      <c r="O149" s="752"/>
      <c r="P149" s="752"/>
      <c r="Q149" s="752"/>
      <c r="R149" s="752"/>
      <c r="S149" s="752"/>
      <c r="T149" s="752"/>
      <c r="U149" s="752"/>
      <c r="V149" s="752"/>
      <c r="W149" s="752"/>
      <c r="X149" s="752"/>
      <c r="Y149" s="752"/>
      <c r="Z149" s="752"/>
      <c r="AA149" s="752"/>
      <c r="AB149" s="752"/>
      <c r="AC149" s="752"/>
    </row>
    <row r="150" spans="1:29" s="753" customFormat="1">
      <c r="A150" s="761"/>
      <c r="K150" s="746"/>
      <c r="O150" s="752"/>
      <c r="P150" s="752"/>
      <c r="Q150" s="752"/>
      <c r="R150" s="752"/>
      <c r="S150" s="752"/>
      <c r="T150" s="752"/>
      <c r="U150" s="752"/>
      <c r="V150" s="752"/>
      <c r="W150" s="752"/>
      <c r="X150" s="752"/>
      <c r="Y150" s="752"/>
      <c r="Z150" s="752"/>
      <c r="AA150" s="752"/>
      <c r="AB150" s="752"/>
      <c r="AC150" s="752"/>
    </row>
    <row r="151" spans="1:29" s="753" customFormat="1">
      <c r="A151" s="761"/>
      <c r="K151" s="746"/>
      <c r="O151" s="752"/>
      <c r="P151" s="752"/>
      <c r="Q151" s="752"/>
      <c r="R151" s="752"/>
      <c r="S151" s="752"/>
      <c r="T151" s="752"/>
      <c r="U151" s="752"/>
      <c r="V151" s="752"/>
      <c r="W151" s="752"/>
      <c r="X151" s="752"/>
      <c r="Y151" s="752"/>
      <c r="Z151" s="752"/>
      <c r="AA151" s="752"/>
      <c r="AB151" s="752"/>
      <c r="AC151" s="752"/>
    </row>
    <row r="152" spans="1:29" s="753" customFormat="1">
      <c r="A152" s="761"/>
      <c r="K152" s="746"/>
      <c r="O152" s="752"/>
      <c r="P152" s="752"/>
      <c r="Q152" s="752"/>
      <c r="R152" s="752"/>
      <c r="S152" s="752"/>
      <c r="T152" s="752"/>
      <c r="U152" s="752"/>
      <c r="V152" s="752"/>
      <c r="W152" s="752"/>
      <c r="X152" s="752"/>
      <c r="Y152" s="752"/>
      <c r="Z152" s="752"/>
      <c r="AA152" s="752"/>
      <c r="AB152" s="752"/>
      <c r="AC152" s="752"/>
    </row>
    <row r="153" spans="1:29" s="753" customFormat="1">
      <c r="A153" s="761"/>
      <c r="K153" s="746"/>
      <c r="O153" s="752"/>
      <c r="P153" s="752"/>
      <c r="Q153" s="752"/>
      <c r="R153" s="752"/>
      <c r="S153" s="752"/>
      <c r="T153" s="752"/>
      <c r="U153" s="752"/>
      <c r="V153" s="752"/>
      <c r="W153" s="752"/>
      <c r="X153" s="752"/>
      <c r="Y153" s="752"/>
      <c r="Z153" s="752"/>
      <c r="AA153" s="752"/>
      <c r="AB153" s="752"/>
      <c r="AC153" s="752"/>
    </row>
    <row r="154" spans="1:29" s="753" customFormat="1">
      <c r="A154" s="761"/>
      <c r="K154" s="746"/>
      <c r="O154" s="752"/>
      <c r="P154" s="752"/>
      <c r="Q154" s="752"/>
      <c r="R154" s="752"/>
      <c r="S154" s="752"/>
      <c r="T154" s="752"/>
      <c r="U154" s="752"/>
      <c r="V154" s="752"/>
      <c r="W154" s="752"/>
      <c r="X154" s="752"/>
      <c r="Y154" s="752"/>
      <c r="Z154" s="752"/>
      <c r="AA154" s="752"/>
      <c r="AB154" s="752"/>
      <c r="AC154" s="752"/>
    </row>
    <row r="155" spans="1:29" s="753" customFormat="1">
      <c r="A155" s="761"/>
      <c r="K155" s="746"/>
      <c r="O155" s="752"/>
      <c r="P155" s="752"/>
      <c r="Q155" s="752"/>
      <c r="R155" s="752"/>
      <c r="S155" s="752"/>
      <c r="T155" s="752"/>
      <c r="U155" s="752"/>
      <c r="V155" s="752"/>
      <c r="W155" s="752"/>
      <c r="X155" s="752"/>
      <c r="Y155" s="752"/>
      <c r="Z155" s="752"/>
      <c r="AA155" s="752"/>
      <c r="AB155" s="752"/>
      <c r="AC155" s="752"/>
    </row>
    <row r="156" spans="1:29" s="753" customFormat="1">
      <c r="A156" s="761"/>
      <c r="K156" s="746"/>
      <c r="O156" s="752"/>
      <c r="P156" s="752"/>
      <c r="Q156" s="752"/>
      <c r="R156" s="752"/>
      <c r="S156" s="752"/>
      <c r="T156" s="752"/>
      <c r="U156" s="752"/>
      <c r="V156" s="752"/>
      <c r="W156" s="752"/>
      <c r="X156" s="752"/>
      <c r="Y156" s="752"/>
      <c r="Z156" s="752"/>
      <c r="AA156" s="752"/>
      <c r="AB156" s="752"/>
      <c r="AC156" s="752"/>
    </row>
    <row r="157" spans="1:29" s="753" customFormat="1">
      <c r="A157" s="761"/>
      <c r="K157" s="746"/>
      <c r="O157" s="752"/>
      <c r="P157" s="752"/>
      <c r="Q157" s="752"/>
      <c r="R157" s="752"/>
      <c r="S157" s="752"/>
      <c r="T157" s="752"/>
      <c r="U157" s="752"/>
      <c r="V157" s="752"/>
      <c r="W157" s="752"/>
      <c r="X157" s="752"/>
      <c r="Y157" s="752"/>
      <c r="Z157" s="752"/>
      <c r="AA157" s="752"/>
      <c r="AB157" s="752"/>
      <c r="AC157" s="752"/>
    </row>
    <row r="158" spans="1:29" s="753" customFormat="1">
      <c r="A158" s="761"/>
      <c r="K158" s="746"/>
      <c r="O158" s="752"/>
      <c r="P158" s="752"/>
      <c r="Q158" s="752"/>
      <c r="R158" s="752"/>
      <c r="S158" s="752"/>
      <c r="T158" s="752"/>
      <c r="U158" s="752"/>
      <c r="V158" s="752"/>
      <c r="W158" s="752"/>
      <c r="X158" s="752"/>
      <c r="Y158" s="752"/>
      <c r="Z158" s="752"/>
      <c r="AA158" s="752"/>
      <c r="AB158" s="752"/>
      <c r="AC158" s="752"/>
    </row>
    <row r="159" spans="1:29" s="753" customFormat="1">
      <c r="A159" s="761"/>
      <c r="K159" s="746"/>
      <c r="O159" s="752"/>
      <c r="P159" s="752"/>
      <c r="Q159" s="752"/>
      <c r="R159" s="752"/>
      <c r="S159" s="752"/>
      <c r="T159" s="752"/>
      <c r="U159" s="752"/>
      <c r="V159" s="752"/>
      <c r="W159" s="752"/>
      <c r="X159" s="752"/>
      <c r="Y159" s="752"/>
      <c r="Z159" s="752"/>
      <c r="AA159" s="752"/>
      <c r="AB159" s="752"/>
      <c r="AC159" s="752"/>
    </row>
    <row r="160" spans="1:29" s="753" customFormat="1">
      <c r="A160" s="761"/>
      <c r="K160" s="746"/>
      <c r="O160" s="752"/>
      <c r="P160" s="752"/>
      <c r="Q160" s="752"/>
      <c r="R160" s="752"/>
      <c r="S160" s="752"/>
      <c r="T160" s="752"/>
      <c r="U160" s="752"/>
      <c r="V160" s="752"/>
      <c r="W160" s="752"/>
      <c r="X160" s="752"/>
      <c r="Y160" s="752"/>
      <c r="Z160" s="752"/>
      <c r="AA160" s="752"/>
      <c r="AB160" s="752"/>
      <c r="AC160" s="752"/>
    </row>
    <row r="161" spans="1:29" s="753" customFormat="1">
      <c r="A161" s="761"/>
      <c r="K161" s="746"/>
      <c r="O161" s="752"/>
      <c r="P161" s="752"/>
      <c r="Q161" s="752"/>
      <c r="R161" s="752"/>
      <c r="S161" s="752"/>
      <c r="T161" s="752"/>
      <c r="U161" s="752"/>
      <c r="V161" s="752"/>
      <c r="W161" s="752"/>
      <c r="X161" s="752"/>
      <c r="Y161" s="752"/>
      <c r="Z161" s="752"/>
      <c r="AA161" s="752"/>
      <c r="AB161" s="752"/>
      <c r="AC161" s="752"/>
    </row>
    <row r="162" spans="1:29" s="753" customFormat="1">
      <c r="A162" s="761"/>
      <c r="K162" s="746"/>
      <c r="O162" s="752"/>
      <c r="P162" s="752"/>
      <c r="Q162" s="752"/>
      <c r="R162" s="752"/>
      <c r="S162" s="752"/>
      <c r="T162" s="752"/>
      <c r="U162" s="752"/>
      <c r="V162" s="752"/>
      <c r="W162" s="752"/>
      <c r="X162" s="752"/>
      <c r="Y162" s="752"/>
      <c r="Z162" s="752"/>
      <c r="AA162" s="752"/>
      <c r="AB162" s="752"/>
      <c r="AC162" s="752"/>
    </row>
    <row r="163" spans="1:29" s="753" customFormat="1">
      <c r="A163" s="761"/>
      <c r="K163" s="746"/>
      <c r="O163" s="752"/>
      <c r="P163" s="752"/>
      <c r="Q163" s="752"/>
      <c r="R163" s="752"/>
      <c r="S163" s="752"/>
      <c r="T163" s="752"/>
      <c r="U163" s="752"/>
      <c r="V163" s="752"/>
      <c r="W163" s="752"/>
      <c r="X163" s="752"/>
      <c r="Y163" s="752"/>
      <c r="Z163" s="752"/>
      <c r="AA163" s="752"/>
      <c r="AB163" s="752"/>
      <c r="AC163" s="752"/>
    </row>
    <row r="164" spans="1:29" s="753" customFormat="1">
      <c r="A164" s="761"/>
      <c r="K164" s="746"/>
      <c r="O164" s="752"/>
      <c r="P164" s="752"/>
      <c r="Q164" s="752"/>
      <c r="R164" s="752"/>
      <c r="S164" s="752"/>
      <c r="T164" s="752"/>
      <c r="U164" s="752"/>
      <c r="V164" s="752"/>
      <c r="W164" s="752"/>
      <c r="X164" s="752"/>
      <c r="Y164" s="752"/>
      <c r="Z164" s="752"/>
      <c r="AA164" s="752"/>
      <c r="AB164" s="752"/>
      <c r="AC164" s="752"/>
    </row>
    <row r="165" spans="1:29" s="753" customFormat="1">
      <c r="A165" s="761"/>
      <c r="K165" s="746"/>
      <c r="O165" s="752"/>
      <c r="P165" s="752"/>
      <c r="Q165" s="752"/>
      <c r="R165" s="752"/>
      <c r="S165" s="752"/>
      <c r="T165" s="752"/>
      <c r="U165" s="752"/>
      <c r="V165" s="752"/>
      <c r="W165" s="752"/>
      <c r="X165" s="752"/>
      <c r="Y165" s="752"/>
      <c r="Z165" s="752"/>
      <c r="AA165" s="752"/>
      <c r="AB165" s="752"/>
      <c r="AC165" s="752"/>
    </row>
    <row r="166" spans="1:29" s="753" customFormat="1">
      <c r="A166" s="761"/>
      <c r="K166" s="746"/>
      <c r="O166" s="752"/>
      <c r="P166" s="752"/>
      <c r="Q166" s="752"/>
      <c r="R166" s="752"/>
      <c r="S166" s="752"/>
      <c r="T166" s="752"/>
      <c r="U166" s="752"/>
      <c r="V166" s="752"/>
      <c r="W166" s="752"/>
      <c r="X166" s="752"/>
      <c r="Y166" s="752"/>
      <c r="Z166" s="752"/>
      <c r="AA166" s="752"/>
      <c r="AB166" s="752"/>
      <c r="AC166" s="752"/>
    </row>
    <row r="167" spans="1:29" s="753" customFormat="1">
      <c r="A167" s="761"/>
      <c r="K167" s="746"/>
      <c r="O167" s="752"/>
      <c r="P167" s="752"/>
      <c r="Q167" s="752"/>
      <c r="R167" s="752"/>
      <c r="S167" s="752"/>
      <c r="T167" s="752"/>
      <c r="U167" s="752"/>
      <c r="V167" s="752"/>
      <c r="W167" s="752"/>
      <c r="X167" s="752"/>
      <c r="Y167" s="752"/>
      <c r="Z167" s="752"/>
      <c r="AA167" s="752"/>
      <c r="AB167" s="752"/>
      <c r="AC167" s="752"/>
    </row>
    <row r="168" spans="1:29" s="753" customFormat="1">
      <c r="A168" s="761"/>
      <c r="K168" s="746"/>
      <c r="O168" s="752"/>
      <c r="P168" s="752"/>
      <c r="Q168" s="752"/>
      <c r="R168" s="752"/>
      <c r="S168" s="752"/>
      <c r="T168" s="752"/>
      <c r="U168" s="752"/>
      <c r="V168" s="752"/>
      <c r="W168" s="752"/>
      <c r="X168" s="752"/>
      <c r="Y168" s="752"/>
      <c r="Z168" s="752"/>
      <c r="AA168" s="752"/>
      <c r="AB168" s="752"/>
      <c r="AC168" s="752"/>
    </row>
    <row r="169" spans="1:29" s="753" customFormat="1">
      <c r="A169" s="761"/>
      <c r="K169" s="746"/>
      <c r="O169" s="752"/>
      <c r="P169" s="752"/>
      <c r="Q169" s="752"/>
      <c r="R169" s="752"/>
      <c r="S169" s="752"/>
      <c r="T169" s="752"/>
      <c r="U169" s="752"/>
      <c r="V169" s="752"/>
      <c r="W169" s="752"/>
      <c r="X169" s="752"/>
      <c r="Y169" s="752"/>
      <c r="Z169" s="752"/>
      <c r="AA169" s="752"/>
      <c r="AB169" s="752"/>
      <c r="AC169" s="752"/>
    </row>
    <row r="170" spans="1:29" s="753" customFormat="1">
      <c r="A170" s="761"/>
      <c r="K170" s="746"/>
      <c r="O170" s="752"/>
      <c r="P170" s="752"/>
      <c r="Q170" s="752"/>
      <c r="R170" s="752"/>
      <c r="S170" s="752"/>
      <c r="T170" s="752"/>
      <c r="U170" s="752"/>
      <c r="V170" s="752"/>
      <c r="W170" s="752"/>
      <c r="X170" s="752"/>
      <c r="Y170" s="752"/>
      <c r="Z170" s="752"/>
      <c r="AA170" s="752"/>
      <c r="AB170" s="752"/>
      <c r="AC170" s="752"/>
    </row>
    <row r="171" spans="1:29" s="753" customFormat="1">
      <c r="A171" s="761"/>
      <c r="K171" s="746"/>
      <c r="O171" s="752"/>
      <c r="P171" s="752"/>
      <c r="Q171" s="752"/>
      <c r="R171" s="752"/>
      <c r="S171" s="752"/>
      <c r="T171" s="752"/>
      <c r="U171" s="752"/>
      <c r="V171" s="752"/>
      <c r="W171" s="752"/>
      <c r="X171" s="752"/>
      <c r="Y171" s="752"/>
      <c r="Z171" s="752"/>
      <c r="AA171" s="752"/>
      <c r="AB171" s="752"/>
      <c r="AC171" s="752"/>
    </row>
    <row r="172" spans="1:29" s="753" customFormat="1">
      <c r="A172" s="761"/>
      <c r="K172" s="746"/>
      <c r="O172" s="752"/>
      <c r="P172" s="752"/>
      <c r="Q172" s="752"/>
      <c r="R172" s="752"/>
      <c r="S172" s="752"/>
      <c r="T172" s="752"/>
      <c r="U172" s="752"/>
      <c r="V172" s="752"/>
      <c r="W172" s="752"/>
      <c r="X172" s="752"/>
      <c r="Y172" s="752"/>
      <c r="Z172" s="752"/>
      <c r="AA172" s="752"/>
      <c r="AB172" s="752"/>
      <c r="AC172" s="752"/>
    </row>
    <row r="173" spans="1:29" s="753" customFormat="1">
      <c r="A173" s="761"/>
      <c r="K173" s="746"/>
      <c r="O173" s="752"/>
      <c r="P173" s="752"/>
      <c r="Q173" s="752"/>
      <c r="R173" s="752"/>
      <c r="S173" s="752"/>
      <c r="T173" s="752"/>
      <c r="U173" s="752"/>
      <c r="V173" s="752"/>
      <c r="W173" s="752"/>
      <c r="X173" s="752"/>
      <c r="Y173" s="752"/>
      <c r="Z173" s="752"/>
      <c r="AA173" s="752"/>
      <c r="AB173" s="752"/>
      <c r="AC173" s="752"/>
    </row>
    <row r="174" spans="1:29" s="753" customFormat="1">
      <c r="A174" s="761"/>
      <c r="K174" s="746"/>
      <c r="O174" s="752"/>
      <c r="P174" s="752"/>
      <c r="Q174" s="752"/>
      <c r="R174" s="752"/>
      <c r="S174" s="752"/>
      <c r="T174" s="752"/>
      <c r="U174" s="752"/>
      <c r="V174" s="752"/>
      <c r="W174" s="752"/>
      <c r="X174" s="752"/>
      <c r="Y174" s="752"/>
      <c r="Z174" s="752"/>
      <c r="AA174" s="752"/>
      <c r="AB174" s="752"/>
      <c r="AC174" s="752"/>
    </row>
    <row r="175" spans="1:29" s="753" customFormat="1">
      <c r="A175" s="761"/>
      <c r="K175" s="746"/>
      <c r="O175" s="752"/>
      <c r="P175" s="752"/>
      <c r="Q175" s="752"/>
      <c r="R175" s="752"/>
      <c r="S175" s="752"/>
      <c r="T175" s="752"/>
      <c r="U175" s="752"/>
      <c r="V175" s="752"/>
      <c r="W175" s="752"/>
      <c r="X175" s="752"/>
      <c r="Y175" s="752"/>
      <c r="Z175" s="752"/>
      <c r="AA175" s="752"/>
      <c r="AB175" s="752"/>
      <c r="AC175" s="752"/>
    </row>
    <row r="176" spans="1:29" s="753" customFormat="1">
      <c r="A176" s="761"/>
      <c r="K176" s="746"/>
      <c r="O176" s="752"/>
      <c r="P176" s="752"/>
      <c r="Q176" s="752"/>
      <c r="R176" s="752"/>
      <c r="S176" s="752"/>
      <c r="T176" s="752"/>
      <c r="U176" s="752"/>
      <c r="V176" s="752"/>
      <c r="W176" s="752"/>
      <c r="X176" s="752"/>
      <c r="Y176" s="752"/>
      <c r="Z176" s="752"/>
      <c r="AA176" s="752"/>
      <c r="AB176" s="752"/>
      <c r="AC176" s="752"/>
    </row>
    <row r="177" spans="1:29" s="753" customFormat="1">
      <c r="A177" s="761"/>
      <c r="K177" s="746"/>
      <c r="O177" s="752"/>
      <c r="P177" s="752"/>
      <c r="Q177" s="752"/>
      <c r="R177" s="752"/>
      <c r="S177" s="752"/>
      <c r="T177" s="752"/>
      <c r="U177" s="752"/>
      <c r="V177" s="752"/>
      <c r="W177" s="752"/>
      <c r="X177" s="752"/>
      <c r="Y177" s="752"/>
      <c r="Z177" s="752"/>
      <c r="AA177" s="752"/>
      <c r="AB177" s="752"/>
      <c r="AC177" s="752"/>
    </row>
    <row r="178" spans="1:29" s="753" customFormat="1">
      <c r="A178" s="761"/>
      <c r="K178" s="746"/>
      <c r="O178" s="752"/>
      <c r="P178" s="752"/>
      <c r="Q178" s="752"/>
      <c r="R178" s="752"/>
      <c r="S178" s="752"/>
      <c r="T178" s="752"/>
      <c r="U178" s="752"/>
      <c r="V178" s="752"/>
      <c r="W178" s="752"/>
      <c r="X178" s="752"/>
      <c r="Y178" s="752"/>
      <c r="Z178" s="752"/>
      <c r="AA178" s="752"/>
      <c r="AB178" s="752"/>
      <c r="AC178" s="752"/>
    </row>
    <row r="179" spans="1:29" s="753" customFormat="1">
      <c r="A179" s="761"/>
      <c r="K179" s="746"/>
      <c r="O179" s="752"/>
      <c r="P179" s="752"/>
      <c r="Q179" s="752"/>
      <c r="R179" s="752"/>
      <c r="S179" s="752"/>
      <c r="T179" s="752"/>
      <c r="U179" s="752"/>
      <c r="V179" s="752"/>
      <c r="W179" s="752"/>
      <c r="X179" s="752"/>
      <c r="Y179" s="752"/>
      <c r="Z179" s="752"/>
      <c r="AA179" s="752"/>
      <c r="AB179" s="752"/>
      <c r="AC179" s="752"/>
    </row>
    <row r="180" spans="1:29" s="753" customFormat="1">
      <c r="A180" s="761"/>
      <c r="K180" s="746"/>
      <c r="O180" s="752"/>
      <c r="P180" s="752"/>
      <c r="Q180" s="752"/>
      <c r="R180" s="752"/>
      <c r="S180" s="752"/>
      <c r="T180" s="752"/>
      <c r="U180" s="752"/>
      <c r="V180" s="752"/>
      <c r="W180" s="752"/>
      <c r="X180" s="752"/>
      <c r="Y180" s="752"/>
      <c r="Z180" s="752"/>
      <c r="AA180" s="752"/>
      <c r="AB180" s="752"/>
      <c r="AC180" s="752"/>
    </row>
    <row r="181" spans="1:29" s="753" customFormat="1">
      <c r="A181" s="761"/>
      <c r="K181" s="746"/>
      <c r="O181" s="752"/>
      <c r="P181" s="752"/>
      <c r="Q181" s="752"/>
      <c r="R181" s="752"/>
      <c r="S181" s="752"/>
      <c r="T181" s="752"/>
      <c r="U181" s="752"/>
      <c r="V181" s="752"/>
      <c r="W181" s="752"/>
      <c r="X181" s="752"/>
      <c r="Y181" s="752"/>
      <c r="Z181" s="752"/>
      <c r="AA181" s="752"/>
      <c r="AB181" s="752"/>
      <c r="AC181" s="752"/>
    </row>
    <row r="182" spans="1:29" s="753" customFormat="1">
      <c r="A182" s="761"/>
      <c r="K182" s="746"/>
      <c r="O182" s="752"/>
      <c r="P182" s="752"/>
      <c r="Q182" s="752"/>
      <c r="R182" s="752"/>
      <c r="S182" s="752"/>
      <c r="T182" s="752"/>
      <c r="U182" s="752"/>
      <c r="V182" s="752"/>
      <c r="W182" s="752"/>
      <c r="X182" s="752"/>
      <c r="Y182" s="752"/>
      <c r="Z182" s="752"/>
      <c r="AA182" s="752"/>
      <c r="AB182" s="752"/>
      <c r="AC182" s="752"/>
    </row>
    <row r="183" spans="1:29" s="753" customFormat="1">
      <c r="A183" s="761"/>
      <c r="K183" s="746"/>
      <c r="O183" s="752"/>
      <c r="P183" s="752"/>
      <c r="Q183" s="752"/>
      <c r="R183" s="752"/>
      <c r="S183" s="752"/>
      <c r="T183" s="752"/>
      <c r="U183" s="752"/>
      <c r="V183" s="752"/>
      <c r="W183" s="752"/>
      <c r="X183" s="752"/>
      <c r="Y183" s="752"/>
      <c r="Z183" s="752"/>
      <c r="AA183" s="752"/>
      <c r="AB183" s="752"/>
      <c r="AC183" s="752"/>
    </row>
    <row r="184" spans="1:29" s="753" customFormat="1">
      <c r="A184" s="761"/>
      <c r="K184" s="746"/>
      <c r="O184" s="752"/>
      <c r="P184" s="752"/>
      <c r="Q184" s="752"/>
      <c r="R184" s="752"/>
      <c r="S184" s="752"/>
      <c r="T184" s="752"/>
      <c r="U184" s="752"/>
      <c r="V184" s="752"/>
      <c r="W184" s="752"/>
      <c r="X184" s="752"/>
      <c r="Y184" s="752"/>
      <c r="Z184" s="752"/>
      <c r="AA184" s="752"/>
      <c r="AB184" s="752"/>
      <c r="AC184" s="752"/>
    </row>
    <row r="185" spans="1:29" s="753" customFormat="1">
      <c r="A185" s="761"/>
      <c r="K185" s="746"/>
      <c r="O185" s="752"/>
      <c r="P185" s="752"/>
      <c r="Q185" s="752"/>
      <c r="R185" s="752"/>
      <c r="S185" s="752"/>
      <c r="T185" s="752"/>
      <c r="U185" s="752"/>
      <c r="V185" s="752"/>
      <c r="W185" s="752"/>
      <c r="X185" s="752"/>
      <c r="Y185" s="752"/>
      <c r="Z185" s="752"/>
      <c r="AA185" s="752"/>
      <c r="AB185" s="752"/>
      <c r="AC185" s="752"/>
    </row>
    <row r="186" spans="1:29" s="753" customFormat="1">
      <c r="A186" s="761"/>
      <c r="K186" s="746"/>
      <c r="O186" s="752"/>
      <c r="P186" s="752"/>
      <c r="Q186" s="752"/>
      <c r="R186" s="752"/>
      <c r="S186" s="752"/>
      <c r="T186" s="752"/>
      <c r="U186" s="752"/>
      <c r="V186" s="752"/>
      <c r="W186" s="752"/>
      <c r="X186" s="752"/>
      <c r="Y186" s="752"/>
      <c r="Z186" s="752"/>
      <c r="AA186" s="752"/>
      <c r="AB186" s="752"/>
      <c r="AC186" s="752"/>
    </row>
    <row r="187" spans="1:29" s="753" customFormat="1">
      <c r="A187" s="761"/>
      <c r="K187" s="746"/>
      <c r="O187" s="752"/>
      <c r="P187" s="752"/>
      <c r="Q187" s="752"/>
      <c r="R187" s="752"/>
      <c r="S187" s="752"/>
      <c r="T187" s="752"/>
      <c r="U187" s="752"/>
      <c r="V187" s="752"/>
      <c r="W187" s="752"/>
      <c r="X187" s="752"/>
      <c r="Y187" s="752"/>
      <c r="Z187" s="752"/>
      <c r="AA187" s="752"/>
      <c r="AB187" s="752"/>
      <c r="AC187" s="752"/>
    </row>
    <row r="188" spans="1:29" s="753" customFormat="1">
      <c r="A188" s="761"/>
      <c r="K188" s="746"/>
      <c r="O188" s="752"/>
      <c r="P188" s="752"/>
      <c r="Q188" s="752"/>
      <c r="R188" s="752"/>
      <c r="S188" s="752"/>
      <c r="T188" s="752"/>
      <c r="U188" s="752"/>
      <c r="V188" s="752"/>
      <c r="W188" s="752"/>
      <c r="X188" s="752"/>
      <c r="Y188" s="752"/>
      <c r="Z188" s="752"/>
      <c r="AA188" s="752"/>
      <c r="AB188" s="752"/>
      <c r="AC188" s="752"/>
    </row>
    <row r="189" spans="1:29" s="753" customFormat="1">
      <c r="A189" s="761"/>
      <c r="K189" s="746"/>
      <c r="O189" s="752"/>
      <c r="P189" s="752"/>
      <c r="Q189" s="752"/>
      <c r="R189" s="752"/>
      <c r="S189" s="752"/>
      <c r="T189" s="752"/>
      <c r="U189" s="752"/>
      <c r="V189" s="752"/>
      <c r="W189" s="752"/>
      <c r="X189" s="752"/>
      <c r="Y189" s="752"/>
      <c r="Z189" s="752"/>
      <c r="AA189" s="752"/>
      <c r="AB189" s="752"/>
      <c r="AC189" s="752"/>
    </row>
    <row r="190" spans="1:29" s="753" customFormat="1">
      <c r="A190" s="761"/>
      <c r="K190" s="746"/>
      <c r="O190" s="752"/>
      <c r="P190" s="752"/>
      <c r="Q190" s="752"/>
      <c r="R190" s="752"/>
      <c r="S190" s="752"/>
      <c r="T190" s="752"/>
      <c r="U190" s="752"/>
      <c r="V190" s="752"/>
      <c r="W190" s="752"/>
      <c r="X190" s="752"/>
      <c r="Y190" s="752"/>
      <c r="Z190" s="752"/>
      <c r="AA190" s="752"/>
      <c r="AB190" s="752"/>
      <c r="AC190" s="752"/>
    </row>
    <row r="191" spans="1:29" s="753" customFormat="1">
      <c r="A191" s="761"/>
      <c r="K191" s="746"/>
      <c r="O191" s="752"/>
      <c r="P191" s="752"/>
      <c r="Q191" s="752"/>
      <c r="R191" s="752"/>
      <c r="S191" s="752"/>
      <c r="T191" s="752"/>
      <c r="U191" s="752"/>
      <c r="V191" s="752"/>
      <c r="W191" s="752"/>
      <c r="X191" s="752"/>
      <c r="Y191" s="752"/>
      <c r="Z191" s="752"/>
      <c r="AA191" s="752"/>
      <c r="AB191" s="752"/>
      <c r="AC191" s="752"/>
    </row>
    <row r="192" spans="1:29" s="753" customFormat="1">
      <c r="A192" s="761"/>
      <c r="K192" s="746"/>
      <c r="O192" s="752"/>
      <c r="P192" s="752"/>
      <c r="Q192" s="752"/>
      <c r="R192" s="752"/>
      <c r="S192" s="752"/>
      <c r="T192" s="752"/>
      <c r="U192" s="752"/>
      <c r="V192" s="752"/>
      <c r="W192" s="752"/>
      <c r="X192" s="752"/>
      <c r="Y192" s="752"/>
      <c r="Z192" s="752"/>
      <c r="AA192" s="752"/>
      <c r="AB192" s="752"/>
      <c r="AC192" s="752"/>
    </row>
    <row r="193" spans="1:29" s="753" customFormat="1">
      <c r="A193" s="761"/>
      <c r="K193" s="746"/>
      <c r="O193" s="752"/>
      <c r="P193" s="752"/>
      <c r="Q193" s="752"/>
      <c r="R193" s="752"/>
      <c r="S193" s="752"/>
      <c r="T193" s="752"/>
      <c r="U193" s="752"/>
      <c r="V193" s="752"/>
      <c r="W193" s="752"/>
      <c r="X193" s="752"/>
      <c r="Y193" s="752"/>
      <c r="Z193" s="752"/>
      <c r="AA193" s="752"/>
      <c r="AB193" s="752"/>
      <c r="AC193" s="752"/>
    </row>
    <row r="194" spans="1:29" s="753" customFormat="1">
      <c r="A194" s="761"/>
      <c r="K194" s="746"/>
      <c r="O194" s="752"/>
      <c r="P194" s="752"/>
      <c r="Q194" s="752"/>
      <c r="R194" s="752"/>
      <c r="S194" s="752"/>
      <c r="T194" s="752"/>
      <c r="U194" s="752"/>
      <c r="V194" s="752"/>
      <c r="W194" s="752"/>
      <c r="X194" s="752"/>
      <c r="Y194" s="752"/>
      <c r="Z194" s="752"/>
      <c r="AA194" s="752"/>
      <c r="AB194" s="752"/>
      <c r="AC194" s="752"/>
    </row>
    <row r="195" spans="1:29" s="753" customFormat="1">
      <c r="A195" s="761"/>
      <c r="K195" s="746"/>
      <c r="O195" s="752"/>
      <c r="P195" s="752"/>
      <c r="Q195" s="752"/>
      <c r="R195" s="752"/>
      <c r="S195" s="752"/>
      <c r="T195" s="752"/>
      <c r="U195" s="752"/>
      <c r="V195" s="752"/>
      <c r="W195" s="752"/>
      <c r="X195" s="752"/>
      <c r="Y195" s="752"/>
      <c r="Z195" s="752"/>
      <c r="AA195" s="752"/>
      <c r="AB195" s="752"/>
      <c r="AC195" s="752"/>
    </row>
    <row r="196" spans="1:29" s="753" customFormat="1">
      <c r="A196" s="761"/>
      <c r="K196" s="746"/>
      <c r="O196" s="752"/>
      <c r="P196" s="752"/>
      <c r="Q196" s="752"/>
      <c r="R196" s="752"/>
      <c r="S196" s="752"/>
      <c r="T196" s="752"/>
      <c r="U196" s="752"/>
      <c r="V196" s="752"/>
      <c r="W196" s="752"/>
      <c r="X196" s="752"/>
      <c r="Y196" s="752"/>
      <c r="Z196" s="752"/>
      <c r="AA196" s="752"/>
      <c r="AB196" s="752"/>
      <c r="AC196" s="752"/>
    </row>
    <row r="197" spans="1:29" s="753" customFormat="1">
      <c r="A197" s="761"/>
      <c r="K197" s="746"/>
      <c r="O197" s="752"/>
      <c r="P197" s="752"/>
      <c r="Q197" s="752"/>
      <c r="R197" s="752"/>
      <c r="S197" s="752"/>
      <c r="T197" s="752"/>
      <c r="U197" s="752"/>
      <c r="V197" s="752"/>
      <c r="W197" s="752"/>
      <c r="X197" s="752"/>
      <c r="Y197" s="752"/>
      <c r="Z197" s="752"/>
      <c r="AA197" s="752"/>
      <c r="AB197" s="752"/>
      <c r="AC197" s="752"/>
    </row>
    <row r="198" spans="1:29" s="753" customFormat="1">
      <c r="A198" s="761"/>
      <c r="K198" s="746"/>
      <c r="O198" s="752"/>
      <c r="P198" s="752"/>
      <c r="Q198" s="752"/>
      <c r="R198" s="752"/>
      <c r="S198" s="752"/>
      <c r="T198" s="752"/>
      <c r="U198" s="752"/>
      <c r="V198" s="752"/>
      <c r="W198" s="752"/>
      <c r="X198" s="752"/>
      <c r="Y198" s="752"/>
      <c r="Z198" s="752"/>
      <c r="AA198" s="752"/>
      <c r="AB198" s="752"/>
      <c r="AC198" s="752"/>
    </row>
    <row r="199" spans="1:29" s="753" customFormat="1">
      <c r="A199" s="761"/>
      <c r="K199" s="746"/>
      <c r="O199" s="752"/>
      <c r="P199" s="752"/>
      <c r="Q199" s="752"/>
      <c r="R199" s="752"/>
      <c r="S199" s="752"/>
      <c r="T199" s="752"/>
      <c r="U199" s="752"/>
      <c r="V199" s="752"/>
      <c r="W199" s="752"/>
      <c r="X199" s="752"/>
      <c r="Y199" s="752"/>
      <c r="Z199" s="752"/>
      <c r="AA199" s="752"/>
      <c r="AB199" s="752"/>
      <c r="AC199" s="752"/>
    </row>
    <row r="200" spans="1:29" s="753" customFormat="1">
      <c r="A200" s="761"/>
      <c r="K200" s="746"/>
      <c r="O200" s="752"/>
      <c r="P200" s="752"/>
      <c r="Q200" s="752"/>
      <c r="R200" s="752"/>
      <c r="S200" s="752"/>
      <c r="T200" s="752"/>
      <c r="U200" s="752"/>
      <c r="V200" s="752"/>
      <c r="W200" s="752"/>
      <c r="X200" s="752"/>
      <c r="Y200" s="752"/>
      <c r="Z200" s="752"/>
      <c r="AA200" s="752"/>
      <c r="AB200" s="752"/>
      <c r="AC200" s="752"/>
    </row>
    <row r="201" spans="1:29" s="753" customFormat="1">
      <c r="A201" s="761"/>
      <c r="K201" s="746"/>
      <c r="O201" s="752"/>
      <c r="P201" s="752"/>
      <c r="Q201" s="752"/>
      <c r="R201" s="752"/>
      <c r="S201" s="752"/>
      <c r="T201" s="752"/>
      <c r="U201" s="752"/>
      <c r="V201" s="752"/>
      <c r="W201" s="752"/>
      <c r="X201" s="752"/>
      <c r="Y201" s="752"/>
      <c r="Z201" s="752"/>
      <c r="AA201" s="752"/>
      <c r="AB201" s="752"/>
      <c r="AC201" s="752"/>
    </row>
    <row r="202" spans="1:29" s="753" customFormat="1">
      <c r="A202" s="761"/>
      <c r="K202" s="746"/>
      <c r="O202" s="752"/>
      <c r="P202" s="752"/>
      <c r="Q202" s="752"/>
      <c r="R202" s="752"/>
      <c r="S202" s="752"/>
      <c r="T202" s="752"/>
      <c r="U202" s="752"/>
      <c r="V202" s="752"/>
      <c r="W202" s="752"/>
      <c r="X202" s="752"/>
      <c r="Y202" s="752"/>
      <c r="Z202" s="752"/>
      <c r="AA202" s="752"/>
      <c r="AB202" s="752"/>
      <c r="AC202" s="752"/>
    </row>
    <row r="203" spans="1:29" s="753" customFormat="1">
      <c r="A203" s="761"/>
      <c r="K203" s="746"/>
      <c r="O203" s="752"/>
      <c r="P203" s="752"/>
      <c r="Q203" s="752"/>
      <c r="R203" s="752"/>
      <c r="S203" s="752"/>
      <c r="T203" s="752"/>
      <c r="U203" s="752"/>
      <c r="V203" s="752"/>
      <c r="W203" s="752"/>
      <c r="X203" s="752"/>
      <c r="Y203" s="752"/>
      <c r="Z203" s="752"/>
      <c r="AA203" s="752"/>
      <c r="AB203" s="752"/>
      <c r="AC203" s="752"/>
    </row>
    <row r="204" spans="1:29" s="753" customFormat="1">
      <c r="A204" s="761"/>
      <c r="K204" s="746"/>
      <c r="O204" s="752"/>
      <c r="P204" s="752"/>
      <c r="Q204" s="752"/>
      <c r="R204" s="752"/>
      <c r="S204" s="752"/>
      <c r="T204" s="752"/>
      <c r="U204" s="752"/>
      <c r="V204" s="752"/>
      <c r="W204" s="752"/>
      <c r="X204" s="752"/>
      <c r="Y204" s="752"/>
      <c r="Z204" s="752"/>
      <c r="AA204" s="752"/>
      <c r="AB204" s="752"/>
      <c r="AC204" s="752"/>
    </row>
    <row r="205" spans="1:29" s="753" customFormat="1">
      <c r="A205" s="761"/>
      <c r="K205" s="746"/>
      <c r="O205" s="752"/>
      <c r="P205" s="752"/>
      <c r="Q205" s="752"/>
      <c r="R205" s="752"/>
      <c r="S205" s="752"/>
      <c r="T205" s="752"/>
      <c r="U205" s="752"/>
      <c r="V205" s="752"/>
      <c r="W205" s="752"/>
      <c r="X205" s="752"/>
      <c r="Y205" s="752"/>
      <c r="Z205" s="752"/>
      <c r="AA205" s="752"/>
      <c r="AB205" s="752"/>
      <c r="AC205" s="752"/>
    </row>
    <row r="206" spans="1:29" s="753" customFormat="1">
      <c r="A206" s="761"/>
      <c r="K206" s="746"/>
      <c r="O206" s="752"/>
      <c r="P206" s="752"/>
      <c r="Q206" s="752"/>
      <c r="R206" s="752"/>
      <c r="S206" s="752"/>
      <c r="T206" s="752"/>
      <c r="U206" s="752"/>
      <c r="V206" s="752"/>
      <c r="W206" s="752"/>
      <c r="X206" s="752"/>
      <c r="Y206" s="752"/>
      <c r="Z206" s="752"/>
      <c r="AA206" s="752"/>
      <c r="AB206" s="752"/>
      <c r="AC206" s="752"/>
    </row>
    <row r="207" spans="1:29" s="753" customFormat="1">
      <c r="A207" s="761"/>
      <c r="K207" s="746"/>
      <c r="O207" s="752"/>
      <c r="P207" s="752"/>
      <c r="Q207" s="752"/>
      <c r="R207" s="752"/>
      <c r="S207" s="752"/>
      <c r="T207" s="752"/>
      <c r="U207" s="752"/>
      <c r="V207" s="752"/>
      <c r="W207" s="752"/>
      <c r="X207" s="752"/>
      <c r="Y207" s="752"/>
      <c r="Z207" s="752"/>
      <c r="AA207" s="752"/>
      <c r="AB207" s="752"/>
      <c r="AC207" s="752"/>
    </row>
    <row r="208" spans="1:29" s="753" customFormat="1">
      <c r="A208" s="761"/>
      <c r="K208" s="746"/>
      <c r="O208" s="752"/>
      <c r="P208" s="752"/>
      <c r="Q208" s="752"/>
      <c r="R208" s="752"/>
      <c r="S208" s="752"/>
      <c r="T208" s="752"/>
      <c r="U208" s="752"/>
      <c r="V208" s="752"/>
      <c r="W208" s="752"/>
      <c r="X208" s="752"/>
      <c r="Y208" s="752"/>
      <c r="Z208" s="752"/>
      <c r="AA208" s="752"/>
      <c r="AB208" s="752"/>
      <c r="AC208" s="752"/>
    </row>
    <row r="209" spans="1:29" s="753" customFormat="1">
      <c r="A209" s="761"/>
      <c r="K209" s="746"/>
      <c r="O209" s="752"/>
      <c r="P209" s="752"/>
      <c r="Q209" s="752"/>
      <c r="R209" s="752"/>
      <c r="S209" s="752"/>
      <c r="T209" s="752"/>
      <c r="U209" s="752"/>
      <c r="V209" s="752"/>
      <c r="W209" s="752"/>
      <c r="X209" s="752"/>
      <c r="Y209" s="752"/>
      <c r="Z209" s="752"/>
      <c r="AA209" s="752"/>
      <c r="AB209" s="752"/>
      <c r="AC209" s="752"/>
    </row>
    <row r="210" spans="1:29" s="753" customFormat="1">
      <c r="A210" s="761"/>
      <c r="K210" s="746"/>
      <c r="O210" s="752"/>
      <c r="P210" s="752"/>
      <c r="Q210" s="752"/>
      <c r="R210" s="752"/>
      <c r="S210" s="752"/>
      <c r="T210" s="752"/>
      <c r="U210" s="752"/>
      <c r="V210" s="752"/>
      <c r="W210" s="752"/>
      <c r="X210" s="752"/>
      <c r="Y210" s="752"/>
      <c r="Z210" s="752"/>
      <c r="AA210" s="752"/>
      <c r="AB210" s="752"/>
      <c r="AC210" s="752"/>
    </row>
    <row r="211" spans="1:29" s="753" customFormat="1">
      <c r="A211" s="761"/>
      <c r="K211" s="746"/>
      <c r="O211" s="752"/>
      <c r="P211" s="752"/>
      <c r="Q211" s="752"/>
      <c r="R211" s="752"/>
      <c r="S211" s="752"/>
      <c r="T211" s="752"/>
      <c r="U211" s="752"/>
      <c r="V211" s="752"/>
      <c r="W211" s="752"/>
      <c r="X211" s="752"/>
      <c r="Y211" s="752"/>
      <c r="Z211" s="752"/>
      <c r="AA211" s="752"/>
      <c r="AB211" s="752"/>
      <c r="AC211" s="752"/>
    </row>
    <row r="212" spans="1:29" s="753" customFormat="1">
      <c r="A212" s="761"/>
      <c r="K212" s="746"/>
      <c r="O212" s="752"/>
      <c r="P212" s="752"/>
      <c r="Q212" s="752"/>
      <c r="R212" s="752"/>
      <c r="S212" s="752"/>
      <c r="T212" s="752"/>
      <c r="U212" s="752"/>
      <c r="V212" s="752"/>
      <c r="W212" s="752"/>
      <c r="X212" s="752"/>
      <c r="Y212" s="752"/>
      <c r="Z212" s="752"/>
      <c r="AA212" s="752"/>
      <c r="AB212" s="752"/>
      <c r="AC212" s="752"/>
    </row>
    <row r="213" spans="1:29" s="753" customFormat="1">
      <c r="A213" s="761"/>
      <c r="K213" s="746"/>
      <c r="O213" s="752"/>
      <c r="P213" s="752"/>
      <c r="Q213" s="752"/>
      <c r="R213" s="752"/>
      <c r="S213" s="752"/>
      <c r="T213" s="752"/>
      <c r="U213" s="752"/>
      <c r="V213" s="752"/>
      <c r="W213" s="752"/>
      <c r="X213" s="752"/>
      <c r="Y213" s="752"/>
      <c r="Z213" s="752"/>
      <c r="AA213" s="752"/>
      <c r="AB213" s="752"/>
      <c r="AC213" s="752"/>
    </row>
    <row r="214" spans="1:29" s="753" customFormat="1">
      <c r="A214" s="761"/>
      <c r="K214" s="746"/>
      <c r="O214" s="752"/>
      <c r="P214" s="752"/>
      <c r="Q214" s="752"/>
      <c r="R214" s="752"/>
      <c r="S214" s="752"/>
      <c r="T214" s="752"/>
      <c r="U214" s="752"/>
      <c r="V214" s="752"/>
      <c r="W214" s="752"/>
      <c r="X214" s="752"/>
      <c r="Y214" s="752"/>
      <c r="Z214" s="752"/>
      <c r="AA214" s="752"/>
      <c r="AB214" s="752"/>
      <c r="AC214" s="752"/>
    </row>
    <row r="215" spans="1:29" s="753" customFormat="1">
      <c r="A215" s="761"/>
      <c r="K215" s="746"/>
      <c r="O215" s="752"/>
      <c r="P215" s="752"/>
      <c r="Q215" s="752"/>
      <c r="R215" s="752"/>
      <c r="S215" s="752"/>
      <c r="T215" s="752"/>
      <c r="U215" s="752"/>
      <c r="V215" s="752"/>
      <c r="W215" s="752"/>
      <c r="X215" s="752"/>
      <c r="Y215" s="752"/>
      <c r="Z215" s="752"/>
      <c r="AA215" s="752"/>
      <c r="AB215" s="752"/>
      <c r="AC215" s="752"/>
    </row>
    <row r="216" spans="1:29" s="753" customFormat="1">
      <c r="A216" s="761"/>
      <c r="K216" s="746"/>
      <c r="O216" s="752"/>
      <c r="P216" s="752"/>
      <c r="Q216" s="752"/>
      <c r="R216" s="752"/>
      <c r="S216" s="752"/>
      <c r="T216" s="752"/>
      <c r="U216" s="752"/>
      <c r="V216" s="752"/>
      <c r="W216" s="752"/>
      <c r="X216" s="752"/>
      <c r="Y216" s="752"/>
      <c r="Z216" s="752"/>
      <c r="AA216" s="752"/>
      <c r="AB216" s="752"/>
      <c r="AC216" s="752"/>
    </row>
    <row r="217" spans="1:29" s="753" customFormat="1">
      <c r="A217" s="761"/>
      <c r="K217" s="746"/>
      <c r="O217" s="752"/>
      <c r="P217" s="752"/>
      <c r="Q217" s="752"/>
      <c r="R217" s="752"/>
      <c r="S217" s="752"/>
      <c r="T217" s="752"/>
      <c r="U217" s="752"/>
      <c r="V217" s="752"/>
      <c r="W217" s="752"/>
      <c r="X217" s="752"/>
      <c r="Y217" s="752"/>
      <c r="Z217" s="752"/>
      <c r="AA217" s="752"/>
      <c r="AB217" s="752"/>
      <c r="AC217" s="752"/>
    </row>
    <row r="218" spans="1:29" s="753" customFormat="1">
      <c r="A218" s="761"/>
      <c r="K218" s="746"/>
      <c r="O218" s="752"/>
      <c r="P218" s="752"/>
      <c r="Q218" s="752"/>
      <c r="R218" s="752"/>
      <c r="S218" s="752"/>
      <c r="T218" s="752"/>
      <c r="U218" s="752"/>
      <c r="V218" s="752"/>
      <c r="W218" s="752"/>
      <c r="X218" s="752"/>
      <c r="Y218" s="752"/>
      <c r="Z218" s="752"/>
      <c r="AA218" s="752"/>
      <c r="AB218" s="752"/>
      <c r="AC218" s="752"/>
    </row>
    <row r="219" spans="1:29" s="753" customFormat="1">
      <c r="A219" s="761"/>
      <c r="K219" s="746"/>
      <c r="O219" s="752"/>
      <c r="P219" s="752"/>
      <c r="Q219" s="752"/>
      <c r="R219" s="752"/>
      <c r="S219" s="752"/>
      <c r="T219" s="752"/>
      <c r="U219" s="752"/>
      <c r="V219" s="752"/>
      <c r="W219" s="752"/>
      <c r="X219" s="752"/>
      <c r="Y219" s="752"/>
      <c r="Z219" s="752"/>
      <c r="AA219" s="752"/>
      <c r="AB219" s="752"/>
      <c r="AC219" s="752"/>
    </row>
    <row r="220" spans="1:29" s="753" customFormat="1">
      <c r="A220" s="761"/>
      <c r="K220" s="746"/>
      <c r="O220" s="752"/>
      <c r="P220" s="752"/>
      <c r="Q220" s="752"/>
      <c r="R220" s="752"/>
      <c r="S220" s="752"/>
      <c r="T220" s="752"/>
      <c r="U220" s="752"/>
      <c r="V220" s="752"/>
      <c r="W220" s="752"/>
      <c r="X220" s="752"/>
      <c r="Y220" s="752"/>
      <c r="Z220" s="752"/>
      <c r="AA220" s="752"/>
      <c r="AB220" s="752"/>
      <c r="AC220" s="752"/>
    </row>
    <row r="221" spans="1:29" s="753" customFormat="1">
      <c r="A221" s="761"/>
      <c r="K221" s="746"/>
      <c r="O221" s="752"/>
      <c r="P221" s="752"/>
      <c r="Q221" s="752"/>
      <c r="R221" s="752"/>
      <c r="S221" s="752"/>
      <c r="T221" s="752"/>
      <c r="U221" s="752"/>
      <c r="V221" s="752"/>
      <c r="W221" s="752"/>
      <c r="X221" s="752"/>
      <c r="Y221" s="752"/>
      <c r="Z221" s="752"/>
      <c r="AA221" s="752"/>
      <c r="AB221" s="752"/>
      <c r="AC221" s="752"/>
    </row>
    <row r="222" spans="1:29" s="753" customFormat="1">
      <c r="A222" s="761"/>
      <c r="K222" s="746"/>
      <c r="O222" s="752"/>
      <c r="P222" s="752"/>
      <c r="Q222" s="752"/>
      <c r="R222" s="752"/>
      <c r="S222" s="752"/>
      <c r="T222" s="752"/>
      <c r="U222" s="752"/>
      <c r="V222" s="752"/>
      <c r="W222" s="752"/>
      <c r="X222" s="752"/>
      <c r="Y222" s="752"/>
      <c r="Z222" s="752"/>
      <c r="AA222" s="752"/>
      <c r="AB222" s="752"/>
      <c r="AC222" s="752"/>
    </row>
    <row r="223" spans="1:29" s="753" customFormat="1">
      <c r="A223" s="761"/>
      <c r="K223" s="746"/>
      <c r="O223" s="752"/>
      <c r="P223" s="752"/>
      <c r="Q223" s="752"/>
      <c r="R223" s="752"/>
      <c r="S223" s="752"/>
      <c r="T223" s="752"/>
      <c r="U223" s="752"/>
      <c r="V223" s="752"/>
      <c r="W223" s="752"/>
      <c r="X223" s="752"/>
      <c r="Y223" s="752"/>
      <c r="Z223" s="752"/>
      <c r="AA223" s="752"/>
      <c r="AB223" s="752"/>
      <c r="AC223" s="752"/>
    </row>
    <row r="224" spans="1:29" s="753" customFormat="1">
      <c r="A224" s="761"/>
      <c r="K224" s="746"/>
      <c r="O224" s="752"/>
      <c r="P224" s="752"/>
      <c r="Q224" s="752"/>
      <c r="R224" s="752"/>
      <c r="S224" s="752"/>
      <c r="T224" s="752"/>
      <c r="U224" s="752"/>
      <c r="V224" s="752"/>
      <c r="W224" s="752"/>
      <c r="X224" s="752"/>
      <c r="Y224" s="752"/>
      <c r="Z224" s="752"/>
      <c r="AA224" s="752"/>
      <c r="AB224" s="752"/>
      <c r="AC224" s="752"/>
    </row>
    <row r="225" spans="1:29" s="753" customFormat="1">
      <c r="A225" s="761"/>
      <c r="K225" s="746"/>
      <c r="O225" s="752"/>
      <c r="P225" s="752"/>
      <c r="Q225" s="752"/>
      <c r="R225" s="752"/>
      <c r="S225" s="752"/>
      <c r="T225" s="752"/>
      <c r="U225" s="752"/>
      <c r="V225" s="752"/>
      <c r="W225" s="752"/>
      <c r="X225" s="752"/>
      <c r="Y225" s="752"/>
      <c r="Z225" s="752"/>
      <c r="AA225" s="752"/>
      <c r="AB225" s="752"/>
      <c r="AC225" s="752"/>
    </row>
    <row r="226" spans="1:29" s="753" customFormat="1">
      <c r="A226" s="761"/>
      <c r="K226" s="746"/>
      <c r="O226" s="752"/>
      <c r="P226" s="752"/>
      <c r="Q226" s="752"/>
      <c r="R226" s="752"/>
      <c r="S226" s="752"/>
      <c r="T226" s="752"/>
      <c r="U226" s="752"/>
      <c r="V226" s="752"/>
      <c r="W226" s="752"/>
      <c r="X226" s="752"/>
      <c r="Y226" s="752"/>
      <c r="Z226" s="752"/>
      <c r="AA226" s="752"/>
      <c r="AB226" s="752"/>
      <c r="AC226" s="752"/>
    </row>
    <row r="227" spans="1:29" s="753" customFormat="1">
      <c r="A227" s="761"/>
      <c r="K227" s="746"/>
      <c r="O227" s="752"/>
      <c r="P227" s="752"/>
      <c r="Q227" s="752"/>
      <c r="R227" s="752"/>
      <c r="S227" s="752"/>
      <c r="T227" s="752"/>
      <c r="U227" s="752"/>
      <c r="V227" s="752"/>
      <c r="W227" s="752"/>
      <c r="X227" s="752"/>
      <c r="Y227" s="752"/>
      <c r="Z227" s="752"/>
      <c r="AA227" s="752"/>
      <c r="AB227" s="752"/>
      <c r="AC227" s="752"/>
    </row>
    <row r="228" spans="1:29" s="753" customFormat="1">
      <c r="A228" s="761"/>
      <c r="K228" s="746"/>
      <c r="O228" s="752"/>
      <c r="P228" s="752"/>
      <c r="Q228" s="752"/>
      <c r="R228" s="752"/>
      <c r="S228" s="752"/>
      <c r="T228" s="752"/>
      <c r="U228" s="752"/>
      <c r="V228" s="752"/>
      <c r="W228" s="752"/>
      <c r="X228" s="752"/>
      <c r="Y228" s="752"/>
      <c r="Z228" s="752"/>
      <c r="AA228" s="752"/>
      <c r="AB228" s="752"/>
      <c r="AC228" s="752"/>
    </row>
    <row r="229" spans="1:29" s="753" customFormat="1">
      <c r="A229" s="761"/>
      <c r="K229" s="746"/>
      <c r="O229" s="752"/>
      <c r="P229" s="752"/>
      <c r="Q229" s="752"/>
      <c r="R229" s="752"/>
      <c r="S229" s="752"/>
      <c r="T229" s="752"/>
      <c r="U229" s="752"/>
      <c r="V229" s="752"/>
      <c r="W229" s="752"/>
      <c r="X229" s="752"/>
      <c r="Y229" s="752"/>
      <c r="Z229" s="752"/>
      <c r="AA229" s="752"/>
      <c r="AB229" s="752"/>
      <c r="AC229" s="752"/>
    </row>
    <row r="230" spans="1:29" s="753" customFormat="1">
      <c r="A230" s="761"/>
      <c r="K230" s="746"/>
      <c r="O230" s="752"/>
      <c r="P230" s="752"/>
      <c r="Q230" s="752"/>
      <c r="R230" s="752"/>
      <c r="S230" s="752"/>
      <c r="T230" s="752"/>
      <c r="U230" s="752"/>
      <c r="V230" s="752"/>
      <c r="W230" s="752"/>
      <c r="X230" s="752"/>
      <c r="Y230" s="752"/>
      <c r="Z230" s="752"/>
      <c r="AA230" s="752"/>
      <c r="AB230" s="752"/>
      <c r="AC230" s="752"/>
    </row>
    <row r="231" spans="1:29" s="753" customFormat="1">
      <c r="A231" s="761"/>
      <c r="K231" s="746"/>
      <c r="O231" s="752"/>
      <c r="P231" s="752"/>
      <c r="Q231" s="752"/>
      <c r="R231" s="752"/>
      <c r="S231" s="752"/>
      <c r="T231" s="752"/>
      <c r="U231" s="752"/>
      <c r="V231" s="752"/>
      <c r="W231" s="752"/>
      <c r="X231" s="752"/>
      <c r="Y231" s="752"/>
      <c r="Z231" s="752"/>
      <c r="AA231" s="752"/>
      <c r="AB231" s="752"/>
      <c r="AC231" s="752"/>
    </row>
    <row r="232" spans="1:29" s="753" customFormat="1">
      <c r="A232" s="761"/>
      <c r="K232" s="746"/>
      <c r="O232" s="752"/>
      <c r="P232" s="752"/>
      <c r="Q232" s="752"/>
      <c r="R232" s="752"/>
      <c r="S232" s="752"/>
      <c r="T232" s="752"/>
      <c r="U232" s="752"/>
      <c r="V232" s="752"/>
      <c r="W232" s="752"/>
      <c r="X232" s="752"/>
      <c r="Y232" s="752"/>
      <c r="Z232" s="752"/>
      <c r="AA232" s="752"/>
      <c r="AB232" s="752"/>
      <c r="AC232" s="752"/>
    </row>
    <row r="233" spans="1:29" s="753" customFormat="1">
      <c r="A233" s="761"/>
      <c r="K233" s="746"/>
      <c r="O233" s="752"/>
      <c r="P233" s="752"/>
      <c r="Q233" s="752"/>
      <c r="R233" s="752"/>
      <c r="S233" s="752"/>
      <c r="T233" s="752"/>
      <c r="U233" s="752"/>
      <c r="V233" s="752"/>
      <c r="W233" s="752"/>
      <c r="X233" s="752"/>
      <c r="Y233" s="752"/>
      <c r="Z233" s="752"/>
      <c r="AA233" s="752"/>
      <c r="AB233" s="752"/>
      <c r="AC233" s="752"/>
    </row>
  </sheetData>
  <mergeCells count="93">
    <mergeCell ref="K53:K55"/>
    <mergeCell ref="O6:T6"/>
    <mergeCell ref="L6:L7"/>
    <mergeCell ref="M6:M7"/>
    <mergeCell ref="N6:N7"/>
    <mergeCell ref="J6:K6"/>
    <mergeCell ref="A1:N1"/>
    <mergeCell ref="A68:N68"/>
    <mergeCell ref="A53:A55"/>
    <mergeCell ref="A51:A52"/>
    <mergeCell ref="A47:A50"/>
    <mergeCell ref="A44:A45"/>
    <mergeCell ref="B44:B45"/>
    <mergeCell ref="C44:C45"/>
    <mergeCell ref="D44:D45"/>
    <mergeCell ref="A42:A43"/>
    <mergeCell ref="B42:B43"/>
    <mergeCell ref="C42:C43"/>
    <mergeCell ref="D42:D43"/>
    <mergeCell ref="A40:A41"/>
    <mergeCell ref="B40:B41"/>
    <mergeCell ref="C40:C41"/>
    <mergeCell ref="D40:D41"/>
    <mergeCell ref="A38:A39"/>
    <mergeCell ref="B38:B39"/>
    <mergeCell ref="C38:C39"/>
    <mergeCell ref="D38:D39"/>
    <mergeCell ref="A36:A37"/>
    <mergeCell ref="B36:B37"/>
    <mergeCell ref="C36:C37"/>
    <mergeCell ref="D36:D37"/>
    <mergeCell ref="A33:A34"/>
    <mergeCell ref="B33:B34"/>
    <mergeCell ref="C33:C34"/>
    <mergeCell ref="D33:D34"/>
    <mergeCell ref="A30:A31"/>
    <mergeCell ref="B30:B31"/>
    <mergeCell ref="C30:C31"/>
    <mergeCell ref="D30:D31"/>
    <mergeCell ref="A28:A29"/>
    <mergeCell ref="B28:B29"/>
    <mergeCell ref="C28:C29"/>
    <mergeCell ref="D28:D29"/>
    <mergeCell ref="A26:A27"/>
    <mergeCell ref="B26:B27"/>
    <mergeCell ref="C26:C27"/>
    <mergeCell ref="D26:D27"/>
    <mergeCell ref="A24:A25"/>
    <mergeCell ref="B24:B25"/>
    <mergeCell ref="C24:C25"/>
    <mergeCell ref="D24:D25"/>
    <mergeCell ref="A22:A23"/>
    <mergeCell ref="B22:B23"/>
    <mergeCell ref="C22:C23"/>
    <mergeCell ref="D22:D23"/>
    <mergeCell ref="A20:A21"/>
    <mergeCell ref="B20:B21"/>
    <mergeCell ref="C20:C21"/>
    <mergeCell ref="D20:D21"/>
    <mergeCell ref="A18:A19"/>
    <mergeCell ref="B18:B19"/>
    <mergeCell ref="C18:C19"/>
    <mergeCell ref="D18:D19"/>
    <mergeCell ref="A16:A17"/>
    <mergeCell ref="B16:B17"/>
    <mergeCell ref="C16:C17"/>
    <mergeCell ref="D16:D17"/>
    <mergeCell ref="A14:A15"/>
    <mergeCell ref="B14:B15"/>
    <mergeCell ref="C14:C15"/>
    <mergeCell ref="D14:D15"/>
    <mergeCell ref="A12:A13"/>
    <mergeCell ref="B12:B13"/>
    <mergeCell ref="C12:C13"/>
    <mergeCell ref="D12:D13"/>
    <mergeCell ref="A10:A11"/>
    <mergeCell ref="B10:B11"/>
    <mergeCell ref="C10:C11"/>
    <mergeCell ref="D10:D11"/>
    <mergeCell ref="A8:A9"/>
    <mergeCell ref="B8:B9"/>
    <mergeCell ref="C8:C9"/>
    <mergeCell ref="D8:D9"/>
    <mergeCell ref="A6:A7"/>
    <mergeCell ref="B6:D6"/>
    <mergeCell ref="E6:I6"/>
    <mergeCell ref="H3:I3"/>
    <mergeCell ref="H2:I2"/>
    <mergeCell ref="B2:C2"/>
    <mergeCell ref="B4:N4"/>
    <mergeCell ref="B3:C3"/>
    <mergeCell ref="J5:N5"/>
    <mergeCell ref="A5:I5"/>
  </mergeCells>
  <phoneticPr fontId="4" type="noConversion"/>
  <dataValidations count="2">
    <dataValidation type="list" allowBlank="1" showInputMessage="1" showErrorMessage="1" sqref="JB65515:JE65515 H65515:J65515 WVN983019:WVQ983019 WLR983019:WLU983019 WBV983019:WBY983019 VRZ983019:VSC983019 VID983019:VIG983019 UYH983019:UYK983019 UOL983019:UOO983019 UEP983019:UES983019 TUT983019:TUW983019 TKX983019:TLA983019 TBB983019:TBE983019 SRF983019:SRI983019 SHJ983019:SHM983019 RXN983019:RXQ983019 RNR983019:RNU983019 RDV983019:RDY983019 QTZ983019:QUC983019 QKD983019:QKG983019 QAH983019:QAK983019 PQL983019:PQO983019 PGP983019:PGS983019 OWT983019:OWW983019 OMX983019:ONA983019 ODB983019:ODE983019 NTF983019:NTI983019 NJJ983019:NJM983019 MZN983019:MZQ983019 MPR983019:MPU983019 MFV983019:MFY983019 LVZ983019:LWC983019 LMD983019:LMG983019 LCH983019:LCK983019 KSL983019:KSO983019 KIP983019:KIS983019 JYT983019:JYW983019 JOX983019:JPA983019 JFB983019:JFE983019 IVF983019:IVI983019 ILJ983019:ILM983019 IBN983019:IBQ983019 HRR983019:HRU983019 HHV983019:HHY983019 GXZ983019:GYC983019 GOD983019:GOG983019 GEH983019:GEK983019 FUL983019:FUO983019 FKP983019:FKS983019 FAT983019:FAW983019 EQX983019:ERA983019 EHB983019:EHE983019 DXF983019:DXI983019 DNJ983019:DNM983019 DDN983019:DDQ983019 CTR983019:CTU983019 CJV983019:CJY983019 BZZ983019:CAC983019 BQD983019:BQG983019 BGH983019:BGK983019 AWL983019:AWO983019 AMP983019:AMS983019 ACT983019:ACW983019 SX983019:TA983019 JB983019:JE983019 H983019:J983019 WVN917483:WVQ917483 WLR917483:WLU917483 WBV917483:WBY917483 VRZ917483:VSC917483 VID917483:VIG917483 UYH917483:UYK917483 UOL917483:UOO917483 UEP917483:UES917483 TUT917483:TUW917483 TKX917483:TLA917483 TBB917483:TBE917483 SRF917483:SRI917483 SHJ917483:SHM917483 RXN917483:RXQ917483 RNR917483:RNU917483 RDV917483:RDY917483 QTZ917483:QUC917483 QKD917483:QKG917483 QAH917483:QAK917483 PQL917483:PQO917483 PGP917483:PGS917483 OWT917483:OWW917483 OMX917483:ONA917483 ODB917483:ODE917483 NTF917483:NTI917483 NJJ917483:NJM917483 MZN917483:MZQ917483 MPR917483:MPU917483 MFV917483:MFY917483 LVZ917483:LWC917483 LMD917483:LMG917483 LCH917483:LCK917483 KSL917483:KSO917483 KIP917483:KIS917483 JYT917483:JYW917483 JOX917483:JPA917483 JFB917483:JFE917483 IVF917483:IVI917483 ILJ917483:ILM917483 IBN917483:IBQ917483 HRR917483:HRU917483 HHV917483:HHY917483 GXZ917483:GYC917483 GOD917483:GOG917483 GEH917483:GEK917483 FUL917483:FUO917483 FKP917483:FKS917483 FAT917483:FAW917483 EQX917483:ERA917483 EHB917483:EHE917483 DXF917483:DXI917483 DNJ917483:DNM917483 DDN917483:DDQ917483 CTR917483:CTU917483 CJV917483:CJY917483 BZZ917483:CAC917483 BQD917483:BQG917483 BGH917483:BGK917483 AWL917483:AWO917483 AMP917483:AMS917483 ACT917483:ACW917483 SX917483:TA917483 JB917483:JE917483 H917483:J917483 WVN851947:WVQ851947 WLR851947:WLU851947 WBV851947:WBY851947 VRZ851947:VSC851947 VID851947:VIG851947 UYH851947:UYK851947 UOL851947:UOO851947 UEP851947:UES851947 TUT851947:TUW851947 TKX851947:TLA851947 TBB851947:TBE851947 SRF851947:SRI851947 SHJ851947:SHM851947 RXN851947:RXQ851947 RNR851947:RNU851947 RDV851947:RDY851947 QTZ851947:QUC851947 QKD851947:QKG851947 QAH851947:QAK851947 PQL851947:PQO851947 PGP851947:PGS851947 OWT851947:OWW851947 OMX851947:ONA851947 ODB851947:ODE851947 NTF851947:NTI851947 NJJ851947:NJM851947 MZN851947:MZQ851947 MPR851947:MPU851947 MFV851947:MFY851947 LVZ851947:LWC851947 LMD851947:LMG851947 LCH851947:LCK851947 KSL851947:KSO851947 KIP851947:KIS851947 JYT851947:JYW851947 JOX851947:JPA851947 JFB851947:JFE851947 IVF851947:IVI851947 ILJ851947:ILM851947 IBN851947:IBQ851947 HRR851947:HRU851947 HHV851947:HHY851947 GXZ851947:GYC851947 GOD851947:GOG851947 GEH851947:GEK851947 FUL851947:FUO851947 FKP851947:FKS851947 FAT851947:FAW851947 EQX851947:ERA851947 EHB851947:EHE851947 DXF851947:DXI851947 DNJ851947:DNM851947 DDN851947:DDQ851947 CTR851947:CTU851947 CJV851947:CJY851947 BZZ851947:CAC851947 BQD851947:BQG851947 BGH851947:BGK851947 AWL851947:AWO851947 AMP851947:AMS851947 ACT851947:ACW851947 SX851947:TA851947 JB851947:JE851947 H851947:J851947 WVN786411:WVQ786411 WLR786411:WLU786411 WBV786411:WBY786411 VRZ786411:VSC786411 VID786411:VIG786411 UYH786411:UYK786411 UOL786411:UOO786411 UEP786411:UES786411 TUT786411:TUW786411 TKX786411:TLA786411 TBB786411:TBE786411 SRF786411:SRI786411 SHJ786411:SHM786411 RXN786411:RXQ786411 RNR786411:RNU786411 RDV786411:RDY786411 QTZ786411:QUC786411 QKD786411:QKG786411 QAH786411:QAK786411 PQL786411:PQO786411 PGP786411:PGS786411 OWT786411:OWW786411 OMX786411:ONA786411 ODB786411:ODE786411 NTF786411:NTI786411 NJJ786411:NJM786411 MZN786411:MZQ786411 MPR786411:MPU786411 MFV786411:MFY786411 LVZ786411:LWC786411 LMD786411:LMG786411 LCH786411:LCK786411 KSL786411:KSO786411 KIP786411:KIS786411 JYT786411:JYW786411 JOX786411:JPA786411 JFB786411:JFE786411 IVF786411:IVI786411 ILJ786411:ILM786411 IBN786411:IBQ786411 HRR786411:HRU786411 HHV786411:HHY786411 GXZ786411:GYC786411 GOD786411:GOG786411 GEH786411:GEK786411 FUL786411:FUO786411 FKP786411:FKS786411 FAT786411:FAW786411 EQX786411:ERA786411 EHB786411:EHE786411 DXF786411:DXI786411 DNJ786411:DNM786411 DDN786411:DDQ786411 CTR786411:CTU786411 CJV786411:CJY786411 BZZ786411:CAC786411 BQD786411:BQG786411 BGH786411:BGK786411 AWL786411:AWO786411 AMP786411:AMS786411 ACT786411:ACW786411 SX786411:TA786411 JB786411:JE786411 H786411:J786411 WVN720875:WVQ720875 WLR720875:WLU720875 WBV720875:WBY720875 VRZ720875:VSC720875 VID720875:VIG720875 UYH720875:UYK720875 UOL720875:UOO720875 UEP720875:UES720875 TUT720875:TUW720875 TKX720875:TLA720875 TBB720875:TBE720875 SRF720875:SRI720875 SHJ720875:SHM720875 RXN720875:RXQ720875 RNR720875:RNU720875 RDV720875:RDY720875 QTZ720875:QUC720875 QKD720875:QKG720875 QAH720875:QAK720875 PQL720875:PQO720875 PGP720875:PGS720875 OWT720875:OWW720875 OMX720875:ONA720875 ODB720875:ODE720875 NTF720875:NTI720875 NJJ720875:NJM720875 MZN720875:MZQ720875 MPR720875:MPU720875 MFV720875:MFY720875 LVZ720875:LWC720875 LMD720875:LMG720875 LCH720875:LCK720875 KSL720875:KSO720875 KIP720875:KIS720875 JYT720875:JYW720875 JOX720875:JPA720875 JFB720875:JFE720875 IVF720875:IVI720875 ILJ720875:ILM720875 IBN720875:IBQ720875 HRR720875:HRU720875 HHV720875:HHY720875 GXZ720875:GYC720875 GOD720875:GOG720875 GEH720875:GEK720875 FUL720875:FUO720875 FKP720875:FKS720875 FAT720875:FAW720875 EQX720875:ERA720875 EHB720875:EHE720875 DXF720875:DXI720875 DNJ720875:DNM720875 DDN720875:DDQ720875 CTR720875:CTU720875 CJV720875:CJY720875 BZZ720875:CAC720875 BQD720875:BQG720875 BGH720875:BGK720875 AWL720875:AWO720875 AMP720875:AMS720875 ACT720875:ACW720875 SX720875:TA720875 JB720875:JE720875 H720875:J720875 WVN655339:WVQ655339 WLR655339:WLU655339 WBV655339:WBY655339 VRZ655339:VSC655339 VID655339:VIG655339 UYH655339:UYK655339 UOL655339:UOO655339 UEP655339:UES655339 TUT655339:TUW655339 TKX655339:TLA655339 TBB655339:TBE655339 SRF655339:SRI655339 SHJ655339:SHM655339 RXN655339:RXQ655339 RNR655339:RNU655339 RDV655339:RDY655339 QTZ655339:QUC655339 QKD655339:QKG655339 QAH655339:QAK655339 PQL655339:PQO655339 PGP655339:PGS655339 OWT655339:OWW655339 OMX655339:ONA655339 ODB655339:ODE655339 NTF655339:NTI655339 NJJ655339:NJM655339 MZN655339:MZQ655339 MPR655339:MPU655339 MFV655339:MFY655339 LVZ655339:LWC655339 LMD655339:LMG655339 LCH655339:LCK655339 KSL655339:KSO655339 KIP655339:KIS655339 JYT655339:JYW655339 JOX655339:JPA655339 JFB655339:JFE655339 IVF655339:IVI655339 ILJ655339:ILM655339 IBN655339:IBQ655339 HRR655339:HRU655339 HHV655339:HHY655339 GXZ655339:GYC655339 GOD655339:GOG655339 GEH655339:GEK655339 FUL655339:FUO655339 FKP655339:FKS655339 FAT655339:FAW655339 EQX655339:ERA655339 EHB655339:EHE655339 DXF655339:DXI655339 DNJ655339:DNM655339 DDN655339:DDQ655339 CTR655339:CTU655339 CJV655339:CJY655339 BZZ655339:CAC655339 BQD655339:BQG655339 BGH655339:BGK655339 AWL655339:AWO655339 AMP655339:AMS655339 ACT655339:ACW655339 SX655339:TA655339 JB655339:JE655339 H655339:J655339 WVN589803:WVQ589803 WLR589803:WLU589803 WBV589803:WBY589803 VRZ589803:VSC589803 VID589803:VIG589803 UYH589803:UYK589803 UOL589803:UOO589803 UEP589803:UES589803 TUT589803:TUW589803 TKX589803:TLA589803 TBB589803:TBE589803 SRF589803:SRI589803 SHJ589803:SHM589803 RXN589803:RXQ589803 RNR589803:RNU589803 RDV589803:RDY589803 QTZ589803:QUC589803 QKD589803:QKG589803 QAH589803:QAK589803 PQL589803:PQO589803 PGP589803:PGS589803 OWT589803:OWW589803 OMX589803:ONA589803 ODB589803:ODE589803 NTF589803:NTI589803 NJJ589803:NJM589803 MZN589803:MZQ589803 MPR589803:MPU589803 MFV589803:MFY589803 LVZ589803:LWC589803 LMD589803:LMG589803 LCH589803:LCK589803 KSL589803:KSO589803 KIP589803:KIS589803 JYT589803:JYW589803 JOX589803:JPA589803 JFB589803:JFE589803 IVF589803:IVI589803 ILJ589803:ILM589803 IBN589803:IBQ589803 HRR589803:HRU589803 HHV589803:HHY589803 GXZ589803:GYC589803 GOD589803:GOG589803 GEH589803:GEK589803 FUL589803:FUO589803 FKP589803:FKS589803 FAT589803:FAW589803 EQX589803:ERA589803 EHB589803:EHE589803 DXF589803:DXI589803 DNJ589803:DNM589803 DDN589803:DDQ589803 CTR589803:CTU589803 CJV589803:CJY589803 BZZ589803:CAC589803 BQD589803:BQG589803 BGH589803:BGK589803 AWL589803:AWO589803 AMP589803:AMS589803 ACT589803:ACW589803 SX589803:TA589803 JB589803:JE589803 H589803:J589803 WVN524267:WVQ524267 WLR524267:WLU524267 WBV524267:WBY524267 VRZ524267:VSC524267 VID524267:VIG524267 UYH524267:UYK524267 UOL524267:UOO524267 UEP524267:UES524267 TUT524267:TUW524267 TKX524267:TLA524267 TBB524267:TBE524267 SRF524267:SRI524267 SHJ524267:SHM524267 RXN524267:RXQ524267 RNR524267:RNU524267 RDV524267:RDY524267 QTZ524267:QUC524267 QKD524267:QKG524267 QAH524267:QAK524267 PQL524267:PQO524267 PGP524267:PGS524267 OWT524267:OWW524267 OMX524267:ONA524267 ODB524267:ODE524267 NTF524267:NTI524267 NJJ524267:NJM524267 MZN524267:MZQ524267 MPR524267:MPU524267 MFV524267:MFY524267 LVZ524267:LWC524267 LMD524267:LMG524267 LCH524267:LCK524267 KSL524267:KSO524267 KIP524267:KIS524267 JYT524267:JYW524267 JOX524267:JPA524267 JFB524267:JFE524267 IVF524267:IVI524267 ILJ524267:ILM524267 IBN524267:IBQ524267 HRR524267:HRU524267 HHV524267:HHY524267 GXZ524267:GYC524267 GOD524267:GOG524267 GEH524267:GEK524267 FUL524267:FUO524267 FKP524267:FKS524267 FAT524267:FAW524267 EQX524267:ERA524267 EHB524267:EHE524267 DXF524267:DXI524267 DNJ524267:DNM524267 DDN524267:DDQ524267 CTR524267:CTU524267 CJV524267:CJY524267 BZZ524267:CAC524267 BQD524267:BQG524267 BGH524267:BGK524267 AWL524267:AWO524267 AMP524267:AMS524267 ACT524267:ACW524267 SX524267:TA524267 JB524267:JE524267 H524267:J524267 WVN458731:WVQ458731 WLR458731:WLU458731 WBV458731:WBY458731 VRZ458731:VSC458731 VID458731:VIG458731 UYH458731:UYK458731 UOL458731:UOO458731 UEP458731:UES458731 TUT458731:TUW458731 TKX458731:TLA458731 TBB458731:TBE458731 SRF458731:SRI458731 SHJ458731:SHM458731 RXN458731:RXQ458731 RNR458731:RNU458731 RDV458731:RDY458731 QTZ458731:QUC458731 QKD458731:QKG458731 QAH458731:QAK458731 PQL458731:PQO458731 PGP458731:PGS458731 OWT458731:OWW458731 OMX458731:ONA458731 ODB458731:ODE458731 NTF458731:NTI458731 NJJ458731:NJM458731 MZN458731:MZQ458731 MPR458731:MPU458731 MFV458731:MFY458731 LVZ458731:LWC458731 LMD458731:LMG458731 LCH458731:LCK458731 KSL458731:KSO458731 KIP458731:KIS458731 JYT458731:JYW458731 JOX458731:JPA458731 JFB458731:JFE458731 IVF458731:IVI458731 ILJ458731:ILM458731 IBN458731:IBQ458731 HRR458731:HRU458731 HHV458731:HHY458731 GXZ458731:GYC458731 GOD458731:GOG458731 GEH458731:GEK458731 FUL458731:FUO458731 FKP458731:FKS458731 FAT458731:FAW458731 EQX458731:ERA458731 EHB458731:EHE458731 DXF458731:DXI458731 DNJ458731:DNM458731 DDN458731:DDQ458731 CTR458731:CTU458731 CJV458731:CJY458731 BZZ458731:CAC458731 BQD458731:BQG458731 BGH458731:BGK458731 AWL458731:AWO458731 AMP458731:AMS458731 ACT458731:ACW458731 SX458731:TA458731 JB458731:JE458731 H458731:J458731 WVN393195:WVQ393195 WLR393195:WLU393195 WBV393195:WBY393195 VRZ393195:VSC393195 VID393195:VIG393195 UYH393195:UYK393195 UOL393195:UOO393195 UEP393195:UES393195 TUT393195:TUW393195 TKX393195:TLA393195 TBB393195:TBE393195 SRF393195:SRI393195 SHJ393195:SHM393195 RXN393195:RXQ393195 RNR393195:RNU393195 RDV393195:RDY393195 QTZ393195:QUC393195 QKD393195:QKG393195 QAH393195:QAK393195 PQL393195:PQO393195 PGP393195:PGS393195 OWT393195:OWW393195 OMX393195:ONA393195 ODB393195:ODE393195 NTF393195:NTI393195 NJJ393195:NJM393195 MZN393195:MZQ393195 MPR393195:MPU393195 MFV393195:MFY393195 LVZ393195:LWC393195 LMD393195:LMG393195 LCH393195:LCK393195 KSL393195:KSO393195 KIP393195:KIS393195 JYT393195:JYW393195 JOX393195:JPA393195 JFB393195:JFE393195 IVF393195:IVI393195 ILJ393195:ILM393195 IBN393195:IBQ393195 HRR393195:HRU393195 HHV393195:HHY393195 GXZ393195:GYC393195 GOD393195:GOG393195 GEH393195:GEK393195 FUL393195:FUO393195 FKP393195:FKS393195 FAT393195:FAW393195 EQX393195:ERA393195 EHB393195:EHE393195 DXF393195:DXI393195 DNJ393195:DNM393195 DDN393195:DDQ393195 CTR393195:CTU393195 CJV393195:CJY393195 BZZ393195:CAC393195 BQD393195:BQG393195 BGH393195:BGK393195 AWL393195:AWO393195 AMP393195:AMS393195 ACT393195:ACW393195 SX393195:TA393195 JB393195:JE393195 H393195:J393195 WVN327659:WVQ327659 WLR327659:WLU327659 WBV327659:WBY327659 VRZ327659:VSC327659 VID327659:VIG327659 UYH327659:UYK327659 UOL327659:UOO327659 UEP327659:UES327659 TUT327659:TUW327659 TKX327659:TLA327659 TBB327659:TBE327659 SRF327659:SRI327659 SHJ327659:SHM327659 RXN327659:RXQ327659 RNR327659:RNU327659 RDV327659:RDY327659 QTZ327659:QUC327659 QKD327659:QKG327659 QAH327659:QAK327659 PQL327659:PQO327659 PGP327659:PGS327659 OWT327659:OWW327659 OMX327659:ONA327659 ODB327659:ODE327659 NTF327659:NTI327659 NJJ327659:NJM327659 MZN327659:MZQ327659 MPR327659:MPU327659 MFV327659:MFY327659 LVZ327659:LWC327659 LMD327659:LMG327659 LCH327659:LCK327659 KSL327659:KSO327659 KIP327659:KIS327659 JYT327659:JYW327659 JOX327659:JPA327659 JFB327659:JFE327659 IVF327659:IVI327659 ILJ327659:ILM327659 IBN327659:IBQ327659 HRR327659:HRU327659 HHV327659:HHY327659 GXZ327659:GYC327659 GOD327659:GOG327659 GEH327659:GEK327659 FUL327659:FUO327659 FKP327659:FKS327659 FAT327659:FAW327659 EQX327659:ERA327659 EHB327659:EHE327659 DXF327659:DXI327659 DNJ327659:DNM327659 DDN327659:DDQ327659 CTR327659:CTU327659 CJV327659:CJY327659 BZZ327659:CAC327659 BQD327659:BQG327659 BGH327659:BGK327659 AWL327659:AWO327659 AMP327659:AMS327659 ACT327659:ACW327659 SX327659:TA327659 JB327659:JE327659 H327659:J327659 WVN262123:WVQ262123 WLR262123:WLU262123 WBV262123:WBY262123 VRZ262123:VSC262123 VID262123:VIG262123 UYH262123:UYK262123 UOL262123:UOO262123 UEP262123:UES262123 TUT262123:TUW262123 TKX262123:TLA262123 TBB262123:TBE262123 SRF262123:SRI262123 SHJ262123:SHM262123 RXN262123:RXQ262123 RNR262123:RNU262123 RDV262123:RDY262123 QTZ262123:QUC262123 QKD262123:QKG262123 QAH262123:QAK262123 PQL262123:PQO262123 PGP262123:PGS262123 OWT262123:OWW262123 OMX262123:ONA262123 ODB262123:ODE262123 NTF262123:NTI262123 NJJ262123:NJM262123 MZN262123:MZQ262123 MPR262123:MPU262123 MFV262123:MFY262123 LVZ262123:LWC262123 LMD262123:LMG262123 LCH262123:LCK262123 KSL262123:KSO262123 KIP262123:KIS262123 JYT262123:JYW262123 JOX262123:JPA262123 JFB262123:JFE262123 IVF262123:IVI262123 ILJ262123:ILM262123 IBN262123:IBQ262123 HRR262123:HRU262123 HHV262123:HHY262123 GXZ262123:GYC262123 GOD262123:GOG262123 GEH262123:GEK262123 FUL262123:FUO262123 FKP262123:FKS262123 FAT262123:FAW262123 EQX262123:ERA262123 EHB262123:EHE262123 DXF262123:DXI262123 DNJ262123:DNM262123 DDN262123:DDQ262123 CTR262123:CTU262123 CJV262123:CJY262123 BZZ262123:CAC262123 BQD262123:BQG262123 BGH262123:BGK262123 AWL262123:AWO262123 AMP262123:AMS262123 ACT262123:ACW262123 SX262123:TA262123 JB262123:JE262123 H262123:J262123 WVN196587:WVQ196587 WLR196587:WLU196587 WBV196587:WBY196587 VRZ196587:VSC196587 VID196587:VIG196587 UYH196587:UYK196587 UOL196587:UOO196587 UEP196587:UES196587 TUT196587:TUW196587 TKX196587:TLA196587 TBB196587:TBE196587 SRF196587:SRI196587 SHJ196587:SHM196587 RXN196587:RXQ196587 RNR196587:RNU196587 RDV196587:RDY196587 QTZ196587:QUC196587 QKD196587:QKG196587 QAH196587:QAK196587 PQL196587:PQO196587 PGP196587:PGS196587 OWT196587:OWW196587 OMX196587:ONA196587 ODB196587:ODE196587 NTF196587:NTI196587 NJJ196587:NJM196587 MZN196587:MZQ196587 MPR196587:MPU196587 MFV196587:MFY196587 LVZ196587:LWC196587 LMD196587:LMG196587 LCH196587:LCK196587 KSL196587:KSO196587 KIP196587:KIS196587 JYT196587:JYW196587 JOX196587:JPA196587 JFB196587:JFE196587 IVF196587:IVI196587 ILJ196587:ILM196587 IBN196587:IBQ196587 HRR196587:HRU196587 HHV196587:HHY196587 GXZ196587:GYC196587 GOD196587:GOG196587 GEH196587:GEK196587 FUL196587:FUO196587 FKP196587:FKS196587 FAT196587:FAW196587 EQX196587:ERA196587 EHB196587:EHE196587 DXF196587:DXI196587 DNJ196587:DNM196587 DDN196587:DDQ196587 CTR196587:CTU196587 CJV196587:CJY196587 BZZ196587:CAC196587 BQD196587:BQG196587 BGH196587:BGK196587 AWL196587:AWO196587 AMP196587:AMS196587 ACT196587:ACW196587 SX196587:TA196587 JB196587:JE196587 H196587:J196587 WVN131051:WVQ131051 WLR131051:WLU131051 WBV131051:WBY131051 VRZ131051:VSC131051 VID131051:VIG131051 UYH131051:UYK131051 UOL131051:UOO131051 UEP131051:UES131051 TUT131051:TUW131051 TKX131051:TLA131051 TBB131051:TBE131051 SRF131051:SRI131051 SHJ131051:SHM131051 RXN131051:RXQ131051 RNR131051:RNU131051 RDV131051:RDY131051 QTZ131051:QUC131051 QKD131051:QKG131051 QAH131051:QAK131051 PQL131051:PQO131051 PGP131051:PGS131051 OWT131051:OWW131051 OMX131051:ONA131051 ODB131051:ODE131051 NTF131051:NTI131051 NJJ131051:NJM131051 MZN131051:MZQ131051 MPR131051:MPU131051 MFV131051:MFY131051 LVZ131051:LWC131051 LMD131051:LMG131051 LCH131051:LCK131051 KSL131051:KSO131051 KIP131051:KIS131051 JYT131051:JYW131051 JOX131051:JPA131051 JFB131051:JFE131051 IVF131051:IVI131051 ILJ131051:ILM131051 IBN131051:IBQ131051 HRR131051:HRU131051 HHV131051:HHY131051 GXZ131051:GYC131051 GOD131051:GOG131051 GEH131051:GEK131051 FUL131051:FUO131051 FKP131051:FKS131051 FAT131051:FAW131051 EQX131051:ERA131051 EHB131051:EHE131051 DXF131051:DXI131051 DNJ131051:DNM131051 DDN131051:DDQ131051 CTR131051:CTU131051 CJV131051:CJY131051 BZZ131051:CAC131051 BQD131051:BQG131051 BGH131051:BGK131051 AWL131051:AWO131051 AMP131051:AMS131051 ACT131051:ACW131051 SX131051:TA131051 JB131051:JE131051 H131051:J131051 WVN65515:WVQ65515 WLR65515:WLU65515 WBV65515:WBY65515 VRZ65515:VSC65515 VID65515:VIG65515 UYH65515:UYK65515 UOL65515:UOO65515 UEP65515:UES65515 TUT65515:TUW65515 TKX65515:TLA65515 TBB65515:TBE65515 SRF65515:SRI65515 SHJ65515:SHM65515 RXN65515:RXQ65515 RNR65515:RNU65515 RDV65515:RDY65515 QTZ65515:QUC65515 QKD65515:QKG65515 QAH65515:QAK65515 PQL65515:PQO65515 PGP65515:PGS65515 OWT65515:OWW65515 OMX65515:ONA65515 ODB65515:ODE65515 NTF65515:NTI65515 NJJ65515:NJM65515 MZN65515:MZQ65515 MPR65515:MPU65515 MFV65515:MFY65515 LVZ65515:LWC65515 LMD65515:LMG65515 LCH65515:LCK65515 KSL65515:KSO65515 KIP65515:KIS65515 JYT65515:JYW65515 JOX65515:JPA65515 JFB65515:JFE65515 IVF65515:IVI65515 ILJ65515:ILM65515 IBN65515:IBQ65515 HRR65515:HRU65515 HHV65515:HHY65515 GXZ65515:GYC65515 GOD65515:GOG65515 GEH65515:GEK65515 FUL65515:FUO65515 FKP65515:FKS65515 FAT65515:FAW65515 EQX65515:ERA65515 EHB65515:EHE65515 DXF65515:DXI65515 DNJ65515:DNM65515 DDN65515:DDQ65515 CTR65515:CTU65515 CJV65515:CJY65515 BZZ65515:CAC65515 BQD65515:BQG65515 BGH65515:BGK65515 AWL65515:AWO65515 AMP65515:AMS65515 ACT65515:ACW65515 SX65515:TA65515 WVN4:WVQ4 WLR4:WLU4 WBV4:WBY4 VRZ4:VSC4 VID4:VIG4 UYH4:UYK4 UOL4:UOO4 UEP4:UES4 TUT4:TUW4 TKX4:TLA4 TBB4:TBE4 SRF4:SRI4 SHJ4:SHM4 RXN4:RXQ4 RNR4:RNU4 RDV4:RDY4 QTZ4:QUC4 QKD4:QKG4 QAH4:QAK4 PQL4:PQO4 PGP4:PGS4 OWT4:OWW4 OMX4:ONA4 ODB4:ODE4 NTF4:NTI4 NJJ4:NJM4 MZN4:MZQ4 MPR4:MPU4 MFV4:MFY4 LVZ4:LWC4 LMD4:LMG4 LCH4:LCK4 KSL4:KSO4 KIP4:KIS4 JYT4:JYW4 JOX4:JPA4 JFB4:JFE4 IVF4:IVI4 ILJ4:ILM4 IBN4:IBQ4 HRR4:HRU4 HHV4:HHY4 GXZ4:GYC4 GOD4:GOG4 GEH4:GEK4 FUL4:FUO4 FKP4:FKS4 FAT4:FAW4 EQX4:ERA4 EHB4:EHE4 DXF4:DXI4 DNJ4:DNM4 DDN4:DDQ4 CTR4:CTU4 CJV4:CJY4 BZZ4:CAC4 BQD4:BQG4 BGH4:BGK4 AWL4:AWO4 AMP4:AMS4 ACT4:ACW4 SX4:TA4 JB4:JE4">
      <formula1>$AB$2:$AB$46</formula1>
    </dataValidation>
    <dataValidation type="list" allowBlank="1" showInputMessage="1" showErrorMessage="1" sqref="L8:M67">
      <formula1>$A$72:$A$115</formula1>
    </dataValidation>
  </dataValidations>
  <printOptions horizontalCentered="1"/>
  <pageMargins left="0.19685039370078741" right="0.19685039370078741" top="0.59055118110236227" bottom="0.59055118110236227" header="0.19685039370078741" footer="0.19685039370078741"/>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66"/>
  <sheetViews>
    <sheetView view="pageBreakPreview" zoomScaleSheetLayoutView="100" workbookViewId="0">
      <selection activeCell="H13" sqref="H13"/>
    </sheetView>
  </sheetViews>
  <sheetFormatPr defaultRowHeight="20.100000000000001" customHeight="1"/>
  <cols>
    <col min="1" max="1" width="6.875" style="578" customWidth="1"/>
    <col min="2" max="2" width="9.625" style="578" customWidth="1"/>
    <col min="3" max="3" width="46.5" style="578" customWidth="1"/>
    <col min="4" max="4" width="9.875" style="440" customWidth="1"/>
    <col min="5" max="5" width="19.5" style="578" customWidth="1"/>
    <col min="6" max="6" width="11.125" style="581" customWidth="1"/>
    <col min="7" max="7" width="18.25" style="121" customWidth="1"/>
    <col min="8" max="8" width="6.875" style="130" customWidth="1"/>
    <col min="9" max="9" width="6.875" style="580" customWidth="1"/>
    <col min="10" max="10" width="6.625" style="130" customWidth="1"/>
    <col min="11" max="11" width="9" style="578"/>
    <col min="12" max="12" width="37.5" style="578" customWidth="1"/>
    <col min="13" max="16384" width="9" style="578"/>
  </cols>
  <sheetData>
    <row r="1" spans="1:9" ht="35.25" customHeight="1">
      <c r="A1" s="1044" t="s">
        <v>1569</v>
      </c>
      <c r="B1" s="1044"/>
      <c r="C1" s="1044"/>
      <c r="D1" s="1044"/>
      <c r="E1" s="1044"/>
      <c r="F1" s="579"/>
    </row>
    <row r="2" spans="1:9" ht="16.5">
      <c r="A2" s="772"/>
      <c r="B2" s="74" t="str">
        <f>[4]西迪布赛下料单!H4</f>
        <v>客户姓名</v>
      </c>
      <c r="C2" s="74" t="str">
        <f>西迪布赛作业单!B3</f>
        <v>赵蕊</v>
      </c>
      <c r="D2" s="773"/>
      <c r="E2" s="772"/>
    </row>
    <row r="3" spans="1:9" ht="16.5">
      <c r="A3" s="772"/>
      <c r="B3" s="74" t="s">
        <v>1567</v>
      </c>
      <c r="C3" s="773">
        <f>西迪布赛作业单!B2</f>
        <v>15530608063</v>
      </c>
      <c r="D3" s="74" t="s">
        <v>1568</v>
      </c>
      <c r="E3" s="74">
        <f>下料单!R2</f>
        <v>123</v>
      </c>
      <c r="F3" s="582"/>
    </row>
    <row r="4" spans="1:9" ht="16.5">
      <c r="A4" s="770" t="s">
        <v>1272</v>
      </c>
      <c r="B4" s="771" t="s">
        <v>1215</v>
      </c>
      <c r="C4" s="768" t="s">
        <v>1273</v>
      </c>
      <c r="D4" s="771" t="s">
        <v>1264</v>
      </c>
      <c r="E4" s="771" t="s">
        <v>1219</v>
      </c>
      <c r="F4" s="582"/>
    </row>
    <row r="5" spans="1:9" ht="16.5" customHeight="1">
      <c r="A5" s="1041" t="s">
        <v>1274</v>
      </c>
      <c r="B5" s="74">
        <v>1</v>
      </c>
      <c r="C5" s="767" t="s">
        <v>1576</v>
      </c>
      <c r="D5" s="583">
        <f>西迪布赛作业单!O69</f>
        <v>0</v>
      </c>
      <c r="E5" s="74" t="s">
        <v>1275</v>
      </c>
    </row>
    <row r="6" spans="1:9" ht="16.5" customHeight="1">
      <c r="A6" s="1042"/>
      <c r="B6" s="74">
        <v>2</v>
      </c>
      <c r="C6" s="767" t="s">
        <v>748</v>
      </c>
      <c r="D6" s="583">
        <f>西迪布赛作业单!Q69</f>
        <v>0</v>
      </c>
      <c r="E6" s="74" t="s">
        <v>1275</v>
      </c>
    </row>
    <row r="7" spans="1:9" ht="16.5" customHeight="1">
      <c r="A7" s="1042"/>
      <c r="B7" s="74">
        <v>3</v>
      </c>
      <c r="C7" s="767" t="s">
        <v>746</v>
      </c>
      <c r="D7" s="583">
        <f>西迪布赛作业单!S69</f>
        <v>0</v>
      </c>
      <c r="E7" s="74" t="s">
        <v>1275</v>
      </c>
    </row>
    <row r="8" spans="1:9" ht="16.5" customHeight="1">
      <c r="A8" s="1042"/>
      <c r="B8" s="74">
        <v>4</v>
      </c>
      <c r="C8" s="767" t="s">
        <v>749</v>
      </c>
      <c r="D8" s="583">
        <f>西迪布赛作业单!R69</f>
        <v>0</v>
      </c>
      <c r="E8" s="74" t="s">
        <v>1275</v>
      </c>
    </row>
    <row r="9" spans="1:9" ht="16.5" customHeight="1">
      <c r="A9" s="1042"/>
      <c r="B9" s="74">
        <v>5</v>
      </c>
      <c r="C9" s="767" t="s">
        <v>1277</v>
      </c>
      <c r="D9" s="583">
        <f>CEILING(西迪布赛作业单!P69,2)</f>
        <v>0</v>
      </c>
      <c r="E9" s="74" t="s">
        <v>1275</v>
      </c>
    </row>
    <row r="10" spans="1:9" ht="16.5" customHeight="1">
      <c r="A10" s="1042"/>
      <c r="B10" s="74">
        <v>6</v>
      </c>
      <c r="C10" s="767" t="s">
        <v>1577</v>
      </c>
      <c r="D10" s="583">
        <f>西迪布赛作业单!T69</f>
        <v>0.3</v>
      </c>
      <c r="E10" s="74" t="s">
        <v>1275</v>
      </c>
    </row>
    <row r="11" spans="1:9" ht="16.5">
      <c r="A11" s="1042"/>
      <c r="B11" s="74"/>
      <c r="C11" s="772"/>
      <c r="D11" s="773"/>
      <c r="E11" s="772"/>
    </row>
    <row r="12" spans="1:9" ht="16.5" customHeight="1">
      <c r="A12" s="1043"/>
      <c r="B12" s="74"/>
      <c r="C12" s="772"/>
      <c r="D12" s="773"/>
      <c r="E12" s="772"/>
    </row>
    <row r="13" spans="1:9" ht="16.5">
      <c r="A13" s="765"/>
      <c r="B13" s="74"/>
      <c r="C13" s="766"/>
      <c r="D13" s="584"/>
      <c r="E13" s="74"/>
    </row>
    <row r="14" spans="1:9" ht="16.5">
      <c r="A14" s="765"/>
      <c r="B14" s="74"/>
      <c r="C14" s="766"/>
      <c r="D14" s="584"/>
      <c r="E14" s="74"/>
    </row>
    <row r="15" spans="1:9" ht="16.5">
      <c r="A15" s="765"/>
      <c r="B15" s="74"/>
      <c r="C15" s="766"/>
      <c r="D15" s="584"/>
      <c r="E15" s="74"/>
      <c r="H15" s="121"/>
      <c r="I15" s="769"/>
    </row>
    <row r="16" spans="1:9" ht="16.5">
      <c r="A16" s="765"/>
      <c r="B16" s="74"/>
      <c r="C16" s="766"/>
      <c r="D16" s="585"/>
      <c r="E16" s="74"/>
      <c r="G16" s="130"/>
    </row>
    <row r="17" spans="1:10" ht="16.5" customHeight="1">
      <c r="A17" s="1041" t="s">
        <v>1281</v>
      </c>
      <c r="B17" s="74">
        <v>1</v>
      </c>
      <c r="C17" s="764" t="s">
        <v>1282</v>
      </c>
      <c r="D17" s="586">
        <f>西迪布赛作业单!U69</f>
        <v>0</v>
      </c>
      <c r="E17" s="74" t="s">
        <v>1283</v>
      </c>
    </row>
    <row r="18" spans="1:10" ht="16.5">
      <c r="A18" s="1042"/>
      <c r="B18" s="74">
        <v>2</v>
      </c>
      <c r="C18" s="764" t="s">
        <v>1284</v>
      </c>
      <c r="D18" s="74"/>
      <c r="E18" s="74" t="s">
        <v>1285</v>
      </c>
    </row>
    <row r="19" spans="1:10" ht="16.5">
      <c r="A19" s="1042"/>
      <c r="B19" s="74">
        <v>3</v>
      </c>
      <c r="C19" s="764" t="s">
        <v>1286</v>
      </c>
      <c r="D19" s="74"/>
      <c r="E19" s="74" t="s">
        <v>1285</v>
      </c>
    </row>
    <row r="20" spans="1:10" ht="16.5">
      <c r="A20" s="1042"/>
      <c r="B20" s="74"/>
      <c r="C20" s="74"/>
      <c r="D20" s="74"/>
      <c r="E20" s="74"/>
    </row>
    <row r="21" spans="1:10" ht="16.5">
      <c r="A21" s="1043"/>
      <c r="B21" s="74"/>
      <c r="C21" s="74"/>
      <c r="D21" s="74"/>
      <c r="E21" s="74"/>
    </row>
    <row r="22" spans="1:10" ht="16.5">
      <c r="A22" s="588"/>
      <c r="B22" s="588"/>
      <c r="C22" s="587"/>
      <c r="D22" s="587"/>
      <c r="E22" s="587"/>
    </row>
    <row r="23" spans="1:10" ht="16.5">
      <c r="A23" s="587"/>
      <c r="B23" s="587"/>
      <c r="C23" s="587"/>
      <c r="D23" s="128"/>
      <c r="E23" s="128"/>
    </row>
    <row r="24" spans="1:10" ht="16.5">
      <c r="A24" s="587" t="s">
        <v>1287</v>
      </c>
      <c r="B24" s="587"/>
      <c r="C24" s="587"/>
      <c r="D24" s="128"/>
      <c r="E24" s="589"/>
    </row>
    <row r="25" spans="1:10" s="581" customFormat="1" ht="16.5">
      <c r="D25" s="590"/>
      <c r="G25" s="121"/>
      <c r="H25" s="130"/>
      <c r="I25" s="580"/>
      <c r="J25" s="130"/>
    </row>
    <row r="26" spans="1:10" s="581" customFormat="1" ht="16.5">
      <c r="D26" s="590"/>
      <c r="G26" s="121"/>
      <c r="H26" s="130"/>
      <c r="I26" s="580"/>
      <c r="J26" s="130"/>
    </row>
    <row r="27" spans="1:10" s="581" customFormat="1" ht="16.5">
      <c r="D27" s="590"/>
      <c r="G27" s="121"/>
      <c r="H27" s="130"/>
      <c r="I27" s="580"/>
      <c r="J27" s="130"/>
    </row>
    <row r="28" spans="1:10" s="581" customFormat="1" ht="16.5">
      <c r="D28" s="590"/>
      <c r="G28" s="121"/>
      <c r="H28" s="130"/>
      <c r="I28" s="580"/>
      <c r="J28" s="130"/>
    </row>
    <row r="29" spans="1:10" s="581" customFormat="1" ht="16.5">
      <c r="D29" s="590"/>
      <c r="G29" s="121"/>
      <c r="H29" s="130"/>
      <c r="I29" s="580"/>
      <c r="J29" s="130"/>
    </row>
    <row r="30" spans="1:10" s="581" customFormat="1" ht="16.5">
      <c r="D30" s="590"/>
      <c r="G30" s="121"/>
      <c r="H30" s="130"/>
      <c r="I30" s="580"/>
      <c r="J30" s="130"/>
    </row>
    <row r="31" spans="1:10" s="581" customFormat="1" ht="16.5">
      <c r="D31" s="590"/>
      <c r="G31" s="121"/>
      <c r="H31" s="130"/>
      <c r="I31" s="580"/>
      <c r="J31" s="130"/>
    </row>
    <row r="32" spans="1:10" s="581" customFormat="1" ht="16.5">
      <c r="D32" s="590"/>
      <c r="G32" s="121"/>
      <c r="H32" s="130"/>
      <c r="I32" s="580"/>
      <c r="J32" s="130"/>
    </row>
    <row r="33" spans="4:10" s="581" customFormat="1" ht="16.5">
      <c r="D33" s="590"/>
      <c r="G33" s="121"/>
      <c r="H33" s="130"/>
      <c r="I33" s="580"/>
      <c r="J33" s="130"/>
    </row>
    <row r="34" spans="4:10" s="581" customFormat="1" ht="16.5">
      <c r="D34" s="590"/>
      <c r="G34" s="121"/>
      <c r="H34" s="130"/>
      <c r="I34" s="580"/>
      <c r="J34" s="130"/>
    </row>
    <row r="35" spans="4:10" s="581" customFormat="1" ht="16.5">
      <c r="D35" s="590"/>
      <c r="G35" s="121"/>
      <c r="H35" s="130"/>
      <c r="I35" s="580"/>
      <c r="J35" s="130"/>
    </row>
    <row r="36" spans="4:10" s="581" customFormat="1" ht="16.5">
      <c r="D36" s="590"/>
      <c r="G36" s="121"/>
      <c r="H36" s="130"/>
      <c r="I36" s="580"/>
      <c r="J36" s="130"/>
    </row>
    <row r="37" spans="4:10" s="581" customFormat="1" ht="16.5">
      <c r="D37" s="590"/>
      <c r="G37" s="121"/>
      <c r="H37" s="130"/>
      <c r="I37" s="580"/>
      <c r="J37" s="130"/>
    </row>
    <row r="38" spans="4:10" s="581" customFormat="1" ht="16.5">
      <c r="D38" s="590"/>
      <c r="G38" s="121"/>
      <c r="H38" s="130"/>
      <c r="I38" s="580"/>
      <c r="J38" s="130"/>
    </row>
    <row r="39" spans="4:10" s="581" customFormat="1" ht="16.5">
      <c r="D39" s="590"/>
      <c r="G39" s="121"/>
      <c r="H39" s="130"/>
      <c r="I39" s="580"/>
      <c r="J39" s="130"/>
    </row>
    <row r="40" spans="4:10" s="581" customFormat="1" ht="16.5">
      <c r="D40" s="590"/>
      <c r="G40" s="121"/>
      <c r="H40" s="130"/>
      <c r="I40" s="580"/>
      <c r="J40" s="130"/>
    </row>
    <row r="41" spans="4:10" s="581" customFormat="1" ht="16.5">
      <c r="D41" s="590"/>
      <c r="G41" s="121"/>
      <c r="H41" s="130"/>
      <c r="I41" s="580"/>
      <c r="J41" s="130"/>
    </row>
    <row r="42" spans="4:10" s="581" customFormat="1" ht="16.5">
      <c r="D42" s="590"/>
      <c r="G42" s="121"/>
      <c r="H42" s="130"/>
      <c r="I42" s="580"/>
      <c r="J42" s="130"/>
    </row>
    <row r="43" spans="4:10" s="581" customFormat="1" ht="16.5">
      <c r="D43" s="590"/>
      <c r="G43" s="121"/>
      <c r="H43" s="130"/>
      <c r="I43" s="580"/>
      <c r="J43" s="130"/>
    </row>
    <row r="44" spans="4:10" s="581" customFormat="1" ht="16.5">
      <c r="D44" s="590"/>
      <c r="G44" s="121"/>
      <c r="H44" s="130"/>
      <c r="I44" s="580"/>
      <c r="J44" s="130"/>
    </row>
    <row r="45" spans="4:10" s="581" customFormat="1" ht="16.5">
      <c r="D45" s="590"/>
      <c r="G45" s="121"/>
      <c r="H45" s="130"/>
      <c r="I45" s="580"/>
      <c r="J45" s="130"/>
    </row>
    <row r="46" spans="4:10" s="581" customFormat="1" ht="16.5">
      <c r="D46" s="590"/>
      <c r="G46" s="121"/>
      <c r="H46" s="130"/>
      <c r="I46" s="580"/>
      <c r="J46" s="130"/>
    </row>
    <row r="47" spans="4:10" s="581" customFormat="1" ht="16.5">
      <c r="D47" s="590"/>
      <c r="G47" s="121"/>
      <c r="H47" s="130"/>
      <c r="I47" s="580"/>
      <c r="J47" s="130"/>
    </row>
    <row r="48" spans="4:10" s="581" customFormat="1" ht="16.5">
      <c r="D48" s="590"/>
      <c r="G48" s="121"/>
      <c r="H48" s="130"/>
      <c r="I48" s="580"/>
      <c r="J48" s="130"/>
    </row>
    <row r="49" spans="4:10" s="581" customFormat="1" ht="16.5">
      <c r="D49" s="590"/>
      <c r="G49" s="121"/>
      <c r="H49" s="130"/>
      <c r="I49" s="580"/>
      <c r="J49" s="130"/>
    </row>
    <row r="50" spans="4:10" s="581" customFormat="1" ht="16.5">
      <c r="D50" s="590"/>
      <c r="G50" s="121"/>
      <c r="H50" s="130"/>
      <c r="I50" s="580"/>
      <c r="J50" s="130"/>
    </row>
    <row r="51" spans="4:10" s="581" customFormat="1" ht="16.5">
      <c r="D51" s="590"/>
      <c r="G51" s="121"/>
      <c r="H51" s="130"/>
      <c r="I51" s="580"/>
      <c r="J51" s="130"/>
    </row>
    <row r="52" spans="4:10" s="581" customFormat="1" ht="16.5">
      <c r="D52" s="590"/>
      <c r="G52" s="121"/>
      <c r="H52" s="130"/>
      <c r="I52" s="580"/>
      <c r="J52" s="130"/>
    </row>
    <row r="53" spans="4:10" s="581" customFormat="1" ht="16.5">
      <c r="D53" s="590"/>
      <c r="G53" s="121"/>
      <c r="H53" s="130"/>
      <c r="I53" s="580"/>
      <c r="J53" s="130"/>
    </row>
    <row r="54" spans="4:10" s="581" customFormat="1" ht="16.5">
      <c r="D54" s="590"/>
      <c r="G54" s="121"/>
      <c r="H54" s="130"/>
      <c r="I54" s="580"/>
      <c r="J54" s="130"/>
    </row>
    <row r="55" spans="4:10" s="581" customFormat="1" ht="16.5">
      <c r="D55" s="590"/>
      <c r="G55" s="121"/>
      <c r="H55" s="130"/>
      <c r="I55" s="580"/>
      <c r="J55" s="130"/>
    </row>
    <row r="56" spans="4:10" s="581" customFormat="1" ht="16.5">
      <c r="D56" s="590"/>
      <c r="G56" s="121"/>
      <c r="H56" s="130"/>
      <c r="I56" s="580"/>
      <c r="J56" s="130"/>
    </row>
    <row r="57" spans="4:10" s="581" customFormat="1" ht="16.5">
      <c r="D57" s="590"/>
      <c r="G57" s="121"/>
      <c r="H57" s="130"/>
      <c r="I57" s="580"/>
      <c r="J57" s="130"/>
    </row>
    <row r="58" spans="4:10" s="581" customFormat="1" ht="16.5">
      <c r="D58" s="590"/>
      <c r="G58" s="121"/>
      <c r="H58" s="130"/>
      <c r="I58" s="580"/>
      <c r="J58" s="130"/>
    </row>
    <row r="59" spans="4:10" s="581" customFormat="1" ht="16.5">
      <c r="D59" s="590"/>
      <c r="G59" s="121"/>
      <c r="H59" s="130"/>
      <c r="I59" s="580"/>
      <c r="J59" s="130"/>
    </row>
    <row r="60" spans="4:10" s="581" customFormat="1" ht="16.5">
      <c r="D60" s="590"/>
      <c r="G60" s="121"/>
      <c r="H60" s="130"/>
      <c r="I60" s="580"/>
      <c r="J60" s="130"/>
    </row>
    <row r="61" spans="4:10" s="581" customFormat="1" ht="16.5">
      <c r="D61" s="590"/>
      <c r="G61" s="121"/>
      <c r="H61" s="130"/>
      <c r="I61" s="580"/>
      <c r="J61" s="130"/>
    </row>
    <row r="62" spans="4:10" s="581" customFormat="1" ht="16.5">
      <c r="D62" s="590"/>
      <c r="G62" s="121"/>
      <c r="H62" s="130"/>
      <c r="I62" s="580"/>
      <c r="J62" s="130"/>
    </row>
    <row r="63" spans="4:10" s="581" customFormat="1" ht="16.5">
      <c r="D63" s="590"/>
      <c r="G63" s="121"/>
      <c r="H63" s="130"/>
      <c r="I63" s="580"/>
      <c r="J63" s="130"/>
    </row>
    <row r="64" spans="4:10" s="581" customFormat="1" ht="16.5">
      <c r="D64" s="590"/>
      <c r="G64" s="121"/>
      <c r="H64" s="130"/>
      <c r="I64" s="580"/>
      <c r="J64" s="130"/>
    </row>
    <row r="65" spans="4:10" s="581" customFormat="1" ht="16.5">
      <c r="D65" s="590"/>
      <c r="G65" s="121"/>
      <c r="H65" s="130"/>
      <c r="I65" s="580"/>
      <c r="J65" s="130"/>
    </row>
    <row r="66" spans="4:10" s="581" customFormat="1" ht="16.5">
      <c r="D66" s="590"/>
      <c r="G66" s="121"/>
      <c r="H66" s="130"/>
      <c r="I66" s="580"/>
      <c r="J66" s="130"/>
    </row>
    <row r="67" spans="4:10" s="581" customFormat="1" ht="16.5">
      <c r="D67" s="590"/>
      <c r="G67" s="121"/>
      <c r="H67" s="130"/>
      <c r="I67" s="580"/>
      <c r="J67" s="130"/>
    </row>
    <row r="68" spans="4:10" s="581" customFormat="1" ht="16.5">
      <c r="D68" s="590"/>
      <c r="G68" s="121"/>
      <c r="H68" s="130"/>
      <c r="I68" s="580"/>
      <c r="J68" s="130"/>
    </row>
    <row r="69" spans="4:10" s="581" customFormat="1" ht="16.5">
      <c r="D69" s="590"/>
      <c r="G69" s="121"/>
      <c r="H69" s="130"/>
      <c r="I69" s="580"/>
      <c r="J69" s="130"/>
    </row>
    <row r="70" spans="4:10" s="581" customFormat="1" ht="16.5">
      <c r="D70" s="590"/>
      <c r="G70" s="121"/>
      <c r="H70" s="130"/>
      <c r="I70" s="580"/>
      <c r="J70" s="130"/>
    </row>
    <row r="71" spans="4:10" s="581" customFormat="1" ht="16.5">
      <c r="D71" s="590"/>
      <c r="G71" s="121"/>
      <c r="H71" s="130"/>
      <c r="I71" s="580"/>
      <c r="J71" s="130"/>
    </row>
    <row r="72" spans="4:10" s="581" customFormat="1" ht="16.5">
      <c r="D72" s="590"/>
      <c r="G72" s="121"/>
      <c r="H72" s="130"/>
      <c r="I72" s="580"/>
      <c r="J72" s="130"/>
    </row>
    <row r="73" spans="4:10" s="581" customFormat="1" ht="16.5">
      <c r="D73" s="590"/>
      <c r="G73" s="121"/>
      <c r="H73" s="130"/>
      <c r="I73" s="580"/>
      <c r="J73" s="130"/>
    </row>
    <row r="74" spans="4:10" s="581" customFormat="1" ht="16.5">
      <c r="D74" s="590"/>
      <c r="G74" s="121"/>
      <c r="H74" s="130"/>
      <c r="I74" s="580"/>
      <c r="J74" s="130"/>
    </row>
    <row r="75" spans="4:10" s="581" customFormat="1" ht="16.5">
      <c r="D75" s="590"/>
      <c r="G75" s="121"/>
      <c r="H75" s="130"/>
      <c r="I75" s="580"/>
      <c r="J75" s="130"/>
    </row>
    <row r="76" spans="4:10" s="581" customFormat="1" ht="16.5">
      <c r="D76" s="590"/>
      <c r="G76" s="121"/>
      <c r="H76" s="130"/>
      <c r="I76" s="580"/>
      <c r="J76" s="130"/>
    </row>
    <row r="77" spans="4:10" s="581" customFormat="1" ht="16.5">
      <c r="D77" s="590"/>
      <c r="G77" s="121"/>
      <c r="H77" s="130"/>
      <c r="I77" s="580"/>
      <c r="J77" s="130"/>
    </row>
    <row r="78" spans="4:10" s="581" customFormat="1" ht="16.5">
      <c r="D78" s="590"/>
      <c r="G78" s="121"/>
      <c r="H78" s="130"/>
      <c r="I78" s="580"/>
      <c r="J78" s="130"/>
    </row>
    <row r="79" spans="4:10" s="581" customFormat="1" ht="16.5">
      <c r="D79" s="590"/>
      <c r="G79" s="121"/>
      <c r="H79" s="130"/>
      <c r="I79" s="580"/>
      <c r="J79" s="130"/>
    </row>
    <row r="80" spans="4:10" s="581" customFormat="1" ht="16.5">
      <c r="D80" s="590"/>
      <c r="G80" s="121"/>
      <c r="H80" s="130"/>
      <c r="I80" s="580"/>
      <c r="J80" s="130"/>
    </row>
    <row r="81" spans="4:10" s="581" customFormat="1" ht="16.5">
      <c r="D81" s="590"/>
      <c r="G81" s="121"/>
      <c r="H81" s="130"/>
      <c r="I81" s="580"/>
      <c r="J81" s="130"/>
    </row>
    <row r="82" spans="4:10" s="581" customFormat="1" ht="16.5">
      <c r="D82" s="590"/>
      <c r="G82" s="121"/>
      <c r="H82" s="130"/>
      <c r="I82" s="580"/>
      <c r="J82" s="130"/>
    </row>
    <row r="83" spans="4:10" s="581" customFormat="1" ht="16.5">
      <c r="D83" s="590"/>
      <c r="G83" s="121"/>
      <c r="H83" s="130"/>
      <c r="I83" s="580"/>
      <c r="J83" s="130"/>
    </row>
    <row r="84" spans="4:10" s="581" customFormat="1" ht="16.5">
      <c r="D84" s="590"/>
      <c r="G84" s="121"/>
      <c r="H84" s="130"/>
      <c r="I84" s="580"/>
      <c r="J84" s="130"/>
    </row>
    <row r="85" spans="4:10" s="581" customFormat="1" ht="16.5">
      <c r="D85" s="590"/>
      <c r="G85" s="121"/>
      <c r="H85" s="130"/>
      <c r="I85" s="580"/>
      <c r="J85" s="130"/>
    </row>
    <row r="86" spans="4:10" s="581" customFormat="1" ht="16.5">
      <c r="D86" s="590"/>
      <c r="G86" s="121"/>
      <c r="H86" s="130"/>
      <c r="I86" s="580"/>
      <c r="J86" s="130"/>
    </row>
    <row r="87" spans="4:10" s="581" customFormat="1" ht="16.5">
      <c r="D87" s="590"/>
      <c r="G87" s="121"/>
      <c r="H87" s="130"/>
      <c r="I87" s="580"/>
      <c r="J87" s="130"/>
    </row>
    <row r="88" spans="4:10" s="581" customFormat="1" ht="16.5">
      <c r="D88" s="590"/>
      <c r="G88" s="121"/>
      <c r="H88" s="130"/>
      <c r="I88" s="580"/>
      <c r="J88" s="130"/>
    </row>
    <row r="89" spans="4:10" s="581" customFormat="1" ht="16.5">
      <c r="D89" s="590"/>
      <c r="G89" s="121"/>
      <c r="H89" s="130"/>
      <c r="I89" s="580"/>
      <c r="J89" s="130"/>
    </row>
    <row r="90" spans="4:10" s="581" customFormat="1" ht="16.5">
      <c r="D90" s="590"/>
      <c r="G90" s="121"/>
      <c r="H90" s="130"/>
      <c r="I90" s="580"/>
      <c r="J90" s="130"/>
    </row>
    <row r="91" spans="4:10" s="581" customFormat="1" ht="16.5">
      <c r="D91" s="590"/>
      <c r="G91" s="121"/>
      <c r="H91" s="130"/>
      <c r="I91" s="580"/>
      <c r="J91" s="130"/>
    </row>
    <row r="92" spans="4:10" s="581" customFormat="1" ht="16.5">
      <c r="D92" s="590"/>
      <c r="G92" s="121"/>
      <c r="H92" s="130"/>
      <c r="I92" s="580"/>
      <c r="J92" s="130"/>
    </row>
    <row r="93" spans="4:10" s="581" customFormat="1" ht="16.5">
      <c r="D93" s="590"/>
      <c r="G93" s="121"/>
      <c r="H93" s="130"/>
      <c r="I93" s="580"/>
      <c r="J93" s="130"/>
    </row>
    <row r="94" spans="4:10" s="581" customFormat="1" ht="16.5">
      <c r="D94" s="590"/>
      <c r="G94" s="121"/>
      <c r="H94" s="130"/>
      <c r="I94" s="580"/>
      <c r="J94" s="130"/>
    </row>
    <row r="95" spans="4:10" s="581" customFormat="1" ht="16.5">
      <c r="D95" s="590"/>
      <c r="G95" s="121"/>
      <c r="H95" s="130"/>
      <c r="I95" s="580"/>
      <c r="J95" s="130"/>
    </row>
    <row r="96" spans="4:10" s="581" customFormat="1" ht="16.5">
      <c r="D96" s="590"/>
      <c r="G96" s="121"/>
      <c r="H96" s="130"/>
      <c r="I96" s="580"/>
      <c r="J96" s="130"/>
    </row>
    <row r="97" spans="4:10" s="581" customFormat="1" ht="16.5">
      <c r="D97" s="590"/>
      <c r="G97" s="121"/>
      <c r="H97" s="130"/>
      <c r="I97" s="580"/>
      <c r="J97" s="130"/>
    </row>
    <row r="98" spans="4:10" s="581" customFormat="1" ht="16.5">
      <c r="D98" s="590"/>
      <c r="G98" s="121"/>
      <c r="H98" s="130"/>
      <c r="I98" s="580"/>
      <c r="J98" s="130"/>
    </row>
    <row r="99" spans="4:10" s="581" customFormat="1" ht="16.5">
      <c r="D99" s="590"/>
      <c r="G99" s="121"/>
      <c r="H99" s="130"/>
      <c r="I99" s="580"/>
      <c r="J99" s="130"/>
    </row>
    <row r="100" spans="4:10" s="581" customFormat="1" ht="16.5">
      <c r="D100" s="590"/>
      <c r="G100" s="121"/>
      <c r="H100" s="130"/>
      <c r="I100" s="580"/>
      <c r="J100" s="130"/>
    </row>
    <row r="101" spans="4:10" s="581" customFormat="1" ht="16.5">
      <c r="D101" s="590"/>
      <c r="G101" s="121"/>
      <c r="H101" s="130"/>
      <c r="I101" s="580"/>
      <c r="J101" s="130"/>
    </row>
    <row r="102" spans="4:10" s="581" customFormat="1" ht="16.5">
      <c r="D102" s="590"/>
      <c r="G102" s="121"/>
      <c r="H102" s="130"/>
      <c r="I102" s="580"/>
      <c r="J102" s="130"/>
    </row>
    <row r="103" spans="4:10" s="581" customFormat="1" ht="16.5">
      <c r="D103" s="590"/>
      <c r="G103" s="121"/>
      <c r="H103" s="130"/>
      <c r="I103" s="580"/>
      <c r="J103" s="130"/>
    </row>
    <row r="104" spans="4:10" s="581" customFormat="1" ht="16.5">
      <c r="D104" s="590"/>
      <c r="G104" s="121"/>
      <c r="H104" s="130"/>
      <c r="I104" s="580"/>
      <c r="J104" s="130"/>
    </row>
    <row r="105" spans="4:10" s="581" customFormat="1" ht="16.5">
      <c r="D105" s="590"/>
      <c r="G105" s="121"/>
      <c r="H105" s="130"/>
      <c r="I105" s="580"/>
      <c r="J105" s="130"/>
    </row>
    <row r="106" spans="4:10" s="581" customFormat="1" ht="16.5">
      <c r="D106" s="590"/>
      <c r="G106" s="121"/>
      <c r="H106" s="130"/>
      <c r="I106" s="580"/>
      <c r="J106" s="130"/>
    </row>
    <row r="107" spans="4:10" s="581" customFormat="1" ht="16.5">
      <c r="D107" s="590"/>
      <c r="G107" s="121"/>
      <c r="H107" s="130"/>
      <c r="I107" s="580"/>
      <c r="J107" s="130"/>
    </row>
    <row r="108" spans="4:10" s="581" customFormat="1" ht="16.5">
      <c r="D108" s="590"/>
      <c r="G108" s="121"/>
      <c r="H108" s="130"/>
      <c r="I108" s="580"/>
      <c r="J108" s="130"/>
    </row>
    <row r="109" spans="4:10" s="581" customFormat="1" ht="16.5">
      <c r="D109" s="590"/>
      <c r="G109" s="121"/>
      <c r="H109" s="130"/>
      <c r="I109" s="580"/>
      <c r="J109" s="130"/>
    </row>
    <row r="110" spans="4:10" s="581" customFormat="1" ht="16.5">
      <c r="D110" s="590"/>
      <c r="G110" s="121"/>
      <c r="H110" s="130"/>
      <c r="I110" s="580"/>
      <c r="J110" s="130"/>
    </row>
    <row r="111" spans="4:10" s="581" customFormat="1" ht="16.5">
      <c r="D111" s="590"/>
      <c r="G111" s="121"/>
      <c r="H111" s="130"/>
      <c r="I111" s="580"/>
      <c r="J111" s="130"/>
    </row>
    <row r="112" spans="4:10" s="581" customFormat="1" ht="16.5">
      <c r="D112" s="590"/>
      <c r="G112" s="121"/>
      <c r="H112" s="130"/>
      <c r="I112" s="580"/>
      <c r="J112" s="130"/>
    </row>
    <row r="113" spans="4:10" s="581" customFormat="1" ht="16.5">
      <c r="D113" s="590"/>
      <c r="G113" s="121"/>
      <c r="H113" s="130"/>
      <c r="I113" s="580"/>
      <c r="J113" s="130"/>
    </row>
    <row r="114" spans="4:10" s="581" customFormat="1" ht="16.5">
      <c r="D114" s="590"/>
      <c r="G114" s="121"/>
      <c r="H114" s="130"/>
      <c r="I114" s="580"/>
      <c r="J114" s="130"/>
    </row>
    <row r="115" spans="4:10" s="581" customFormat="1" ht="16.5">
      <c r="D115" s="590"/>
      <c r="G115" s="121"/>
      <c r="H115" s="130"/>
      <c r="I115" s="580"/>
      <c r="J115" s="130"/>
    </row>
    <row r="116" spans="4:10" s="581" customFormat="1" ht="16.5">
      <c r="D116" s="590"/>
      <c r="G116" s="121"/>
      <c r="H116" s="130"/>
      <c r="I116" s="580"/>
      <c r="J116" s="130"/>
    </row>
    <row r="117" spans="4:10" s="581" customFormat="1" ht="16.5">
      <c r="D117" s="590"/>
      <c r="G117" s="121"/>
      <c r="H117" s="130"/>
      <c r="I117" s="580"/>
      <c r="J117" s="130"/>
    </row>
    <row r="118" spans="4:10" s="581" customFormat="1" ht="16.5">
      <c r="D118" s="590"/>
      <c r="G118" s="121"/>
      <c r="H118" s="130"/>
      <c r="I118" s="580"/>
      <c r="J118" s="130"/>
    </row>
    <row r="119" spans="4:10" s="581" customFormat="1" ht="16.5">
      <c r="D119" s="590"/>
      <c r="G119" s="121"/>
      <c r="H119" s="130"/>
      <c r="I119" s="580"/>
      <c r="J119" s="130"/>
    </row>
    <row r="120" spans="4:10" s="581" customFormat="1" ht="16.5">
      <c r="D120" s="590"/>
      <c r="G120" s="121"/>
      <c r="H120" s="130"/>
      <c r="I120" s="580"/>
      <c r="J120" s="130"/>
    </row>
    <row r="121" spans="4:10" s="581" customFormat="1" ht="16.5">
      <c r="D121" s="590"/>
      <c r="G121" s="121"/>
      <c r="H121" s="130"/>
      <c r="I121" s="580"/>
      <c r="J121" s="130"/>
    </row>
    <row r="122" spans="4:10" s="581" customFormat="1" ht="16.5">
      <c r="D122" s="590"/>
      <c r="G122" s="121"/>
      <c r="H122" s="130"/>
      <c r="I122" s="580"/>
      <c r="J122" s="130"/>
    </row>
    <row r="123" spans="4:10" s="581" customFormat="1" ht="16.5">
      <c r="D123" s="590"/>
      <c r="G123" s="121"/>
      <c r="H123" s="130"/>
      <c r="I123" s="580"/>
      <c r="J123" s="130"/>
    </row>
    <row r="124" spans="4:10" s="581" customFormat="1" ht="16.5">
      <c r="D124" s="590"/>
      <c r="G124" s="121"/>
      <c r="H124" s="130"/>
      <c r="I124" s="580"/>
      <c r="J124" s="130"/>
    </row>
    <row r="125" spans="4:10" s="581" customFormat="1" ht="16.5">
      <c r="D125" s="590"/>
      <c r="G125" s="121"/>
      <c r="H125" s="130"/>
      <c r="I125" s="580"/>
      <c r="J125" s="130"/>
    </row>
    <row r="126" spans="4:10" s="581" customFormat="1" ht="16.5">
      <c r="D126" s="590"/>
      <c r="G126" s="121"/>
      <c r="H126" s="130"/>
      <c r="I126" s="580"/>
      <c r="J126" s="130"/>
    </row>
    <row r="127" spans="4:10" s="581" customFormat="1" ht="16.5">
      <c r="D127" s="590"/>
      <c r="G127" s="121"/>
      <c r="H127" s="130"/>
      <c r="I127" s="580"/>
      <c r="J127" s="130"/>
    </row>
    <row r="128" spans="4:10" s="581" customFormat="1" ht="16.5">
      <c r="D128" s="590"/>
      <c r="G128" s="121"/>
      <c r="H128" s="130"/>
      <c r="I128" s="580"/>
      <c r="J128" s="130"/>
    </row>
    <row r="129" spans="4:10" s="581" customFormat="1" ht="16.5">
      <c r="D129" s="590"/>
      <c r="G129" s="121"/>
      <c r="H129" s="130"/>
      <c r="I129" s="580"/>
      <c r="J129" s="130"/>
    </row>
    <row r="130" spans="4:10" s="581" customFormat="1" ht="16.5">
      <c r="D130" s="590"/>
      <c r="G130" s="121"/>
      <c r="H130" s="130"/>
      <c r="I130" s="580"/>
      <c r="J130" s="130"/>
    </row>
    <row r="131" spans="4:10" s="581" customFormat="1" ht="16.5">
      <c r="D131" s="590"/>
      <c r="G131" s="121"/>
      <c r="H131" s="130"/>
      <c r="I131" s="580"/>
      <c r="J131" s="130"/>
    </row>
    <row r="132" spans="4:10" s="581" customFormat="1" ht="16.5">
      <c r="D132" s="590"/>
      <c r="G132" s="121"/>
      <c r="H132" s="130"/>
      <c r="I132" s="580"/>
      <c r="J132" s="130"/>
    </row>
    <row r="133" spans="4:10" s="581" customFormat="1" ht="16.5">
      <c r="D133" s="590"/>
      <c r="G133" s="121"/>
      <c r="H133" s="130"/>
      <c r="I133" s="580"/>
      <c r="J133" s="130"/>
    </row>
    <row r="134" spans="4:10" s="581" customFormat="1" ht="16.5">
      <c r="D134" s="590"/>
      <c r="G134" s="121"/>
      <c r="H134" s="130"/>
      <c r="I134" s="580"/>
      <c r="J134" s="130"/>
    </row>
    <row r="135" spans="4:10" s="581" customFormat="1" ht="16.5">
      <c r="D135" s="590"/>
      <c r="G135" s="121"/>
      <c r="H135" s="130"/>
      <c r="I135" s="580"/>
      <c r="J135" s="130"/>
    </row>
    <row r="136" spans="4:10" s="581" customFormat="1" ht="16.5">
      <c r="D136" s="590"/>
      <c r="G136" s="121"/>
      <c r="H136" s="130"/>
      <c r="I136" s="580"/>
      <c r="J136" s="130"/>
    </row>
    <row r="137" spans="4:10" s="581" customFormat="1" ht="16.5">
      <c r="D137" s="590"/>
      <c r="G137" s="121"/>
      <c r="H137" s="130"/>
      <c r="I137" s="580"/>
      <c r="J137" s="130"/>
    </row>
    <row r="138" spans="4:10" s="581" customFormat="1" ht="16.5">
      <c r="D138" s="590"/>
      <c r="G138" s="121"/>
      <c r="H138" s="130"/>
      <c r="I138" s="580"/>
      <c r="J138" s="130"/>
    </row>
    <row r="139" spans="4:10" s="581" customFormat="1" ht="16.5">
      <c r="D139" s="590"/>
      <c r="G139" s="121"/>
      <c r="H139" s="130"/>
      <c r="I139" s="580"/>
      <c r="J139" s="130"/>
    </row>
    <row r="140" spans="4:10" s="581" customFormat="1" ht="16.5">
      <c r="D140" s="590"/>
      <c r="G140" s="121"/>
      <c r="H140" s="130"/>
      <c r="I140" s="580"/>
      <c r="J140" s="130"/>
    </row>
    <row r="141" spans="4:10" s="581" customFormat="1" ht="16.5">
      <c r="D141" s="590"/>
      <c r="G141" s="121"/>
      <c r="H141" s="130"/>
      <c r="I141" s="580"/>
      <c r="J141" s="130"/>
    </row>
    <row r="142" spans="4:10" s="581" customFormat="1" ht="16.5">
      <c r="D142" s="590"/>
      <c r="G142" s="121"/>
      <c r="H142" s="130"/>
      <c r="I142" s="580"/>
      <c r="J142" s="130"/>
    </row>
    <row r="143" spans="4:10" s="581" customFormat="1" ht="16.5">
      <c r="D143" s="590"/>
      <c r="G143" s="121"/>
      <c r="H143" s="130"/>
      <c r="I143" s="580"/>
      <c r="J143" s="130"/>
    </row>
    <row r="144" spans="4:10" s="581" customFormat="1" ht="16.5">
      <c r="D144" s="590"/>
      <c r="G144" s="121"/>
      <c r="H144" s="130"/>
      <c r="I144" s="580"/>
      <c r="J144" s="130"/>
    </row>
    <row r="145" spans="4:10" s="581" customFormat="1" ht="16.5">
      <c r="D145" s="590"/>
      <c r="G145" s="121"/>
      <c r="H145" s="130"/>
      <c r="I145" s="580"/>
      <c r="J145" s="130"/>
    </row>
    <row r="146" spans="4:10" s="581" customFormat="1" ht="16.5">
      <c r="D146" s="590"/>
      <c r="G146" s="121"/>
      <c r="H146" s="130"/>
      <c r="I146" s="580"/>
      <c r="J146" s="130"/>
    </row>
    <row r="147" spans="4:10" s="581" customFormat="1" ht="16.5">
      <c r="D147" s="590"/>
      <c r="G147" s="121"/>
      <c r="H147" s="130"/>
      <c r="I147" s="580"/>
      <c r="J147" s="130"/>
    </row>
    <row r="148" spans="4:10" s="581" customFormat="1" ht="16.5">
      <c r="D148" s="590"/>
      <c r="G148" s="121"/>
      <c r="H148" s="130"/>
      <c r="I148" s="580"/>
      <c r="J148" s="130"/>
    </row>
    <row r="149" spans="4:10" s="581" customFormat="1" ht="16.5">
      <c r="D149" s="590"/>
      <c r="G149" s="121"/>
      <c r="H149" s="130"/>
      <c r="I149" s="580"/>
      <c r="J149" s="130"/>
    </row>
    <row r="150" spans="4:10" s="581" customFormat="1" ht="16.5">
      <c r="D150" s="590"/>
      <c r="G150" s="121"/>
      <c r="H150" s="130"/>
      <c r="I150" s="580"/>
      <c r="J150" s="130"/>
    </row>
    <row r="151" spans="4:10" s="581" customFormat="1" ht="16.5">
      <c r="D151" s="590"/>
      <c r="G151" s="121"/>
      <c r="H151" s="130"/>
      <c r="I151" s="580"/>
      <c r="J151" s="130"/>
    </row>
    <row r="152" spans="4:10" s="581" customFormat="1" ht="16.5">
      <c r="D152" s="590"/>
      <c r="G152" s="121"/>
      <c r="H152" s="130"/>
      <c r="I152" s="580"/>
      <c r="J152" s="130"/>
    </row>
    <row r="153" spans="4:10" s="581" customFormat="1" ht="16.5">
      <c r="D153" s="590"/>
      <c r="G153" s="121"/>
      <c r="H153" s="130"/>
      <c r="I153" s="580"/>
      <c r="J153" s="130"/>
    </row>
    <row r="154" spans="4:10" s="581" customFormat="1" ht="16.5">
      <c r="D154" s="590"/>
      <c r="G154" s="121"/>
      <c r="H154" s="130"/>
      <c r="I154" s="580"/>
      <c r="J154" s="130"/>
    </row>
    <row r="155" spans="4:10" s="581" customFormat="1" ht="16.5">
      <c r="D155" s="590"/>
      <c r="G155" s="121"/>
      <c r="H155" s="130"/>
      <c r="I155" s="580"/>
      <c r="J155" s="130"/>
    </row>
    <row r="156" spans="4:10" s="581" customFormat="1" ht="16.5">
      <c r="D156" s="590"/>
      <c r="G156" s="121"/>
      <c r="H156" s="130"/>
      <c r="I156" s="580"/>
      <c r="J156" s="130"/>
    </row>
    <row r="157" spans="4:10" s="581" customFormat="1" ht="16.5">
      <c r="D157" s="590"/>
      <c r="G157" s="121"/>
      <c r="H157" s="130"/>
      <c r="I157" s="580"/>
      <c r="J157" s="130"/>
    </row>
    <row r="158" spans="4:10" s="581" customFormat="1" ht="16.5">
      <c r="D158" s="590"/>
      <c r="G158" s="121"/>
      <c r="H158" s="130"/>
      <c r="I158" s="580"/>
      <c r="J158" s="130"/>
    </row>
    <row r="159" spans="4:10" s="581" customFormat="1" ht="16.5">
      <c r="D159" s="590"/>
      <c r="G159" s="121"/>
      <c r="H159" s="130"/>
      <c r="I159" s="580"/>
      <c r="J159" s="130"/>
    </row>
    <row r="160" spans="4:10" s="581" customFormat="1" ht="16.5">
      <c r="D160" s="590"/>
      <c r="G160" s="121"/>
      <c r="H160" s="130"/>
      <c r="I160" s="580"/>
      <c r="J160" s="130"/>
    </row>
    <row r="161" spans="4:10" s="581" customFormat="1" ht="16.5">
      <c r="D161" s="590"/>
      <c r="G161" s="121"/>
      <c r="H161" s="130"/>
      <c r="I161" s="580"/>
      <c r="J161" s="130"/>
    </row>
    <row r="162" spans="4:10" s="581" customFormat="1" ht="16.5">
      <c r="D162" s="590"/>
      <c r="G162" s="121"/>
      <c r="H162" s="130"/>
      <c r="I162" s="580"/>
      <c r="J162" s="130"/>
    </row>
    <row r="163" spans="4:10" s="581" customFormat="1" ht="16.5">
      <c r="D163" s="590"/>
      <c r="G163" s="121"/>
      <c r="H163" s="130"/>
      <c r="I163" s="580"/>
      <c r="J163" s="130"/>
    </row>
    <row r="164" spans="4:10" s="581" customFormat="1" ht="16.5">
      <c r="D164" s="590"/>
      <c r="G164" s="121"/>
      <c r="H164" s="130"/>
      <c r="I164" s="580"/>
      <c r="J164" s="130"/>
    </row>
    <row r="165" spans="4:10" s="581" customFormat="1" ht="16.5">
      <c r="D165" s="590"/>
      <c r="G165" s="121"/>
      <c r="H165" s="130"/>
      <c r="I165" s="580"/>
      <c r="J165" s="130"/>
    </row>
    <row r="166" spans="4:10" s="581" customFormat="1" ht="16.5">
      <c r="D166" s="590"/>
      <c r="G166" s="121"/>
      <c r="H166" s="130"/>
      <c r="I166" s="580"/>
      <c r="J166" s="130"/>
    </row>
  </sheetData>
  <mergeCells count="3">
    <mergeCell ref="A17:A21"/>
    <mergeCell ref="A5:A12"/>
    <mergeCell ref="A1:E1"/>
  </mergeCells>
  <phoneticPr fontId="76" type="noConversion"/>
  <dataValidations count="1">
    <dataValidation type="list" allowBlank="1" showInputMessage="1" showErrorMessage="1" sqref="WVF983025 IT65521 SP65521 ACL65521 AMH65521 AWD65521 BFZ65521 BPV65521 BZR65521 CJN65521 CTJ65521 DDF65521 DNB65521 DWX65521 EGT65521 EQP65521 FAL65521 FKH65521 FUD65521 GDZ65521 GNV65521 GXR65521 HHN65521 HRJ65521 IBF65521 ILB65521 IUX65521 JET65521 JOP65521 JYL65521 KIH65521 KSD65521 LBZ65521 LLV65521 LVR65521 MFN65521 MPJ65521 MZF65521 NJB65521 NSX65521 OCT65521 OMP65521 OWL65521 PGH65521 PQD65521 PZZ65521 QJV65521 QTR65521 RDN65521 RNJ65521 RXF65521 SHB65521 SQX65521 TAT65521 TKP65521 TUL65521 UEH65521 UOD65521 UXZ65521 VHV65521 VRR65521 WBN65521 WLJ65521 WVF65521 IT131057 SP131057 ACL131057 AMH131057 AWD131057 BFZ131057 BPV131057 BZR131057 CJN131057 CTJ131057 DDF131057 DNB131057 DWX131057 EGT131057 EQP131057 FAL131057 FKH131057 FUD131057 GDZ131057 GNV131057 GXR131057 HHN131057 HRJ131057 IBF131057 ILB131057 IUX131057 JET131057 JOP131057 JYL131057 KIH131057 KSD131057 LBZ131057 LLV131057 LVR131057 MFN131057 MPJ131057 MZF131057 NJB131057 NSX131057 OCT131057 OMP131057 OWL131057 PGH131057 PQD131057 PZZ131057 QJV131057 QTR131057 RDN131057 RNJ131057 RXF131057 SHB131057 SQX131057 TAT131057 TKP131057 TUL131057 UEH131057 UOD131057 UXZ131057 VHV131057 VRR131057 WBN131057 WLJ131057 WVF131057 IT196593 SP196593 ACL196593 AMH196593 AWD196593 BFZ196593 BPV196593 BZR196593 CJN196593 CTJ196593 DDF196593 DNB196593 DWX196593 EGT196593 EQP196593 FAL196593 FKH196593 FUD196593 GDZ196593 GNV196593 GXR196593 HHN196593 HRJ196593 IBF196593 ILB196593 IUX196593 JET196593 JOP196593 JYL196593 KIH196593 KSD196593 LBZ196593 LLV196593 LVR196593 MFN196593 MPJ196593 MZF196593 NJB196593 NSX196593 OCT196593 OMP196593 OWL196593 PGH196593 PQD196593 PZZ196593 QJV196593 QTR196593 RDN196593 RNJ196593 RXF196593 SHB196593 SQX196593 TAT196593 TKP196593 TUL196593 UEH196593 UOD196593 UXZ196593 VHV196593 VRR196593 WBN196593 WLJ196593 WVF196593 IT262129 SP262129 ACL262129 AMH262129 AWD262129 BFZ262129 BPV262129 BZR262129 CJN262129 CTJ262129 DDF262129 DNB262129 DWX262129 EGT262129 EQP262129 FAL262129 FKH262129 FUD262129 GDZ262129 GNV262129 GXR262129 HHN262129 HRJ262129 IBF262129 ILB262129 IUX262129 JET262129 JOP262129 JYL262129 KIH262129 KSD262129 LBZ262129 LLV262129 LVR262129 MFN262129 MPJ262129 MZF262129 NJB262129 NSX262129 OCT262129 OMP262129 OWL262129 PGH262129 PQD262129 PZZ262129 QJV262129 QTR262129 RDN262129 RNJ262129 RXF262129 SHB262129 SQX262129 TAT262129 TKP262129 TUL262129 UEH262129 UOD262129 UXZ262129 VHV262129 VRR262129 WBN262129 WLJ262129 WVF262129 IT327665 SP327665 ACL327665 AMH327665 AWD327665 BFZ327665 BPV327665 BZR327665 CJN327665 CTJ327665 DDF327665 DNB327665 DWX327665 EGT327665 EQP327665 FAL327665 FKH327665 FUD327665 GDZ327665 GNV327665 GXR327665 HHN327665 HRJ327665 IBF327665 ILB327665 IUX327665 JET327665 JOP327665 JYL327665 KIH327665 KSD327665 LBZ327665 LLV327665 LVR327665 MFN327665 MPJ327665 MZF327665 NJB327665 NSX327665 OCT327665 OMP327665 OWL327665 PGH327665 PQD327665 PZZ327665 QJV327665 QTR327665 RDN327665 RNJ327665 RXF327665 SHB327665 SQX327665 TAT327665 TKP327665 TUL327665 UEH327665 UOD327665 UXZ327665 VHV327665 VRR327665 WBN327665 WLJ327665 WVF327665 IT393201 SP393201 ACL393201 AMH393201 AWD393201 BFZ393201 BPV393201 BZR393201 CJN393201 CTJ393201 DDF393201 DNB393201 DWX393201 EGT393201 EQP393201 FAL393201 FKH393201 FUD393201 GDZ393201 GNV393201 GXR393201 HHN393201 HRJ393201 IBF393201 ILB393201 IUX393201 JET393201 JOP393201 JYL393201 KIH393201 KSD393201 LBZ393201 LLV393201 LVR393201 MFN393201 MPJ393201 MZF393201 NJB393201 NSX393201 OCT393201 OMP393201 OWL393201 PGH393201 PQD393201 PZZ393201 QJV393201 QTR393201 RDN393201 RNJ393201 RXF393201 SHB393201 SQX393201 TAT393201 TKP393201 TUL393201 UEH393201 UOD393201 UXZ393201 VHV393201 VRR393201 WBN393201 WLJ393201 WVF393201 IT458737 SP458737 ACL458737 AMH458737 AWD458737 BFZ458737 BPV458737 BZR458737 CJN458737 CTJ458737 DDF458737 DNB458737 DWX458737 EGT458737 EQP458737 FAL458737 FKH458737 FUD458737 GDZ458737 GNV458737 GXR458737 HHN458737 HRJ458737 IBF458737 ILB458737 IUX458737 JET458737 JOP458737 JYL458737 KIH458737 KSD458737 LBZ458737 LLV458737 LVR458737 MFN458737 MPJ458737 MZF458737 NJB458737 NSX458737 OCT458737 OMP458737 OWL458737 PGH458737 PQD458737 PZZ458737 QJV458737 QTR458737 RDN458737 RNJ458737 RXF458737 SHB458737 SQX458737 TAT458737 TKP458737 TUL458737 UEH458737 UOD458737 UXZ458737 VHV458737 VRR458737 WBN458737 WLJ458737 WVF458737 IT524273 SP524273 ACL524273 AMH524273 AWD524273 BFZ524273 BPV524273 BZR524273 CJN524273 CTJ524273 DDF524273 DNB524273 DWX524273 EGT524273 EQP524273 FAL524273 FKH524273 FUD524273 GDZ524273 GNV524273 GXR524273 HHN524273 HRJ524273 IBF524273 ILB524273 IUX524273 JET524273 JOP524273 JYL524273 KIH524273 KSD524273 LBZ524273 LLV524273 LVR524273 MFN524273 MPJ524273 MZF524273 NJB524273 NSX524273 OCT524273 OMP524273 OWL524273 PGH524273 PQD524273 PZZ524273 QJV524273 QTR524273 RDN524273 RNJ524273 RXF524273 SHB524273 SQX524273 TAT524273 TKP524273 TUL524273 UEH524273 UOD524273 UXZ524273 VHV524273 VRR524273 WBN524273 WLJ524273 WVF524273 IT589809 SP589809 ACL589809 AMH589809 AWD589809 BFZ589809 BPV589809 BZR589809 CJN589809 CTJ589809 DDF589809 DNB589809 DWX589809 EGT589809 EQP589809 FAL589809 FKH589809 FUD589809 GDZ589809 GNV589809 GXR589809 HHN589809 HRJ589809 IBF589809 ILB589809 IUX589809 JET589809 JOP589809 JYL589809 KIH589809 KSD589809 LBZ589809 LLV589809 LVR589809 MFN589809 MPJ589809 MZF589809 NJB589809 NSX589809 OCT589809 OMP589809 OWL589809 PGH589809 PQD589809 PZZ589809 QJV589809 QTR589809 RDN589809 RNJ589809 RXF589809 SHB589809 SQX589809 TAT589809 TKP589809 TUL589809 UEH589809 UOD589809 UXZ589809 VHV589809 VRR589809 WBN589809 WLJ589809 WVF589809 IT655345 SP655345 ACL655345 AMH655345 AWD655345 BFZ655345 BPV655345 BZR655345 CJN655345 CTJ655345 DDF655345 DNB655345 DWX655345 EGT655345 EQP655345 FAL655345 FKH655345 FUD655345 GDZ655345 GNV655345 GXR655345 HHN655345 HRJ655345 IBF655345 ILB655345 IUX655345 JET655345 JOP655345 JYL655345 KIH655345 KSD655345 LBZ655345 LLV655345 LVR655345 MFN655345 MPJ655345 MZF655345 NJB655345 NSX655345 OCT655345 OMP655345 OWL655345 PGH655345 PQD655345 PZZ655345 QJV655345 QTR655345 RDN655345 RNJ655345 RXF655345 SHB655345 SQX655345 TAT655345 TKP655345 TUL655345 UEH655345 UOD655345 UXZ655345 VHV655345 VRR655345 WBN655345 WLJ655345 WVF655345 IT720881 SP720881 ACL720881 AMH720881 AWD720881 BFZ720881 BPV720881 BZR720881 CJN720881 CTJ720881 DDF720881 DNB720881 DWX720881 EGT720881 EQP720881 FAL720881 FKH720881 FUD720881 GDZ720881 GNV720881 GXR720881 HHN720881 HRJ720881 IBF720881 ILB720881 IUX720881 JET720881 JOP720881 JYL720881 KIH720881 KSD720881 LBZ720881 LLV720881 LVR720881 MFN720881 MPJ720881 MZF720881 NJB720881 NSX720881 OCT720881 OMP720881 OWL720881 PGH720881 PQD720881 PZZ720881 QJV720881 QTR720881 RDN720881 RNJ720881 RXF720881 SHB720881 SQX720881 TAT720881 TKP720881 TUL720881 UEH720881 UOD720881 UXZ720881 VHV720881 VRR720881 WBN720881 WLJ720881 WVF720881 IT786417 SP786417 ACL786417 AMH786417 AWD786417 BFZ786417 BPV786417 BZR786417 CJN786417 CTJ786417 DDF786417 DNB786417 DWX786417 EGT786417 EQP786417 FAL786417 FKH786417 FUD786417 GDZ786417 GNV786417 GXR786417 HHN786417 HRJ786417 IBF786417 ILB786417 IUX786417 JET786417 JOP786417 JYL786417 KIH786417 KSD786417 LBZ786417 LLV786417 LVR786417 MFN786417 MPJ786417 MZF786417 NJB786417 NSX786417 OCT786417 OMP786417 OWL786417 PGH786417 PQD786417 PZZ786417 QJV786417 QTR786417 RDN786417 RNJ786417 RXF786417 SHB786417 SQX786417 TAT786417 TKP786417 TUL786417 UEH786417 UOD786417 UXZ786417 VHV786417 VRR786417 WBN786417 WLJ786417 WVF786417 IT851953 SP851953 ACL851953 AMH851953 AWD851953 BFZ851953 BPV851953 BZR851953 CJN851953 CTJ851953 DDF851953 DNB851953 DWX851953 EGT851953 EQP851953 FAL851953 FKH851953 FUD851953 GDZ851953 GNV851953 GXR851953 HHN851953 HRJ851953 IBF851953 ILB851953 IUX851953 JET851953 JOP851953 JYL851953 KIH851953 KSD851953 LBZ851953 LLV851953 LVR851953 MFN851953 MPJ851953 MZF851953 NJB851953 NSX851953 OCT851953 OMP851953 OWL851953 PGH851953 PQD851953 PZZ851953 QJV851953 QTR851953 RDN851953 RNJ851953 RXF851953 SHB851953 SQX851953 TAT851953 TKP851953 TUL851953 UEH851953 UOD851953 UXZ851953 VHV851953 VRR851953 WBN851953 WLJ851953 WVF851953 IT917489 SP917489 ACL917489 AMH917489 AWD917489 BFZ917489 BPV917489 BZR917489 CJN917489 CTJ917489 DDF917489 DNB917489 DWX917489 EGT917489 EQP917489 FAL917489 FKH917489 FUD917489 GDZ917489 GNV917489 GXR917489 HHN917489 HRJ917489 IBF917489 ILB917489 IUX917489 JET917489 JOP917489 JYL917489 KIH917489 KSD917489 LBZ917489 LLV917489 LVR917489 MFN917489 MPJ917489 MZF917489 NJB917489 NSX917489 OCT917489 OMP917489 OWL917489 PGH917489 PQD917489 PZZ917489 QJV917489 QTR917489 RDN917489 RNJ917489 RXF917489 SHB917489 SQX917489 TAT917489 TKP917489 TUL917489 UEH917489 UOD917489 UXZ917489 VHV917489 VRR917489 WBN917489 WLJ917489 WVF917489 IT983025 SP983025 ACL983025 AMH983025 AWD983025 BFZ983025 BPV983025 BZR983025 CJN983025 CTJ983025 DDF983025 DNB983025 DWX983025 EGT983025 EQP983025 FAL983025 FKH983025 FUD983025 GDZ983025 GNV983025 GXR983025 HHN983025 HRJ983025 IBF983025 ILB983025 IUX983025 JET983025 JOP983025 JYL983025 KIH983025 KSD983025 LBZ983025 LLV983025 LVR983025 MFN983025 MPJ983025 MZF983025 NJB983025 NSX983025 OCT983025 OMP983025 OWL983025 PGH983025 PQD983025 PZZ983025 QJV983025 QTR983025 RDN983025 RNJ983025 RXF983025 SHB983025 SQX983025 TAT983025 TKP983025 TUL983025 UEH983025 UOD983025 UXZ983025 VHV983025 VRR983025 WBN983025 WLJ983025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IT1">
      <formula1>#REF!</formula1>
    </dataValidation>
  </dataValidations>
  <printOptions horizontalCentered="1"/>
  <pageMargins left="0.19685039370078741" right="0.19685039370078741" top="0.59055118110236227" bottom="0.59055118110236227" header="0.19685039370078741" footer="0.19685039370078741"/>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47"/>
  <sheetViews>
    <sheetView view="pageBreakPreview" zoomScaleSheetLayoutView="100" workbookViewId="0">
      <selection activeCell="N12" sqref="N12"/>
    </sheetView>
  </sheetViews>
  <sheetFormatPr defaultRowHeight="14.25"/>
  <cols>
    <col min="1" max="1" width="7.625" customWidth="1"/>
    <col min="2" max="2" width="8.375" style="438" customWidth="1"/>
    <col min="3" max="3" width="11.5" style="438" customWidth="1"/>
    <col min="4" max="4" width="10" customWidth="1"/>
    <col min="5" max="5" width="5.25" customWidth="1"/>
    <col min="6" max="7" width="6.75" customWidth="1"/>
    <col min="8" max="8" width="9.125" customWidth="1"/>
    <col min="9" max="9" width="6.875" customWidth="1"/>
    <col min="10" max="10" width="6.625" customWidth="1"/>
  </cols>
  <sheetData>
    <row r="1" spans="1:10" ht="20.25">
      <c r="A1" s="978" t="s">
        <v>1288</v>
      </c>
      <c r="B1" s="978"/>
      <c r="C1" s="978"/>
      <c r="D1" s="978"/>
      <c r="E1" s="978"/>
      <c r="F1" s="978"/>
      <c r="G1" s="978"/>
      <c r="H1" s="978"/>
      <c r="I1" s="978"/>
      <c r="J1" s="978"/>
    </row>
    <row r="2" spans="1:10" ht="18" customHeight="1">
      <c r="A2" s="591" t="s">
        <v>1289</v>
      </c>
      <c r="B2" s="1045" t="str">
        <f>柜体!B2</f>
        <v>赵蕊</v>
      </c>
      <c r="C2" s="1045"/>
      <c r="D2" s="592" t="s">
        <v>1290</v>
      </c>
      <c r="E2" s="1045">
        <f>柜体!E2</f>
        <v>15530608063</v>
      </c>
      <c r="F2" s="1045"/>
      <c r="G2" s="1045"/>
      <c r="H2" s="592" t="s">
        <v>1291</v>
      </c>
      <c r="I2" s="1046">
        <f>柜体!I2</f>
        <v>0</v>
      </c>
      <c r="J2" s="1046"/>
    </row>
    <row r="3" spans="1:10" ht="18" customHeight="1">
      <c r="A3" s="592" t="s">
        <v>1292</v>
      </c>
      <c r="B3" s="1045" t="s">
        <v>1584</v>
      </c>
      <c r="C3" s="1045"/>
      <c r="D3" s="592" t="s">
        <v>1293</v>
      </c>
      <c r="E3" s="1045" t="str">
        <f>[4]图兰朵混油下料单!G5</f>
        <v>G12纯白（PBJ4490）</v>
      </c>
      <c r="F3" s="1045"/>
      <c r="G3" s="1045"/>
      <c r="H3" s="592" t="s">
        <v>1294</v>
      </c>
      <c r="I3" s="1046">
        <f>柜体!I3</f>
        <v>43129</v>
      </c>
      <c r="J3" s="1046"/>
    </row>
    <row r="4" spans="1:10" ht="18" customHeight="1">
      <c r="A4" s="592" t="s">
        <v>1295</v>
      </c>
      <c r="B4" s="1045" t="str">
        <f>柜体!B4</f>
        <v>廊坊</v>
      </c>
      <c r="C4" s="1045"/>
      <c r="D4" s="593" t="s">
        <v>1296</v>
      </c>
      <c r="E4" s="1047">
        <f>柜体!E4</f>
        <v>123</v>
      </c>
      <c r="F4" s="1047"/>
      <c r="G4" s="1047"/>
      <c r="H4" s="592" t="s">
        <v>1297</v>
      </c>
      <c r="I4" s="1046">
        <f>柜体!I4</f>
        <v>43169</v>
      </c>
      <c r="J4" s="1046"/>
    </row>
    <row r="5" spans="1:10" ht="18" customHeight="1">
      <c r="A5" s="592" t="s">
        <v>1298</v>
      </c>
      <c r="B5" s="592" t="s">
        <v>1299</v>
      </c>
      <c r="C5" s="595" t="s">
        <v>1300</v>
      </c>
      <c r="D5" s="592" t="s">
        <v>1301</v>
      </c>
      <c r="E5" s="592" t="s">
        <v>1302</v>
      </c>
      <c r="F5" s="592" t="s">
        <v>1303</v>
      </c>
      <c r="G5" s="592" t="s">
        <v>1304</v>
      </c>
      <c r="H5" s="592" t="s">
        <v>1210</v>
      </c>
      <c r="I5" s="1045" t="s">
        <v>1211</v>
      </c>
      <c r="J5" s="1045"/>
    </row>
    <row r="6" spans="1:10" ht="18" customHeight="1">
      <c r="A6" s="592" t="s">
        <v>1305</v>
      </c>
      <c r="B6" s="1045"/>
      <c r="C6" s="1045"/>
      <c r="D6" s="592" t="s">
        <v>1306</v>
      </c>
      <c r="E6" s="1045"/>
      <c r="F6" s="1045"/>
      <c r="G6" s="1045"/>
      <c r="H6" s="592" t="s">
        <v>1307</v>
      </c>
      <c r="I6" s="1045"/>
      <c r="J6" s="1045"/>
    </row>
    <row r="7" spans="1:10" ht="18" customHeight="1">
      <c r="A7" s="592" t="s">
        <v>1308</v>
      </c>
      <c r="B7" s="592" t="s">
        <v>1309</v>
      </c>
      <c r="C7" s="592" t="s">
        <v>1310</v>
      </c>
      <c r="D7" s="592" t="s">
        <v>1311</v>
      </c>
      <c r="E7" s="592" t="s">
        <v>1312</v>
      </c>
      <c r="F7" s="592" t="s">
        <v>1291</v>
      </c>
      <c r="G7" s="592" t="s">
        <v>1313</v>
      </c>
      <c r="H7" s="592" t="s">
        <v>1314</v>
      </c>
      <c r="I7" s="592" t="s">
        <v>1315</v>
      </c>
      <c r="J7" s="592" t="s">
        <v>1316</v>
      </c>
    </row>
    <row r="8" spans="1:10" ht="18" customHeight="1">
      <c r="A8" s="592">
        <v>1</v>
      </c>
      <c r="B8" s="1050" t="s">
        <v>1317</v>
      </c>
      <c r="C8" s="17" t="s">
        <v>1318</v>
      </c>
      <c r="D8" s="592"/>
      <c r="E8" s="592" t="s">
        <v>1319</v>
      </c>
      <c r="F8" s="592"/>
      <c r="G8" s="592"/>
      <c r="H8" s="592"/>
      <c r="I8" s="592"/>
      <c r="J8" s="594"/>
    </row>
    <row r="9" spans="1:10" ht="18" customHeight="1">
      <c r="A9" s="592">
        <v>2</v>
      </c>
      <c r="B9" s="1050"/>
      <c r="C9" s="17" t="s">
        <v>261</v>
      </c>
      <c r="D9" s="592"/>
      <c r="E9" s="592" t="s">
        <v>1319</v>
      </c>
      <c r="F9" s="592"/>
      <c r="G9" s="592"/>
      <c r="H9" s="592"/>
      <c r="I9" s="592"/>
      <c r="J9" s="594"/>
    </row>
    <row r="10" spans="1:10" ht="18" customHeight="1">
      <c r="A10" s="592">
        <v>3</v>
      </c>
      <c r="B10" s="1050"/>
      <c r="C10" s="595" t="s">
        <v>1320</v>
      </c>
      <c r="D10" s="592"/>
      <c r="E10" s="592" t="s">
        <v>1319</v>
      </c>
      <c r="F10" s="592"/>
      <c r="G10" s="592"/>
      <c r="H10" s="592"/>
      <c r="I10" s="592"/>
      <c r="J10" s="594"/>
    </row>
    <row r="11" spans="1:10" ht="18" customHeight="1">
      <c r="A11" s="592">
        <v>4</v>
      </c>
      <c r="B11" s="1050" t="s">
        <v>1321</v>
      </c>
      <c r="C11" s="17" t="s">
        <v>1318</v>
      </c>
      <c r="D11" s="592"/>
      <c r="E11" s="592" t="s">
        <v>1319</v>
      </c>
      <c r="F11" s="592"/>
      <c r="G11" s="592"/>
      <c r="H11" s="592"/>
      <c r="I11" s="592"/>
      <c r="J11" s="594"/>
    </row>
    <row r="12" spans="1:10" ht="18" customHeight="1">
      <c r="A12" s="592">
        <v>5</v>
      </c>
      <c r="B12" s="1050"/>
      <c r="C12" s="17" t="s">
        <v>261</v>
      </c>
      <c r="D12" s="592"/>
      <c r="E12" s="592" t="s">
        <v>1319</v>
      </c>
      <c r="F12" s="592"/>
      <c r="G12" s="592"/>
      <c r="H12" s="592"/>
      <c r="I12" s="592"/>
      <c r="J12" s="594"/>
    </row>
    <row r="13" spans="1:10" ht="18" customHeight="1">
      <c r="A13" s="592">
        <v>6</v>
      </c>
      <c r="B13" s="1050"/>
      <c r="C13" s="595" t="s">
        <v>1322</v>
      </c>
      <c r="D13" s="592"/>
      <c r="E13" s="592" t="s">
        <v>1319</v>
      </c>
      <c r="F13" s="592"/>
      <c r="G13" s="592"/>
      <c r="H13" s="592"/>
      <c r="I13" s="592"/>
      <c r="J13" s="594"/>
    </row>
    <row r="14" spans="1:10" ht="18" customHeight="1">
      <c r="A14" s="592">
        <v>7</v>
      </c>
      <c r="B14" s="596" t="s">
        <v>1323</v>
      </c>
      <c r="C14" s="595" t="s">
        <v>1324</v>
      </c>
      <c r="D14" s="592"/>
      <c r="E14" s="592" t="s">
        <v>1319</v>
      </c>
      <c r="F14" s="592"/>
      <c r="G14" s="592"/>
      <c r="H14" s="592"/>
      <c r="I14" s="592"/>
      <c r="J14" s="594"/>
    </row>
    <row r="15" spans="1:10" ht="18" customHeight="1">
      <c r="A15" s="592">
        <v>8</v>
      </c>
      <c r="B15" s="1050" t="s">
        <v>1325</v>
      </c>
      <c r="C15" s="17" t="s">
        <v>1326</v>
      </c>
      <c r="D15" s="592"/>
      <c r="E15" s="592" t="s">
        <v>1319</v>
      </c>
      <c r="F15" s="592"/>
      <c r="G15" s="592"/>
      <c r="H15" s="592"/>
      <c r="I15" s="592"/>
      <c r="J15" s="594"/>
    </row>
    <row r="16" spans="1:10" ht="18" customHeight="1">
      <c r="A16" s="592">
        <v>9</v>
      </c>
      <c r="B16" s="1050"/>
      <c r="C16" s="17" t="s">
        <v>1327</v>
      </c>
      <c r="D16" s="592">
        <f>[4]图兰朵混油下料单!L3</f>
        <v>10</v>
      </c>
      <c r="E16" s="592" t="s">
        <v>1319</v>
      </c>
      <c r="F16" s="592"/>
      <c r="G16" s="592"/>
      <c r="H16" s="592"/>
      <c r="I16" s="592"/>
      <c r="J16" s="594"/>
    </row>
    <row r="17" spans="1:10" ht="18" customHeight="1">
      <c r="A17" s="592">
        <v>10</v>
      </c>
      <c r="B17" s="1050" t="s">
        <v>1328</v>
      </c>
      <c r="C17" s="17" t="s">
        <v>1329</v>
      </c>
      <c r="D17" s="592">
        <f>[4]图兰朵混油下料单!L3</f>
        <v>10</v>
      </c>
      <c r="E17" s="592" t="s">
        <v>1319</v>
      </c>
      <c r="F17" s="592"/>
      <c r="G17" s="592"/>
      <c r="H17" s="592"/>
      <c r="I17" s="592"/>
      <c r="J17" s="594"/>
    </row>
    <row r="18" spans="1:10" ht="18" customHeight="1">
      <c r="A18" s="592">
        <v>11</v>
      </c>
      <c r="B18" s="1050"/>
      <c r="C18" s="17" t="s">
        <v>1330</v>
      </c>
      <c r="D18" s="592"/>
      <c r="E18" s="592" t="s">
        <v>1319</v>
      </c>
      <c r="F18" s="592"/>
      <c r="G18" s="592"/>
      <c r="H18" s="592"/>
      <c r="I18" s="592"/>
      <c r="J18" s="594"/>
    </row>
    <row r="19" spans="1:10" ht="18" customHeight="1">
      <c r="A19" s="592">
        <v>12</v>
      </c>
      <c r="B19" s="1050"/>
      <c r="C19" s="17" t="s">
        <v>1331</v>
      </c>
      <c r="D19" s="592"/>
      <c r="E19" s="592" t="s">
        <v>1319</v>
      </c>
      <c r="F19" s="592"/>
      <c r="G19" s="592"/>
      <c r="H19" s="592"/>
      <c r="I19" s="592"/>
      <c r="J19" s="594"/>
    </row>
    <row r="20" spans="1:10" ht="18" customHeight="1">
      <c r="A20" s="592">
        <v>13</v>
      </c>
      <c r="B20" s="1050"/>
      <c r="C20" s="17" t="s">
        <v>1332</v>
      </c>
      <c r="D20" s="592"/>
      <c r="E20" s="592" t="s">
        <v>1319</v>
      </c>
      <c r="F20" s="592"/>
      <c r="G20" s="592"/>
      <c r="H20" s="592"/>
      <c r="I20" s="592"/>
      <c r="J20" s="594"/>
    </row>
    <row r="21" spans="1:10" ht="18" customHeight="1">
      <c r="A21" s="592">
        <v>14</v>
      </c>
      <c r="B21" s="1050" t="s">
        <v>1333</v>
      </c>
      <c r="C21" s="17" t="s">
        <v>1334</v>
      </c>
      <c r="D21" s="592"/>
      <c r="E21" s="592" t="s">
        <v>1335</v>
      </c>
      <c r="F21" s="592"/>
      <c r="G21" s="592"/>
      <c r="H21" s="592"/>
      <c r="I21" s="592"/>
      <c r="J21" s="594"/>
    </row>
    <row r="22" spans="1:10" ht="18" customHeight="1">
      <c r="A22" s="592">
        <v>15</v>
      </c>
      <c r="B22" s="1050"/>
      <c r="C22" s="17" t="s">
        <v>1336</v>
      </c>
      <c r="D22" s="592"/>
      <c r="E22" s="592" t="s">
        <v>1337</v>
      </c>
      <c r="F22" s="592"/>
      <c r="G22" s="592"/>
      <c r="H22" s="592"/>
      <c r="I22" s="592"/>
      <c r="J22" s="594"/>
    </row>
    <row r="23" spans="1:10" ht="18" customHeight="1">
      <c r="A23" s="592">
        <v>16</v>
      </c>
      <c r="B23" s="1050"/>
      <c r="C23" s="597" t="s">
        <v>1338</v>
      </c>
      <c r="D23" s="592"/>
      <c r="E23" s="592" t="s">
        <v>1339</v>
      </c>
      <c r="F23" s="592"/>
      <c r="G23" s="592"/>
      <c r="H23" s="592"/>
      <c r="I23" s="592"/>
      <c r="J23" s="594"/>
    </row>
    <row r="24" spans="1:10" ht="18" customHeight="1">
      <c r="A24" s="592">
        <v>17</v>
      </c>
      <c r="B24" s="1047" t="s">
        <v>1340</v>
      </c>
      <c r="C24" s="598" t="s">
        <v>1341</v>
      </c>
      <c r="D24" s="599" t="e">
        <f>[4]图兰朵混油下料单!L113</f>
        <v>#VALUE!</v>
      </c>
      <c r="E24" s="592" t="s">
        <v>1337</v>
      </c>
      <c r="F24" s="592"/>
      <c r="G24" s="592"/>
      <c r="H24" s="592"/>
      <c r="I24" s="592"/>
      <c r="J24" s="594"/>
    </row>
    <row r="25" spans="1:10" ht="18" customHeight="1">
      <c r="A25" s="592">
        <v>18</v>
      </c>
      <c r="B25" s="1047"/>
      <c r="C25" s="598" t="s">
        <v>1342</v>
      </c>
      <c r="D25" s="599" t="e">
        <f>[4]图兰朵混油下料单!L113</f>
        <v>#VALUE!</v>
      </c>
      <c r="E25" s="592" t="s">
        <v>1337</v>
      </c>
      <c r="F25" s="592"/>
      <c r="G25" s="592"/>
      <c r="H25" s="592"/>
      <c r="I25" s="592"/>
      <c r="J25" s="594"/>
    </row>
    <row r="26" spans="1:10" ht="18" customHeight="1">
      <c r="A26" s="592">
        <v>19</v>
      </c>
      <c r="B26" s="1048" t="s">
        <v>1343</v>
      </c>
      <c r="C26" s="598" t="s">
        <v>1344</v>
      </c>
      <c r="D26" s="599" t="e">
        <f>D24</f>
        <v>#VALUE!</v>
      </c>
      <c r="E26" s="592" t="s">
        <v>1337</v>
      </c>
      <c r="F26" s="592"/>
      <c r="G26" s="592"/>
      <c r="H26" s="592"/>
      <c r="I26" s="592"/>
      <c r="J26" s="594"/>
    </row>
    <row r="27" spans="1:10" ht="18" customHeight="1">
      <c r="A27" s="592">
        <v>20</v>
      </c>
      <c r="B27" s="1049"/>
      <c r="C27" s="598" t="s">
        <v>1345</v>
      </c>
      <c r="D27" s="592"/>
      <c r="E27" s="592" t="s">
        <v>1337</v>
      </c>
      <c r="F27" s="592"/>
      <c r="G27" s="592"/>
      <c r="H27" s="592"/>
      <c r="I27" s="592"/>
      <c r="J27" s="594"/>
    </row>
    <row r="28" spans="1:10" ht="18" customHeight="1">
      <c r="A28" s="592">
        <v>21</v>
      </c>
      <c r="B28" s="595" t="s">
        <v>1346</v>
      </c>
      <c r="C28" s="598" t="s">
        <v>1347</v>
      </c>
      <c r="D28" s="592">
        <f>[4]图兰朵混油下料单!L3</f>
        <v>10</v>
      </c>
      <c r="E28" s="592" t="s">
        <v>1319</v>
      </c>
      <c r="F28" s="592"/>
      <c r="G28" s="592"/>
      <c r="H28" s="592"/>
      <c r="I28" s="592"/>
      <c r="J28" s="594"/>
    </row>
    <row r="29" spans="1:10">
      <c r="A29" s="442"/>
      <c r="B29" s="442"/>
      <c r="C29" s="445"/>
      <c r="D29" s="442"/>
      <c r="E29" s="442"/>
      <c r="F29" s="442"/>
      <c r="G29" s="442"/>
      <c r="H29" s="442"/>
      <c r="I29" s="442"/>
      <c r="J29" s="441"/>
    </row>
    <row r="30" spans="1:10">
      <c r="A30" s="442"/>
      <c r="B30" s="442"/>
      <c r="C30" s="447"/>
      <c r="D30" s="442"/>
      <c r="E30" s="442"/>
      <c r="F30" s="442"/>
      <c r="G30" s="442"/>
      <c r="H30" s="442"/>
      <c r="I30" s="442"/>
      <c r="J30" s="441"/>
    </row>
    <row r="31" spans="1:10">
      <c r="A31" s="442"/>
      <c r="B31" s="442"/>
      <c r="C31" s="446"/>
      <c r="D31" s="442"/>
      <c r="E31" s="442"/>
      <c r="F31" s="442"/>
      <c r="G31" s="442"/>
      <c r="H31" s="442"/>
      <c r="I31" s="442"/>
      <c r="J31" s="441"/>
    </row>
    <row r="32" spans="1:10">
      <c r="A32" s="442"/>
      <c r="B32" s="442"/>
      <c r="C32" s="446"/>
      <c r="D32" s="442"/>
      <c r="E32" s="442"/>
      <c r="F32" s="442"/>
      <c r="G32" s="442"/>
      <c r="H32" s="442"/>
      <c r="I32" s="442"/>
      <c r="J32" s="441"/>
    </row>
    <row r="33" spans="1:10">
      <c r="A33" s="442"/>
      <c r="B33" s="442"/>
      <c r="C33" s="442"/>
      <c r="D33" s="442"/>
      <c r="E33" s="442"/>
      <c r="F33" s="442"/>
      <c r="G33" s="442"/>
      <c r="H33" s="442"/>
      <c r="I33" s="442"/>
      <c r="J33" s="441"/>
    </row>
    <row r="34" spans="1:10">
      <c r="A34" s="442"/>
      <c r="B34" s="442"/>
      <c r="C34" s="442"/>
      <c r="D34" s="442"/>
      <c r="E34" s="442"/>
      <c r="F34" s="442"/>
      <c r="G34" s="442"/>
      <c r="H34" s="442"/>
      <c r="I34" s="442"/>
      <c r="J34" s="441"/>
    </row>
    <row r="35" spans="1:10">
      <c r="A35" s="442"/>
      <c r="B35" s="442"/>
      <c r="C35" s="442"/>
      <c r="D35" s="442"/>
      <c r="E35" s="442"/>
      <c r="F35" s="442"/>
      <c r="G35" s="442"/>
      <c r="H35" s="442"/>
      <c r="I35" s="442"/>
      <c r="J35" s="441"/>
    </row>
    <row r="36" spans="1:10">
      <c r="A36" s="442"/>
      <c r="B36" s="442"/>
      <c r="C36" s="442"/>
      <c r="D36" s="442"/>
      <c r="E36" s="442"/>
      <c r="F36" s="442"/>
      <c r="G36" s="442"/>
      <c r="H36" s="442"/>
      <c r="I36" s="442"/>
      <c r="J36" s="441"/>
    </row>
    <row r="37" spans="1:10">
      <c r="A37" s="442"/>
      <c r="B37" s="442"/>
      <c r="C37" s="445"/>
      <c r="D37" s="442"/>
      <c r="E37" s="442"/>
      <c r="F37" s="442"/>
      <c r="G37" s="442"/>
      <c r="H37" s="442"/>
      <c r="I37" s="442"/>
      <c r="J37" s="441"/>
    </row>
    <row r="38" spans="1:10">
      <c r="A38" s="442"/>
      <c r="B38" s="442"/>
      <c r="C38" s="445"/>
      <c r="D38" s="442"/>
      <c r="E38" s="442"/>
      <c r="F38" s="442"/>
      <c r="G38" s="442"/>
      <c r="H38" s="442"/>
      <c r="I38" s="442"/>
      <c r="J38" s="441"/>
    </row>
    <row r="39" spans="1:10">
      <c r="A39" s="442"/>
      <c r="B39" s="442"/>
      <c r="C39" s="444"/>
      <c r="D39" s="442"/>
      <c r="E39" s="442"/>
      <c r="F39" s="442"/>
      <c r="G39" s="442"/>
      <c r="H39" s="442"/>
      <c r="I39" s="442"/>
      <c r="J39" s="441"/>
    </row>
    <row r="40" spans="1:10">
      <c r="A40" s="442"/>
      <c r="B40" s="442"/>
      <c r="C40" s="442"/>
      <c r="D40" s="442"/>
      <c r="E40" s="442"/>
      <c r="F40" s="442"/>
      <c r="G40" s="442"/>
      <c r="H40" s="442"/>
      <c r="I40" s="442"/>
      <c r="J40" s="441"/>
    </row>
    <row r="41" spans="1:10">
      <c r="A41" s="442"/>
      <c r="B41" s="442"/>
      <c r="C41" s="442"/>
      <c r="D41" s="442"/>
      <c r="E41" s="442"/>
      <c r="F41" s="442"/>
      <c r="G41" s="442"/>
      <c r="H41" s="442"/>
      <c r="I41" s="442"/>
      <c r="J41" s="441"/>
    </row>
    <row r="42" spans="1:10">
      <c r="A42" s="442"/>
      <c r="B42" s="442"/>
      <c r="C42" s="443"/>
      <c r="D42" s="442"/>
      <c r="E42" s="442"/>
      <c r="F42" s="442"/>
      <c r="G42" s="442"/>
      <c r="H42" s="442"/>
      <c r="I42" s="442"/>
      <c r="J42" s="441"/>
    </row>
    <row r="43" spans="1:10">
      <c r="A43" s="442"/>
      <c r="B43" s="442"/>
      <c r="C43" s="443"/>
      <c r="D43" s="442"/>
      <c r="E43" s="442"/>
      <c r="F43" s="442"/>
      <c r="G43" s="442"/>
      <c r="H43" s="442"/>
      <c r="I43" s="442"/>
      <c r="J43" s="441"/>
    </row>
    <row r="44" spans="1:10">
      <c r="A44" s="442"/>
      <c r="B44" s="442"/>
      <c r="C44" s="442"/>
      <c r="D44" s="442"/>
      <c r="E44" s="442"/>
      <c r="F44" s="442"/>
      <c r="G44" s="442"/>
      <c r="H44" s="442"/>
      <c r="I44" s="442"/>
      <c r="J44" s="441"/>
    </row>
    <row r="45" spans="1:10">
      <c r="A45" s="442"/>
      <c r="B45" s="442"/>
      <c r="C45" s="442"/>
      <c r="D45" s="442"/>
      <c r="E45" s="442"/>
      <c r="F45" s="442"/>
      <c r="G45" s="442"/>
      <c r="H45" s="442"/>
      <c r="I45" s="442"/>
      <c r="J45" s="441"/>
    </row>
    <row r="46" spans="1:10">
      <c r="A46" s="442"/>
      <c r="B46" s="442"/>
      <c r="C46" s="442"/>
      <c r="D46" s="442"/>
      <c r="E46" s="442"/>
      <c r="F46" s="442"/>
      <c r="G46" s="442"/>
      <c r="H46" s="442"/>
      <c r="I46" s="442"/>
      <c r="J46" s="441"/>
    </row>
    <row r="47" spans="1:10">
      <c r="A47" s="439"/>
      <c r="B47" s="440"/>
      <c r="C47" s="440"/>
      <c r="D47" s="439"/>
      <c r="E47" s="439"/>
      <c r="F47" s="439"/>
      <c r="G47" s="439"/>
      <c r="H47" s="439"/>
      <c r="I47" s="439"/>
      <c r="J47" s="439"/>
    </row>
  </sheetData>
  <mergeCells count="21">
    <mergeCell ref="B26:B27"/>
    <mergeCell ref="B8:B10"/>
    <mergeCell ref="B11:B13"/>
    <mergeCell ref="B15:B16"/>
    <mergeCell ref="B17:B20"/>
    <mergeCell ref="B21:B23"/>
    <mergeCell ref="B24:B25"/>
    <mergeCell ref="B4:C4"/>
    <mergeCell ref="E4:G4"/>
    <mergeCell ref="I4:J4"/>
    <mergeCell ref="I5:J5"/>
    <mergeCell ref="B6:C6"/>
    <mergeCell ref="E6:G6"/>
    <mergeCell ref="I6:J6"/>
    <mergeCell ref="A1:J1"/>
    <mergeCell ref="B2:C2"/>
    <mergeCell ref="E2:G2"/>
    <mergeCell ref="I2:J2"/>
    <mergeCell ref="B3:C3"/>
    <mergeCell ref="E3:G3"/>
    <mergeCell ref="I3:J3"/>
  </mergeCells>
  <phoneticPr fontId="76" type="noConversion"/>
  <conditionalFormatting sqref="C18:C19">
    <cfRule type="duplicateValues" dxfId="27" priority="14" stopIfTrue="1"/>
  </conditionalFormatting>
  <conditionalFormatting sqref="C21">
    <cfRule type="duplicateValues" dxfId="26" priority="13" stopIfTrue="1"/>
  </conditionalFormatting>
  <conditionalFormatting sqref="C20 C22">
    <cfRule type="duplicateValues" dxfId="25" priority="12" stopIfTrue="1"/>
  </conditionalFormatting>
  <conditionalFormatting sqref="C20">
    <cfRule type="duplicateValues" dxfId="24" priority="11"/>
  </conditionalFormatting>
  <conditionalFormatting sqref="C13:C17">
    <cfRule type="duplicateValues" dxfId="23" priority="10" stopIfTrue="1"/>
  </conditionalFormatting>
  <conditionalFormatting sqref="C10">
    <cfRule type="duplicateValues" dxfId="22" priority="9" stopIfTrue="1"/>
  </conditionalFormatting>
  <conditionalFormatting sqref="C11">
    <cfRule type="duplicateValues" dxfId="21" priority="8" stopIfTrue="1"/>
  </conditionalFormatting>
  <conditionalFormatting sqref="C12">
    <cfRule type="duplicateValues" dxfId="20" priority="7" stopIfTrue="1"/>
  </conditionalFormatting>
  <conditionalFormatting sqref="C17">
    <cfRule type="duplicateValues" dxfId="19" priority="6" stopIfTrue="1"/>
  </conditionalFormatting>
  <conditionalFormatting sqref="C23">
    <cfRule type="duplicateValues" dxfId="18" priority="5"/>
  </conditionalFormatting>
  <conditionalFormatting sqref="C39">
    <cfRule type="duplicateValues" dxfId="17" priority="4" stopIfTrue="1"/>
  </conditionalFormatting>
  <conditionalFormatting sqref="C13:C14">
    <cfRule type="duplicateValues" dxfId="16" priority="3" stopIfTrue="1"/>
  </conditionalFormatting>
  <conditionalFormatting sqref="C14">
    <cfRule type="duplicateValues" dxfId="15" priority="2" stopIfTrue="1"/>
  </conditionalFormatting>
  <conditionalFormatting sqref="C14">
    <cfRule type="duplicateValues" dxfId="14" priority="1" stopIfTrue="1"/>
  </conditionalFormatting>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137"/>
  <sheetViews>
    <sheetView view="pageBreakPreview" topLeftCell="D1" zoomScaleSheetLayoutView="100" workbookViewId="0">
      <selection activeCell="Q111" sqref="Q111"/>
    </sheetView>
  </sheetViews>
  <sheetFormatPr defaultRowHeight="16.5"/>
  <cols>
    <col min="1" max="1" width="9.375" style="801" customWidth="1"/>
    <col min="2" max="2" width="9.25" style="801" customWidth="1"/>
    <col min="3" max="8" width="6.5" style="600" customWidth="1"/>
    <col min="9" max="9" width="20.375" style="600" customWidth="1"/>
    <col min="10" max="10" width="20" style="824" customWidth="1"/>
    <col min="11" max="13" width="11.75" style="600" customWidth="1"/>
    <col min="14" max="17" width="8" style="801" customWidth="1"/>
    <col min="18" max="19" width="8" style="600" customWidth="1"/>
    <col min="20" max="21" width="8" style="801" customWidth="1"/>
    <col min="22" max="16384" width="9" style="600"/>
  </cols>
  <sheetData>
    <row r="1" spans="1:21" s="604" customFormat="1" ht="29.25">
      <c r="A1" s="1051" t="s">
        <v>1602</v>
      </c>
      <c r="B1" s="1051"/>
      <c r="C1" s="1051"/>
      <c r="D1" s="1051"/>
      <c r="E1" s="1051"/>
      <c r="F1" s="1051"/>
      <c r="G1" s="1051"/>
      <c r="H1" s="1051"/>
      <c r="I1" s="1051"/>
      <c r="J1" s="1051"/>
      <c r="K1" s="1051"/>
      <c r="L1" s="1051"/>
      <c r="M1" s="1051"/>
      <c r="N1" s="801"/>
      <c r="O1" s="801"/>
      <c r="P1" s="801"/>
      <c r="Q1" s="801"/>
      <c r="T1" s="801"/>
      <c r="U1" s="801"/>
    </row>
    <row r="2" spans="1:21" s="604" customFormat="1">
      <c r="A2" s="607" t="s">
        <v>6</v>
      </c>
      <c r="B2" s="1054" t="str">
        <f>图兰朵转序单!B2</f>
        <v>赵蕊</v>
      </c>
      <c r="C2" s="1055"/>
      <c r="D2" s="841"/>
      <c r="E2" s="841"/>
      <c r="F2" s="1065" t="s">
        <v>87</v>
      </c>
      <c r="G2" s="1066"/>
      <c r="H2" s="1067"/>
      <c r="I2" s="841">
        <f>图兰朵转序单!E4</f>
        <v>123</v>
      </c>
      <c r="J2" s="842" t="s">
        <v>953</v>
      </c>
      <c r="K2" s="1059">
        <f>SUM(H7:H104)</f>
        <v>10</v>
      </c>
      <c r="L2" s="1060"/>
      <c r="M2" s="843"/>
      <c r="N2" s="801"/>
      <c r="O2" s="801"/>
      <c r="P2" s="801" t="s">
        <v>80</v>
      </c>
      <c r="Q2" s="801"/>
      <c r="T2" s="603"/>
      <c r="U2" s="603"/>
    </row>
    <row r="3" spans="1:21" s="604" customFormat="1">
      <c r="A3" s="607" t="s">
        <v>248</v>
      </c>
      <c r="B3" s="1054">
        <f>图兰朵转序单!E2</f>
        <v>15530608063</v>
      </c>
      <c r="C3" s="1055"/>
      <c r="D3" s="841"/>
      <c r="E3" s="841"/>
      <c r="F3" s="1065" t="s">
        <v>9</v>
      </c>
      <c r="G3" s="1066"/>
      <c r="H3" s="1067"/>
      <c r="I3" s="844">
        <f>图兰朵转序单!I3</f>
        <v>43129</v>
      </c>
      <c r="J3" s="845" t="s">
        <v>19</v>
      </c>
      <c r="K3" s="1061">
        <f>图兰朵转序单!I4</f>
        <v>43169</v>
      </c>
      <c r="L3" s="1062"/>
      <c r="M3" s="848"/>
      <c r="N3" s="801"/>
      <c r="O3" s="801"/>
      <c r="P3" s="801" t="s">
        <v>1348</v>
      </c>
      <c r="Q3" s="801"/>
      <c r="T3" s="837"/>
      <c r="U3" s="837"/>
    </row>
    <row r="4" spans="1:21" s="604" customFormat="1">
      <c r="A4" s="607" t="s">
        <v>952</v>
      </c>
      <c r="B4" s="1054" t="s">
        <v>1588</v>
      </c>
      <c r="C4" s="1055"/>
      <c r="D4" s="841" t="s">
        <v>1595</v>
      </c>
      <c r="E4" s="1056">
        <f>L7</f>
        <v>0</v>
      </c>
      <c r="F4" s="1057"/>
      <c r="G4" s="1057"/>
      <c r="H4" s="1058"/>
      <c r="I4" s="846"/>
      <c r="J4" s="842" t="s">
        <v>1349</v>
      </c>
      <c r="K4" s="1063" t="s">
        <v>1594</v>
      </c>
      <c r="L4" s="1064"/>
      <c r="M4" s="847"/>
      <c r="N4" s="801"/>
      <c r="O4" s="801"/>
      <c r="P4" s="801"/>
      <c r="Q4" s="801"/>
      <c r="T4" s="837"/>
      <c r="U4" s="837"/>
    </row>
    <row r="5" spans="1:21">
      <c r="A5" s="838" t="s">
        <v>234</v>
      </c>
      <c r="B5" s="839"/>
      <c r="C5" s="1099" t="s">
        <v>235</v>
      </c>
      <c r="D5" s="1100"/>
      <c r="E5" s="1101"/>
      <c r="F5" s="805" t="s">
        <v>236</v>
      </c>
      <c r="G5" s="806"/>
      <c r="H5" s="840"/>
      <c r="I5" s="1068" t="s">
        <v>512</v>
      </c>
      <c r="J5" s="1068"/>
      <c r="K5" s="1037" t="s">
        <v>951</v>
      </c>
      <c r="L5" s="1037" t="s">
        <v>950</v>
      </c>
      <c r="M5" s="1037" t="s">
        <v>949</v>
      </c>
      <c r="P5" s="1098" t="s">
        <v>239</v>
      </c>
      <c r="Q5" s="1098"/>
      <c r="R5" s="1098"/>
      <c r="S5" s="1098"/>
    </row>
    <row r="6" spans="1:21">
      <c r="A6" s="825" t="s">
        <v>237</v>
      </c>
      <c r="B6" s="826" t="s">
        <v>1596</v>
      </c>
      <c r="C6" s="607" t="s">
        <v>233</v>
      </c>
      <c r="D6" s="607" t="s">
        <v>238</v>
      </c>
      <c r="E6" s="607" t="s">
        <v>4</v>
      </c>
      <c r="F6" s="607" t="s">
        <v>241</v>
      </c>
      <c r="G6" s="607" t="s">
        <v>238</v>
      </c>
      <c r="H6" s="607" t="s">
        <v>4</v>
      </c>
      <c r="I6" s="816" t="s">
        <v>1592</v>
      </c>
      <c r="J6" s="818" t="s">
        <v>244</v>
      </c>
      <c r="K6" s="1069"/>
      <c r="L6" s="1069"/>
      <c r="M6" s="1069"/>
      <c r="N6" s="791" t="s">
        <v>1597</v>
      </c>
      <c r="O6" s="791" t="s">
        <v>949</v>
      </c>
      <c r="P6" s="849" t="s">
        <v>1600</v>
      </c>
      <c r="Q6" s="849" t="s">
        <v>1598</v>
      </c>
      <c r="R6" s="849" t="s">
        <v>1599</v>
      </c>
      <c r="S6" s="849" t="s">
        <v>1601</v>
      </c>
      <c r="T6" s="791" t="s">
        <v>1350</v>
      </c>
      <c r="U6" s="861" t="s">
        <v>1408</v>
      </c>
    </row>
    <row r="7" spans="1:21">
      <c r="A7" s="827"/>
      <c r="B7" s="828" t="s">
        <v>1351</v>
      </c>
      <c r="C7" s="608"/>
      <c r="D7" s="608"/>
      <c r="E7" s="608"/>
      <c r="F7" s="608">
        <f t="shared" ref="F7:G22" si="0">C7+2</f>
        <v>2</v>
      </c>
      <c r="G7" s="608">
        <f t="shared" si="0"/>
        <v>2</v>
      </c>
      <c r="H7" s="608">
        <f t="shared" ref="H7:H40" si="1">E7</f>
        <v>0</v>
      </c>
      <c r="I7" s="815" t="s">
        <v>1352</v>
      </c>
      <c r="J7" s="819" t="s">
        <v>1590</v>
      </c>
      <c r="K7" s="817"/>
      <c r="L7" s="817"/>
      <c r="M7" s="862" t="str">
        <f>IF(L7="","",VLOOKUP(L7,$A$117:$B$137,2,0))</f>
        <v/>
      </c>
      <c r="N7" s="802"/>
      <c r="O7" s="802">
        <f>C7*D7*E7/1000000</f>
        <v>0</v>
      </c>
      <c r="P7" s="802">
        <f t="shared" ref="P7:P70" si="2">C7*D7*E7/1000000/1.22/2.44/0.85</f>
        <v>0</v>
      </c>
      <c r="Q7" s="802"/>
      <c r="R7" s="854"/>
      <c r="S7" s="854"/>
      <c r="T7" s="605"/>
      <c r="U7" s="605"/>
    </row>
    <row r="8" spans="1:21">
      <c r="A8" s="827"/>
      <c r="B8" s="828" t="s">
        <v>1351</v>
      </c>
      <c r="C8" s="608"/>
      <c r="D8" s="608"/>
      <c r="E8" s="608"/>
      <c r="F8" s="608">
        <f t="shared" si="0"/>
        <v>2</v>
      </c>
      <c r="G8" s="608">
        <f t="shared" si="0"/>
        <v>2</v>
      </c>
      <c r="H8" s="608">
        <f t="shared" si="1"/>
        <v>0</v>
      </c>
      <c r="I8" s="807" t="s">
        <v>1352</v>
      </c>
      <c r="J8" s="819" t="s">
        <v>1590</v>
      </c>
      <c r="K8" s="817"/>
      <c r="L8" s="817"/>
      <c r="M8" s="862" t="str">
        <f t="shared" ref="M8:M71" si="3">IF(L8="","",VLOOKUP(L8,$A$117:$B$137,2,0))</f>
        <v/>
      </c>
      <c r="N8" s="802"/>
      <c r="O8" s="802">
        <f t="shared" ref="O8:O71" si="4">C8*D8*E8/1000000</f>
        <v>0</v>
      </c>
      <c r="P8" s="802">
        <f t="shared" si="2"/>
        <v>0</v>
      </c>
      <c r="Q8" s="802"/>
      <c r="R8" s="854"/>
      <c r="S8" s="854"/>
      <c r="T8" s="605"/>
      <c r="U8" s="605"/>
    </row>
    <row r="9" spans="1:21">
      <c r="A9" s="827"/>
      <c r="B9" s="828" t="s">
        <v>1351</v>
      </c>
      <c r="C9" s="608"/>
      <c r="D9" s="608"/>
      <c r="E9" s="608"/>
      <c r="F9" s="608">
        <f t="shared" si="0"/>
        <v>2</v>
      </c>
      <c r="G9" s="608">
        <f t="shared" si="0"/>
        <v>2</v>
      </c>
      <c r="H9" s="608">
        <f t="shared" si="1"/>
        <v>0</v>
      </c>
      <c r="I9" s="807" t="s">
        <v>1352</v>
      </c>
      <c r="J9" s="819" t="s">
        <v>1590</v>
      </c>
      <c r="K9" s="817"/>
      <c r="L9" s="817"/>
      <c r="M9" s="862" t="str">
        <f t="shared" si="3"/>
        <v/>
      </c>
      <c r="N9" s="802"/>
      <c r="O9" s="802">
        <f t="shared" si="4"/>
        <v>0</v>
      </c>
      <c r="P9" s="802">
        <f t="shared" si="2"/>
        <v>0</v>
      </c>
      <c r="Q9" s="802"/>
      <c r="R9" s="854"/>
      <c r="S9" s="854"/>
      <c r="T9" s="605"/>
      <c r="U9" s="605"/>
    </row>
    <row r="10" spans="1:21" s="612" customFormat="1">
      <c r="A10" s="610"/>
      <c r="B10" s="828" t="s">
        <v>1351</v>
      </c>
      <c r="C10" s="608"/>
      <c r="D10" s="608"/>
      <c r="E10" s="608"/>
      <c r="F10" s="608">
        <f t="shared" si="0"/>
        <v>2</v>
      </c>
      <c r="G10" s="608">
        <f t="shared" si="0"/>
        <v>2</v>
      </c>
      <c r="H10" s="608">
        <f t="shared" si="1"/>
        <v>0</v>
      </c>
      <c r="I10" s="807" t="s">
        <v>1352</v>
      </c>
      <c r="J10" s="819" t="s">
        <v>1590</v>
      </c>
      <c r="K10" s="817"/>
      <c r="L10" s="817"/>
      <c r="M10" s="862" t="str">
        <f t="shared" si="3"/>
        <v/>
      </c>
      <c r="N10" s="802"/>
      <c r="O10" s="802">
        <f t="shared" si="4"/>
        <v>0</v>
      </c>
      <c r="P10" s="802">
        <f t="shared" si="2"/>
        <v>0</v>
      </c>
      <c r="Q10" s="802"/>
      <c r="R10" s="854"/>
      <c r="S10" s="854"/>
      <c r="T10" s="611"/>
      <c r="U10" s="859"/>
    </row>
    <row r="11" spans="1:21">
      <c r="A11" s="827"/>
      <c r="B11" s="828" t="s">
        <v>1351</v>
      </c>
      <c r="C11" s="608"/>
      <c r="D11" s="608"/>
      <c r="E11" s="608"/>
      <c r="F11" s="608">
        <f t="shared" si="0"/>
        <v>2</v>
      </c>
      <c r="G11" s="608">
        <f t="shared" si="0"/>
        <v>2</v>
      </c>
      <c r="H11" s="608">
        <f t="shared" si="1"/>
        <v>0</v>
      </c>
      <c r="I11" s="807" t="s">
        <v>1352</v>
      </c>
      <c r="J11" s="819" t="s">
        <v>1590</v>
      </c>
      <c r="K11" s="817"/>
      <c r="L11" s="817"/>
      <c r="M11" s="862" t="str">
        <f t="shared" si="3"/>
        <v/>
      </c>
      <c r="N11" s="802"/>
      <c r="O11" s="802">
        <f t="shared" si="4"/>
        <v>0</v>
      </c>
      <c r="P11" s="802">
        <f t="shared" si="2"/>
        <v>0</v>
      </c>
      <c r="Q11" s="802"/>
      <c r="R11" s="854"/>
      <c r="S11" s="854"/>
      <c r="T11" s="605"/>
      <c r="U11" s="605"/>
    </row>
    <row r="12" spans="1:21">
      <c r="A12" s="827"/>
      <c r="B12" s="828" t="s">
        <v>1351</v>
      </c>
      <c r="C12" s="608"/>
      <c r="D12" s="608"/>
      <c r="E12" s="608"/>
      <c r="F12" s="608">
        <f t="shared" si="0"/>
        <v>2</v>
      </c>
      <c r="G12" s="608">
        <f t="shared" si="0"/>
        <v>2</v>
      </c>
      <c r="H12" s="608">
        <f t="shared" si="1"/>
        <v>0</v>
      </c>
      <c r="I12" s="807" t="s">
        <v>1352</v>
      </c>
      <c r="J12" s="819" t="s">
        <v>1590</v>
      </c>
      <c r="K12" s="817"/>
      <c r="L12" s="817"/>
      <c r="M12" s="862" t="str">
        <f t="shared" si="3"/>
        <v/>
      </c>
      <c r="N12" s="802"/>
      <c r="O12" s="802">
        <f t="shared" si="4"/>
        <v>0</v>
      </c>
      <c r="P12" s="802">
        <f t="shared" si="2"/>
        <v>0</v>
      </c>
      <c r="Q12" s="802"/>
      <c r="R12" s="854"/>
      <c r="S12" s="854"/>
      <c r="T12" s="605"/>
      <c r="U12" s="605"/>
    </row>
    <row r="13" spans="1:21">
      <c r="A13" s="827"/>
      <c r="B13" s="828" t="s">
        <v>1351</v>
      </c>
      <c r="C13" s="608"/>
      <c r="D13" s="608"/>
      <c r="E13" s="608"/>
      <c r="F13" s="608">
        <f t="shared" si="0"/>
        <v>2</v>
      </c>
      <c r="G13" s="608">
        <f t="shared" si="0"/>
        <v>2</v>
      </c>
      <c r="H13" s="608">
        <f t="shared" si="1"/>
        <v>0</v>
      </c>
      <c r="I13" s="807" t="s">
        <v>1352</v>
      </c>
      <c r="J13" s="819" t="s">
        <v>1590</v>
      </c>
      <c r="K13" s="817"/>
      <c r="L13" s="817"/>
      <c r="M13" s="862" t="str">
        <f t="shared" si="3"/>
        <v/>
      </c>
      <c r="N13" s="802"/>
      <c r="O13" s="802">
        <f t="shared" si="4"/>
        <v>0</v>
      </c>
      <c r="P13" s="802">
        <f t="shared" si="2"/>
        <v>0</v>
      </c>
      <c r="Q13" s="802"/>
      <c r="R13" s="854"/>
      <c r="S13" s="854"/>
      <c r="T13" s="605"/>
      <c r="U13" s="605"/>
    </row>
    <row r="14" spans="1:21" s="612" customFormat="1">
      <c r="A14" s="610"/>
      <c r="B14" s="828" t="s">
        <v>1351</v>
      </c>
      <c r="C14" s="608"/>
      <c r="D14" s="608"/>
      <c r="E14" s="608"/>
      <c r="F14" s="608">
        <f t="shared" si="0"/>
        <v>2</v>
      </c>
      <c r="G14" s="608">
        <f t="shared" si="0"/>
        <v>2</v>
      </c>
      <c r="H14" s="608">
        <f t="shared" si="1"/>
        <v>0</v>
      </c>
      <c r="I14" s="807" t="s">
        <v>1352</v>
      </c>
      <c r="J14" s="819" t="s">
        <v>1590</v>
      </c>
      <c r="K14" s="817"/>
      <c r="L14" s="817"/>
      <c r="M14" s="862" t="str">
        <f t="shared" si="3"/>
        <v/>
      </c>
      <c r="N14" s="802"/>
      <c r="O14" s="802">
        <f t="shared" si="4"/>
        <v>0</v>
      </c>
      <c r="P14" s="802">
        <f t="shared" si="2"/>
        <v>0</v>
      </c>
      <c r="Q14" s="802"/>
      <c r="R14" s="854"/>
      <c r="S14" s="854"/>
      <c r="T14" s="611"/>
      <c r="U14" s="859"/>
    </row>
    <row r="15" spans="1:21">
      <c r="A15" s="606"/>
      <c r="B15" s="829" t="s">
        <v>245</v>
      </c>
      <c r="C15" s="613"/>
      <c r="D15" s="613"/>
      <c r="E15" s="613"/>
      <c r="F15" s="613">
        <f t="shared" si="0"/>
        <v>2</v>
      </c>
      <c r="G15" s="613">
        <f t="shared" ref="G15:G39" si="5">D15+1</f>
        <v>1</v>
      </c>
      <c r="H15" s="613">
        <f t="shared" si="1"/>
        <v>0</v>
      </c>
      <c r="I15" s="808" t="s">
        <v>1353</v>
      </c>
      <c r="J15" s="819" t="s">
        <v>1590</v>
      </c>
      <c r="K15" s="817"/>
      <c r="L15" s="817"/>
      <c r="M15" s="862" t="str">
        <f t="shared" si="3"/>
        <v/>
      </c>
      <c r="N15" s="802"/>
      <c r="O15" s="802">
        <f t="shared" si="4"/>
        <v>0</v>
      </c>
      <c r="P15" s="802">
        <f t="shared" si="2"/>
        <v>0</v>
      </c>
      <c r="Q15" s="802"/>
      <c r="R15" s="854"/>
      <c r="S15" s="854"/>
    </row>
    <row r="16" spans="1:21">
      <c r="A16" s="606"/>
      <c r="B16" s="829" t="s">
        <v>245</v>
      </c>
      <c r="C16" s="613"/>
      <c r="D16" s="613"/>
      <c r="E16" s="613"/>
      <c r="F16" s="613">
        <f t="shared" si="0"/>
        <v>2</v>
      </c>
      <c r="G16" s="613">
        <f t="shared" si="5"/>
        <v>1</v>
      </c>
      <c r="H16" s="613">
        <f t="shared" si="1"/>
        <v>0</v>
      </c>
      <c r="I16" s="808" t="s">
        <v>1353</v>
      </c>
      <c r="J16" s="819" t="s">
        <v>1590</v>
      </c>
      <c r="K16" s="817"/>
      <c r="L16" s="817"/>
      <c r="M16" s="862" t="str">
        <f t="shared" si="3"/>
        <v/>
      </c>
      <c r="N16" s="802"/>
      <c r="O16" s="802">
        <f t="shared" si="4"/>
        <v>0</v>
      </c>
      <c r="P16" s="802">
        <f t="shared" si="2"/>
        <v>0</v>
      </c>
      <c r="Q16" s="802"/>
      <c r="R16" s="854"/>
      <c r="S16" s="854"/>
    </row>
    <row r="17" spans="1:19">
      <c r="A17" s="606"/>
      <c r="B17" s="829" t="s">
        <v>245</v>
      </c>
      <c r="C17" s="613"/>
      <c r="D17" s="613"/>
      <c r="E17" s="613"/>
      <c r="F17" s="613">
        <f t="shared" si="0"/>
        <v>2</v>
      </c>
      <c r="G17" s="613">
        <f t="shared" si="5"/>
        <v>1</v>
      </c>
      <c r="H17" s="613">
        <f t="shared" si="1"/>
        <v>0</v>
      </c>
      <c r="I17" s="808" t="s">
        <v>1353</v>
      </c>
      <c r="J17" s="819" t="s">
        <v>1590</v>
      </c>
      <c r="K17" s="817"/>
      <c r="L17" s="817"/>
      <c r="M17" s="862" t="str">
        <f t="shared" si="3"/>
        <v/>
      </c>
      <c r="N17" s="802"/>
      <c r="O17" s="802">
        <f t="shared" si="4"/>
        <v>0</v>
      </c>
      <c r="P17" s="802">
        <f t="shared" si="2"/>
        <v>0</v>
      </c>
      <c r="Q17" s="802"/>
      <c r="R17" s="854"/>
      <c r="S17" s="854"/>
    </row>
    <row r="18" spans="1:19">
      <c r="A18" s="606"/>
      <c r="B18" s="829" t="s">
        <v>245</v>
      </c>
      <c r="C18" s="613"/>
      <c r="D18" s="613"/>
      <c r="E18" s="613"/>
      <c r="F18" s="613">
        <f t="shared" si="0"/>
        <v>2</v>
      </c>
      <c r="G18" s="613">
        <f t="shared" si="5"/>
        <v>1</v>
      </c>
      <c r="H18" s="613">
        <f t="shared" si="1"/>
        <v>0</v>
      </c>
      <c r="I18" s="808" t="s">
        <v>1353</v>
      </c>
      <c r="J18" s="819" t="s">
        <v>1590</v>
      </c>
      <c r="K18" s="817"/>
      <c r="L18" s="817"/>
      <c r="M18" s="862" t="str">
        <f t="shared" si="3"/>
        <v/>
      </c>
      <c r="N18" s="802"/>
      <c r="O18" s="802">
        <f t="shared" si="4"/>
        <v>0</v>
      </c>
      <c r="P18" s="802">
        <f t="shared" si="2"/>
        <v>0</v>
      </c>
      <c r="Q18" s="802"/>
      <c r="R18" s="854"/>
      <c r="S18" s="854"/>
    </row>
    <row r="19" spans="1:19">
      <c r="A19" s="606"/>
      <c r="B19" s="829" t="s">
        <v>245</v>
      </c>
      <c r="C19" s="613"/>
      <c r="D19" s="613"/>
      <c r="E19" s="613"/>
      <c r="F19" s="613">
        <f t="shared" si="0"/>
        <v>2</v>
      </c>
      <c r="G19" s="613">
        <f t="shared" si="5"/>
        <v>1</v>
      </c>
      <c r="H19" s="613">
        <f t="shared" si="1"/>
        <v>0</v>
      </c>
      <c r="I19" s="808" t="s">
        <v>1353</v>
      </c>
      <c r="J19" s="819" t="s">
        <v>1590</v>
      </c>
      <c r="K19" s="817"/>
      <c r="L19" s="817"/>
      <c r="M19" s="862" t="str">
        <f t="shared" si="3"/>
        <v/>
      </c>
      <c r="N19" s="802"/>
      <c r="O19" s="802">
        <f t="shared" si="4"/>
        <v>0</v>
      </c>
      <c r="P19" s="802">
        <f t="shared" si="2"/>
        <v>0</v>
      </c>
      <c r="Q19" s="802"/>
      <c r="R19" s="854"/>
      <c r="S19" s="854"/>
    </row>
    <row r="20" spans="1:19">
      <c r="A20" s="606"/>
      <c r="B20" s="829" t="s">
        <v>245</v>
      </c>
      <c r="C20" s="613"/>
      <c r="D20" s="613"/>
      <c r="E20" s="613"/>
      <c r="F20" s="613">
        <f t="shared" si="0"/>
        <v>2</v>
      </c>
      <c r="G20" s="613">
        <f t="shared" si="5"/>
        <v>1</v>
      </c>
      <c r="H20" s="613">
        <f t="shared" si="1"/>
        <v>0</v>
      </c>
      <c r="I20" s="808" t="s">
        <v>1353</v>
      </c>
      <c r="J20" s="819" t="s">
        <v>1590</v>
      </c>
      <c r="K20" s="817"/>
      <c r="L20" s="817"/>
      <c r="M20" s="862" t="str">
        <f t="shared" si="3"/>
        <v/>
      </c>
      <c r="N20" s="802"/>
      <c r="O20" s="802">
        <f t="shared" si="4"/>
        <v>0</v>
      </c>
      <c r="P20" s="802">
        <f t="shared" si="2"/>
        <v>0</v>
      </c>
      <c r="Q20" s="802"/>
      <c r="R20" s="854"/>
      <c r="S20" s="854"/>
    </row>
    <row r="21" spans="1:19">
      <c r="A21" s="606"/>
      <c r="B21" s="829" t="s">
        <v>245</v>
      </c>
      <c r="C21" s="613"/>
      <c r="D21" s="613"/>
      <c r="E21" s="613"/>
      <c r="F21" s="613">
        <f t="shared" si="0"/>
        <v>2</v>
      </c>
      <c r="G21" s="613">
        <f t="shared" si="5"/>
        <v>1</v>
      </c>
      <c r="H21" s="613">
        <f t="shared" si="1"/>
        <v>0</v>
      </c>
      <c r="I21" s="808" t="s">
        <v>1353</v>
      </c>
      <c r="J21" s="819" t="s">
        <v>1590</v>
      </c>
      <c r="K21" s="817"/>
      <c r="L21" s="817"/>
      <c r="M21" s="862" t="str">
        <f t="shared" si="3"/>
        <v/>
      </c>
      <c r="N21" s="802"/>
      <c r="O21" s="802">
        <f t="shared" si="4"/>
        <v>0</v>
      </c>
      <c r="P21" s="802">
        <f t="shared" si="2"/>
        <v>0</v>
      </c>
      <c r="Q21" s="802"/>
      <c r="R21" s="854"/>
      <c r="S21" s="854"/>
    </row>
    <row r="22" spans="1:19">
      <c r="A22" s="606"/>
      <c r="B22" s="829" t="s">
        <v>245</v>
      </c>
      <c r="C22" s="613"/>
      <c r="D22" s="613"/>
      <c r="E22" s="613"/>
      <c r="F22" s="613">
        <f t="shared" si="0"/>
        <v>2</v>
      </c>
      <c r="G22" s="613">
        <f t="shared" si="5"/>
        <v>1</v>
      </c>
      <c r="H22" s="613">
        <f t="shared" si="1"/>
        <v>0</v>
      </c>
      <c r="I22" s="808" t="s">
        <v>1353</v>
      </c>
      <c r="J22" s="819" t="s">
        <v>1590</v>
      </c>
      <c r="K22" s="817"/>
      <c r="L22" s="817"/>
      <c r="M22" s="862" t="str">
        <f t="shared" si="3"/>
        <v/>
      </c>
      <c r="N22" s="802"/>
      <c r="O22" s="802">
        <f t="shared" si="4"/>
        <v>0</v>
      </c>
      <c r="P22" s="802">
        <f t="shared" si="2"/>
        <v>0</v>
      </c>
      <c r="Q22" s="802"/>
      <c r="R22" s="854"/>
      <c r="S22" s="854"/>
    </row>
    <row r="23" spans="1:19">
      <c r="A23" s="606"/>
      <c r="B23" s="829" t="s">
        <v>245</v>
      </c>
      <c r="C23" s="613"/>
      <c r="D23" s="613"/>
      <c r="E23" s="613"/>
      <c r="F23" s="613">
        <f t="shared" ref="F23:F38" si="6">C23+2</f>
        <v>2</v>
      </c>
      <c r="G23" s="613">
        <f t="shared" si="5"/>
        <v>1</v>
      </c>
      <c r="H23" s="613">
        <f t="shared" si="1"/>
        <v>0</v>
      </c>
      <c r="I23" s="808" t="s">
        <v>1353</v>
      </c>
      <c r="J23" s="819" t="s">
        <v>1590</v>
      </c>
      <c r="K23" s="817"/>
      <c r="L23" s="817"/>
      <c r="M23" s="862" t="str">
        <f t="shared" si="3"/>
        <v/>
      </c>
      <c r="N23" s="802"/>
      <c r="O23" s="802">
        <f t="shared" si="4"/>
        <v>0</v>
      </c>
      <c r="P23" s="802">
        <f t="shared" si="2"/>
        <v>0</v>
      </c>
      <c r="Q23" s="802"/>
      <c r="R23" s="854"/>
      <c r="S23" s="854"/>
    </row>
    <row r="24" spans="1:19">
      <c r="A24" s="606"/>
      <c r="B24" s="829" t="s">
        <v>245</v>
      </c>
      <c r="C24" s="613"/>
      <c r="D24" s="613"/>
      <c r="E24" s="613"/>
      <c r="F24" s="613">
        <f t="shared" si="6"/>
        <v>2</v>
      </c>
      <c r="G24" s="613">
        <f t="shared" si="5"/>
        <v>1</v>
      </c>
      <c r="H24" s="613">
        <f t="shared" si="1"/>
        <v>0</v>
      </c>
      <c r="I24" s="808" t="s">
        <v>1353</v>
      </c>
      <c r="J24" s="819" t="s">
        <v>1590</v>
      </c>
      <c r="K24" s="817"/>
      <c r="L24" s="817"/>
      <c r="M24" s="862" t="str">
        <f t="shared" si="3"/>
        <v/>
      </c>
      <c r="N24" s="802"/>
      <c r="O24" s="802">
        <f t="shared" si="4"/>
        <v>0</v>
      </c>
      <c r="P24" s="802">
        <f t="shared" si="2"/>
        <v>0</v>
      </c>
      <c r="Q24" s="802"/>
      <c r="R24" s="854"/>
      <c r="S24" s="854"/>
    </row>
    <row r="25" spans="1:19">
      <c r="A25" s="606"/>
      <c r="B25" s="829" t="s">
        <v>245</v>
      </c>
      <c r="C25" s="613"/>
      <c r="D25" s="613"/>
      <c r="E25" s="613"/>
      <c r="F25" s="613">
        <f t="shared" si="6"/>
        <v>2</v>
      </c>
      <c r="G25" s="613">
        <f t="shared" si="5"/>
        <v>1</v>
      </c>
      <c r="H25" s="613">
        <f t="shared" si="1"/>
        <v>0</v>
      </c>
      <c r="I25" s="808" t="s">
        <v>1353</v>
      </c>
      <c r="J25" s="819" t="s">
        <v>1590</v>
      </c>
      <c r="K25" s="817"/>
      <c r="L25" s="817"/>
      <c r="M25" s="862" t="str">
        <f t="shared" si="3"/>
        <v/>
      </c>
      <c r="N25" s="802"/>
      <c r="O25" s="802">
        <f t="shared" si="4"/>
        <v>0</v>
      </c>
      <c r="P25" s="802">
        <f t="shared" si="2"/>
        <v>0</v>
      </c>
      <c r="Q25" s="802"/>
      <c r="R25" s="854"/>
      <c r="S25" s="854"/>
    </row>
    <row r="26" spans="1:19">
      <c r="A26" s="606"/>
      <c r="B26" s="829" t="s">
        <v>245</v>
      </c>
      <c r="C26" s="613"/>
      <c r="D26" s="613"/>
      <c r="E26" s="613"/>
      <c r="F26" s="613">
        <f t="shared" si="6"/>
        <v>2</v>
      </c>
      <c r="G26" s="613">
        <f t="shared" si="5"/>
        <v>1</v>
      </c>
      <c r="H26" s="613">
        <f t="shared" si="1"/>
        <v>0</v>
      </c>
      <c r="I26" s="808" t="s">
        <v>1353</v>
      </c>
      <c r="J26" s="819" t="s">
        <v>1590</v>
      </c>
      <c r="K26" s="817"/>
      <c r="L26" s="817"/>
      <c r="M26" s="862" t="str">
        <f t="shared" si="3"/>
        <v/>
      </c>
      <c r="N26" s="802"/>
      <c r="O26" s="802">
        <f t="shared" si="4"/>
        <v>0</v>
      </c>
      <c r="P26" s="802">
        <f t="shared" si="2"/>
        <v>0</v>
      </c>
      <c r="Q26" s="802"/>
      <c r="R26" s="854"/>
      <c r="S26" s="854"/>
    </row>
    <row r="27" spans="1:19">
      <c r="A27" s="606"/>
      <c r="B27" s="829" t="s">
        <v>245</v>
      </c>
      <c r="C27" s="613"/>
      <c r="D27" s="613"/>
      <c r="E27" s="613"/>
      <c r="F27" s="613">
        <f t="shared" si="6"/>
        <v>2</v>
      </c>
      <c r="G27" s="613">
        <f t="shared" si="5"/>
        <v>1</v>
      </c>
      <c r="H27" s="613">
        <f t="shared" si="1"/>
        <v>0</v>
      </c>
      <c r="I27" s="808" t="s">
        <v>1353</v>
      </c>
      <c r="J27" s="819" t="s">
        <v>1590</v>
      </c>
      <c r="K27" s="817"/>
      <c r="L27" s="817"/>
      <c r="M27" s="862" t="str">
        <f t="shared" si="3"/>
        <v/>
      </c>
      <c r="N27" s="802"/>
      <c r="O27" s="802">
        <f t="shared" si="4"/>
        <v>0</v>
      </c>
      <c r="P27" s="802">
        <f t="shared" si="2"/>
        <v>0</v>
      </c>
      <c r="Q27" s="802"/>
      <c r="R27" s="854"/>
      <c r="S27" s="854"/>
    </row>
    <row r="28" spans="1:19">
      <c r="A28" s="606"/>
      <c r="B28" s="829" t="s">
        <v>245</v>
      </c>
      <c r="C28" s="613"/>
      <c r="D28" s="613"/>
      <c r="E28" s="613"/>
      <c r="F28" s="613">
        <f t="shared" si="6"/>
        <v>2</v>
      </c>
      <c r="G28" s="613">
        <f t="shared" si="5"/>
        <v>1</v>
      </c>
      <c r="H28" s="613">
        <f t="shared" si="1"/>
        <v>0</v>
      </c>
      <c r="I28" s="808" t="s">
        <v>1353</v>
      </c>
      <c r="J28" s="819" t="s">
        <v>1590</v>
      </c>
      <c r="K28" s="817"/>
      <c r="L28" s="817"/>
      <c r="M28" s="862" t="str">
        <f t="shared" si="3"/>
        <v/>
      </c>
      <c r="N28" s="802"/>
      <c r="O28" s="802">
        <f t="shared" si="4"/>
        <v>0</v>
      </c>
      <c r="P28" s="802">
        <f t="shared" si="2"/>
        <v>0</v>
      </c>
      <c r="Q28" s="802"/>
      <c r="R28" s="854"/>
      <c r="S28" s="854"/>
    </row>
    <row r="29" spans="1:19">
      <c r="A29" s="606"/>
      <c r="B29" s="829" t="s">
        <v>245</v>
      </c>
      <c r="C29" s="613"/>
      <c r="D29" s="613"/>
      <c r="E29" s="613"/>
      <c r="F29" s="613">
        <f t="shared" si="6"/>
        <v>2</v>
      </c>
      <c r="G29" s="613">
        <f t="shared" si="5"/>
        <v>1</v>
      </c>
      <c r="H29" s="613">
        <f t="shared" si="1"/>
        <v>0</v>
      </c>
      <c r="I29" s="808" t="s">
        <v>1353</v>
      </c>
      <c r="J29" s="819" t="s">
        <v>1590</v>
      </c>
      <c r="K29" s="817"/>
      <c r="L29" s="817"/>
      <c r="M29" s="862" t="str">
        <f t="shared" si="3"/>
        <v/>
      </c>
      <c r="N29" s="802"/>
      <c r="O29" s="802">
        <f t="shared" si="4"/>
        <v>0</v>
      </c>
      <c r="P29" s="802">
        <f t="shared" si="2"/>
        <v>0</v>
      </c>
      <c r="Q29" s="802"/>
      <c r="R29" s="854"/>
      <c r="S29" s="854"/>
    </row>
    <row r="30" spans="1:19">
      <c r="A30" s="606"/>
      <c r="B30" s="829" t="s">
        <v>245</v>
      </c>
      <c r="C30" s="613"/>
      <c r="D30" s="613"/>
      <c r="E30" s="613"/>
      <c r="F30" s="613">
        <f t="shared" si="6"/>
        <v>2</v>
      </c>
      <c r="G30" s="613">
        <f t="shared" si="5"/>
        <v>1</v>
      </c>
      <c r="H30" s="613">
        <f t="shared" si="1"/>
        <v>0</v>
      </c>
      <c r="I30" s="808" t="s">
        <v>1353</v>
      </c>
      <c r="J30" s="819" t="s">
        <v>1590</v>
      </c>
      <c r="K30" s="817"/>
      <c r="L30" s="817"/>
      <c r="M30" s="862" t="str">
        <f t="shared" si="3"/>
        <v/>
      </c>
      <c r="N30" s="802"/>
      <c r="O30" s="802">
        <f t="shared" si="4"/>
        <v>0</v>
      </c>
      <c r="P30" s="802">
        <f t="shared" si="2"/>
        <v>0</v>
      </c>
      <c r="Q30" s="802"/>
      <c r="R30" s="854"/>
      <c r="S30" s="854"/>
    </row>
    <row r="31" spans="1:19">
      <c r="A31" s="606"/>
      <c r="B31" s="829" t="s">
        <v>245</v>
      </c>
      <c r="C31" s="613"/>
      <c r="D31" s="613"/>
      <c r="E31" s="613"/>
      <c r="F31" s="613">
        <f t="shared" si="6"/>
        <v>2</v>
      </c>
      <c r="G31" s="613">
        <f t="shared" si="5"/>
        <v>1</v>
      </c>
      <c r="H31" s="613">
        <f t="shared" si="1"/>
        <v>0</v>
      </c>
      <c r="I31" s="808" t="s">
        <v>1353</v>
      </c>
      <c r="J31" s="819" t="s">
        <v>1590</v>
      </c>
      <c r="K31" s="817"/>
      <c r="L31" s="817"/>
      <c r="M31" s="862" t="str">
        <f t="shared" si="3"/>
        <v/>
      </c>
      <c r="N31" s="802"/>
      <c r="O31" s="802">
        <f t="shared" si="4"/>
        <v>0</v>
      </c>
      <c r="P31" s="802">
        <f t="shared" si="2"/>
        <v>0</v>
      </c>
      <c r="Q31" s="802"/>
      <c r="R31" s="854"/>
      <c r="S31" s="854"/>
    </row>
    <row r="32" spans="1:19">
      <c r="A32" s="606"/>
      <c r="B32" s="829" t="s">
        <v>245</v>
      </c>
      <c r="C32" s="613"/>
      <c r="D32" s="613"/>
      <c r="E32" s="613"/>
      <c r="F32" s="613">
        <f t="shared" si="6"/>
        <v>2</v>
      </c>
      <c r="G32" s="613">
        <f t="shared" si="5"/>
        <v>1</v>
      </c>
      <c r="H32" s="613">
        <f t="shared" si="1"/>
        <v>0</v>
      </c>
      <c r="I32" s="808" t="s">
        <v>1353</v>
      </c>
      <c r="J32" s="819" t="s">
        <v>1590</v>
      </c>
      <c r="K32" s="817"/>
      <c r="L32" s="817"/>
      <c r="M32" s="862" t="str">
        <f t="shared" si="3"/>
        <v/>
      </c>
      <c r="N32" s="802"/>
      <c r="O32" s="802">
        <f t="shared" si="4"/>
        <v>0</v>
      </c>
      <c r="P32" s="802">
        <f t="shared" si="2"/>
        <v>0</v>
      </c>
      <c r="Q32" s="802"/>
      <c r="R32" s="854"/>
      <c r="S32" s="854"/>
    </row>
    <row r="33" spans="1:21">
      <c r="A33" s="606"/>
      <c r="B33" s="829" t="s">
        <v>245</v>
      </c>
      <c r="C33" s="613"/>
      <c r="D33" s="613"/>
      <c r="E33" s="613"/>
      <c r="F33" s="613">
        <f t="shared" si="6"/>
        <v>2</v>
      </c>
      <c r="G33" s="613">
        <f t="shared" si="5"/>
        <v>1</v>
      </c>
      <c r="H33" s="613">
        <f t="shared" si="1"/>
        <v>0</v>
      </c>
      <c r="I33" s="808" t="s">
        <v>1353</v>
      </c>
      <c r="J33" s="819" t="s">
        <v>1590</v>
      </c>
      <c r="K33" s="817"/>
      <c r="L33" s="817"/>
      <c r="M33" s="862" t="str">
        <f t="shared" si="3"/>
        <v/>
      </c>
      <c r="N33" s="802"/>
      <c r="O33" s="802">
        <f t="shared" si="4"/>
        <v>0</v>
      </c>
      <c r="P33" s="802">
        <f t="shared" si="2"/>
        <v>0</v>
      </c>
      <c r="Q33" s="802"/>
      <c r="R33" s="854"/>
      <c r="S33" s="854"/>
    </row>
    <row r="34" spans="1:21">
      <c r="A34" s="606"/>
      <c r="B34" s="829" t="s">
        <v>245</v>
      </c>
      <c r="C34" s="613"/>
      <c r="D34" s="613"/>
      <c r="E34" s="613"/>
      <c r="F34" s="613">
        <f t="shared" si="6"/>
        <v>2</v>
      </c>
      <c r="G34" s="613">
        <f t="shared" si="5"/>
        <v>1</v>
      </c>
      <c r="H34" s="613">
        <f t="shared" si="1"/>
        <v>0</v>
      </c>
      <c r="I34" s="808" t="s">
        <v>1353</v>
      </c>
      <c r="J34" s="819" t="s">
        <v>1590</v>
      </c>
      <c r="K34" s="817"/>
      <c r="L34" s="817"/>
      <c r="M34" s="862" t="str">
        <f t="shared" si="3"/>
        <v/>
      </c>
      <c r="N34" s="802"/>
      <c r="O34" s="802">
        <f t="shared" si="4"/>
        <v>0</v>
      </c>
      <c r="P34" s="802">
        <f t="shared" si="2"/>
        <v>0</v>
      </c>
      <c r="Q34" s="802"/>
      <c r="R34" s="854"/>
      <c r="S34" s="854"/>
    </row>
    <row r="35" spans="1:21">
      <c r="A35" s="606"/>
      <c r="B35" s="829" t="s">
        <v>245</v>
      </c>
      <c r="C35" s="613"/>
      <c r="D35" s="613"/>
      <c r="E35" s="613"/>
      <c r="F35" s="613">
        <f t="shared" si="6"/>
        <v>2</v>
      </c>
      <c r="G35" s="613">
        <f t="shared" si="5"/>
        <v>1</v>
      </c>
      <c r="H35" s="613">
        <f t="shared" si="1"/>
        <v>0</v>
      </c>
      <c r="I35" s="808" t="s">
        <v>1353</v>
      </c>
      <c r="J35" s="819" t="s">
        <v>1590</v>
      </c>
      <c r="K35" s="817"/>
      <c r="L35" s="817"/>
      <c r="M35" s="862" t="str">
        <f t="shared" si="3"/>
        <v/>
      </c>
      <c r="N35" s="802"/>
      <c r="O35" s="802">
        <f t="shared" si="4"/>
        <v>0</v>
      </c>
      <c r="P35" s="802">
        <f t="shared" si="2"/>
        <v>0</v>
      </c>
      <c r="Q35" s="802"/>
      <c r="R35" s="854"/>
      <c r="S35" s="854"/>
    </row>
    <row r="36" spans="1:21">
      <c r="A36" s="606"/>
      <c r="B36" s="829" t="s">
        <v>245</v>
      </c>
      <c r="C36" s="613"/>
      <c r="D36" s="613"/>
      <c r="E36" s="613"/>
      <c r="F36" s="613">
        <f t="shared" si="6"/>
        <v>2</v>
      </c>
      <c r="G36" s="613">
        <f t="shared" si="5"/>
        <v>1</v>
      </c>
      <c r="H36" s="613">
        <f t="shared" si="1"/>
        <v>0</v>
      </c>
      <c r="I36" s="808" t="s">
        <v>1353</v>
      </c>
      <c r="J36" s="819" t="s">
        <v>1590</v>
      </c>
      <c r="K36" s="817"/>
      <c r="L36" s="817"/>
      <c r="M36" s="862" t="str">
        <f t="shared" si="3"/>
        <v/>
      </c>
      <c r="N36" s="802"/>
      <c r="O36" s="802">
        <f t="shared" si="4"/>
        <v>0</v>
      </c>
      <c r="P36" s="802">
        <f t="shared" si="2"/>
        <v>0</v>
      </c>
      <c r="Q36" s="802"/>
      <c r="R36" s="854"/>
      <c r="S36" s="854"/>
    </row>
    <row r="37" spans="1:21">
      <c r="A37" s="606"/>
      <c r="B37" s="829" t="s">
        <v>245</v>
      </c>
      <c r="C37" s="613"/>
      <c r="D37" s="613"/>
      <c r="E37" s="613"/>
      <c r="F37" s="613">
        <f t="shared" si="6"/>
        <v>2</v>
      </c>
      <c r="G37" s="613">
        <f t="shared" si="5"/>
        <v>1</v>
      </c>
      <c r="H37" s="613">
        <f t="shared" si="1"/>
        <v>0</v>
      </c>
      <c r="I37" s="808" t="s">
        <v>1353</v>
      </c>
      <c r="J37" s="819" t="s">
        <v>1590</v>
      </c>
      <c r="K37" s="817"/>
      <c r="L37" s="817"/>
      <c r="M37" s="862" t="str">
        <f t="shared" si="3"/>
        <v/>
      </c>
      <c r="N37" s="802"/>
      <c r="O37" s="802">
        <f t="shared" si="4"/>
        <v>0</v>
      </c>
      <c r="P37" s="802">
        <f t="shared" si="2"/>
        <v>0</v>
      </c>
      <c r="Q37" s="802"/>
      <c r="R37" s="854"/>
      <c r="S37" s="854"/>
    </row>
    <row r="38" spans="1:21">
      <c r="A38" s="606"/>
      <c r="B38" s="829" t="s">
        <v>245</v>
      </c>
      <c r="C38" s="613"/>
      <c r="D38" s="613"/>
      <c r="E38" s="613"/>
      <c r="F38" s="613">
        <f t="shared" si="6"/>
        <v>2</v>
      </c>
      <c r="G38" s="613">
        <f t="shared" si="5"/>
        <v>1</v>
      </c>
      <c r="H38" s="613">
        <f t="shared" si="1"/>
        <v>0</v>
      </c>
      <c r="I38" s="808" t="s">
        <v>1353</v>
      </c>
      <c r="J38" s="819" t="s">
        <v>1590</v>
      </c>
      <c r="K38" s="817"/>
      <c r="L38" s="817"/>
      <c r="M38" s="862" t="str">
        <f t="shared" si="3"/>
        <v/>
      </c>
      <c r="N38" s="802"/>
      <c r="O38" s="802">
        <f t="shared" si="4"/>
        <v>0</v>
      </c>
      <c r="P38" s="802">
        <f t="shared" si="2"/>
        <v>0</v>
      </c>
      <c r="Q38" s="802"/>
      <c r="R38" s="854"/>
      <c r="S38" s="854"/>
    </row>
    <row r="39" spans="1:21">
      <c r="A39" s="606"/>
      <c r="B39" s="829" t="s">
        <v>1354</v>
      </c>
      <c r="C39" s="613"/>
      <c r="D39" s="613"/>
      <c r="E39" s="613"/>
      <c r="F39" s="613">
        <f>C39+1</f>
        <v>1</v>
      </c>
      <c r="G39" s="613">
        <f t="shared" si="5"/>
        <v>1</v>
      </c>
      <c r="H39" s="613">
        <f t="shared" si="1"/>
        <v>0</v>
      </c>
      <c r="I39" s="808" t="s">
        <v>1355</v>
      </c>
      <c r="J39" s="819" t="s">
        <v>1590</v>
      </c>
      <c r="K39" s="817"/>
      <c r="L39" s="817"/>
      <c r="M39" s="862" t="str">
        <f t="shared" si="3"/>
        <v/>
      </c>
      <c r="N39" s="802"/>
      <c r="O39" s="802">
        <f t="shared" si="4"/>
        <v>0</v>
      </c>
      <c r="P39" s="802">
        <f t="shared" si="2"/>
        <v>0</v>
      </c>
      <c r="Q39" s="802"/>
      <c r="R39" s="854"/>
      <c r="S39" s="854"/>
    </row>
    <row r="40" spans="1:21">
      <c r="A40" s="614"/>
      <c r="B40" s="1052" t="s">
        <v>1356</v>
      </c>
      <c r="C40" s="1070"/>
      <c r="D40" s="1070"/>
      <c r="E40" s="1070"/>
      <c r="F40" s="615">
        <f>C40+2</f>
        <v>2</v>
      </c>
      <c r="G40" s="615">
        <f>D40-160-16-1</f>
        <v>-177</v>
      </c>
      <c r="H40" s="615">
        <f t="shared" si="1"/>
        <v>0</v>
      </c>
      <c r="I40" s="809" t="s">
        <v>1353</v>
      </c>
      <c r="J40" s="819" t="s">
        <v>1590</v>
      </c>
      <c r="K40" s="817"/>
      <c r="L40" s="817"/>
      <c r="M40" s="862" t="str">
        <f t="shared" si="3"/>
        <v/>
      </c>
      <c r="N40" s="802"/>
      <c r="O40" s="802">
        <f t="shared" si="4"/>
        <v>0</v>
      </c>
      <c r="P40" s="802">
        <f t="shared" si="2"/>
        <v>0</v>
      </c>
      <c r="Q40" s="802"/>
      <c r="R40" s="854"/>
      <c r="S40" s="854"/>
      <c r="T40" s="801">
        <f>E40*9</f>
        <v>0</v>
      </c>
      <c r="U40" s="801">
        <f>((((C40+30)*(160+40))/1000000)/0.4)*E40</f>
        <v>0</v>
      </c>
    </row>
    <row r="41" spans="1:21">
      <c r="A41" s="616"/>
      <c r="B41" s="1053"/>
      <c r="C41" s="1071"/>
      <c r="D41" s="1071"/>
      <c r="E41" s="1071"/>
      <c r="F41" s="615">
        <f>C40-2+2</f>
        <v>0</v>
      </c>
      <c r="G41" s="615">
        <v>160</v>
      </c>
      <c r="H41" s="615">
        <f>E40</f>
        <v>0</v>
      </c>
      <c r="I41" s="809" t="s">
        <v>1357</v>
      </c>
      <c r="J41" s="819" t="s">
        <v>1590</v>
      </c>
      <c r="K41" s="817"/>
      <c r="L41" s="817"/>
      <c r="M41" s="862" t="str">
        <f t="shared" si="3"/>
        <v/>
      </c>
      <c r="N41" s="802"/>
      <c r="O41" s="802">
        <f t="shared" si="4"/>
        <v>0</v>
      </c>
      <c r="P41" s="802">
        <f t="shared" si="2"/>
        <v>0</v>
      </c>
      <c r="Q41" s="802"/>
      <c r="R41" s="854"/>
      <c r="S41" s="854"/>
    </row>
    <row r="42" spans="1:21">
      <c r="A42" s="614"/>
      <c r="B42" s="1052" t="s">
        <v>1356</v>
      </c>
      <c r="C42" s="1070"/>
      <c r="D42" s="1070"/>
      <c r="E42" s="1070"/>
      <c r="F42" s="615">
        <f>C42+2</f>
        <v>2</v>
      </c>
      <c r="G42" s="615">
        <f>D42-160-16-1</f>
        <v>-177</v>
      </c>
      <c r="H42" s="615">
        <f>E42</f>
        <v>0</v>
      </c>
      <c r="I42" s="809" t="s">
        <v>1353</v>
      </c>
      <c r="J42" s="819" t="s">
        <v>1590</v>
      </c>
      <c r="K42" s="817"/>
      <c r="L42" s="817"/>
      <c r="M42" s="862" t="str">
        <f t="shared" si="3"/>
        <v/>
      </c>
      <c r="N42" s="802"/>
      <c r="O42" s="802">
        <f t="shared" si="4"/>
        <v>0</v>
      </c>
      <c r="P42" s="802">
        <f t="shared" si="2"/>
        <v>0</v>
      </c>
      <c r="Q42" s="802"/>
      <c r="R42" s="854"/>
      <c r="S42" s="854"/>
      <c r="T42" s="801">
        <f t="shared" ref="T42:T82" si="7">E42*9</f>
        <v>0</v>
      </c>
      <c r="U42" s="801">
        <f>((((C42+30)*(160+40))/1000000)/0.4)*E42</f>
        <v>0</v>
      </c>
    </row>
    <row r="43" spans="1:21">
      <c r="A43" s="616"/>
      <c r="B43" s="1053"/>
      <c r="C43" s="1071"/>
      <c r="D43" s="1071"/>
      <c r="E43" s="1071"/>
      <c r="F43" s="615">
        <f>C42-2+2</f>
        <v>0</v>
      </c>
      <c r="G43" s="615">
        <v>160</v>
      </c>
      <c r="H43" s="615">
        <f>E42</f>
        <v>0</v>
      </c>
      <c r="I43" s="809" t="s">
        <v>1357</v>
      </c>
      <c r="J43" s="819" t="s">
        <v>1590</v>
      </c>
      <c r="K43" s="817"/>
      <c r="L43" s="817"/>
      <c r="M43" s="862" t="str">
        <f t="shared" si="3"/>
        <v/>
      </c>
      <c r="N43" s="802"/>
      <c r="O43" s="802">
        <f t="shared" si="4"/>
        <v>0</v>
      </c>
      <c r="P43" s="802">
        <f t="shared" si="2"/>
        <v>0</v>
      </c>
      <c r="Q43" s="802"/>
      <c r="R43" s="854"/>
      <c r="S43" s="854"/>
    </row>
    <row r="44" spans="1:21">
      <c r="A44" s="614"/>
      <c r="B44" s="1052" t="s">
        <v>1356</v>
      </c>
      <c r="C44" s="1070"/>
      <c r="D44" s="1070"/>
      <c r="E44" s="1070"/>
      <c r="F44" s="615">
        <f>C44+2</f>
        <v>2</v>
      </c>
      <c r="G44" s="615">
        <f>D44-160-16-1</f>
        <v>-177</v>
      </c>
      <c r="H44" s="615">
        <f>E44</f>
        <v>0</v>
      </c>
      <c r="I44" s="809" t="s">
        <v>1353</v>
      </c>
      <c r="J44" s="819" t="s">
        <v>1590</v>
      </c>
      <c r="K44" s="817"/>
      <c r="L44" s="817"/>
      <c r="M44" s="862" t="str">
        <f t="shared" si="3"/>
        <v/>
      </c>
      <c r="N44" s="802"/>
      <c r="O44" s="802">
        <f t="shared" si="4"/>
        <v>0</v>
      </c>
      <c r="P44" s="802">
        <f t="shared" si="2"/>
        <v>0</v>
      </c>
      <c r="Q44" s="802"/>
      <c r="R44" s="854"/>
      <c r="S44" s="854"/>
      <c r="T44" s="801">
        <f t="shared" si="7"/>
        <v>0</v>
      </c>
      <c r="U44" s="801">
        <f>((((C44+30)*(160+40))/1000000)/0.4)*E44</f>
        <v>0</v>
      </c>
    </row>
    <row r="45" spans="1:21">
      <c r="A45" s="616"/>
      <c r="B45" s="1053"/>
      <c r="C45" s="1071"/>
      <c r="D45" s="1071"/>
      <c r="E45" s="1071"/>
      <c r="F45" s="615">
        <f>C44-2+2</f>
        <v>0</v>
      </c>
      <c r="G45" s="615">
        <v>160</v>
      </c>
      <c r="H45" s="615">
        <f>E44</f>
        <v>0</v>
      </c>
      <c r="I45" s="809" t="s">
        <v>1357</v>
      </c>
      <c r="J45" s="819" t="s">
        <v>1590</v>
      </c>
      <c r="K45" s="817"/>
      <c r="L45" s="817"/>
      <c r="M45" s="862" t="str">
        <f t="shared" si="3"/>
        <v/>
      </c>
      <c r="N45" s="802"/>
      <c r="O45" s="802">
        <f t="shared" si="4"/>
        <v>0</v>
      </c>
      <c r="P45" s="802">
        <f t="shared" si="2"/>
        <v>0</v>
      </c>
      <c r="Q45" s="802"/>
      <c r="R45" s="854"/>
      <c r="S45" s="854"/>
    </row>
    <row r="46" spans="1:21">
      <c r="A46" s="614"/>
      <c r="B46" s="1052" t="s">
        <v>1356</v>
      </c>
      <c r="C46" s="1070"/>
      <c r="D46" s="1070"/>
      <c r="E46" s="1070"/>
      <c r="F46" s="615">
        <f>C46+2</f>
        <v>2</v>
      </c>
      <c r="G46" s="615">
        <f>D46-160-16-1</f>
        <v>-177</v>
      </c>
      <c r="H46" s="615">
        <f>E46</f>
        <v>0</v>
      </c>
      <c r="I46" s="809" t="s">
        <v>1353</v>
      </c>
      <c r="J46" s="819" t="s">
        <v>1590</v>
      </c>
      <c r="K46" s="817"/>
      <c r="L46" s="817"/>
      <c r="M46" s="862" t="str">
        <f t="shared" si="3"/>
        <v/>
      </c>
      <c r="N46" s="802"/>
      <c r="O46" s="802">
        <f t="shared" si="4"/>
        <v>0</v>
      </c>
      <c r="P46" s="802">
        <f t="shared" si="2"/>
        <v>0</v>
      </c>
      <c r="Q46" s="802"/>
      <c r="R46" s="854"/>
      <c r="S46" s="854"/>
      <c r="T46" s="801">
        <f t="shared" si="7"/>
        <v>0</v>
      </c>
      <c r="U46" s="801">
        <f>((((C46+30)*(160+40))/1000000)/0.4)*E46</f>
        <v>0</v>
      </c>
    </row>
    <row r="47" spans="1:21">
      <c r="A47" s="616"/>
      <c r="B47" s="1053"/>
      <c r="C47" s="1071"/>
      <c r="D47" s="1071"/>
      <c r="E47" s="1071"/>
      <c r="F47" s="615">
        <f>C46-2+2</f>
        <v>0</v>
      </c>
      <c r="G47" s="615">
        <v>160</v>
      </c>
      <c r="H47" s="615">
        <f>E46</f>
        <v>0</v>
      </c>
      <c r="I47" s="809" t="s">
        <v>1357</v>
      </c>
      <c r="J47" s="819" t="s">
        <v>1590</v>
      </c>
      <c r="K47" s="817"/>
      <c r="L47" s="817"/>
      <c r="M47" s="862" t="str">
        <f t="shared" si="3"/>
        <v/>
      </c>
      <c r="N47" s="802"/>
      <c r="O47" s="802">
        <f t="shared" si="4"/>
        <v>0</v>
      </c>
      <c r="P47" s="802">
        <f t="shared" si="2"/>
        <v>0</v>
      </c>
      <c r="Q47" s="802"/>
      <c r="R47" s="854"/>
      <c r="S47" s="854"/>
    </row>
    <row r="48" spans="1:21">
      <c r="A48" s="614"/>
      <c r="B48" s="1052" t="s">
        <v>1356</v>
      </c>
      <c r="C48" s="1070"/>
      <c r="D48" s="1070"/>
      <c r="E48" s="1070"/>
      <c r="F48" s="615">
        <f>C48+2</f>
        <v>2</v>
      </c>
      <c r="G48" s="615">
        <f>D48-160-16-1</f>
        <v>-177</v>
      </c>
      <c r="H48" s="615">
        <f>E48</f>
        <v>0</v>
      </c>
      <c r="I48" s="809" t="s">
        <v>1353</v>
      </c>
      <c r="J48" s="819" t="s">
        <v>1590</v>
      </c>
      <c r="K48" s="817"/>
      <c r="L48" s="817"/>
      <c r="M48" s="862" t="str">
        <f t="shared" si="3"/>
        <v/>
      </c>
      <c r="N48" s="802"/>
      <c r="O48" s="802">
        <f t="shared" si="4"/>
        <v>0</v>
      </c>
      <c r="P48" s="802">
        <f t="shared" si="2"/>
        <v>0</v>
      </c>
      <c r="Q48" s="802"/>
      <c r="R48" s="854"/>
      <c r="S48" s="854"/>
      <c r="T48" s="801">
        <f t="shared" si="7"/>
        <v>0</v>
      </c>
      <c r="U48" s="801">
        <f>((((C48+30)*(160+40))/1000000)/0.4)*E48</f>
        <v>0</v>
      </c>
    </row>
    <row r="49" spans="1:21">
      <c r="A49" s="616"/>
      <c r="B49" s="1053"/>
      <c r="C49" s="1071"/>
      <c r="D49" s="1071"/>
      <c r="E49" s="1071"/>
      <c r="F49" s="615">
        <f>C48-2+2</f>
        <v>0</v>
      </c>
      <c r="G49" s="615">
        <v>160</v>
      </c>
      <c r="H49" s="615">
        <f>E48</f>
        <v>0</v>
      </c>
      <c r="I49" s="809" t="s">
        <v>1357</v>
      </c>
      <c r="J49" s="819" t="s">
        <v>1590</v>
      </c>
      <c r="K49" s="817"/>
      <c r="L49" s="817"/>
      <c r="M49" s="862" t="str">
        <f t="shared" si="3"/>
        <v/>
      </c>
      <c r="N49" s="802"/>
      <c r="O49" s="802">
        <f t="shared" si="4"/>
        <v>0</v>
      </c>
      <c r="P49" s="802">
        <f t="shared" si="2"/>
        <v>0</v>
      </c>
      <c r="Q49" s="802"/>
      <c r="R49" s="854"/>
      <c r="S49" s="854"/>
    </row>
    <row r="50" spans="1:21">
      <c r="A50" s="614"/>
      <c r="B50" s="1052" t="s">
        <v>1356</v>
      </c>
      <c r="C50" s="1070"/>
      <c r="D50" s="1070"/>
      <c r="E50" s="1070"/>
      <c r="F50" s="615">
        <f>C50+2</f>
        <v>2</v>
      </c>
      <c r="G50" s="615">
        <f>D50-160-16-1</f>
        <v>-177</v>
      </c>
      <c r="H50" s="615">
        <f>E50</f>
        <v>0</v>
      </c>
      <c r="I50" s="809" t="s">
        <v>1353</v>
      </c>
      <c r="J50" s="819" t="s">
        <v>1590</v>
      </c>
      <c r="K50" s="817"/>
      <c r="L50" s="817"/>
      <c r="M50" s="862" t="str">
        <f t="shared" si="3"/>
        <v/>
      </c>
      <c r="N50" s="802"/>
      <c r="O50" s="802">
        <f t="shared" si="4"/>
        <v>0</v>
      </c>
      <c r="P50" s="802">
        <f t="shared" si="2"/>
        <v>0</v>
      </c>
      <c r="Q50" s="802"/>
      <c r="R50" s="854"/>
      <c r="S50" s="854"/>
      <c r="T50" s="801">
        <f t="shared" si="7"/>
        <v>0</v>
      </c>
      <c r="U50" s="801">
        <f>((((C50+30)*(160+40))/1000000)/0.4)*E50</f>
        <v>0</v>
      </c>
    </row>
    <row r="51" spans="1:21">
      <c r="A51" s="616"/>
      <c r="B51" s="1053"/>
      <c r="C51" s="1071"/>
      <c r="D51" s="1071"/>
      <c r="E51" s="1071"/>
      <c r="F51" s="615">
        <f>C50-2+2</f>
        <v>0</v>
      </c>
      <c r="G51" s="615">
        <v>160</v>
      </c>
      <c r="H51" s="615">
        <f>E50</f>
        <v>0</v>
      </c>
      <c r="I51" s="809" t="s">
        <v>1357</v>
      </c>
      <c r="J51" s="819" t="s">
        <v>1590</v>
      </c>
      <c r="K51" s="817"/>
      <c r="L51" s="817"/>
      <c r="M51" s="862" t="str">
        <f t="shared" si="3"/>
        <v/>
      </c>
      <c r="N51" s="802"/>
      <c r="O51" s="802">
        <f t="shared" si="4"/>
        <v>0</v>
      </c>
      <c r="P51" s="802">
        <f t="shared" si="2"/>
        <v>0</v>
      </c>
      <c r="Q51" s="802"/>
      <c r="R51" s="854"/>
      <c r="S51" s="854"/>
    </row>
    <row r="52" spans="1:21">
      <c r="A52" s="614"/>
      <c r="B52" s="1052" t="s">
        <v>1356</v>
      </c>
      <c r="C52" s="1070"/>
      <c r="D52" s="1070"/>
      <c r="E52" s="1070"/>
      <c r="F52" s="615">
        <f>C52+2</f>
        <v>2</v>
      </c>
      <c r="G52" s="615">
        <f>D52-160-16-1</f>
        <v>-177</v>
      </c>
      <c r="H52" s="615">
        <f>E52</f>
        <v>0</v>
      </c>
      <c r="I52" s="809" t="s">
        <v>1353</v>
      </c>
      <c r="J52" s="819" t="s">
        <v>1590</v>
      </c>
      <c r="K52" s="817"/>
      <c r="L52" s="817"/>
      <c r="M52" s="862" t="str">
        <f t="shared" si="3"/>
        <v/>
      </c>
      <c r="N52" s="802"/>
      <c r="O52" s="802">
        <f t="shared" si="4"/>
        <v>0</v>
      </c>
      <c r="P52" s="802">
        <f t="shared" si="2"/>
        <v>0</v>
      </c>
      <c r="Q52" s="802"/>
      <c r="R52" s="854"/>
      <c r="S52" s="854"/>
      <c r="T52" s="801">
        <f t="shared" si="7"/>
        <v>0</v>
      </c>
      <c r="U52" s="801">
        <f>((((C52+30)*(160+40))/1000000)/0.4)*E52</f>
        <v>0</v>
      </c>
    </row>
    <row r="53" spans="1:21">
      <c r="A53" s="616"/>
      <c r="B53" s="1053"/>
      <c r="C53" s="1071"/>
      <c r="D53" s="1071"/>
      <c r="E53" s="1071"/>
      <c r="F53" s="615">
        <f>C52-2+2</f>
        <v>0</v>
      </c>
      <c r="G53" s="615">
        <v>160</v>
      </c>
      <c r="H53" s="615">
        <f>E52</f>
        <v>0</v>
      </c>
      <c r="I53" s="809" t="s">
        <v>1357</v>
      </c>
      <c r="J53" s="819" t="s">
        <v>1590</v>
      </c>
      <c r="K53" s="817"/>
      <c r="L53" s="817"/>
      <c r="M53" s="862" t="str">
        <f t="shared" si="3"/>
        <v/>
      </c>
      <c r="N53" s="802"/>
      <c r="O53" s="802">
        <f t="shared" si="4"/>
        <v>0</v>
      </c>
      <c r="P53" s="802">
        <f t="shared" si="2"/>
        <v>0</v>
      </c>
      <c r="Q53" s="802"/>
      <c r="R53" s="854"/>
      <c r="S53" s="854"/>
    </row>
    <row r="54" spans="1:21">
      <c r="A54" s="614"/>
      <c r="B54" s="1052" t="s">
        <v>1356</v>
      </c>
      <c r="C54" s="1070"/>
      <c r="D54" s="1070"/>
      <c r="E54" s="1070"/>
      <c r="F54" s="615">
        <f>C54+2</f>
        <v>2</v>
      </c>
      <c r="G54" s="615">
        <f>D54-160-16-1</f>
        <v>-177</v>
      </c>
      <c r="H54" s="615">
        <f>E54</f>
        <v>0</v>
      </c>
      <c r="I54" s="809" t="s">
        <v>1353</v>
      </c>
      <c r="J54" s="819" t="s">
        <v>1590</v>
      </c>
      <c r="K54" s="817"/>
      <c r="L54" s="817"/>
      <c r="M54" s="862" t="str">
        <f t="shared" si="3"/>
        <v/>
      </c>
      <c r="N54" s="802"/>
      <c r="O54" s="802">
        <f t="shared" si="4"/>
        <v>0</v>
      </c>
      <c r="P54" s="802">
        <f t="shared" si="2"/>
        <v>0</v>
      </c>
      <c r="Q54" s="802"/>
      <c r="R54" s="854"/>
      <c r="S54" s="854"/>
      <c r="T54" s="801">
        <f t="shared" si="7"/>
        <v>0</v>
      </c>
      <c r="U54" s="801">
        <f>((((C54+30)*(160+40))/1000000)/0.4)*E54</f>
        <v>0</v>
      </c>
    </row>
    <row r="55" spans="1:21">
      <c r="A55" s="616"/>
      <c r="B55" s="1053"/>
      <c r="C55" s="1071"/>
      <c r="D55" s="1071"/>
      <c r="E55" s="1071"/>
      <c r="F55" s="615">
        <f>C54-2+2</f>
        <v>0</v>
      </c>
      <c r="G55" s="615">
        <v>160</v>
      </c>
      <c r="H55" s="615">
        <f>E54</f>
        <v>0</v>
      </c>
      <c r="I55" s="809" t="s">
        <v>1357</v>
      </c>
      <c r="J55" s="819" t="s">
        <v>1590</v>
      </c>
      <c r="K55" s="817"/>
      <c r="L55" s="817"/>
      <c r="M55" s="862" t="str">
        <f t="shared" si="3"/>
        <v/>
      </c>
      <c r="N55" s="802"/>
      <c r="O55" s="802">
        <f t="shared" si="4"/>
        <v>0</v>
      </c>
      <c r="P55" s="802">
        <f t="shared" si="2"/>
        <v>0</v>
      </c>
      <c r="Q55" s="802"/>
      <c r="R55" s="854"/>
      <c r="S55" s="854"/>
    </row>
    <row r="56" spans="1:21">
      <c r="A56" s="614"/>
      <c r="B56" s="1052" t="s">
        <v>1356</v>
      </c>
      <c r="C56" s="1070"/>
      <c r="D56" s="1070"/>
      <c r="E56" s="1070"/>
      <c r="F56" s="615">
        <f>C56+2</f>
        <v>2</v>
      </c>
      <c r="G56" s="615">
        <f>D56-160-16-1</f>
        <v>-177</v>
      </c>
      <c r="H56" s="615">
        <f>E56</f>
        <v>0</v>
      </c>
      <c r="I56" s="809" t="s">
        <v>1353</v>
      </c>
      <c r="J56" s="819" t="s">
        <v>1590</v>
      </c>
      <c r="K56" s="817"/>
      <c r="L56" s="817"/>
      <c r="M56" s="862" t="str">
        <f t="shared" si="3"/>
        <v/>
      </c>
      <c r="N56" s="802"/>
      <c r="O56" s="802">
        <f t="shared" si="4"/>
        <v>0</v>
      </c>
      <c r="P56" s="802">
        <f t="shared" si="2"/>
        <v>0</v>
      </c>
      <c r="Q56" s="802"/>
      <c r="R56" s="854"/>
      <c r="S56" s="854"/>
      <c r="T56" s="801">
        <f t="shared" si="7"/>
        <v>0</v>
      </c>
      <c r="U56" s="801">
        <f>((((C56+30)*(160+40))/1000000)/0.4)*E56</f>
        <v>0</v>
      </c>
    </row>
    <row r="57" spans="1:21">
      <c r="A57" s="616"/>
      <c r="B57" s="1053"/>
      <c r="C57" s="1071"/>
      <c r="D57" s="1071"/>
      <c r="E57" s="1071"/>
      <c r="F57" s="615">
        <f>C56-2+2</f>
        <v>0</v>
      </c>
      <c r="G57" s="615">
        <v>160</v>
      </c>
      <c r="H57" s="615">
        <f>E56</f>
        <v>0</v>
      </c>
      <c r="I57" s="809" t="s">
        <v>1357</v>
      </c>
      <c r="J57" s="819" t="s">
        <v>1590</v>
      </c>
      <c r="K57" s="817"/>
      <c r="L57" s="817"/>
      <c r="M57" s="862" t="str">
        <f t="shared" si="3"/>
        <v/>
      </c>
      <c r="N57" s="802"/>
      <c r="O57" s="802">
        <f t="shared" si="4"/>
        <v>0</v>
      </c>
      <c r="P57" s="802">
        <f t="shared" si="2"/>
        <v>0</v>
      </c>
      <c r="Q57" s="802"/>
      <c r="R57" s="854"/>
      <c r="S57" s="854"/>
    </row>
    <row r="58" spans="1:21">
      <c r="A58" s="614"/>
      <c r="B58" s="1052" t="s">
        <v>1356</v>
      </c>
      <c r="C58" s="1070"/>
      <c r="D58" s="1070"/>
      <c r="E58" s="1070"/>
      <c r="F58" s="615">
        <f>C58+2</f>
        <v>2</v>
      </c>
      <c r="G58" s="615">
        <f>D58-160-16-1</f>
        <v>-177</v>
      </c>
      <c r="H58" s="615">
        <f>E58</f>
        <v>0</v>
      </c>
      <c r="I58" s="809" t="s">
        <v>1353</v>
      </c>
      <c r="J58" s="819" t="s">
        <v>1590</v>
      </c>
      <c r="K58" s="817"/>
      <c r="L58" s="817"/>
      <c r="M58" s="862" t="str">
        <f t="shared" si="3"/>
        <v/>
      </c>
      <c r="N58" s="802"/>
      <c r="O58" s="802">
        <f t="shared" si="4"/>
        <v>0</v>
      </c>
      <c r="P58" s="802">
        <f t="shared" si="2"/>
        <v>0</v>
      </c>
      <c r="Q58" s="802"/>
      <c r="R58" s="854"/>
      <c r="S58" s="854"/>
      <c r="T58" s="801">
        <f t="shared" si="7"/>
        <v>0</v>
      </c>
      <c r="U58" s="801">
        <f>((((C58+30)*(160+40))/1000000)/0.4)*E58</f>
        <v>0</v>
      </c>
    </row>
    <row r="59" spans="1:21">
      <c r="A59" s="616"/>
      <c r="B59" s="1053"/>
      <c r="C59" s="1071"/>
      <c r="D59" s="1071"/>
      <c r="E59" s="1071"/>
      <c r="F59" s="615">
        <f>C58-2+2</f>
        <v>0</v>
      </c>
      <c r="G59" s="615">
        <v>160</v>
      </c>
      <c r="H59" s="615">
        <f>E58</f>
        <v>0</v>
      </c>
      <c r="I59" s="809" t="s">
        <v>1357</v>
      </c>
      <c r="J59" s="819" t="s">
        <v>1590</v>
      </c>
      <c r="K59" s="817"/>
      <c r="L59" s="817"/>
      <c r="M59" s="862" t="str">
        <f t="shared" si="3"/>
        <v/>
      </c>
      <c r="N59" s="802"/>
      <c r="O59" s="802">
        <f t="shared" si="4"/>
        <v>0</v>
      </c>
      <c r="P59" s="802">
        <f t="shared" si="2"/>
        <v>0</v>
      </c>
      <c r="Q59" s="802"/>
      <c r="R59" s="854"/>
      <c r="S59" s="854"/>
    </row>
    <row r="60" spans="1:21">
      <c r="A60" s="614"/>
      <c r="B60" s="1052" t="s">
        <v>1356</v>
      </c>
      <c r="C60" s="1070"/>
      <c r="D60" s="1070"/>
      <c r="E60" s="1070"/>
      <c r="F60" s="615">
        <f>C60+2</f>
        <v>2</v>
      </c>
      <c r="G60" s="615">
        <f>D60-160-16-1</f>
        <v>-177</v>
      </c>
      <c r="H60" s="615">
        <f>E60</f>
        <v>0</v>
      </c>
      <c r="I60" s="809" t="s">
        <v>1353</v>
      </c>
      <c r="J60" s="819" t="s">
        <v>1590</v>
      </c>
      <c r="K60" s="817"/>
      <c r="L60" s="817"/>
      <c r="M60" s="862" t="str">
        <f t="shared" si="3"/>
        <v/>
      </c>
      <c r="N60" s="802"/>
      <c r="O60" s="802">
        <f t="shared" si="4"/>
        <v>0</v>
      </c>
      <c r="P60" s="802">
        <f t="shared" si="2"/>
        <v>0</v>
      </c>
      <c r="Q60" s="802"/>
      <c r="R60" s="854"/>
      <c r="S60" s="854"/>
      <c r="T60" s="801">
        <f t="shared" si="7"/>
        <v>0</v>
      </c>
      <c r="U60" s="801">
        <f>((((C60+30)*(160+40))/1000000)/0.4)*E60</f>
        <v>0</v>
      </c>
    </row>
    <row r="61" spans="1:21">
      <c r="A61" s="616"/>
      <c r="B61" s="1053"/>
      <c r="C61" s="1071"/>
      <c r="D61" s="1071"/>
      <c r="E61" s="1071"/>
      <c r="F61" s="615">
        <f>C60-2+2</f>
        <v>0</v>
      </c>
      <c r="G61" s="615">
        <v>160</v>
      </c>
      <c r="H61" s="615">
        <f>E60</f>
        <v>0</v>
      </c>
      <c r="I61" s="809" t="s">
        <v>1357</v>
      </c>
      <c r="J61" s="819" t="s">
        <v>1590</v>
      </c>
      <c r="K61" s="817"/>
      <c r="L61" s="817"/>
      <c r="M61" s="862" t="str">
        <f t="shared" si="3"/>
        <v/>
      </c>
      <c r="N61" s="802"/>
      <c r="O61" s="802">
        <f t="shared" si="4"/>
        <v>0</v>
      </c>
      <c r="P61" s="802">
        <f t="shared" si="2"/>
        <v>0</v>
      </c>
      <c r="Q61" s="802"/>
      <c r="R61" s="854"/>
      <c r="S61" s="854"/>
    </row>
    <row r="62" spans="1:21">
      <c r="A62" s="614"/>
      <c r="B62" s="1052" t="s">
        <v>1356</v>
      </c>
      <c r="C62" s="1070"/>
      <c r="D62" s="1070"/>
      <c r="E62" s="1070"/>
      <c r="F62" s="615">
        <f>C62+2</f>
        <v>2</v>
      </c>
      <c r="G62" s="615">
        <f>D62-160-16-1</f>
        <v>-177</v>
      </c>
      <c r="H62" s="615">
        <f>E62</f>
        <v>0</v>
      </c>
      <c r="I62" s="809" t="s">
        <v>1353</v>
      </c>
      <c r="J62" s="819" t="s">
        <v>1590</v>
      </c>
      <c r="K62" s="817"/>
      <c r="L62" s="817"/>
      <c r="M62" s="862" t="str">
        <f t="shared" si="3"/>
        <v/>
      </c>
      <c r="N62" s="802"/>
      <c r="O62" s="802">
        <f t="shared" si="4"/>
        <v>0</v>
      </c>
      <c r="P62" s="802">
        <f t="shared" si="2"/>
        <v>0</v>
      </c>
      <c r="Q62" s="802"/>
      <c r="R62" s="854"/>
      <c r="S62" s="854"/>
      <c r="T62" s="801">
        <f t="shared" si="7"/>
        <v>0</v>
      </c>
      <c r="U62" s="801">
        <f>((((C62+30)*(160+40))/1000000)/0.4)*E62</f>
        <v>0</v>
      </c>
    </row>
    <row r="63" spans="1:21">
      <c r="A63" s="616"/>
      <c r="B63" s="1053"/>
      <c r="C63" s="1071"/>
      <c r="D63" s="1071"/>
      <c r="E63" s="1071"/>
      <c r="F63" s="615">
        <f>C62-2+2</f>
        <v>0</v>
      </c>
      <c r="G63" s="615">
        <v>160</v>
      </c>
      <c r="H63" s="615">
        <f>E62</f>
        <v>0</v>
      </c>
      <c r="I63" s="809" t="s">
        <v>1357</v>
      </c>
      <c r="J63" s="819" t="s">
        <v>1590</v>
      </c>
      <c r="K63" s="817"/>
      <c r="L63" s="817"/>
      <c r="M63" s="862" t="str">
        <f t="shared" si="3"/>
        <v/>
      </c>
      <c r="N63" s="802"/>
      <c r="O63" s="802">
        <f t="shared" si="4"/>
        <v>0</v>
      </c>
      <c r="P63" s="802">
        <f t="shared" si="2"/>
        <v>0</v>
      </c>
      <c r="Q63" s="802"/>
      <c r="R63" s="854"/>
      <c r="S63" s="854"/>
    </row>
    <row r="64" spans="1:21">
      <c r="A64" s="614"/>
      <c r="B64" s="1052" t="s">
        <v>1356</v>
      </c>
      <c r="C64" s="1070"/>
      <c r="D64" s="1070"/>
      <c r="E64" s="1070"/>
      <c r="F64" s="615">
        <f>C64+2</f>
        <v>2</v>
      </c>
      <c r="G64" s="615">
        <f>D64-160-16-1</f>
        <v>-177</v>
      </c>
      <c r="H64" s="615">
        <f>E64</f>
        <v>0</v>
      </c>
      <c r="I64" s="809" t="s">
        <v>1353</v>
      </c>
      <c r="J64" s="819" t="s">
        <v>1590</v>
      </c>
      <c r="K64" s="817"/>
      <c r="L64" s="817"/>
      <c r="M64" s="862" t="str">
        <f t="shared" si="3"/>
        <v/>
      </c>
      <c r="N64" s="802"/>
      <c r="O64" s="802">
        <f t="shared" si="4"/>
        <v>0</v>
      </c>
      <c r="P64" s="802">
        <f t="shared" si="2"/>
        <v>0</v>
      </c>
      <c r="Q64" s="802"/>
      <c r="R64" s="854"/>
      <c r="S64" s="854"/>
      <c r="T64" s="801">
        <f t="shared" si="7"/>
        <v>0</v>
      </c>
      <c r="U64" s="801">
        <f>((((C64+30)*(160+40))/1000000)/0.4)*E64</f>
        <v>0</v>
      </c>
    </row>
    <row r="65" spans="1:21">
      <c r="A65" s="616"/>
      <c r="B65" s="1053"/>
      <c r="C65" s="1071"/>
      <c r="D65" s="1071"/>
      <c r="E65" s="1071"/>
      <c r="F65" s="615">
        <f>C64-2+2</f>
        <v>0</v>
      </c>
      <c r="G65" s="615">
        <v>160</v>
      </c>
      <c r="H65" s="615">
        <f>E64</f>
        <v>0</v>
      </c>
      <c r="I65" s="809" t="s">
        <v>1357</v>
      </c>
      <c r="J65" s="819" t="s">
        <v>1590</v>
      </c>
      <c r="K65" s="817"/>
      <c r="L65" s="817"/>
      <c r="M65" s="862" t="str">
        <f t="shared" si="3"/>
        <v/>
      </c>
      <c r="N65" s="802"/>
      <c r="O65" s="802">
        <f t="shared" si="4"/>
        <v>0</v>
      </c>
      <c r="P65" s="802">
        <f t="shared" si="2"/>
        <v>0</v>
      </c>
      <c r="Q65" s="802"/>
      <c r="R65" s="854"/>
      <c r="S65" s="854"/>
    </row>
    <row r="66" spans="1:21">
      <c r="A66" s="614"/>
      <c r="B66" s="1052" t="s">
        <v>1356</v>
      </c>
      <c r="C66" s="1070"/>
      <c r="D66" s="1070"/>
      <c r="E66" s="1070"/>
      <c r="F66" s="615">
        <f>C66+2</f>
        <v>2</v>
      </c>
      <c r="G66" s="615">
        <f>D66-160-16-1</f>
        <v>-177</v>
      </c>
      <c r="H66" s="615">
        <f>E66</f>
        <v>0</v>
      </c>
      <c r="I66" s="809" t="s">
        <v>1353</v>
      </c>
      <c r="J66" s="819" t="s">
        <v>1590</v>
      </c>
      <c r="K66" s="817"/>
      <c r="L66" s="817"/>
      <c r="M66" s="862" t="str">
        <f t="shared" si="3"/>
        <v/>
      </c>
      <c r="N66" s="802"/>
      <c r="O66" s="802">
        <f t="shared" si="4"/>
        <v>0</v>
      </c>
      <c r="P66" s="802">
        <f t="shared" si="2"/>
        <v>0</v>
      </c>
      <c r="Q66" s="802"/>
      <c r="R66" s="854"/>
      <c r="S66" s="854"/>
      <c r="T66" s="801">
        <f t="shared" si="7"/>
        <v>0</v>
      </c>
      <c r="U66" s="801">
        <f>((((C66+30)*(160+40))/1000000)/0.4)*E66</f>
        <v>0</v>
      </c>
    </row>
    <row r="67" spans="1:21">
      <c r="A67" s="616"/>
      <c r="B67" s="1053"/>
      <c r="C67" s="1071"/>
      <c r="D67" s="1071"/>
      <c r="E67" s="1071"/>
      <c r="F67" s="615">
        <f>C66-2+2</f>
        <v>0</v>
      </c>
      <c r="G67" s="615">
        <v>160</v>
      </c>
      <c r="H67" s="615">
        <f>E66</f>
        <v>0</v>
      </c>
      <c r="I67" s="809" t="s">
        <v>1357</v>
      </c>
      <c r="J67" s="819" t="s">
        <v>1590</v>
      </c>
      <c r="K67" s="817"/>
      <c r="L67" s="817"/>
      <c r="M67" s="862" t="str">
        <f t="shared" si="3"/>
        <v/>
      </c>
      <c r="N67" s="802"/>
      <c r="O67" s="802">
        <f t="shared" si="4"/>
        <v>0</v>
      </c>
      <c r="P67" s="802">
        <f t="shared" si="2"/>
        <v>0</v>
      </c>
      <c r="Q67" s="802"/>
      <c r="R67" s="854"/>
      <c r="S67" s="854"/>
    </row>
    <row r="68" spans="1:21">
      <c r="A68" s="614"/>
      <c r="B68" s="1052" t="s">
        <v>1356</v>
      </c>
      <c r="C68" s="1070"/>
      <c r="D68" s="1070"/>
      <c r="E68" s="1070"/>
      <c r="F68" s="615">
        <f>C68+2</f>
        <v>2</v>
      </c>
      <c r="G68" s="615">
        <f>D68-160-16-1</f>
        <v>-177</v>
      </c>
      <c r="H68" s="615">
        <f>E68</f>
        <v>0</v>
      </c>
      <c r="I68" s="809" t="s">
        <v>1353</v>
      </c>
      <c r="J68" s="819" t="s">
        <v>1590</v>
      </c>
      <c r="K68" s="817"/>
      <c r="L68" s="817"/>
      <c r="M68" s="862" t="str">
        <f t="shared" si="3"/>
        <v/>
      </c>
      <c r="N68" s="802"/>
      <c r="O68" s="802">
        <f t="shared" si="4"/>
        <v>0</v>
      </c>
      <c r="P68" s="802">
        <f t="shared" si="2"/>
        <v>0</v>
      </c>
      <c r="Q68" s="802"/>
      <c r="R68" s="854"/>
      <c r="S68" s="854"/>
      <c r="T68" s="801">
        <f t="shared" si="7"/>
        <v>0</v>
      </c>
      <c r="U68" s="801">
        <f>((((C68+30)*(160+40))/1000000)/0.4)*E68</f>
        <v>0</v>
      </c>
    </row>
    <row r="69" spans="1:21">
      <c r="A69" s="616"/>
      <c r="B69" s="1053"/>
      <c r="C69" s="1071"/>
      <c r="D69" s="1071"/>
      <c r="E69" s="1071"/>
      <c r="F69" s="615">
        <f>C68-2+2</f>
        <v>0</v>
      </c>
      <c r="G69" s="615">
        <v>160</v>
      </c>
      <c r="H69" s="615">
        <f>E68</f>
        <v>0</v>
      </c>
      <c r="I69" s="809" t="s">
        <v>1357</v>
      </c>
      <c r="J69" s="819" t="s">
        <v>1590</v>
      </c>
      <c r="K69" s="817"/>
      <c r="L69" s="817"/>
      <c r="M69" s="862" t="str">
        <f t="shared" si="3"/>
        <v/>
      </c>
      <c r="N69" s="802"/>
      <c r="O69" s="802">
        <f t="shared" si="4"/>
        <v>0</v>
      </c>
      <c r="P69" s="802">
        <f t="shared" si="2"/>
        <v>0</v>
      </c>
      <c r="Q69" s="802"/>
      <c r="R69" s="854"/>
      <c r="S69" s="854"/>
    </row>
    <row r="70" spans="1:21">
      <c r="A70" s="614"/>
      <c r="B70" s="1052" t="s">
        <v>1356</v>
      </c>
      <c r="C70" s="1070"/>
      <c r="D70" s="1070"/>
      <c r="E70" s="1070"/>
      <c r="F70" s="615">
        <f>C70+2</f>
        <v>2</v>
      </c>
      <c r="G70" s="615">
        <f>D70-160-16-1</f>
        <v>-177</v>
      </c>
      <c r="H70" s="615">
        <f>E70</f>
        <v>0</v>
      </c>
      <c r="I70" s="809" t="s">
        <v>1353</v>
      </c>
      <c r="J70" s="819" t="s">
        <v>1590</v>
      </c>
      <c r="K70" s="817"/>
      <c r="L70" s="817"/>
      <c r="M70" s="862" t="str">
        <f t="shared" si="3"/>
        <v/>
      </c>
      <c r="N70" s="802"/>
      <c r="O70" s="802">
        <f t="shared" si="4"/>
        <v>0</v>
      </c>
      <c r="P70" s="802">
        <f t="shared" si="2"/>
        <v>0</v>
      </c>
      <c r="Q70" s="802"/>
      <c r="R70" s="854"/>
      <c r="S70" s="854"/>
      <c r="T70" s="801">
        <f t="shared" si="7"/>
        <v>0</v>
      </c>
      <c r="U70" s="801">
        <f>((((C70+30)*(160+40))/1000000)/0.4)*E70</f>
        <v>0</v>
      </c>
    </row>
    <row r="71" spans="1:21">
      <c r="A71" s="616"/>
      <c r="B71" s="1053"/>
      <c r="C71" s="1071"/>
      <c r="D71" s="1071"/>
      <c r="E71" s="1071"/>
      <c r="F71" s="615">
        <f>C70-2+2</f>
        <v>0</v>
      </c>
      <c r="G71" s="615">
        <v>160</v>
      </c>
      <c r="H71" s="615">
        <f>E70</f>
        <v>0</v>
      </c>
      <c r="I71" s="809" t="s">
        <v>1357</v>
      </c>
      <c r="J71" s="819" t="s">
        <v>1590</v>
      </c>
      <c r="K71" s="817"/>
      <c r="L71" s="817"/>
      <c r="M71" s="862" t="str">
        <f t="shared" si="3"/>
        <v/>
      </c>
      <c r="N71" s="802"/>
      <c r="O71" s="802">
        <f t="shared" si="4"/>
        <v>0</v>
      </c>
      <c r="P71" s="802">
        <f t="shared" ref="P71:P95" si="8">C71*D71*E71/1000000/1.22/2.44/0.85</f>
        <v>0</v>
      </c>
      <c r="Q71" s="802"/>
      <c r="R71" s="854"/>
      <c r="S71" s="854"/>
    </row>
    <row r="72" spans="1:21">
      <c r="A72" s="614"/>
      <c r="B72" s="1052" t="s">
        <v>1356</v>
      </c>
      <c r="C72" s="1070"/>
      <c r="D72" s="1070"/>
      <c r="E72" s="1070"/>
      <c r="F72" s="615">
        <f>C72+2</f>
        <v>2</v>
      </c>
      <c r="G72" s="615">
        <f>D72-160-16-1</f>
        <v>-177</v>
      </c>
      <c r="H72" s="615">
        <f>E72</f>
        <v>0</v>
      </c>
      <c r="I72" s="809" t="s">
        <v>1353</v>
      </c>
      <c r="J72" s="819" t="s">
        <v>1590</v>
      </c>
      <c r="K72" s="817"/>
      <c r="L72" s="817"/>
      <c r="M72" s="862" t="str">
        <f t="shared" ref="M72:M105" si="9">IF(L72="","",VLOOKUP(L72,$A$117:$B$137,2,0))</f>
        <v/>
      </c>
      <c r="N72" s="802"/>
      <c r="O72" s="802">
        <f t="shared" ref="O72:O100" si="10">C72*D72*E72/1000000</f>
        <v>0</v>
      </c>
      <c r="P72" s="802">
        <f t="shared" si="8"/>
        <v>0</v>
      </c>
      <c r="Q72" s="802"/>
      <c r="R72" s="854"/>
      <c r="S72" s="854"/>
      <c r="T72" s="801">
        <f t="shared" si="7"/>
        <v>0</v>
      </c>
      <c r="U72" s="801">
        <f>((((C72+30)*(160+40))/1000000)/0.4)*E72</f>
        <v>0</v>
      </c>
    </row>
    <row r="73" spans="1:21">
      <c r="A73" s="616"/>
      <c r="B73" s="1053"/>
      <c r="C73" s="1071"/>
      <c r="D73" s="1071"/>
      <c r="E73" s="1071"/>
      <c r="F73" s="615">
        <f>C72-2+2</f>
        <v>0</v>
      </c>
      <c r="G73" s="615">
        <v>160</v>
      </c>
      <c r="H73" s="615">
        <f>E72</f>
        <v>0</v>
      </c>
      <c r="I73" s="809" t="s">
        <v>1357</v>
      </c>
      <c r="J73" s="819" t="s">
        <v>1590</v>
      </c>
      <c r="K73" s="817"/>
      <c r="L73" s="817"/>
      <c r="M73" s="862" t="str">
        <f t="shared" si="9"/>
        <v/>
      </c>
      <c r="N73" s="802"/>
      <c r="O73" s="802">
        <f t="shared" si="10"/>
        <v>0</v>
      </c>
      <c r="P73" s="802">
        <f t="shared" si="8"/>
        <v>0</v>
      </c>
      <c r="Q73" s="802"/>
      <c r="R73" s="854"/>
      <c r="S73" s="854"/>
    </row>
    <row r="74" spans="1:21">
      <c r="A74" s="614"/>
      <c r="B74" s="1052" t="s">
        <v>1356</v>
      </c>
      <c r="C74" s="1070"/>
      <c r="D74" s="1070"/>
      <c r="E74" s="1070"/>
      <c r="F74" s="615">
        <f>C74+2</f>
        <v>2</v>
      </c>
      <c r="G74" s="615">
        <f>D74-160-16-1</f>
        <v>-177</v>
      </c>
      <c r="H74" s="615">
        <f>E74</f>
        <v>0</v>
      </c>
      <c r="I74" s="809" t="s">
        <v>1353</v>
      </c>
      <c r="J74" s="819" t="s">
        <v>1590</v>
      </c>
      <c r="K74" s="817"/>
      <c r="L74" s="817"/>
      <c r="M74" s="862" t="str">
        <f t="shared" si="9"/>
        <v/>
      </c>
      <c r="N74" s="802"/>
      <c r="O74" s="802">
        <f t="shared" si="10"/>
        <v>0</v>
      </c>
      <c r="P74" s="802">
        <f t="shared" si="8"/>
        <v>0</v>
      </c>
      <c r="Q74" s="802"/>
      <c r="R74" s="854"/>
      <c r="S74" s="854"/>
      <c r="T74" s="801">
        <f t="shared" si="7"/>
        <v>0</v>
      </c>
      <c r="U74" s="801">
        <f>((((C74+30)*(160+40))/1000000)/0.4)*E74</f>
        <v>0</v>
      </c>
    </row>
    <row r="75" spans="1:21">
      <c r="A75" s="616"/>
      <c r="B75" s="1053"/>
      <c r="C75" s="1071"/>
      <c r="D75" s="1071"/>
      <c r="E75" s="1071"/>
      <c r="F75" s="615">
        <f>C74-2+2</f>
        <v>0</v>
      </c>
      <c r="G75" s="615">
        <v>160</v>
      </c>
      <c r="H75" s="615">
        <f>E74</f>
        <v>0</v>
      </c>
      <c r="I75" s="809" t="s">
        <v>1357</v>
      </c>
      <c r="J75" s="819" t="s">
        <v>1590</v>
      </c>
      <c r="K75" s="817"/>
      <c r="L75" s="817"/>
      <c r="M75" s="862" t="str">
        <f t="shared" si="9"/>
        <v/>
      </c>
      <c r="N75" s="802"/>
      <c r="O75" s="802">
        <f t="shared" si="10"/>
        <v>0</v>
      </c>
      <c r="P75" s="802">
        <f t="shared" si="8"/>
        <v>0</v>
      </c>
      <c r="Q75" s="802"/>
      <c r="R75" s="854"/>
      <c r="S75" s="854"/>
    </row>
    <row r="76" spans="1:21">
      <c r="A76" s="614"/>
      <c r="B76" s="1052" t="s">
        <v>1356</v>
      </c>
      <c r="C76" s="1070"/>
      <c r="D76" s="1070"/>
      <c r="E76" s="1070"/>
      <c r="F76" s="615">
        <f>C76+2</f>
        <v>2</v>
      </c>
      <c r="G76" s="615">
        <f>D76-160-16-1</f>
        <v>-177</v>
      </c>
      <c r="H76" s="615">
        <f>E76</f>
        <v>0</v>
      </c>
      <c r="I76" s="809" t="s">
        <v>1353</v>
      </c>
      <c r="J76" s="819" t="s">
        <v>1590</v>
      </c>
      <c r="K76" s="817"/>
      <c r="L76" s="817"/>
      <c r="M76" s="862" t="str">
        <f t="shared" si="9"/>
        <v/>
      </c>
      <c r="N76" s="802"/>
      <c r="O76" s="802">
        <f t="shared" si="10"/>
        <v>0</v>
      </c>
      <c r="P76" s="802">
        <f t="shared" si="8"/>
        <v>0</v>
      </c>
      <c r="Q76" s="802"/>
      <c r="R76" s="854"/>
      <c r="S76" s="854"/>
      <c r="T76" s="801">
        <f t="shared" si="7"/>
        <v>0</v>
      </c>
      <c r="U76" s="801">
        <f>((((C76+30)*(160+40))/1000000)/0.4)*E76</f>
        <v>0</v>
      </c>
    </row>
    <row r="77" spans="1:21">
      <c r="A77" s="616"/>
      <c r="B77" s="1053"/>
      <c r="C77" s="1071"/>
      <c r="D77" s="1071"/>
      <c r="E77" s="1071"/>
      <c r="F77" s="615">
        <f>C76-2+2</f>
        <v>0</v>
      </c>
      <c r="G77" s="615">
        <v>160</v>
      </c>
      <c r="H77" s="615">
        <f>E76</f>
        <v>0</v>
      </c>
      <c r="I77" s="809" t="s">
        <v>1357</v>
      </c>
      <c r="J77" s="819" t="s">
        <v>1590</v>
      </c>
      <c r="K77" s="817"/>
      <c r="L77" s="817"/>
      <c r="M77" s="862" t="str">
        <f t="shared" si="9"/>
        <v/>
      </c>
      <c r="N77" s="802"/>
      <c r="O77" s="802">
        <f t="shared" si="10"/>
        <v>0</v>
      </c>
      <c r="P77" s="802">
        <f t="shared" si="8"/>
        <v>0</v>
      </c>
      <c r="Q77" s="802"/>
      <c r="R77" s="854"/>
      <c r="S77" s="854"/>
    </row>
    <row r="78" spans="1:21">
      <c r="A78" s="614"/>
      <c r="B78" s="1052" t="s">
        <v>1356</v>
      </c>
      <c r="C78" s="1070"/>
      <c r="D78" s="1070"/>
      <c r="E78" s="1070"/>
      <c r="F78" s="615">
        <f>C78+2</f>
        <v>2</v>
      </c>
      <c r="G78" s="615">
        <f>D78-160-16-1</f>
        <v>-177</v>
      </c>
      <c r="H78" s="615">
        <f>E78</f>
        <v>0</v>
      </c>
      <c r="I78" s="809" t="s">
        <v>1353</v>
      </c>
      <c r="J78" s="819" t="s">
        <v>1590</v>
      </c>
      <c r="K78" s="817"/>
      <c r="L78" s="817"/>
      <c r="M78" s="862" t="str">
        <f t="shared" si="9"/>
        <v/>
      </c>
      <c r="N78" s="802"/>
      <c r="O78" s="802">
        <f t="shared" si="10"/>
        <v>0</v>
      </c>
      <c r="P78" s="802">
        <f t="shared" si="8"/>
        <v>0</v>
      </c>
      <c r="Q78" s="802"/>
      <c r="R78" s="854"/>
      <c r="S78" s="854"/>
      <c r="T78" s="801">
        <f t="shared" si="7"/>
        <v>0</v>
      </c>
      <c r="U78" s="801">
        <f>((((C78+30)*(160+40))/1000000)/0.4)*E78</f>
        <v>0</v>
      </c>
    </row>
    <row r="79" spans="1:21">
      <c r="A79" s="616"/>
      <c r="B79" s="1053"/>
      <c r="C79" s="1071"/>
      <c r="D79" s="1071"/>
      <c r="E79" s="1071"/>
      <c r="F79" s="615">
        <f>C78-2+2</f>
        <v>0</v>
      </c>
      <c r="G79" s="615">
        <v>160</v>
      </c>
      <c r="H79" s="615">
        <f>E78</f>
        <v>0</v>
      </c>
      <c r="I79" s="809" t="s">
        <v>1357</v>
      </c>
      <c r="J79" s="819" t="s">
        <v>1590</v>
      </c>
      <c r="K79" s="817"/>
      <c r="L79" s="817"/>
      <c r="M79" s="862" t="str">
        <f t="shared" si="9"/>
        <v/>
      </c>
      <c r="N79" s="802"/>
      <c r="O79" s="802">
        <f t="shared" si="10"/>
        <v>0</v>
      </c>
      <c r="P79" s="802">
        <f t="shared" si="8"/>
        <v>0</v>
      </c>
      <c r="Q79" s="802"/>
      <c r="R79" s="854"/>
      <c r="S79" s="854"/>
    </row>
    <row r="80" spans="1:21">
      <c r="A80" s="614"/>
      <c r="B80" s="1052" t="s">
        <v>1356</v>
      </c>
      <c r="C80" s="1070"/>
      <c r="D80" s="1070"/>
      <c r="E80" s="1070"/>
      <c r="F80" s="615">
        <f>C80+2</f>
        <v>2</v>
      </c>
      <c r="G80" s="615">
        <f>D80-160-16-1</f>
        <v>-177</v>
      </c>
      <c r="H80" s="615">
        <f>E80</f>
        <v>0</v>
      </c>
      <c r="I80" s="809" t="s">
        <v>1353</v>
      </c>
      <c r="J80" s="819" t="s">
        <v>1590</v>
      </c>
      <c r="K80" s="817"/>
      <c r="L80" s="817"/>
      <c r="M80" s="862" t="str">
        <f t="shared" si="9"/>
        <v/>
      </c>
      <c r="N80" s="802"/>
      <c r="O80" s="802">
        <f t="shared" si="10"/>
        <v>0</v>
      </c>
      <c r="P80" s="802">
        <f t="shared" si="8"/>
        <v>0</v>
      </c>
      <c r="Q80" s="802"/>
      <c r="R80" s="854"/>
      <c r="S80" s="854"/>
      <c r="T80" s="801">
        <f t="shared" si="7"/>
        <v>0</v>
      </c>
      <c r="U80" s="801">
        <f>((((C80+30)*(160+40))/1000000)/0.4)*E80</f>
        <v>0</v>
      </c>
    </row>
    <row r="81" spans="1:21">
      <c r="A81" s="616"/>
      <c r="B81" s="1053"/>
      <c r="C81" s="1071"/>
      <c r="D81" s="1071"/>
      <c r="E81" s="1071"/>
      <c r="F81" s="615">
        <f>C80-2+2</f>
        <v>0</v>
      </c>
      <c r="G81" s="615">
        <v>160</v>
      </c>
      <c r="H81" s="615">
        <f>E80</f>
        <v>0</v>
      </c>
      <c r="I81" s="809" t="s">
        <v>1357</v>
      </c>
      <c r="J81" s="819" t="s">
        <v>1590</v>
      </c>
      <c r="K81" s="817"/>
      <c r="L81" s="817"/>
      <c r="M81" s="862" t="str">
        <f t="shared" si="9"/>
        <v/>
      </c>
      <c r="N81" s="802"/>
      <c r="O81" s="802">
        <f t="shared" si="10"/>
        <v>0</v>
      </c>
      <c r="P81" s="802">
        <f t="shared" si="8"/>
        <v>0</v>
      </c>
      <c r="Q81" s="802"/>
      <c r="R81" s="854"/>
      <c r="S81" s="854"/>
    </row>
    <row r="82" spans="1:21">
      <c r="A82" s="614"/>
      <c r="B82" s="1052" t="s">
        <v>1356</v>
      </c>
      <c r="C82" s="1070"/>
      <c r="D82" s="1070"/>
      <c r="E82" s="1070"/>
      <c r="F82" s="615">
        <f>C82+2</f>
        <v>2</v>
      </c>
      <c r="G82" s="615">
        <f>D82-160-16-1</f>
        <v>-177</v>
      </c>
      <c r="H82" s="615">
        <f>E82</f>
        <v>0</v>
      </c>
      <c r="I82" s="809" t="s">
        <v>1353</v>
      </c>
      <c r="J82" s="819" t="s">
        <v>1590</v>
      </c>
      <c r="K82" s="817"/>
      <c r="L82" s="817"/>
      <c r="M82" s="862" t="str">
        <f t="shared" si="9"/>
        <v/>
      </c>
      <c r="N82" s="802"/>
      <c r="O82" s="802">
        <f t="shared" si="10"/>
        <v>0</v>
      </c>
      <c r="P82" s="802">
        <f t="shared" si="8"/>
        <v>0</v>
      </c>
      <c r="Q82" s="802"/>
      <c r="R82" s="854"/>
      <c r="S82" s="854"/>
      <c r="T82" s="801">
        <f t="shared" si="7"/>
        <v>0</v>
      </c>
      <c r="U82" s="801">
        <f>((((C82+30)*(160+40))/1000000)/0.4)*E82</f>
        <v>0</v>
      </c>
    </row>
    <row r="83" spans="1:21">
      <c r="A83" s="616"/>
      <c r="B83" s="1053"/>
      <c r="C83" s="1071"/>
      <c r="D83" s="1071"/>
      <c r="E83" s="1071"/>
      <c r="F83" s="615">
        <f>C82-2+2</f>
        <v>0</v>
      </c>
      <c r="G83" s="615">
        <v>160</v>
      </c>
      <c r="H83" s="615">
        <f>E82</f>
        <v>0</v>
      </c>
      <c r="I83" s="809" t="s">
        <v>1357</v>
      </c>
      <c r="J83" s="819" t="s">
        <v>1590</v>
      </c>
      <c r="K83" s="817"/>
      <c r="L83" s="817"/>
      <c r="M83" s="862" t="str">
        <f t="shared" si="9"/>
        <v/>
      </c>
      <c r="N83" s="802"/>
      <c r="O83" s="802">
        <f t="shared" si="10"/>
        <v>0</v>
      </c>
      <c r="P83" s="802">
        <f t="shared" si="8"/>
        <v>0</v>
      </c>
      <c r="Q83" s="802"/>
      <c r="R83" s="854"/>
      <c r="S83" s="854"/>
    </row>
    <row r="84" spans="1:21">
      <c r="A84" s="830"/>
      <c r="B84" s="831" t="s">
        <v>1358</v>
      </c>
      <c r="C84" s="617"/>
      <c r="D84" s="617"/>
      <c r="E84" s="617"/>
      <c r="F84" s="617">
        <f t="shared" ref="F84:H97" si="11">C84</f>
        <v>0</v>
      </c>
      <c r="G84" s="617">
        <f t="shared" si="11"/>
        <v>0</v>
      </c>
      <c r="H84" s="617">
        <f t="shared" si="11"/>
        <v>0</v>
      </c>
      <c r="I84" s="810" t="s">
        <v>1359</v>
      </c>
      <c r="J84" s="819" t="s">
        <v>1590</v>
      </c>
      <c r="K84" s="817"/>
      <c r="L84" s="817"/>
      <c r="M84" s="862" t="str">
        <f t="shared" si="9"/>
        <v/>
      </c>
      <c r="N84" s="802"/>
      <c r="O84" s="802">
        <f t="shared" si="10"/>
        <v>0</v>
      </c>
      <c r="P84" s="802">
        <f t="shared" si="8"/>
        <v>0</v>
      </c>
      <c r="Q84" s="802"/>
      <c r="R84" s="854"/>
      <c r="S84" s="854"/>
    </row>
    <row r="85" spans="1:21">
      <c r="A85" s="830"/>
      <c r="B85" s="831" t="s">
        <v>1358</v>
      </c>
      <c r="C85" s="617"/>
      <c r="D85" s="617"/>
      <c r="E85" s="617"/>
      <c r="F85" s="617">
        <f t="shared" si="11"/>
        <v>0</v>
      </c>
      <c r="G85" s="617">
        <f t="shared" si="11"/>
        <v>0</v>
      </c>
      <c r="H85" s="617">
        <f t="shared" si="11"/>
        <v>0</v>
      </c>
      <c r="I85" s="810" t="s">
        <v>1359</v>
      </c>
      <c r="J85" s="819" t="s">
        <v>1590</v>
      </c>
      <c r="K85" s="817"/>
      <c r="L85" s="817"/>
      <c r="M85" s="862" t="str">
        <f t="shared" si="9"/>
        <v/>
      </c>
      <c r="N85" s="802"/>
      <c r="O85" s="802">
        <f t="shared" si="10"/>
        <v>0</v>
      </c>
      <c r="P85" s="802">
        <f t="shared" si="8"/>
        <v>0</v>
      </c>
      <c r="Q85" s="802"/>
      <c r="R85" s="854"/>
      <c r="S85" s="854"/>
    </row>
    <row r="86" spans="1:21">
      <c r="A86" s="830"/>
      <c r="B86" s="831" t="s">
        <v>1593</v>
      </c>
      <c r="C86" s="617"/>
      <c r="D86" s="617"/>
      <c r="E86" s="617"/>
      <c r="F86" s="617">
        <f t="shared" si="11"/>
        <v>0</v>
      </c>
      <c r="G86" s="617">
        <f t="shared" si="11"/>
        <v>0</v>
      </c>
      <c r="H86" s="617">
        <f t="shared" si="11"/>
        <v>0</v>
      </c>
      <c r="I86" s="810" t="s">
        <v>1359</v>
      </c>
      <c r="J86" s="819" t="s">
        <v>1590</v>
      </c>
      <c r="K86" s="817"/>
      <c r="L86" s="817"/>
      <c r="M86" s="862" t="str">
        <f t="shared" si="9"/>
        <v/>
      </c>
      <c r="N86" s="802"/>
      <c r="O86" s="802">
        <f t="shared" si="10"/>
        <v>0</v>
      </c>
      <c r="P86" s="802">
        <f t="shared" si="8"/>
        <v>0</v>
      </c>
      <c r="Q86" s="802"/>
      <c r="R86" s="854"/>
      <c r="S86" s="854"/>
    </row>
    <row r="87" spans="1:21">
      <c r="A87" s="830"/>
      <c r="B87" s="831" t="s">
        <v>1358</v>
      </c>
      <c r="C87" s="617"/>
      <c r="D87" s="617"/>
      <c r="E87" s="617"/>
      <c r="F87" s="617">
        <f t="shared" si="11"/>
        <v>0</v>
      </c>
      <c r="G87" s="617">
        <f t="shared" si="11"/>
        <v>0</v>
      </c>
      <c r="H87" s="617">
        <f t="shared" si="11"/>
        <v>0</v>
      </c>
      <c r="I87" s="810" t="s">
        <v>1359</v>
      </c>
      <c r="J87" s="819" t="s">
        <v>1590</v>
      </c>
      <c r="K87" s="817"/>
      <c r="L87" s="817"/>
      <c r="M87" s="862" t="str">
        <f t="shared" si="9"/>
        <v/>
      </c>
      <c r="N87" s="802"/>
      <c r="O87" s="802">
        <f t="shared" si="10"/>
        <v>0</v>
      </c>
      <c r="P87" s="802">
        <f t="shared" si="8"/>
        <v>0</v>
      </c>
      <c r="Q87" s="802"/>
      <c r="R87" s="854"/>
      <c r="S87" s="854"/>
    </row>
    <row r="88" spans="1:21">
      <c r="A88" s="830"/>
      <c r="B88" s="831" t="s">
        <v>1358</v>
      </c>
      <c r="C88" s="617"/>
      <c r="D88" s="617"/>
      <c r="E88" s="617"/>
      <c r="F88" s="617">
        <f t="shared" si="11"/>
        <v>0</v>
      </c>
      <c r="G88" s="617">
        <f t="shared" si="11"/>
        <v>0</v>
      </c>
      <c r="H88" s="617">
        <f t="shared" si="11"/>
        <v>0</v>
      </c>
      <c r="I88" s="810" t="s">
        <v>1359</v>
      </c>
      <c r="J88" s="819" t="s">
        <v>1590</v>
      </c>
      <c r="K88" s="817"/>
      <c r="L88" s="817"/>
      <c r="M88" s="862" t="str">
        <f t="shared" si="9"/>
        <v/>
      </c>
      <c r="N88" s="802"/>
      <c r="O88" s="802">
        <f t="shared" si="10"/>
        <v>0</v>
      </c>
      <c r="P88" s="802">
        <f t="shared" si="8"/>
        <v>0</v>
      </c>
      <c r="Q88" s="802"/>
      <c r="R88" s="854"/>
      <c r="S88" s="854"/>
    </row>
    <row r="89" spans="1:21">
      <c r="A89" s="830"/>
      <c r="B89" s="831" t="s">
        <v>1358</v>
      </c>
      <c r="C89" s="617"/>
      <c r="D89" s="617"/>
      <c r="E89" s="617"/>
      <c r="F89" s="617">
        <f t="shared" si="11"/>
        <v>0</v>
      </c>
      <c r="G89" s="617">
        <f t="shared" si="11"/>
        <v>0</v>
      </c>
      <c r="H89" s="617">
        <f t="shared" si="11"/>
        <v>0</v>
      </c>
      <c r="I89" s="810" t="s">
        <v>1359</v>
      </c>
      <c r="J89" s="819" t="s">
        <v>1590</v>
      </c>
      <c r="K89" s="817"/>
      <c r="L89" s="817"/>
      <c r="M89" s="862" t="str">
        <f t="shared" si="9"/>
        <v/>
      </c>
      <c r="N89" s="802"/>
      <c r="O89" s="802">
        <f t="shared" si="10"/>
        <v>0</v>
      </c>
      <c r="P89" s="802">
        <f t="shared" si="8"/>
        <v>0</v>
      </c>
      <c r="Q89" s="802"/>
      <c r="R89" s="854"/>
      <c r="S89" s="854"/>
    </row>
    <row r="90" spans="1:21">
      <c r="A90" s="830"/>
      <c r="B90" s="831" t="s">
        <v>1358</v>
      </c>
      <c r="C90" s="617"/>
      <c r="D90" s="617"/>
      <c r="E90" s="617"/>
      <c r="F90" s="617">
        <f t="shared" si="11"/>
        <v>0</v>
      </c>
      <c r="G90" s="617">
        <f t="shared" si="11"/>
        <v>0</v>
      </c>
      <c r="H90" s="617">
        <f t="shared" si="11"/>
        <v>0</v>
      </c>
      <c r="I90" s="810" t="s">
        <v>1359</v>
      </c>
      <c r="J90" s="819" t="s">
        <v>1590</v>
      </c>
      <c r="K90" s="817"/>
      <c r="L90" s="817"/>
      <c r="M90" s="862" t="str">
        <f t="shared" si="9"/>
        <v/>
      </c>
      <c r="N90" s="802"/>
      <c r="O90" s="802">
        <f t="shared" si="10"/>
        <v>0</v>
      </c>
      <c r="P90" s="802">
        <f t="shared" si="8"/>
        <v>0</v>
      </c>
      <c r="Q90" s="802"/>
      <c r="R90" s="854"/>
      <c r="S90" s="854"/>
    </row>
    <row r="91" spans="1:21">
      <c r="A91" s="830"/>
      <c r="B91" s="831" t="s">
        <v>1358</v>
      </c>
      <c r="C91" s="617"/>
      <c r="D91" s="617"/>
      <c r="E91" s="617"/>
      <c r="F91" s="617">
        <f t="shared" si="11"/>
        <v>0</v>
      </c>
      <c r="G91" s="617">
        <f t="shared" si="11"/>
        <v>0</v>
      </c>
      <c r="H91" s="617">
        <f t="shared" si="11"/>
        <v>0</v>
      </c>
      <c r="I91" s="810" t="s">
        <v>1359</v>
      </c>
      <c r="J91" s="819" t="s">
        <v>1590</v>
      </c>
      <c r="K91" s="817"/>
      <c r="L91" s="817"/>
      <c r="M91" s="862" t="str">
        <f t="shared" si="9"/>
        <v/>
      </c>
      <c r="N91" s="802"/>
      <c r="O91" s="802">
        <f t="shared" si="10"/>
        <v>0</v>
      </c>
      <c r="P91" s="802">
        <f t="shared" si="8"/>
        <v>0</v>
      </c>
      <c r="Q91" s="802"/>
      <c r="R91" s="854"/>
      <c r="S91" s="854"/>
    </row>
    <row r="92" spans="1:21">
      <c r="A92" s="830"/>
      <c r="B92" s="831" t="s">
        <v>1358</v>
      </c>
      <c r="C92" s="617"/>
      <c r="D92" s="617"/>
      <c r="E92" s="617"/>
      <c r="F92" s="617">
        <f t="shared" si="11"/>
        <v>0</v>
      </c>
      <c r="G92" s="617">
        <f t="shared" si="11"/>
        <v>0</v>
      </c>
      <c r="H92" s="617">
        <f t="shared" si="11"/>
        <v>0</v>
      </c>
      <c r="I92" s="810" t="s">
        <v>1359</v>
      </c>
      <c r="J92" s="819" t="s">
        <v>1590</v>
      </c>
      <c r="K92" s="817"/>
      <c r="L92" s="817"/>
      <c r="M92" s="862" t="str">
        <f t="shared" si="9"/>
        <v/>
      </c>
      <c r="N92" s="802"/>
      <c r="O92" s="802">
        <f t="shared" si="10"/>
        <v>0</v>
      </c>
      <c r="P92" s="802">
        <f t="shared" si="8"/>
        <v>0</v>
      </c>
      <c r="Q92" s="802"/>
      <c r="R92" s="854"/>
      <c r="S92" s="854"/>
    </row>
    <row r="93" spans="1:21">
      <c r="A93" s="830"/>
      <c r="B93" s="831" t="s">
        <v>1358</v>
      </c>
      <c r="C93" s="617"/>
      <c r="D93" s="617"/>
      <c r="E93" s="617"/>
      <c r="F93" s="617">
        <f t="shared" si="11"/>
        <v>0</v>
      </c>
      <c r="G93" s="617">
        <f t="shared" si="11"/>
        <v>0</v>
      </c>
      <c r="H93" s="617">
        <f t="shared" si="11"/>
        <v>0</v>
      </c>
      <c r="I93" s="810" t="s">
        <v>1359</v>
      </c>
      <c r="J93" s="819" t="s">
        <v>1590</v>
      </c>
      <c r="K93" s="817"/>
      <c r="L93" s="817"/>
      <c r="M93" s="862" t="str">
        <f t="shared" si="9"/>
        <v/>
      </c>
      <c r="N93" s="802"/>
      <c r="O93" s="802">
        <f t="shared" si="10"/>
        <v>0</v>
      </c>
      <c r="P93" s="802">
        <f t="shared" si="8"/>
        <v>0</v>
      </c>
      <c r="Q93" s="802"/>
      <c r="R93" s="854"/>
      <c r="S93" s="854"/>
    </row>
    <row r="94" spans="1:21">
      <c r="A94" s="830"/>
      <c r="B94" s="831" t="s">
        <v>1358</v>
      </c>
      <c r="C94" s="617"/>
      <c r="D94" s="617"/>
      <c r="E94" s="617"/>
      <c r="F94" s="617">
        <f t="shared" si="11"/>
        <v>0</v>
      </c>
      <c r="G94" s="617">
        <f t="shared" si="11"/>
        <v>0</v>
      </c>
      <c r="H94" s="617">
        <f t="shared" si="11"/>
        <v>0</v>
      </c>
      <c r="I94" s="810" t="s">
        <v>1359</v>
      </c>
      <c r="J94" s="819" t="s">
        <v>1590</v>
      </c>
      <c r="K94" s="817"/>
      <c r="L94" s="817"/>
      <c r="M94" s="862" t="str">
        <f t="shared" si="9"/>
        <v/>
      </c>
      <c r="N94" s="802"/>
      <c r="O94" s="802">
        <f t="shared" si="10"/>
        <v>0</v>
      </c>
      <c r="P94" s="802">
        <f t="shared" si="8"/>
        <v>0</v>
      </c>
      <c r="Q94" s="802"/>
      <c r="R94" s="854"/>
      <c r="S94" s="854"/>
    </row>
    <row r="95" spans="1:21">
      <c r="A95" s="830"/>
      <c r="B95" s="831" t="s">
        <v>1358</v>
      </c>
      <c r="C95" s="617"/>
      <c r="D95" s="617"/>
      <c r="E95" s="617"/>
      <c r="F95" s="617">
        <f t="shared" si="11"/>
        <v>0</v>
      </c>
      <c r="G95" s="617">
        <f t="shared" si="11"/>
        <v>0</v>
      </c>
      <c r="H95" s="617">
        <f t="shared" si="11"/>
        <v>0</v>
      </c>
      <c r="I95" s="810" t="s">
        <v>1359</v>
      </c>
      <c r="J95" s="819" t="s">
        <v>1590</v>
      </c>
      <c r="K95" s="817"/>
      <c r="L95" s="817"/>
      <c r="M95" s="862" t="str">
        <f t="shared" si="9"/>
        <v/>
      </c>
      <c r="N95" s="802"/>
      <c r="O95" s="802">
        <f t="shared" si="10"/>
        <v>0</v>
      </c>
      <c r="P95" s="802">
        <f t="shared" si="8"/>
        <v>0</v>
      </c>
      <c r="Q95" s="802"/>
      <c r="R95" s="854"/>
      <c r="S95" s="854"/>
    </row>
    <row r="96" spans="1:21" ht="33">
      <c r="A96" s="618"/>
      <c r="B96" s="619" t="s">
        <v>242</v>
      </c>
      <c r="C96" s="620"/>
      <c r="D96" s="620"/>
      <c r="E96" s="620"/>
      <c r="F96" s="615">
        <f t="shared" si="11"/>
        <v>0</v>
      </c>
      <c r="G96" s="615">
        <f t="shared" si="11"/>
        <v>0</v>
      </c>
      <c r="H96" s="615">
        <f t="shared" si="11"/>
        <v>0</v>
      </c>
      <c r="I96" s="811" t="s">
        <v>1360</v>
      </c>
      <c r="J96" s="819" t="s">
        <v>1361</v>
      </c>
      <c r="K96" s="817"/>
      <c r="L96" s="817"/>
      <c r="M96" s="862" t="str">
        <f t="shared" si="9"/>
        <v/>
      </c>
      <c r="N96" s="802">
        <f t="shared" ref="N96:N97" si="12">+((C96+D96*2)*60)/1000000*E96</f>
        <v>0</v>
      </c>
      <c r="O96" s="802">
        <f t="shared" si="10"/>
        <v>0</v>
      </c>
      <c r="P96" s="802"/>
      <c r="Q96" s="802"/>
      <c r="R96" s="854"/>
      <c r="S96" s="802">
        <f>C96*D96*E96/1000000/1.22/2.44/0.85</f>
        <v>0</v>
      </c>
    </row>
    <row r="97" spans="1:21" ht="33">
      <c r="A97" s="618"/>
      <c r="B97" s="619" t="s">
        <v>242</v>
      </c>
      <c r="C97" s="620"/>
      <c r="D97" s="620"/>
      <c r="E97" s="620"/>
      <c r="F97" s="615">
        <f t="shared" si="11"/>
        <v>0</v>
      </c>
      <c r="G97" s="615">
        <f t="shared" si="11"/>
        <v>0</v>
      </c>
      <c r="H97" s="615">
        <f t="shared" si="11"/>
        <v>0</v>
      </c>
      <c r="I97" s="811" t="s">
        <v>1360</v>
      </c>
      <c r="J97" s="819" t="s">
        <v>1361</v>
      </c>
      <c r="K97" s="817"/>
      <c r="L97" s="817"/>
      <c r="M97" s="862" t="str">
        <f t="shared" si="9"/>
        <v/>
      </c>
      <c r="N97" s="802">
        <f t="shared" si="12"/>
        <v>0</v>
      </c>
      <c r="O97" s="802">
        <f t="shared" si="10"/>
        <v>0</v>
      </c>
      <c r="P97" s="802"/>
      <c r="Q97" s="802"/>
      <c r="R97" s="854"/>
      <c r="S97" s="802">
        <f>C97*D97*E97/1000000/1.22/2.44/0.85</f>
        <v>0</v>
      </c>
    </row>
    <row r="98" spans="1:21" s="609" customFormat="1">
      <c r="A98" s="1072" t="s">
        <v>1362</v>
      </c>
      <c r="B98" s="832" t="s">
        <v>1363</v>
      </c>
      <c r="C98" s="621">
        <v>147</v>
      </c>
      <c r="D98" s="621">
        <v>715</v>
      </c>
      <c r="E98" s="621">
        <v>2</v>
      </c>
      <c r="F98" s="622">
        <v>147</v>
      </c>
      <c r="G98" s="622">
        <f>D98</f>
        <v>715</v>
      </c>
      <c r="H98" s="622">
        <f>E98</f>
        <v>2</v>
      </c>
      <c r="I98" s="812"/>
      <c r="J98" s="819" t="s">
        <v>1591</v>
      </c>
      <c r="K98" s="817"/>
      <c r="L98" s="817"/>
      <c r="M98" s="862" t="str">
        <f t="shared" si="9"/>
        <v/>
      </c>
      <c r="N98" s="802"/>
      <c r="O98" s="802">
        <f t="shared" si="10"/>
        <v>0.21021000000000001</v>
      </c>
      <c r="P98" s="854"/>
      <c r="Q98" s="855"/>
      <c r="R98" s="856">
        <f>C98*D98*E98/1000000/1.22/2.44/0.85</f>
        <v>8.3077762144900966E-2</v>
      </c>
      <c r="S98" s="854"/>
      <c r="T98" s="860"/>
      <c r="U98" s="860"/>
    </row>
    <row r="99" spans="1:21" s="609" customFormat="1">
      <c r="A99" s="1073"/>
      <c r="B99" s="832" t="s">
        <v>1363</v>
      </c>
      <c r="C99" s="621">
        <v>150</v>
      </c>
      <c r="D99" s="621">
        <v>2160</v>
      </c>
      <c r="E99" s="621">
        <v>1</v>
      </c>
      <c r="F99" s="622">
        <v>150</v>
      </c>
      <c r="G99" s="622">
        <f>D99</f>
        <v>2160</v>
      </c>
      <c r="H99" s="622">
        <v>1</v>
      </c>
      <c r="I99" s="812"/>
      <c r="J99" s="819" t="s">
        <v>1591</v>
      </c>
      <c r="K99" s="817"/>
      <c r="L99" s="817"/>
      <c r="M99" s="862" t="str">
        <f t="shared" si="9"/>
        <v/>
      </c>
      <c r="N99" s="802"/>
      <c r="O99" s="802">
        <f t="shared" si="10"/>
        <v>0.32400000000000001</v>
      </c>
      <c r="P99" s="854"/>
      <c r="Q99" s="855"/>
      <c r="R99" s="856">
        <f>C99*D99*E99/1000000/1.22/2.44/0.85</f>
        <v>0.12804906966817903</v>
      </c>
      <c r="S99" s="854"/>
      <c r="T99" s="860"/>
      <c r="U99" s="860"/>
    </row>
    <row r="100" spans="1:21" s="609" customFormat="1" ht="49.5">
      <c r="A100" s="1074"/>
      <c r="B100" s="623" t="s">
        <v>1364</v>
      </c>
      <c r="C100" s="621"/>
      <c r="D100" s="621"/>
      <c r="E100" s="621"/>
      <c r="F100" s="622">
        <v>2440</v>
      </c>
      <c r="G100" s="622">
        <v>120</v>
      </c>
      <c r="H100" s="622"/>
      <c r="I100" s="812" t="s">
        <v>1365</v>
      </c>
      <c r="J100" s="820" t="s">
        <v>1366</v>
      </c>
      <c r="K100" s="817"/>
      <c r="L100" s="817"/>
      <c r="M100" s="862" t="str">
        <f t="shared" si="9"/>
        <v/>
      </c>
      <c r="N100" s="802"/>
      <c r="O100" s="802">
        <f t="shared" si="10"/>
        <v>0</v>
      </c>
      <c r="P100" s="854"/>
      <c r="Q100" s="855">
        <f>F100*G100*H100/1000000/1.22/2.44/0.85</f>
        <v>0</v>
      </c>
      <c r="R100" s="857"/>
      <c r="S100" s="854"/>
      <c r="T100" s="860"/>
      <c r="U100" s="860"/>
    </row>
    <row r="101" spans="1:21" s="609" customFormat="1" ht="49.5" customHeight="1">
      <c r="A101" s="1075" t="s">
        <v>1367</v>
      </c>
      <c r="B101" s="1076"/>
      <c r="C101" s="1081" t="s">
        <v>1368</v>
      </c>
      <c r="D101" s="1082"/>
      <c r="E101" s="1083"/>
      <c r="F101" s="624" t="str">
        <f>IF(F102=160,"529","699")</f>
        <v>529</v>
      </c>
      <c r="G101" s="624">
        <v>120</v>
      </c>
      <c r="H101" s="624">
        <f>H98</f>
        <v>2</v>
      </c>
      <c r="I101" s="813" t="s">
        <v>1369</v>
      </c>
      <c r="J101" s="821" t="s">
        <v>1370</v>
      </c>
      <c r="K101" s="625"/>
      <c r="L101" s="625"/>
      <c r="M101" s="863" t="str">
        <f t="shared" si="9"/>
        <v/>
      </c>
      <c r="N101" s="802"/>
      <c r="O101" s="802"/>
      <c r="P101" s="802"/>
      <c r="Q101" s="802"/>
      <c r="R101" s="854"/>
      <c r="S101" s="854"/>
      <c r="T101" s="860"/>
      <c r="U101" s="860"/>
    </row>
    <row r="102" spans="1:21" s="609" customFormat="1" ht="33">
      <c r="A102" s="1077"/>
      <c r="B102" s="1078"/>
      <c r="C102" s="1081" t="s">
        <v>1368</v>
      </c>
      <c r="D102" s="1082"/>
      <c r="E102" s="1083"/>
      <c r="F102" s="624">
        <v>160</v>
      </c>
      <c r="G102" s="624">
        <v>120</v>
      </c>
      <c r="H102" s="624">
        <f>H98</f>
        <v>2</v>
      </c>
      <c r="I102" s="813" t="s">
        <v>1369</v>
      </c>
      <c r="J102" s="821" t="s">
        <v>1370</v>
      </c>
      <c r="K102" s="625"/>
      <c r="L102" s="625"/>
      <c r="M102" s="863" t="str">
        <f t="shared" si="9"/>
        <v/>
      </c>
      <c r="N102" s="802"/>
      <c r="O102" s="802"/>
      <c r="P102" s="802"/>
      <c r="Q102" s="802"/>
      <c r="R102" s="854"/>
      <c r="S102" s="854"/>
      <c r="T102" s="801">
        <f>H102*9</f>
        <v>18</v>
      </c>
      <c r="U102" s="802">
        <f>((((F102+30)*(160+40))/1000000)/0.4)*H102</f>
        <v>0.18999999999999997</v>
      </c>
    </row>
    <row r="103" spans="1:21" s="609" customFormat="1" ht="33">
      <c r="A103" s="1079"/>
      <c r="B103" s="1080"/>
      <c r="C103" s="1081" t="s">
        <v>1368</v>
      </c>
      <c r="D103" s="1082"/>
      <c r="E103" s="1083"/>
      <c r="F103" s="624">
        <v>1974</v>
      </c>
      <c r="G103" s="624">
        <v>120</v>
      </c>
      <c r="H103" s="624">
        <v>1</v>
      </c>
      <c r="I103" s="813" t="s">
        <v>1369</v>
      </c>
      <c r="J103" s="821" t="s">
        <v>1370</v>
      </c>
      <c r="K103" s="625"/>
      <c r="L103" s="625"/>
      <c r="M103" s="863" t="str">
        <f t="shared" si="9"/>
        <v/>
      </c>
      <c r="N103" s="802"/>
      <c r="O103" s="802"/>
      <c r="P103" s="802"/>
      <c r="Q103" s="802"/>
      <c r="R103" s="854"/>
      <c r="S103" s="854"/>
      <c r="T103" s="801">
        <f>H103*9</f>
        <v>9</v>
      </c>
      <c r="U103" s="802">
        <f>((((F103+30)*(160+40))/1000000)/0.4)*H103</f>
        <v>1.002</v>
      </c>
    </row>
    <row r="104" spans="1:21">
      <c r="A104" s="1084" t="s">
        <v>1371</v>
      </c>
      <c r="B104" s="1052" t="s">
        <v>1356</v>
      </c>
      <c r="C104" s="1086" t="s">
        <v>1372</v>
      </c>
      <c r="D104" s="1087"/>
      <c r="E104" s="1070">
        <v>1</v>
      </c>
      <c r="F104" s="626">
        <v>1500</v>
      </c>
      <c r="G104" s="626">
        <v>200</v>
      </c>
      <c r="H104" s="626">
        <v>2</v>
      </c>
      <c r="I104" s="814" t="s">
        <v>1373</v>
      </c>
      <c r="J104" s="819" t="s">
        <v>1590</v>
      </c>
      <c r="K104" s="817"/>
      <c r="L104" s="817"/>
      <c r="M104" s="862" t="str">
        <f t="shared" si="9"/>
        <v/>
      </c>
      <c r="N104" s="802"/>
      <c r="O104" s="802"/>
      <c r="P104" s="802">
        <f>F104*G104*H104/1000000/1.22/2.44/0.85</f>
        <v>0.23712790679292411</v>
      </c>
      <c r="Q104" s="802"/>
      <c r="R104" s="854"/>
      <c r="S104" s="854"/>
      <c r="U104" s="802"/>
    </row>
    <row r="105" spans="1:21">
      <c r="A105" s="1085"/>
      <c r="B105" s="1053"/>
      <c r="C105" s="1088"/>
      <c r="D105" s="1089"/>
      <c r="E105" s="1071"/>
      <c r="F105" s="1090" t="s">
        <v>1374</v>
      </c>
      <c r="G105" s="1091"/>
      <c r="H105" s="1092"/>
      <c r="I105" s="814" t="s">
        <v>1373</v>
      </c>
      <c r="J105" s="819" t="s">
        <v>1590</v>
      </c>
      <c r="K105" s="817"/>
      <c r="L105" s="817"/>
      <c r="M105" s="862" t="str">
        <f t="shared" si="9"/>
        <v/>
      </c>
      <c r="N105" s="802"/>
      <c r="O105" s="802">
        <f>F104*G104*H104/1000000</f>
        <v>0.6</v>
      </c>
      <c r="P105" s="802"/>
      <c r="Q105" s="802"/>
      <c r="R105" s="854"/>
      <c r="S105" s="854"/>
      <c r="U105" s="802"/>
    </row>
    <row r="106" spans="1:21" ht="17.25" thickBot="1">
      <c r="A106" s="1094"/>
      <c r="B106" s="1095"/>
      <c r="C106" s="627"/>
      <c r="D106" s="627"/>
      <c r="E106" s="628"/>
      <c r="F106" s="628"/>
      <c r="G106" s="628"/>
      <c r="H106" s="628"/>
      <c r="I106" s="1096" t="s">
        <v>1375</v>
      </c>
      <c r="J106" s="1096"/>
      <c r="K106" s="629">
        <f>Q107</f>
        <v>0</v>
      </c>
      <c r="L106" s="803"/>
      <c r="M106" s="803"/>
      <c r="N106" s="802"/>
      <c r="O106" s="802"/>
      <c r="P106" s="802"/>
      <c r="Q106" s="802"/>
      <c r="R106" s="858"/>
      <c r="S106" s="858"/>
      <c r="U106" s="802"/>
    </row>
    <row r="107" spans="1:21">
      <c r="B107" s="1097"/>
      <c r="C107" s="1097"/>
      <c r="D107" s="1097"/>
      <c r="E107" s="1097"/>
      <c r="F107" s="1097"/>
      <c r="G107" s="1097"/>
      <c r="H107" s="1097"/>
      <c r="I107" s="1097"/>
      <c r="J107" s="1097"/>
      <c r="K107" s="1097"/>
      <c r="L107" s="602"/>
      <c r="M107" s="602"/>
      <c r="N107" s="850">
        <f>SUM(N7:N106)</f>
        <v>0</v>
      </c>
      <c r="O107" s="852"/>
      <c r="P107" s="850">
        <f>SUM(P7:P105)</f>
        <v>0.23712790679292411</v>
      </c>
      <c r="Q107" s="850">
        <f>SUM(Q7:Q106)</f>
        <v>0</v>
      </c>
      <c r="R107" s="850">
        <f>SUM(R7:R106)</f>
        <v>0.21112683181308001</v>
      </c>
      <c r="S107" s="850">
        <f>SUM(S7:S106)</f>
        <v>0</v>
      </c>
      <c r="T107" s="851">
        <f>SUM(T7:T106)</f>
        <v>27</v>
      </c>
      <c r="U107" s="852">
        <f>SUM(U7:U106)</f>
        <v>1.1919999999999999</v>
      </c>
    </row>
    <row r="108" spans="1:21">
      <c r="A108" s="836" t="s">
        <v>243</v>
      </c>
      <c r="B108" s="603"/>
      <c r="C108" s="804"/>
      <c r="D108" s="804"/>
      <c r="E108" s="804"/>
      <c r="F108" s="804"/>
      <c r="G108" s="804"/>
      <c r="H108" s="804"/>
      <c r="J108" s="822"/>
      <c r="K108" s="804"/>
      <c r="L108" s="601"/>
      <c r="M108" s="601"/>
      <c r="N108" s="800"/>
    </row>
    <row r="109" spans="1:21">
      <c r="A109" s="836" t="s">
        <v>1589</v>
      </c>
      <c r="B109" s="603"/>
      <c r="C109" s="804"/>
      <c r="D109" s="804"/>
      <c r="E109" s="804"/>
      <c r="F109" s="804"/>
      <c r="G109" s="804"/>
      <c r="H109" s="804"/>
      <c r="I109" s="804"/>
      <c r="J109" s="822"/>
      <c r="L109" s="602"/>
      <c r="M109" s="602"/>
      <c r="P109" s="853"/>
    </row>
    <row r="110" spans="1:21">
      <c r="B110" s="833"/>
      <c r="C110" s="630"/>
      <c r="G110" s="602"/>
      <c r="H110" s="602"/>
      <c r="I110" s="602"/>
      <c r="J110" s="823"/>
      <c r="P110" s="802"/>
    </row>
    <row r="111" spans="1:21">
      <c r="C111" s="1097"/>
      <c r="D111" s="1097"/>
      <c r="E111" s="602"/>
      <c r="F111" s="601"/>
      <c r="G111" s="1097"/>
      <c r="H111" s="1097"/>
      <c r="I111" s="602"/>
      <c r="J111" s="823"/>
      <c r="P111" s="802"/>
    </row>
    <row r="112" spans="1:21">
      <c r="A112" s="834" t="s">
        <v>1041</v>
      </c>
      <c r="B112" s="833"/>
      <c r="C112" s="1093"/>
      <c r="D112" s="1093"/>
      <c r="E112" s="602"/>
      <c r="F112" s="601"/>
      <c r="G112" s="602"/>
      <c r="H112" s="602"/>
      <c r="I112" s="602"/>
      <c r="J112" s="823"/>
      <c r="P112" s="853"/>
    </row>
    <row r="115" spans="1:2">
      <c r="A115" s="372" t="s">
        <v>945</v>
      </c>
      <c r="B115" s="368"/>
    </row>
    <row r="116" spans="1:2">
      <c r="A116" s="372"/>
      <c r="B116" s="368"/>
    </row>
    <row r="117" spans="1:2">
      <c r="A117" s="571" t="s">
        <v>713</v>
      </c>
      <c r="B117" s="835">
        <f>SUMIF(K7:K105,A117,O7:O105)</f>
        <v>0</v>
      </c>
    </row>
    <row r="118" spans="1:2">
      <c r="A118" s="571" t="s">
        <v>714</v>
      </c>
      <c r="B118" s="835">
        <f t="shared" ref="B118:B137" si="13">SUMIF(K8:K106,A118,O8:O106)</f>
        <v>0</v>
      </c>
    </row>
    <row r="119" spans="1:2">
      <c r="A119" s="571" t="s">
        <v>715</v>
      </c>
      <c r="B119" s="835">
        <f t="shared" si="13"/>
        <v>0</v>
      </c>
    </row>
    <row r="120" spans="1:2">
      <c r="A120" s="571" t="s">
        <v>716</v>
      </c>
      <c r="B120" s="835">
        <f t="shared" si="13"/>
        <v>0</v>
      </c>
    </row>
    <row r="121" spans="1:2">
      <c r="A121" s="571" t="s">
        <v>717</v>
      </c>
      <c r="B121" s="835">
        <f t="shared" si="13"/>
        <v>0</v>
      </c>
    </row>
    <row r="122" spans="1:2" ht="33">
      <c r="A122" s="571" t="s">
        <v>718</v>
      </c>
      <c r="B122" s="835">
        <f t="shared" si="13"/>
        <v>0</v>
      </c>
    </row>
    <row r="123" spans="1:2">
      <c r="A123" s="571" t="s">
        <v>719</v>
      </c>
      <c r="B123" s="835">
        <f t="shared" si="13"/>
        <v>0</v>
      </c>
    </row>
    <row r="124" spans="1:2">
      <c r="A124" s="571" t="s">
        <v>720</v>
      </c>
      <c r="B124" s="835">
        <f t="shared" si="13"/>
        <v>0</v>
      </c>
    </row>
    <row r="125" spans="1:2">
      <c r="A125" s="571" t="s">
        <v>721</v>
      </c>
      <c r="B125" s="835">
        <f t="shared" si="13"/>
        <v>0</v>
      </c>
    </row>
    <row r="126" spans="1:2" ht="33">
      <c r="A126" s="571" t="s">
        <v>722</v>
      </c>
      <c r="B126" s="835">
        <f t="shared" si="13"/>
        <v>0</v>
      </c>
    </row>
    <row r="127" spans="1:2">
      <c r="A127" s="571" t="s">
        <v>723</v>
      </c>
      <c r="B127" s="835">
        <f t="shared" si="13"/>
        <v>0</v>
      </c>
    </row>
    <row r="128" spans="1:2" ht="33">
      <c r="A128" s="571" t="s">
        <v>724</v>
      </c>
      <c r="B128" s="835">
        <f t="shared" si="13"/>
        <v>0</v>
      </c>
    </row>
    <row r="129" spans="1:2">
      <c r="A129" s="571" t="s">
        <v>725</v>
      </c>
      <c r="B129" s="835">
        <f t="shared" si="13"/>
        <v>0</v>
      </c>
    </row>
    <row r="130" spans="1:2" ht="33">
      <c r="A130" s="571" t="s">
        <v>726</v>
      </c>
      <c r="B130" s="835">
        <f t="shared" si="13"/>
        <v>0</v>
      </c>
    </row>
    <row r="131" spans="1:2">
      <c r="A131" s="571" t="s">
        <v>727</v>
      </c>
      <c r="B131" s="835">
        <f t="shared" si="13"/>
        <v>0</v>
      </c>
    </row>
    <row r="132" spans="1:2">
      <c r="A132" s="571" t="s">
        <v>728</v>
      </c>
      <c r="B132" s="835">
        <f t="shared" si="13"/>
        <v>0</v>
      </c>
    </row>
    <row r="133" spans="1:2" ht="33">
      <c r="A133" s="388" t="s">
        <v>1162</v>
      </c>
      <c r="B133" s="835">
        <f t="shared" si="13"/>
        <v>0</v>
      </c>
    </row>
    <row r="134" spans="1:2" ht="33">
      <c r="A134" s="388" t="s">
        <v>1163</v>
      </c>
      <c r="B134" s="835">
        <f t="shared" si="13"/>
        <v>0</v>
      </c>
    </row>
    <row r="135" spans="1:2" ht="33">
      <c r="A135" s="388" t="s">
        <v>1164</v>
      </c>
      <c r="B135" s="835">
        <f t="shared" si="13"/>
        <v>0</v>
      </c>
    </row>
    <row r="136" spans="1:2" ht="33">
      <c r="A136" s="388" t="s">
        <v>1165</v>
      </c>
      <c r="B136" s="835">
        <f t="shared" si="13"/>
        <v>0</v>
      </c>
    </row>
    <row r="137" spans="1:2" ht="33">
      <c r="A137" s="388" t="s">
        <v>1166</v>
      </c>
      <c r="B137" s="835">
        <f t="shared" si="13"/>
        <v>0</v>
      </c>
    </row>
  </sheetData>
  <mergeCells count="120">
    <mergeCell ref="C78:C79"/>
    <mergeCell ref="D78:D79"/>
    <mergeCell ref="E78:E79"/>
    <mergeCell ref="C80:C81"/>
    <mergeCell ref="D80:D81"/>
    <mergeCell ref="E80:E81"/>
    <mergeCell ref="C74:C75"/>
    <mergeCell ref="D74:D75"/>
    <mergeCell ref="E74:E75"/>
    <mergeCell ref="C76:C77"/>
    <mergeCell ref="D76:D77"/>
    <mergeCell ref="E76:E77"/>
    <mergeCell ref="C70:C71"/>
    <mergeCell ref="D70:D71"/>
    <mergeCell ref="E70:E71"/>
    <mergeCell ref="C72:C73"/>
    <mergeCell ref="D72:D73"/>
    <mergeCell ref="E72:E73"/>
    <mergeCell ref="C66:C67"/>
    <mergeCell ref="D66:D67"/>
    <mergeCell ref="E66:E67"/>
    <mergeCell ref="C68:C69"/>
    <mergeCell ref="D68:D69"/>
    <mergeCell ref="E68:E69"/>
    <mergeCell ref="C62:C63"/>
    <mergeCell ref="D62:D63"/>
    <mergeCell ref="E62:E63"/>
    <mergeCell ref="C64:C65"/>
    <mergeCell ref="D64:D65"/>
    <mergeCell ref="E64:E65"/>
    <mergeCell ref="C58:C59"/>
    <mergeCell ref="D58:D59"/>
    <mergeCell ref="E58:E59"/>
    <mergeCell ref="C60:C61"/>
    <mergeCell ref="D60:D61"/>
    <mergeCell ref="E60:E61"/>
    <mergeCell ref="D54:D55"/>
    <mergeCell ref="E54:E55"/>
    <mergeCell ref="C56:C57"/>
    <mergeCell ref="D56:D57"/>
    <mergeCell ref="E56:E57"/>
    <mergeCell ref="P5:S5"/>
    <mergeCell ref="C40:C41"/>
    <mergeCell ref="D40:D41"/>
    <mergeCell ref="E40:E41"/>
    <mergeCell ref="C42:C43"/>
    <mergeCell ref="D42:D43"/>
    <mergeCell ref="E42:E43"/>
    <mergeCell ref="L5:L6"/>
    <mergeCell ref="C5:E5"/>
    <mergeCell ref="M5:M6"/>
    <mergeCell ref="A104:A105"/>
    <mergeCell ref="B104:B105"/>
    <mergeCell ref="C104:D105"/>
    <mergeCell ref="E104:E105"/>
    <mergeCell ref="F105:H105"/>
    <mergeCell ref="C112:D112"/>
    <mergeCell ref="A106:B106"/>
    <mergeCell ref="I106:J106"/>
    <mergeCell ref="B107:K107"/>
    <mergeCell ref="C111:D111"/>
    <mergeCell ref="G111:H111"/>
    <mergeCell ref="B82:B83"/>
    <mergeCell ref="A98:A100"/>
    <mergeCell ref="A101:B103"/>
    <mergeCell ref="C101:E101"/>
    <mergeCell ref="C102:E102"/>
    <mergeCell ref="C103:E103"/>
    <mergeCell ref="C82:C83"/>
    <mergeCell ref="D82:D83"/>
    <mergeCell ref="E82:E83"/>
    <mergeCell ref="B72:B73"/>
    <mergeCell ref="B74:B75"/>
    <mergeCell ref="B76:B77"/>
    <mergeCell ref="B78:B79"/>
    <mergeCell ref="B80:B81"/>
    <mergeCell ref="B62:B63"/>
    <mergeCell ref="B64:B65"/>
    <mergeCell ref="B66:B67"/>
    <mergeCell ref="B68:B69"/>
    <mergeCell ref="B70:B71"/>
    <mergeCell ref="B54:B55"/>
    <mergeCell ref="B56:B57"/>
    <mergeCell ref="B58:B59"/>
    <mergeCell ref="B60:B61"/>
    <mergeCell ref="C44:C45"/>
    <mergeCell ref="D44:D45"/>
    <mergeCell ref="E44:E45"/>
    <mergeCell ref="C46:C47"/>
    <mergeCell ref="D46:D47"/>
    <mergeCell ref="E46:E47"/>
    <mergeCell ref="C48:C49"/>
    <mergeCell ref="D48:D49"/>
    <mergeCell ref="E48:E49"/>
    <mergeCell ref="C50:C51"/>
    <mergeCell ref="D50:D51"/>
    <mergeCell ref="B46:B47"/>
    <mergeCell ref="B48:B49"/>
    <mergeCell ref="B50:B51"/>
    <mergeCell ref="B52:B53"/>
    <mergeCell ref="E50:E51"/>
    <mergeCell ref="C52:C53"/>
    <mergeCell ref="D52:D53"/>
    <mergeCell ref="E52:E53"/>
    <mergeCell ref="C54:C55"/>
    <mergeCell ref="A1:M1"/>
    <mergeCell ref="B40:B41"/>
    <mergeCell ref="B42:B43"/>
    <mergeCell ref="B44:B45"/>
    <mergeCell ref="B2:C2"/>
    <mergeCell ref="B3:C3"/>
    <mergeCell ref="B4:C4"/>
    <mergeCell ref="E4:H4"/>
    <mergeCell ref="K2:L2"/>
    <mergeCell ref="K3:L3"/>
    <mergeCell ref="K4:L4"/>
    <mergeCell ref="F2:H2"/>
    <mergeCell ref="F3:H3"/>
    <mergeCell ref="I5:J5"/>
    <mergeCell ref="K5:K6"/>
  </mergeCells>
  <phoneticPr fontId="76" type="noConversion"/>
  <dataValidations count="3">
    <dataValidation type="list" allowBlank="1" showInputMessage="1" showErrorMessage="1" sqref="K4 M4">
      <formula1>$P$2:$P$3</formula1>
    </dataValidation>
    <dataValidation type="list" allowBlank="1" showInputMessage="1" showErrorMessage="1" sqref="I4">
      <formula1>$T$3:$T$4</formula1>
    </dataValidation>
    <dataValidation type="list" allowBlank="1" showInputMessage="1" showErrorMessage="1" sqref="K7:L105">
      <formula1>$A$115:$A$137</formula1>
    </dataValidation>
  </dataValidations>
  <printOptions horizontalCentered="1"/>
  <pageMargins left="0.19685039370078741" right="0.19685039370078741" top="0.59055118110236227" bottom="0.59055118110236227" header="0.19685039370078741" footer="0.19685039370078741"/>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9"/>
  <sheetViews>
    <sheetView tabSelected="1" view="pageBreakPreview" topLeftCell="A19" zoomScaleSheetLayoutView="100" workbookViewId="0">
      <selection activeCell="D30" sqref="D30"/>
    </sheetView>
  </sheetViews>
  <sheetFormatPr defaultRowHeight="19.5" customHeight="1"/>
  <cols>
    <col min="1" max="2" width="9.5" style="632" customWidth="1"/>
    <col min="3" max="3" width="17.5" style="632" customWidth="1"/>
    <col min="4" max="4" width="35.625" style="631" customWidth="1"/>
    <col min="5" max="5" width="9.25" style="644" customWidth="1"/>
    <col min="6" max="6" width="9.5" style="632" customWidth="1"/>
    <col min="7" max="16384" width="9" style="632"/>
  </cols>
  <sheetData>
    <row r="1" spans="1:6" s="631" customFormat="1" ht="19.5" customHeight="1">
      <c r="A1" s="1105" t="s">
        <v>1585</v>
      </c>
      <c r="B1" s="1105"/>
      <c r="C1" s="1105"/>
      <c r="D1" s="1105"/>
      <c r="E1" s="1105"/>
      <c r="F1" s="1105"/>
    </row>
    <row r="2" spans="1:6" ht="19.5" customHeight="1">
      <c r="A2" s="797"/>
      <c r="B2" s="633" t="s">
        <v>1195</v>
      </c>
      <c r="C2" s="797"/>
      <c r="D2" s="633"/>
      <c r="E2" s="798"/>
      <c r="F2" s="633"/>
    </row>
    <row r="3" spans="1:6" ht="19.5" customHeight="1">
      <c r="A3" s="799"/>
      <c r="B3" s="633" t="s">
        <v>1586</v>
      </c>
      <c r="C3" s="797"/>
      <c r="D3" s="633"/>
      <c r="E3" s="799" t="str">
        <f>[4]图兰朵混油下料单!G3</f>
        <v>版本型录号</v>
      </c>
      <c r="F3" s="799"/>
    </row>
    <row r="4" spans="1:6" ht="19.5" customHeight="1">
      <c r="C4" s="634"/>
      <c r="D4" s="634"/>
      <c r="E4" s="639"/>
      <c r="F4" s="634"/>
    </row>
    <row r="5" spans="1:6" ht="19.5" customHeight="1">
      <c r="A5" s="636" t="s">
        <v>1272</v>
      </c>
      <c r="B5" s="633" t="s">
        <v>1215</v>
      </c>
      <c r="C5" s="1106" t="s">
        <v>1273</v>
      </c>
      <c r="D5" s="1107"/>
      <c r="E5" s="635" t="s">
        <v>1264</v>
      </c>
      <c r="F5" s="633" t="s">
        <v>1219</v>
      </c>
    </row>
    <row r="6" spans="1:6" ht="19.5" customHeight="1">
      <c r="A6" s="1102" t="s">
        <v>1274</v>
      </c>
      <c r="B6" s="637">
        <v>1</v>
      </c>
      <c r="C6" s="1108" t="s">
        <v>1577</v>
      </c>
      <c r="D6" s="1108"/>
      <c r="E6" s="796">
        <f>图兰朵作业单!P107</f>
        <v>0.23712790679292411</v>
      </c>
      <c r="F6" s="793" t="s">
        <v>1275</v>
      </c>
    </row>
    <row r="7" spans="1:6" ht="19.5" customHeight="1">
      <c r="A7" s="1103"/>
      <c r="B7" s="637">
        <v>2</v>
      </c>
      <c r="C7" s="1108" t="s">
        <v>748</v>
      </c>
      <c r="D7" s="1108"/>
      <c r="E7" s="796">
        <f>图兰朵作业单!Q107</f>
        <v>0</v>
      </c>
      <c r="F7" s="793" t="s">
        <v>1275</v>
      </c>
    </row>
    <row r="8" spans="1:6" ht="19.5" customHeight="1">
      <c r="A8" s="1103"/>
      <c r="B8" s="637">
        <v>3</v>
      </c>
      <c r="C8" s="1108" t="s">
        <v>1587</v>
      </c>
      <c r="D8" s="1108"/>
      <c r="E8" s="796">
        <f>图兰朵作业单!R107</f>
        <v>0.21112683181308001</v>
      </c>
      <c r="F8" s="793" t="s">
        <v>13</v>
      </c>
    </row>
    <row r="9" spans="1:6" ht="19.5" customHeight="1">
      <c r="A9" s="1104"/>
      <c r="B9" s="637">
        <v>4</v>
      </c>
      <c r="C9" s="1108" t="s">
        <v>1380</v>
      </c>
      <c r="D9" s="1108"/>
      <c r="E9" s="796">
        <f>图兰朵作业单!S107</f>
        <v>0</v>
      </c>
      <c r="F9" s="793" t="s">
        <v>1275</v>
      </c>
    </row>
    <row r="10" spans="1:6" ht="19.5" customHeight="1">
      <c r="A10" s="1102" t="s">
        <v>1381</v>
      </c>
      <c r="B10" s="637">
        <v>1</v>
      </c>
      <c r="C10" s="1108" t="s">
        <v>1382</v>
      </c>
      <c r="D10" s="1108"/>
      <c r="E10" s="796"/>
      <c r="F10" s="793" t="s">
        <v>1283</v>
      </c>
    </row>
    <row r="11" spans="1:6" ht="19.5" customHeight="1">
      <c r="A11" s="1104"/>
      <c r="B11" s="633">
        <v>2</v>
      </c>
      <c r="C11" s="1109" t="s">
        <v>1383</v>
      </c>
      <c r="D11" s="1110"/>
      <c r="E11" s="792"/>
      <c r="F11" s="793" t="s">
        <v>1275</v>
      </c>
    </row>
    <row r="12" spans="1:6" ht="19.5" customHeight="1">
      <c r="A12" s="1102" t="s">
        <v>1384</v>
      </c>
      <c r="B12" s="634">
        <v>1</v>
      </c>
      <c r="C12" s="1111" t="s">
        <v>1385</v>
      </c>
      <c r="D12" s="1112"/>
      <c r="E12" s="794"/>
      <c r="F12" s="795" t="s">
        <v>1285</v>
      </c>
    </row>
    <row r="13" spans="1:6" ht="19.5" customHeight="1">
      <c r="A13" s="1104"/>
      <c r="B13" s="633">
        <v>2</v>
      </c>
      <c r="C13" s="1111" t="s">
        <v>1282</v>
      </c>
      <c r="D13" s="1112"/>
      <c r="E13" s="792"/>
      <c r="F13" s="793" t="s">
        <v>1283</v>
      </c>
    </row>
    <row r="14" spans="1:6" ht="19.5" customHeight="1">
      <c r="A14" s="1102" t="s">
        <v>1388</v>
      </c>
      <c r="B14" s="633">
        <v>1</v>
      </c>
      <c r="C14" s="638" t="s">
        <v>1389</v>
      </c>
      <c r="D14" s="637" t="s">
        <v>1390</v>
      </c>
      <c r="E14" s="635"/>
      <c r="F14" s="633" t="s">
        <v>1391</v>
      </c>
    </row>
    <row r="15" spans="1:6" ht="19.5" customHeight="1">
      <c r="A15" s="1103"/>
      <c r="B15" s="633">
        <v>2</v>
      </c>
      <c r="C15" s="638" t="s">
        <v>1392</v>
      </c>
      <c r="D15" s="637" t="s">
        <v>1390</v>
      </c>
      <c r="E15" s="635"/>
      <c r="F15" s="633" t="s">
        <v>1391</v>
      </c>
    </row>
    <row r="16" spans="1:6" ht="19.5" customHeight="1">
      <c r="A16" s="1103"/>
      <c r="B16" s="633">
        <v>3</v>
      </c>
      <c r="C16" s="638" t="s">
        <v>1389</v>
      </c>
      <c r="D16" s="637" t="s">
        <v>1393</v>
      </c>
      <c r="E16" s="635"/>
      <c r="F16" s="633" t="s">
        <v>1391</v>
      </c>
    </row>
    <row r="17" spans="1:6" ht="19.5" customHeight="1">
      <c r="A17" s="1103"/>
      <c r="B17" s="633">
        <v>4</v>
      </c>
      <c r="C17" s="638" t="s">
        <v>1392</v>
      </c>
      <c r="D17" s="637" t="s">
        <v>1393</v>
      </c>
      <c r="E17" s="635"/>
      <c r="F17" s="633" t="s">
        <v>1391</v>
      </c>
    </row>
    <row r="18" spans="1:6" ht="19.5" customHeight="1">
      <c r="A18" s="1103"/>
      <c r="B18" s="633">
        <v>3</v>
      </c>
      <c r="C18" s="638" t="s">
        <v>1389</v>
      </c>
      <c r="D18" s="637" t="s">
        <v>1394</v>
      </c>
      <c r="E18" s="635"/>
      <c r="F18" s="633" t="s">
        <v>1391</v>
      </c>
    </row>
    <row r="19" spans="1:6" ht="19.5" customHeight="1">
      <c r="A19" s="1103"/>
      <c r="B19" s="633">
        <v>4</v>
      </c>
      <c r="C19" s="638" t="s">
        <v>1392</v>
      </c>
      <c r="D19" s="637" t="s">
        <v>1394</v>
      </c>
      <c r="E19" s="635"/>
      <c r="F19" s="633" t="s">
        <v>1391</v>
      </c>
    </row>
    <row r="20" spans="1:6" ht="19.5" customHeight="1">
      <c r="A20" s="1103"/>
      <c r="B20" s="633">
        <v>5</v>
      </c>
      <c r="C20" s="638" t="s">
        <v>1395</v>
      </c>
      <c r="D20" s="637" t="s">
        <v>1396</v>
      </c>
      <c r="E20" s="635"/>
      <c r="F20" s="633" t="s">
        <v>1391</v>
      </c>
    </row>
    <row r="21" spans="1:6" ht="19.5" customHeight="1">
      <c r="A21" s="1103"/>
      <c r="B21" s="633">
        <v>6</v>
      </c>
      <c r="C21" s="638" t="s">
        <v>1397</v>
      </c>
      <c r="D21" s="637" t="s">
        <v>1396</v>
      </c>
      <c r="E21" s="635"/>
      <c r="F21" s="633" t="s">
        <v>1391</v>
      </c>
    </row>
    <row r="22" spans="1:6" ht="19.5" customHeight="1">
      <c r="A22" s="1103"/>
      <c r="B22" s="633">
        <v>7</v>
      </c>
      <c r="C22" s="638" t="s">
        <v>1398</v>
      </c>
      <c r="D22" s="637"/>
      <c r="E22" s="635"/>
      <c r="F22" s="633" t="s">
        <v>1391</v>
      </c>
    </row>
    <row r="23" spans="1:6" ht="19.5" customHeight="1">
      <c r="A23" s="1103"/>
      <c r="B23" s="633">
        <v>8</v>
      </c>
      <c r="C23" s="638" t="s">
        <v>1399</v>
      </c>
      <c r="D23" s="637"/>
      <c r="E23" s="635"/>
      <c r="F23" s="633" t="s">
        <v>1391</v>
      </c>
    </row>
    <row r="24" spans="1:6" ht="19.5" customHeight="1">
      <c r="A24" s="1103"/>
      <c r="B24" s="633">
        <v>9</v>
      </c>
      <c r="C24" s="638" t="s">
        <v>1400</v>
      </c>
      <c r="D24" s="637"/>
      <c r="E24" s="635"/>
      <c r="F24" s="633" t="s">
        <v>1391</v>
      </c>
    </row>
    <row r="25" spans="1:6" ht="19.5" customHeight="1">
      <c r="A25" s="1103"/>
      <c r="B25" s="633">
        <v>10</v>
      </c>
      <c r="C25" s="638" t="s">
        <v>1401</v>
      </c>
      <c r="D25" s="637" t="s">
        <v>1402</v>
      </c>
      <c r="E25" s="635"/>
      <c r="F25" s="633" t="s">
        <v>1391</v>
      </c>
    </row>
    <row r="26" spans="1:6" ht="19.5" customHeight="1">
      <c r="A26" s="1103"/>
      <c r="B26" s="633">
        <v>11</v>
      </c>
      <c r="C26" s="638" t="s">
        <v>1403</v>
      </c>
      <c r="D26" s="637" t="s">
        <v>1404</v>
      </c>
      <c r="E26" s="635"/>
      <c r="F26" s="633" t="s">
        <v>1391</v>
      </c>
    </row>
    <row r="27" spans="1:6" ht="19.5" customHeight="1">
      <c r="A27" s="1104"/>
      <c r="B27" s="633">
        <v>12</v>
      </c>
      <c r="C27" s="638" t="s">
        <v>1405</v>
      </c>
      <c r="D27" s="637" t="s">
        <v>1406</v>
      </c>
      <c r="E27" s="635">
        <f>图兰朵作业单!T107</f>
        <v>27</v>
      </c>
      <c r="F27" s="633" t="s">
        <v>1391</v>
      </c>
    </row>
    <row r="28" spans="1:6" ht="19.5" customHeight="1">
      <c r="A28" s="640" t="s">
        <v>1407</v>
      </c>
      <c r="B28" s="633">
        <v>1</v>
      </c>
      <c r="C28" s="638" t="s">
        <v>1408</v>
      </c>
      <c r="D28" s="637"/>
      <c r="E28" s="635">
        <f>图兰朵作业单!U107</f>
        <v>1.1919999999999999</v>
      </c>
      <c r="F28" s="633" t="s">
        <v>1285</v>
      </c>
    </row>
    <row r="29" spans="1:6" ht="19.5" customHeight="1">
      <c r="A29" s="641" t="s">
        <v>1605</v>
      </c>
      <c r="B29" s="641"/>
      <c r="C29" s="641"/>
      <c r="D29" s="642"/>
      <c r="E29" s="643"/>
      <c r="F29" s="641"/>
    </row>
  </sheetData>
  <mergeCells count="14">
    <mergeCell ref="A14:A27"/>
    <mergeCell ref="A10:A11"/>
    <mergeCell ref="A12:A13"/>
    <mergeCell ref="A1:F1"/>
    <mergeCell ref="A6:A9"/>
    <mergeCell ref="C5:D5"/>
    <mergeCell ref="C6:D6"/>
    <mergeCell ref="C7:D7"/>
    <mergeCell ref="C8:D8"/>
    <mergeCell ref="C9:D9"/>
    <mergeCell ref="C10:D10"/>
    <mergeCell ref="C11:D11"/>
    <mergeCell ref="C12:D12"/>
    <mergeCell ref="C13:D13"/>
  </mergeCells>
  <phoneticPr fontId="4" type="noConversion"/>
  <pageMargins left="0.19685039370078741" right="0.19685039370078741"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C3077"/>
  <sheetViews>
    <sheetView showGridLines="0" view="pageBreakPreview" topLeftCell="A28" zoomScale="90" zoomScaleSheetLayoutView="90" workbookViewId="0">
      <selection activeCell="U48" sqref="U48"/>
    </sheetView>
  </sheetViews>
  <sheetFormatPr defaultRowHeight="20.100000000000001" customHeight="1"/>
  <cols>
    <col min="1" max="1" width="3.625" style="164" customWidth="1"/>
    <col min="2" max="2" width="4.625" style="164" customWidth="1"/>
    <col min="3" max="3" width="3.625" style="164" customWidth="1"/>
    <col min="4" max="4" width="4.625" style="164" customWidth="1"/>
    <col min="5" max="5" width="3.625" style="164" customWidth="1"/>
    <col min="6" max="6" width="5.625" style="164" customWidth="1"/>
    <col min="7" max="7" width="3.625" style="164" customWidth="1"/>
    <col min="8" max="10" width="4.625" style="164" customWidth="1"/>
    <col min="11" max="11" width="5.125" style="164" customWidth="1"/>
    <col min="12" max="12" width="3.625" style="164" customWidth="1"/>
    <col min="13" max="14" width="4.625" style="164" customWidth="1"/>
    <col min="15" max="15" width="3.625" style="164" customWidth="1"/>
    <col min="16" max="16" width="5.125" style="164" customWidth="1"/>
    <col min="17" max="17" width="3.625" style="164" customWidth="1"/>
    <col min="18" max="19" width="4.625" style="164" customWidth="1"/>
    <col min="20" max="20" width="3.625" style="164" customWidth="1"/>
    <col min="21" max="21" width="4.625" style="164" customWidth="1"/>
    <col min="22" max="22" width="3.625" style="164" customWidth="1"/>
    <col min="23" max="24" width="4.625" style="164" customWidth="1"/>
    <col min="25" max="25" width="3.625" style="164" customWidth="1"/>
    <col min="26" max="26" width="4.625" style="164" customWidth="1"/>
    <col min="27" max="27" width="3.625" style="164" customWidth="1"/>
    <col min="28" max="29" width="4.625" style="164" customWidth="1"/>
    <col min="30" max="30" width="3.625" style="164" customWidth="1"/>
    <col min="31" max="31" width="4.625" style="164" customWidth="1"/>
    <col min="32" max="32" width="3.625" style="164" customWidth="1"/>
    <col min="33" max="34" width="4.625" style="164" customWidth="1"/>
    <col min="35" max="35" width="3.625" style="164" customWidth="1"/>
    <col min="36" max="36" width="4.625" style="164" customWidth="1"/>
    <col min="37" max="37" width="3.625" style="164" customWidth="1"/>
    <col min="38" max="39" width="4.625" style="164" customWidth="1"/>
    <col min="40" max="40" width="3.625" style="136" customWidth="1"/>
    <col min="41" max="41" width="7" style="136" customWidth="1"/>
    <col min="42" max="42" width="5.625" style="116" customWidth="1"/>
    <col min="43" max="43" width="9.625" style="117" customWidth="1"/>
    <col min="44" max="44" width="11.625" style="131" customWidth="1"/>
    <col min="45" max="45" width="11.625" style="131" hidden="1" customWidth="1"/>
    <col min="46" max="46" width="11.625" style="131" customWidth="1"/>
    <col min="47" max="47" width="11.625" style="117" customWidth="1"/>
    <col min="48" max="48" width="10.875" style="119" customWidth="1"/>
    <col min="49" max="49" width="10.5" style="241" customWidth="1"/>
    <col min="50" max="51" width="10.5" style="119" customWidth="1"/>
    <col min="52" max="52" width="14.75" style="119" customWidth="1"/>
    <col min="53" max="53" width="16" style="241" customWidth="1"/>
    <col min="54" max="54" width="21.375" style="241" customWidth="1"/>
    <col min="55" max="55" width="16.375" style="241" customWidth="1"/>
    <col min="56" max="16384" width="9" style="119"/>
  </cols>
  <sheetData>
    <row r="1" spans="1:55" ht="20.100000000000001" customHeight="1">
      <c r="A1" s="874" t="s">
        <v>466</v>
      </c>
      <c r="B1" s="874"/>
      <c r="C1" s="874"/>
      <c r="D1" s="874"/>
      <c r="E1" s="874"/>
      <c r="F1" s="874"/>
      <c r="G1" s="874"/>
      <c r="H1" s="874"/>
      <c r="I1" s="874"/>
      <c r="J1" s="874"/>
      <c r="K1" s="874"/>
      <c r="L1" s="874"/>
      <c r="M1" s="874"/>
      <c r="N1" s="874"/>
      <c r="O1" s="874"/>
      <c r="P1" s="874"/>
      <c r="Q1" s="874"/>
      <c r="R1" s="874"/>
      <c r="S1" s="874"/>
      <c r="T1" s="874"/>
      <c r="U1" s="874"/>
      <c r="V1" s="874"/>
      <c r="W1" s="874"/>
      <c r="X1" s="874"/>
      <c r="Y1" s="874"/>
      <c r="Z1" s="874"/>
      <c r="AA1" s="874"/>
      <c r="AB1" s="874"/>
      <c r="AC1" s="874"/>
      <c r="AD1" s="874"/>
      <c r="AE1" s="874"/>
      <c r="AF1" s="874"/>
      <c r="AG1" s="874"/>
      <c r="AH1" s="874"/>
      <c r="AI1" s="874"/>
      <c r="AJ1" s="874"/>
      <c r="AK1" s="874"/>
      <c r="AL1" s="874"/>
      <c r="AM1" s="874"/>
      <c r="AN1" s="874"/>
      <c r="AO1" s="874"/>
      <c r="AR1" s="117"/>
      <c r="AS1" s="117"/>
      <c r="AT1" s="117"/>
    </row>
    <row r="2" spans="1:55" s="135" customFormat="1" ht="20.100000000000001" customHeight="1">
      <c r="A2" s="137" t="s">
        <v>85</v>
      </c>
      <c r="B2" s="138"/>
      <c r="C2" s="877" t="s">
        <v>1156</v>
      </c>
      <c r="D2" s="878"/>
      <c r="E2" s="879"/>
      <c r="F2" s="137" t="s">
        <v>468</v>
      </c>
      <c r="G2" s="138"/>
      <c r="H2" s="877">
        <v>15530608063</v>
      </c>
      <c r="I2" s="878"/>
      <c r="J2" s="879"/>
      <c r="K2" s="137" t="s">
        <v>467</v>
      </c>
      <c r="L2" s="138"/>
      <c r="M2" s="877" t="s">
        <v>745</v>
      </c>
      <c r="N2" s="878"/>
      <c r="O2" s="879"/>
      <c r="P2" s="139" t="s">
        <v>469</v>
      </c>
      <c r="Q2" s="140"/>
      <c r="R2" s="877">
        <v>123</v>
      </c>
      <c r="S2" s="878"/>
      <c r="T2" s="879"/>
      <c r="U2" s="137" t="s">
        <v>470</v>
      </c>
      <c r="V2" s="138"/>
      <c r="W2" s="877" t="s">
        <v>1157</v>
      </c>
      <c r="X2" s="878"/>
      <c r="Y2" s="879"/>
      <c r="Z2" s="137" t="s">
        <v>471</v>
      </c>
      <c r="AA2" s="138"/>
      <c r="AB2" s="880">
        <v>43129</v>
      </c>
      <c r="AC2" s="881"/>
      <c r="AD2" s="882"/>
      <c r="AE2" s="143" t="s">
        <v>472</v>
      </c>
      <c r="AF2" s="142"/>
      <c r="AG2" s="883">
        <v>43169</v>
      </c>
      <c r="AH2" s="884"/>
      <c r="AI2" s="885"/>
      <c r="AJ2" s="144"/>
      <c r="AK2" s="144"/>
      <c r="AL2" s="141"/>
      <c r="AM2" s="141"/>
      <c r="AN2" s="141"/>
      <c r="AO2" s="142"/>
      <c r="AP2" s="132" t="s">
        <v>446</v>
      </c>
      <c r="AQ2" s="181" t="s">
        <v>252</v>
      </c>
      <c r="AR2" s="181"/>
      <c r="AS2" s="181" t="s">
        <v>496</v>
      </c>
      <c r="AT2" s="133"/>
      <c r="AU2" s="133"/>
      <c r="AW2" s="323"/>
      <c r="AX2" s="128"/>
      <c r="BA2" s="241"/>
      <c r="BB2" s="241"/>
      <c r="BC2" s="241"/>
    </row>
    <row r="3" spans="1:55" ht="20.100000000000001" customHeight="1">
      <c r="A3" s="192"/>
      <c r="B3" s="193"/>
      <c r="C3" s="193" t="s">
        <v>473</v>
      </c>
      <c r="D3" s="193"/>
      <c r="E3" s="194"/>
      <c r="F3" s="192"/>
      <c r="G3" s="195"/>
      <c r="H3" s="195" t="s">
        <v>474</v>
      </c>
      <c r="I3" s="195"/>
      <c r="J3" s="196"/>
      <c r="K3" s="192"/>
      <c r="L3" s="195"/>
      <c r="M3" s="195" t="s">
        <v>65</v>
      </c>
      <c r="N3" s="195"/>
      <c r="O3" s="196"/>
      <c r="P3" s="192"/>
      <c r="Q3" s="195"/>
      <c r="R3" s="195" t="s">
        <v>447</v>
      </c>
      <c r="S3" s="195"/>
      <c r="T3" s="196"/>
      <c r="U3" s="192"/>
      <c r="V3" s="195"/>
      <c r="W3" s="195" t="s">
        <v>448</v>
      </c>
      <c r="X3" s="195"/>
      <c r="Y3" s="196"/>
      <c r="Z3" s="192"/>
      <c r="AA3" s="195"/>
      <c r="AB3" s="195" t="s">
        <v>449</v>
      </c>
      <c r="AC3" s="195"/>
      <c r="AD3" s="196"/>
      <c r="AE3" s="192"/>
      <c r="AF3" s="195" t="s">
        <v>450</v>
      </c>
      <c r="AG3" s="195"/>
      <c r="AH3" s="195"/>
      <c r="AI3" s="196"/>
      <c r="AJ3" s="227"/>
      <c r="AK3" s="197"/>
      <c r="AL3" s="195" t="s">
        <v>451</v>
      </c>
      <c r="AM3" s="195"/>
      <c r="AN3" s="196"/>
      <c r="AO3" s="220" t="s">
        <v>73</v>
      </c>
      <c r="AP3" s="116" t="s">
        <v>452</v>
      </c>
      <c r="AQ3" s="114"/>
      <c r="AR3" s="114" t="s">
        <v>711</v>
      </c>
      <c r="AS3" s="114"/>
      <c r="AT3" s="114" t="s">
        <v>712</v>
      </c>
      <c r="AU3" s="114" t="s">
        <v>497</v>
      </c>
      <c r="AW3" s="323"/>
      <c r="AX3" s="128"/>
      <c r="AZ3" s="243" t="str">
        <f>IF($M$2="","",VLOOKUP($M$2,AZ5:BC15,1,FALSE))</f>
        <v>砂糖白JG01</v>
      </c>
      <c r="BA3" s="243" t="str">
        <f>IF($M$2="","",VLOOKUP($M$2,AZ5:BC15,2,FALSE))</f>
        <v>吊码片盖（白色）</v>
      </c>
      <c r="BB3" s="243" t="str">
        <f>IF($M$2="","",VLOOKUP($M$2,AZ5:BC15,3,FALSE))</f>
        <v>偏心件装饰盖（白色）</v>
      </c>
      <c r="BC3" s="244" t="str">
        <f>IF($M$2="","",VLOOKUP($M$2,AZ5:BC15,4,FALSE))</f>
        <v>排孔塞（白色）</v>
      </c>
    </row>
    <row r="4" spans="1:55" s="122" customFormat="1" ht="20.100000000000001" customHeight="1">
      <c r="A4" s="225" t="s">
        <v>453</v>
      </c>
      <c r="B4" s="226" t="s">
        <v>71</v>
      </c>
      <c r="C4" s="226" t="s">
        <v>454</v>
      </c>
      <c r="D4" s="226" t="s">
        <v>72</v>
      </c>
      <c r="E4" s="226" t="s">
        <v>455</v>
      </c>
      <c r="F4" s="226" t="s">
        <v>443</v>
      </c>
      <c r="G4" s="226" t="s">
        <v>444</v>
      </c>
      <c r="H4" s="226" t="s">
        <v>71</v>
      </c>
      <c r="I4" s="226" t="s">
        <v>72</v>
      </c>
      <c r="J4" s="226" t="s">
        <v>227</v>
      </c>
      <c r="K4" s="226" t="s">
        <v>443</v>
      </c>
      <c r="L4" s="226" t="s">
        <v>444</v>
      </c>
      <c r="M4" s="226" t="s">
        <v>71</v>
      </c>
      <c r="N4" s="226" t="s">
        <v>72</v>
      </c>
      <c r="O4" s="226" t="s">
        <v>227</v>
      </c>
      <c r="P4" s="226" t="s">
        <v>443</v>
      </c>
      <c r="Q4" s="226" t="s">
        <v>444</v>
      </c>
      <c r="R4" s="226" t="s">
        <v>71</v>
      </c>
      <c r="S4" s="226" t="s">
        <v>454</v>
      </c>
      <c r="T4" s="226" t="s">
        <v>227</v>
      </c>
      <c r="U4" s="226" t="s">
        <v>443</v>
      </c>
      <c r="V4" s="226" t="s">
        <v>444</v>
      </c>
      <c r="W4" s="226" t="s">
        <v>71</v>
      </c>
      <c r="X4" s="226" t="s">
        <v>454</v>
      </c>
      <c r="Y4" s="226" t="s">
        <v>227</v>
      </c>
      <c r="Z4" s="226" t="s">
        <v>331</v>
      </c>
      <c r="AA4" s="226" t="s">
        <v>444</v>
      </c>
      <c r="AB4" s="226" t="s">
        <v>71</v>
      </c>
      <c r="AC4" s="226" t="s">
        <v>72</v>
      </c>
      <c r="AD4" s="226" t="s">
        <v>227</v>
      </c>
      <c r="AE4" s="226" t="s">
        <v>331</v>
      </c>
      <c r="AF4" s="226" t="s">
        <v>444</v>
      </c>
      <c r="AG4" s="226" t="s">
        <v>71</v>
      </c>
      <c r="AH4" s="226" t="s">
        <v>72</v>
      </c>
      <c r="AI4" s="226" t="s">
        <v>227</v>
      </c>
      <c r="AJ4" s="226" t="s">
        <v>443</v>
      </c>
      <c r="AK4" s="226" t="s">
        <v>444</v>
      </c>
      <c r="AL4" s="226" t="s">
        <v>71</v>
      </c>
      <c r="AM4" s="226" t="s">
        <v>72</v>
      </c>
      <c r="AN4" s="226" t="s">
        <v>227</v>
      </c>
      <c r="AO4" s="226"/>
      <c r="AP4" s="120"/>
      <c r="AQ4" s="114" t="s">
        <v>456</v>
      </c>
      <c r="AR4" s="114"/>
      <c r="AS4" s="114"/>
      <c r="AT4" s="114"/>
      <c r="AU4" s="114"/>
      <c r="AW4" s="115" t="s">
        <v>252</v>
      </c>
      <c r="AX4" s="128"/>
      <c r="AZ4" s="242" t="s">
        <v>485</v>
      </c>
      <c r="BA4" s="242" t="s">
        <v>228</v>
      </c>
      <c r="BB4" s="242" t="s">
        <v>229</v>
      </c>
      <c r="BC4" s="242" t="s">
        <v>486</v>
      </c>
    </row>
    <row r="5" spans="1:55" ht="20.100000000000001" customHeight="1">
      <c r="A5" s="232">
        <v>1</v>
      </c>
      <c r="B5" s="233">
        <v>1</v>
      </c>
      <c r="C5" s="233">
        <v>1</v>
      </c>
      <c r="D5" s="233">
        <v>1</v>
      </c>
      <c r="E5" s="233">
        <v>1</v>
      </c>
      <c r="F5" s="216">
        <v>1</v>
      </c>
      <c r="G5" s="216">
        <v>1</v>
      </c>
      <c r="H5" s="216">
        <f>C5</f>
        <v>1</v>
      </c>
      <c r="I5" s="216">
        <f>D5</f>
        <v>1</v>
      </c>
      <c r="J5" s="216">
        <f t="shared" ref="J5:J20" si="0">E5*2</f>
        <v>2</v>
      </c>
      <c r="K5" s="216">
        <v>1</v>
      </c>
      <c r="L5" s="216">
        <v>1</v>
      </c>
      <c r="M5" s="216">
        <v>1</v>
      </c>
      <c r="N5" s="216">
        <v>1</v>
      </c>
      <c r="O5" s="216">
        <v>1</v>
      </c>
      <c r="P5" s="216">
        <v>1</v>
      </c>
      <c r="Q5" s="216">
        <v>1</v>
      </c>
      <c r="R5" s="216">
        <f>B5-32</f>
        <v>-31</v>
      </c>
      <c r="S5" s="216">
        <f>C5-2</f>
        <v>-1</v>
      </c>
      <c r="T5" s="216">
        <f t="shared" ref="T5:T20" si="1">E5</f>
        <v>1</v>
      </c>
      <c r="U5" s="216">
        <v>1</v>
      </c>
      <c r="V5" s="216">
        <v>1</v>
      </c>
      <c r="W5" s="216">
        <f>B5-33</f>
        <v>-32</v>
      </c>
      <c r="X5" s="216">
        <v>86</v>
      </c>
      <c r="Y5" s="216">
        <f t="shared" ref="Y5:Y20" si="2">E5*2</f>
        <v>2</v>
      </c>
      <c r="Z5" s="216">
        <v>1</v>
      </c>
      <c r="AA5" s="216">
        <v>1</v>
      </c>
      <c r="AB5" s="216">
        <f>B5-33</f>
        <v>-32</v>
      </c>
      <c r="AC5" s="216">
        <f>C5-56</f>
        <v>-55</v>
      </c>
      <c r="AD5" s="216">
        <f t="shared" ref="AD5:AD20" si="3">E5</f>
        <v>1</v>
      </c>
      <c r="AE5" s="216">
        <v>1</v>
      </c>
      <c r="AF5" s="216">
        <v>1</v>
      </c>
      <c r="AG5" s="216">
        <v>1</v>
      </c>
      <c r="AH5" s="216">
        <v>1</v>
      </c>
      <c r="AI5" s="216">
        <v>1</v>
      </c>
      <c r="AJ5" s="216">
        <v>1</v>
      </c>
      <c r="AK5" s="216">
        <v>1</v>
      </c>
      <c r="AL5" s="152">
        <f>B5-22</f>
        <v>-21</v>
      </c>
      <c r="AM5" s="152">
        <f t="shared" ref="AM5:AM11" si="4">D5-12</f>
        <v>-11</v>
      </c>
      <c r="AN5" s="172">
        <f>E5</f>
        <v>1</v>
      </c>
      <c r="AO5" s="216" t="s">
        <v>445</v>
      </c>
      <c r="AP5" s="120">
        <f t="shared" ref="AP5:AP10" si="5">IF(B5&lt;&gt;"",IF(B5&lt;950,4,6),0)*E5</f>
        <v>4</v>
      </c>
      <c r="AQ5" s="114">
        <v>1</v>
      </c>
      <c r="AR5" s="114">
        <f>(H5*I5*J5+M5*N5*O5+R5*T5*S5+W5*X5*Y5+AB5*AC5*AD5+AG5*AH5*AI5)/1000000</f>
        <v>-3.7090000000000001E-3</v>
      </c>
      <c r="AS5" s="114"/>
      <c r="AT5" s="114">
        <f>AL5*AM5*AN5/1000000/1.22/2.44/0.75</f>
        <v>1.0346680999731257E-4</v>
      </c>
      <c r="AU5" s="114">
        <f t="shared" ref="AU5:AU20" si="6">B5*E5/1000</f>
        <v>1E-3</v>
      </c>
      <c r="AW5" s="115" t="s">
        <v>253</v>
      </c>
      <c r="AX5" s="128"/>
      <c r="AZ5" s="248"/>
      <c r="BA5" s="250"/>
      <c r="BB5" s="249"/>
      <c r="BC5" s="249"/>
    </row>
    <row r="6" spans="1:55" ht="20.100000000000001" customHeight="1">
      <c r="A6" s="145"/>
      <c r="B6" s="233"/>
      <c r="C6" s="233"/>
      <c r="D6" s="233"/>
      <c r="E6" s="146"/>
      <c r="F6" s="216"/>
      <c r="G6" s="216"/>
      <c r="H6" s="216">
        <f t="shared" ref="H6:H20" si="7">C6</f>
        <v>0</v>
      </c>
      <c r="I6" s="216">
        <f t="shared" ref="I6:I20" si="8">D6</f>
        <v>0</v>
      </c>
      <c r="J6" s="146">
        <f t="shared" si="0"/>
        <v>0</v>
      </c>
      <c r="K6" s="146"/>
      <c r="L6" s="146"/>
      <c r="M6" s="146"/>
      <c r="N6" s="146"/>
      <c r="O6" s="146"/>
      <c r="P6" s="216"/>
      <c r="Q6" s="216"/>
      <c r="R6" s="216">
        <f t="shared" ref="R6:R20" si="9">B6-32</f>
        <v>-32</v>
      </c>
      <c r="S6" s="146">
        <f t="shared" ref="S6:S20" si="10">C6-2</f>
        <v>-2</v>
      </c>
      <c r="T6" s="146">
        <f t="shared" si="1"/>
        <v>0</v>
      </c>
      <c r="U6" s="216"/>
      <c r="V6" s="216"/>
      <c r="W6" s="146">
        <f t="shared" ref="W6:W20" si="11">B6-33</f>
        <v>-33</v>
      </c>
      <c r="X6" s="216">
        <v>86</v>
      </c>
      <c r="Y6" s="146">
        <f t="shared" si="2"/>
        <v>0</v>
      </c>
      <c r="Z6" s="216"/>
      <c r="AA6" s="216"/>
      <c r="AB6" s="216">
        <f t="shared" ref="AB6:AB20" si="12">B6-33</f>
        <v>-33</v>
      </c>
      <c r="AC6" s="216">
        <f t="shared" ref="AC6:AC20" si="13">C6-56</f>
        <v>-56</v>
      </c>
      <c r="AD6" s="146">
        <f t="shared" si="3"/>
        <v>0</v>
      </c>
      <c r="AE6" s="216"/>
      <c r="AF6" s="216"/>
      <c r="AG6" s="146"/>
      <c r="AH6" s="146"/>
      <c r="AI6" s="146"/>
      <c r="AJ6" s="216"/>
      <c r="AK6" s="216"/>
      <c r="AL6" s="146">
        <f t="shared" ref="AL6:AL20" si="14">B6-22</f>
        <v>-22</v>
      </c>
      <c r="AM6" s="146">
        <f t="shared" si="4"/>
        <v>-12</v>
      </c>
      <c r="AN6" s="172">
        <f t="shared" ref="AN6:AN20" si="15">E6</f>
        <v>0</v>
      </c>
      <c r="AO6" s="146"/>
      <c r="AP6" s="120">
        <f t="shared" si="5"/>
        <v>0</v>
      </c>
      <c r="AQ6" s="114">
        <v>2</v>
      </c>
      <c r="AR6" s="114">
        <f t="shared" ref="AR6:AR20" si="16">(H6*I6*J6+M6*N6*O6+R6*T6*S6+W6*X6*Y6+AB6*AC6*AD6+AG6*AH6*AI6)/1000000</f>
        <v>0</v>
      </c>
      <c r="AS6" s="114"/>
      <c r="AT6" s="114">
        <f t="shared" ref="AT6:AT20" si="17">AL6*AM6*AN6/1000000/1.22/2.44/0.75</f>
        <v>0</v>
      </c>
      <c r="AU6" s="114">
        <f t="shared" si="6"/>
        <v>0</v>
      </c>
      <c r="AW6" s="115" t="s">
        <v>254</v>
      </c>
      <c r="AX6" s="128"/>
      <c r="AZ6" s="324" t="s">
        <v>713</v>
      </c>
      <c r="BA6" s="247" t="s">
        <v>655</v>
      </c>
      <c r="BB6" s="247" t="s">
        <v>654</v>
      </c>
      <c r="BC6" s="247" t="s">
        <v>653</v>
      </c>
    </row>
    <row r="7" spans="1:55" ht="20.100000000000001" customHeight="1">
      <c r="A7" s="145"/>
      <c r="B7" s="233"/>
      <c r="C7" s="233"/>
      <c r="D7" s="233"/>
      <c r="E7" s="146"/>
      <c r="F7" s="216"/>
      <c r="G7" s="216"/>
      <c r="H7" s="216">
        <f t="shared" si="7"/>
        <v>0</v>
      </c>
      <c r="I7" s="216">
        <f t="shared" si="8"/>
        <v>0</v>
      </c>
      <c r="J7" s="146">
        <f t="shared" si="0"/>
        <v>0</v>
      </c>
      <c r="K7" s="146"/>
      <c r="L7" s="146"/>
      <c r="M7" s="146"/>
      <c r="N7" s="146"/>
      <c r="O7" s="146"/>
      <c r="P7" s="216"/>
      <c r="Q7" s="216"/>
      <c r="R7" s="216">
        <f t="shared" si="9"/>
        <v>-32</v>
      </c>
      <c r="S7" s="146">
        <f t="shared" si="10"/>
        <v>-2</v>
      </c>
      <c r="T7" s="146">
        <f t="shared" si="1"/>
        <v>0</v>
      </c>
      <c r="U7" s="216"/>
      <c r="V7" s="216"/>
      <c r="W7" s="146">
        <f t="shared" si="11"/>
        <v>-33</v>
      </c>
      <c r="X7" s="216">
        <v>86</v>
      </c>
      <c r="Y7" s="146">
        <f t="shared" si="2"/>
        <v>0</v>
      </c>
      <c r="Z7" s="216"/>
      <c r="AA7" s="216"/>
      <c r="AB7" s="216">
        <f t="shared" si="12"/>
        <v>-33</v>
      </c>
      <c r="AC7" s="216">
        <f t="shared" si="13"/>
        <v>-56</v>
      </c>
      <c r="AD7" s="146">
        <f t="shared" si="3"/>
        <v>0</v>
      </c>
      <c r="AE7" s="216"/>
      <c r="AF7" s="216"/>
      <c r="AG7" s="146"/>
      <c r="AH7" s="146"/>
      <c r="AI7" s="146"/>
      <c r="AJ7" s="216"/>
      <c r="AK7" s="216"/>
      <c r="AL7" s="146">
        <f t="shared" si="14"/>
        <v>-22</v>
      </c>
      <c r="AM7" s="146">
        <f t="shared" si="4"/>
        <v>-12</v>
      </c>
      <c r="AN7" s="172">
        <f t="shared" si="15"/>
        <v>0</v>
      </c>
      <c r="AO7" s="146"/>
      <c r="AP7" s="120">
        <f t="shared" si="5"/>
        <v>0</v>
      </c>
      <c r="AQ7" s="114">
        <v>3</v>
      </c>
      <c r="AR7" s="114">
        <f t="shared" si="16"/>
        <v>0</v>
      </c>
      <c r="AS7" s="114"/>
      <c r="AT7" s="114">
        <f t="shared" si="17"/>
        <v>0</v>
      </c>
      <c r="AU7" s="114">
        <f t="shared" si="6"/>
        <v>0</v>
      </c>
      <c r="AZ7" s="324" t="s">
        <v>714</v>
      </c>
      <c r="BA7" s="247" t="s">
        <v>655</v>
      </c>
      <c r="BB7" s="247" t="s">
        <v>654</v>
      </c>
      <c r="BC7" s="247" t="s">
        <v>653</v>
      </c>
    </row>
    <row r="8" spans="1:55" ht="20.100000000000001" customHeight="1">
      <c r="A8" s="145"/>
      <c r="B8" s="233"/>
      <c r="C8" s="233"/>
      <c r="D8" s="233"/>
      <c r="E8" s="146"/>
      <c r="F8" s="216"/>
      <c r="G8" s="216"/>
      <c r="H8" s="216">
        <f t="shared" si="7"/>
        <v>0</v>
      </c>
      <c r="I8" s="216">
        <f t="shared" si="8"/>
        <v>0</v>
      </c>
      <c r="J8" s="146">
        <f t="shared" si="0"/>
        <v>0</v>
      </c>
      <c r="K8" s="146"/>
      <c r="L8" s="146"/>
      <c r="M8" s="146"/>
      <c r="N8" s="146"/>
      <c r="O8" s="146"/>
      <c r="P8" s="216"/>
      <c r="Q8" s="216"/>
      <c r="R8" s="216">
        <f t="shared" si="9"/>
        <v>-32</v>
      </c>
      <c r="S8" s="146">
        <f t="shared" si="10"/>
        <v>-2</v>
      </c>
      <c r="T8" s="146">
        <f t="shared" si="1"/>
        <v>0</v>
      </c>
      <c r="U8" s="216"/>
      <c r="V8" s="216"/>
      <c r="W8" s="146">
        <f t="shared" si="11"/>
        <v>-33</v>
      </c>
      <c r="X8" s="216">
        <v>86</v>
      </c>
      <c r="Y8" s="146">
        <f t="shared" si="2"/>
        <v>0</v>
      </c>
      <c r="Z8" s="216"/>
      <c r="AA8" s="216"/>
      <c r="AB8" s="216">
        <f t="shared" si="12"/>
        <v>-33</v>
      </c>
      <c r="AC8" s="216">
        <f t="shared" si="13"/>
        <v>-56</v>
      </c>
      <c r="AD8" s="146">
        <f t="shared" si="3"/>
        <v>0</v>
      </c>
      <c r="AE8" s="216"/>
      <c r="AF8" s="216"/>
      <c r="AG8" s="146"/>
      <c r="AH8" s="146"/>
      <c r="AI8" s="146"/>
      <c r="AJ8" s="216"/>
      <c r="AK8" s="216"/>
      <c r="AL8" s="146">
        <f t="shared" si="14"/>
        <v>-22</v>
      </c>
      <c r="AM8" s="146">
        <f t="shared" si="4"/>
        <v>-12</v>
      </c>
      <c r="AN8" s="172">
        <f t="shared" si="15"/>
        <v>0</v>
      </c>
      <c r="AO8" s="146"/>
      <c r="AP8" s="120">
        <f t="shared" si="5"/>
        <v>0</v>
      </c>
      <c r="AQ8" s="114">
        <v>4</v>
      </c>
      <c r="AR8" s="114">
        <f t="shared" si="16"/>
        <v>0</v>
      </c>
      <c r="AS8" s="114"/>
      <c r="AT8" s="114">
        <f t="shared" si="17"/>
        <v>0</v>
      </c>
      <c r="AU8" s="114">
        <f t="shared" si="6"/>
        <v>0</v>
      </c>
      <c r="AW8" s="115" t="s">
        <v>257</v>
      </c>
      <c r="AX8" s="129"/>
      <c r="AZ8" s="324" t="s">
        <v>715</v>
      </c>
      <c r="BA8" s="247" t="s">
        <v>655</v>
      </c>
      <c r="BB8" s="247" t="s">
        <v>654</v>
      </c>
      <c r="BC8" s="247" t="s">
        <v>653</v>
      </c>
    </row>
    <row r="9" spans="1:55" ht="20.100000000000001" customHeight="1">
      <c r="A9" s="145"/>
      <c r="B9" s="233"/>
      <c r="C9" s="233"/>
      <c r="D9" s="233"/>
      <c r="E9" s="146"/>
      <c r="F9" s="216"/>
      <c r="G9" s="216"/>
      <c r="H9" s="216">
        <f t="shared" si="7"/>
        <v>0</v>
      </c>
      <c r="I9" s="216">
        <f t="shared" si="8"/>
        <v>0</v>
      </c>
      <c r="J9" s="146">
        <f t="shared" si="0"/>
        <v>0</v>
      </c>
      <c r="K9" s="146"/>
      <c r="L9" s="146"/>
      <c r="M9" s="146"/>
      <c r="N9" s="146"/>
      <c r="O9" s="146"/>
      <c r="P9" s="216"/>
      <c r="Q9" s="216"/>
      <c r="R9" s="216">
        <f t="shared" si="9"/>
        <v>-32</v>
      </c>
      <c r="S9" s="146">
        <f t="shared" si="10"/>
        <v>-2</v>
      </c>
      <c r="T9" s="146">
        <f t="shared" si="1"/>
        <v>0</v>
      </c>
      <c r="U9" s="216"/>
      <c r="V9" s="216"/>
      <c r="W9" s="146">
        <f t="shared" si="11"/>
        <v>-33</v>
      </c>
      <c r="X9" s="216">
        <v>86</v>
      </c>
      <c r="Y9" s="146">
        <f t="shared" si="2"/>
        <v>0</v>
      </c>
      <c r="Z9" s="216"/>
      <c r="AA9" s="216"/>
      <c r="AB9" s="216">
        <f t="shared" si="12"/>
        <v>-33</v>
      </c>
      <c r="AC9" s="216">
        <f t="shared" si="13"/>
        <v>-56</v>
      </c>
      <c r="AD9" s="146">
        <f t="shared" si="3"/>
        <v>0</v>
      </c>
      <c r="AE9" s="216"/>
      <c r="AF9" s="216"/>
      <c r="AG9" s="146"/>
      <c r="AH9" s="146"/>
      <c r="AI9" s="146"/>
      <c r="AJ9" s="216"/>
      <c r="AK9" s="216"/>
      <c r="AL9" s="146">
        <f t="shared" si="14"/>
        <v>-22</v>
      </c>
      <c r="AM9" s="146">
        <f t="shared" si="4"/>
        <v>-12</v>
      </c>
      <c r="AN9" s="172">
        <f t="shared" si="15"/>
        <v>0</v>
      </c>
      <c r="AO9" s="146"/>
      <c r="AP9" s="120">
        <f t="shared" si="5"/>
        <v>0</v>
      </c>
      <c r="AQ9" s="114">
        <v>5</v>
      </c>
      <c r="AR9" s="114">
        <f t="shared" si="16"/>
        <v>0</v>
      </c>
      <c r="AS9" s="114"/>
      <c r="AT9" s="114">
        <f t="shared" si="17"/>
        <v>0</v>
      </c>
      <c r="AU9" s="114">
        <f t="shared" si="6"/>
        <v>0</v>
      </c>
      <c r="AZ9" s="324" t="s">
        <v>716</v>
      </c>
      <c r="BA9" s="247" t="s">
        <v>655</v>
      </c>
      <c r="BB9" s="247" t="s">
        <v>654</v>
      </c>
      <c r="BC9" s="247" t="s">
        <v>653</v>
      </c>
    </row>
    <row r="10" spans="1:55" ht="20.100000000000001" customHeight="1">
      <c r="A10" s="145"/>
      <c r="B10" s="233"/>
      <c r="C10" s="233"/>
      <c r="D10" s="233"/>
      <c r="E10" s="146"/>
      <c r="F10" s="216"/>
      <c r="G10" s="216"/>
      <c r="H10" s="216">
        <f t="shared" si="7"/>
        <v>0</v>
      </c>
      <c r="I10" s="216">
        <f t="shared" si="8"/>
        <v>0</v>
      </c>
      <c r="J10" s="146">
        <f t="shared" si="0"/>
        <v>0</v>
      </c>
      <c r="K10" s="146"/>
      <c r="L10" s="146"/>
      <c r="M10" s="146"/>
      <c r="N10" s="146"/>
      <c r="O10" s="146"/>
      <c r="P10" s="216"/>
      <c r="Q10" s="216"/>
      <c r="R10" s="216">
        <f t="shared" si="9"/>
        <v>-32</v>
      </c>
      <c r="S10" s="146">
        <f t="shared" si="10"/>
        <v>-2</v>
      </c>
      <c r="T10" s="146">
        <f t="shared" si="1"/>
        <v>0</v>
      </c>
      <c r="U10" s="216"/>
      <c r="V10" s="216"/>
      <c r="W10" s="146">
        <f t="shared" si="11"/>
        <v>-33</v>
      </c>
      <c r="X10" s="216">
        <v>86</v>
      </c>
      <c r="Y10" s="146">
        <f t="shared" si="2"/>
        <v>0</v>
      </c>
      <c r="Z10" s="216"/>
      <c r="AA10" s="216"/>
      <c r="AB10" s="216">
        <f t="shared" si="12"/>
        <v>-33</v>
      </c>
      <c r="AC10" s="216">
        <f t="shared" si="13"/>
        <v>-56</v>
      </c>
      <c r="AD10" s="146">
        <f t="shared" si="3"/>
        <v>0</v>
      </c>
      <c r="AE10" s="216"/>
      <c r="AF10" s="216"/>
      <c r="AG10" s="146"/>
      <c r="AH10" s="146"/>
      <c r="AI10" s="146"/>
      <c r="AJ10" s="216"/>
      <c r="AK10" s="216"/>
      <c r="AL10" s="146">
        <f t="shared" si="14"/>
        <v>-22</v>
      </c>
      <c r="AM10" s="146">
        <f t="shared" si="4"/>
        <v>-12</v>
      </c>
      <c r="AN10" s="172">
        <f t="shared" si="15"/>
        <v>0</v>
      </c>
      <c r="AO10" s="146"/>
      <c r="AP10" s="120">
        <f t="shared" si="5"/>
        <v>0</v>
      </c>
      <c r="AQ10" s="114">
        <v>6</v>
      </c>
      <c r="AR10" s="114">
        <f t="shared" si="16"/>
        <v>0</v>
      </c>
      <c r="AS10" s="114"/>
      <c r="AT10" s="114">
        <f t="shared" si="17"/>
        <v>0</v>
      </c>
      <c r="AU10" s="114">
        <f t="shared" si="6"/>
        <v>0</v>
      </c>
      <c r="AW10" s="246" t="s">
        <v>514</v>
      </c>
      <c r="AX10" s="129"/>
      <c r="AZ10" s="324" t="s">
        <v>717</v>
      </c>
      <c r="BA10" s="247" t="s">
        <v>655</v>
      </c>
      <c r="BB10" s="247" t="s">
        <v>654</v>
      </c>
      <c r="BC10" s="247" t="s">
        <v>653</v>
      </c>
    </row>
    <row r="11" spans="1:55" ht="20.100000000000001" customHeight="1">
      <c r="A11" s="145"/>
      <c r="B11" s="233"/>
      <c r="C11" s="233"/>
      <c r="D11" s="233"/>
      <c r="E11" s="146"/>
      <c r="F11" s="216"/>
      <c r="G11" s="216"/>
      <c r="H11" s="216">
        <f t="shared" si="7"/>
        <v>0</v>
      </c>
      <c r="I11" s="216">
        <f t="shared" si="8"/>
        <v>0</v>
      </c>
      <c r="J11" s="146">
        <f t="shared" si="0"/>
        <v>0</v>
      </c>
      <c r="K11" s="146"/>
      <c r="L11" s="146"/>
      <c r="M11" s="146"/>
      <c r="N11" s="146"/>
      <c r="O11" s="146"/>
      <c r="P11" s="216"/>
      <c r="Q11" s="216"/>
      <c r="R11" s="216">
        <f t="shared" si="9"/>
        <v>-32</v>
      </c>
      <c r="S11" s="146">
        <f t="shared" si="10"/>
        <v>-2</v>
      </c>
      <c r="T11" s="146">
        <f t="shared" si="1"/>
        <v>0</v>
      </c>
      <c r="U11" s="216"/>
      <c r="V11" s="216"/>
      <c r="W11" s="146">
        <f t="shared" si="11"/>
        <v>-33</v>
      </c>
      <c r="X11" s="216">
        <v>86</v>
      </c>
      <c r="Y11" s="146">
        <f t="shared" si="2"/>
        <v>0</v>
      </c>
      <c r="Z11" s="216"/>
      <c r="AA11" s="216"/>
      <c r="AB11" s="216">
        <f t="shared" si="12"/>
        <v>-33</v>
      </c>
      <c r="AC11" s="216">
        <f t="shared" si="13"/>
        <v>-56</v>
      </c>
      <c r="AD11" s="146">
        <f t="shared" si="3"/>
        <v>0</v>
      </c>
      <c r="AE11" s="216"/>
      <c r="AF11" s="216"/>
      <c r="AG11" s="146"/>
      <c r="AH11" s="146"/>
      <c r="AI11" s="146"/>
      <c r="AJ11" s="216"/>
      <c r="AK11" s="216"/>
      <c r="AL11" s="146">
        <f t="shared" si="14"/>
        <v>-22</v>
      </c>
      <c r="AM11" s="146">
        <f t="shared" si="4"/>
        <v>-12</v>
      </c>
      <c r="AN11" s="172">
        <f t="shared" si="15"/>
        <v>0</v>
      </c>
      <c r="AO11" s="146"/>
      <c r="AP11" s="120">
        <f t="shared" ref="AP11:AP19" si="18">IF(B11&lt;&gt;"",IF(B11&lt;950,4,6),0)*E11</f>
        <v>0</v>
      </c>
      <c r="AQ11" s="114">
        <v>7</v>
      </c>
      <c r="AR11" s="114">
        <f t="shared" si="16"/>
        <v>0</v>
      </c>
      <c r="AS11" s="114"/>
      <c r="AT11" s="114">
        <f t="shared" si="17"/>
        <v>0</v>
      </c>
      <c r="AU11" s="114">
        <f t="shared" si="6"/>
        <v>0</v>
      </c>
      <c r="AW11" s="115" t="s">
        <v>258</v>
      </c>
      <c r="AX11" s="129"/>
      <c r="AZ11" s="324" t="s">
        <v>718</v>
      </c>
      <c r="BA11" s="247" t="s">
        <v>655</v>
      </c>
      <c r="BB11" s="247" t="s">
        <v>654</v>
      </c>
      <c r="BC11" s="247" t="s">
        <v>653</v>
      </c>
    </row>
    <row r="12" spans="1:55" ht="20.100000000000001" customHeight="1">
      <c r="A12" s="145"/>
      <c r="B12" s="233"/>
      <c r="C12" s="233"/>
      <c r="D12" s="233"/>
      <c r="E12" s="146"/>
      <c r="F12" s="216"/>
      <c r="G12" s="216"/>
      <c r="H12" s="216">
        <f t="shared" si="7"/>
        <v>0</v>
      </c>
      <c r="I12" s="216">
        <f t="shared" si="8"/>
        <v>0</v>
      </c>
      <c r="J12" s="146">
        <f t="shared" si="0"/>
        <v>0</v>
      </c>
      <c r="K12" s="146"/>
      <c r="L12" s="146"/>
      <c r="M12" s="146"/>
      <c r="N12" s="146"/>
      <c r="O12" s="146"/>
      <c r="P12" s="216"/>
      <c r="Q12" s="216"/>
      <c r="R12" s="216">
        <f t="shared" si="9"/>
        <v>-32</v>
      </c>
      <c r="S12" s="146">
        <f t="shared" si="10"/>
        <v>-2</v>
      </c>
      <c r="T12" s="146">
        <f t="shared" si="1"/>
        <v>0</v>
      </c>
      <c r="U12" s="216"/>
      <c r="V12" s="216"/>
      <c r="W12" s="146">
        <f t="shared" si="11"/>
        <v>-33</v>
      </c>
      <c r="X12" s="216">
        <v>86</v>
      </c>
      <c r="Y12" s="146">
        <f t="shared" si="2"/>
        <v>0</v>
      </c>
      <c r="Z12" s="216"/>
      <c r="AA12" s="216"/>
      <c r="AB12" s="216">
        <f t="shared" si="12"/>
        <v>-33</v>
      </c>
      <c r="AC12" s="216">
        <f t="shared" si="13"/>
        <v>-56</v>
      </c>
      <c r="AD12" s="146">
        <f t="shared" si="3"/>
        <v>0</v>
      </c>
      <c r="AE12" s="216"/>
      <c r="AF12" s="216"/>
      <c r="AG12" s="146"/>
      <c r="AH12" s="146"/>
      <c r="AI12" s="146"/>
      <c r="AJ12" s="216"/>
      <c r="AK12" s="216"/>
      <c r="AL12" s="146">
        <f t="shared" si="14"/>
        <v>-22</v>
      </c>
      <c r="AM12" s="146">
        <f t="shared" ref="AM12:AM20" si="19">D12-12</f>
        <v>-12</v>
      </c>
      <c r="AN12" s="172">
        <f t="shared" si="15"/>
        <v>0</v>
      </c>
      <c r="AO12" s="146"/>
      <c r="AP12" s="120">
        <f t="shared" si="18"/>
        <v>0</v>
      </c>
      <c r="AQ12" s="114">
        <v>8</v>
      </c>
      <c r="AR12" s="114">
        <f t="shared" si="16"/>
        <v>0</v>
      </c>
      <c r="AS12" s="114"/>
      <c r="AT12" s="114">
        <f t="shared" si="17"/>
        <v>0</v>
      </c>
      <c r="AU12" s="114">
        <f t="shared" si="6"/>
        <v>0</v>
      </c>
      <c r="AW12" s="115" t="s">
        <v>259</v>
      </c>
      <c r="AX12" s="129"/>
      <c r="AZ12" s="324" t="s">
        <v>719</v>
      </c>
      <c r="BA12" s="247" t="s">
        <v>655</v>
      </c>
      <c r="BB12" s="247" t="s">
        <v>654</v>
      </c>
      <c r="BC12" s="247" t="s">
        <v>653</v>
      </c>
    </row>
    <row r="13" spans="1:55" ht="20.100000000000001" customHeight="1">
      <c r="A13" s="145"/>
      <c r="B13" s="233"/>
      <c r="C13" s="233"/>
      <c r="D13" s="233"/>
      <c r="E13" s="146"/>
      <c r="F13" s="216"/>
      <c r="G13" s="216"/>
      <c r="H13" s="216">
        <f t="shared" si="7"/>
        <v>0</v>
      </c>
      <c r="I13" s="216">
        <f t="shared" si="8"/>
        <v>0</v>
      </c>
      <c r="J13" s="146">
        <f t="shared" si="0"/>
        <v>0</v>
      </c>
      <c r="K13" s="146"/>
      <c r="L13" s="146"/>
      <c r="M13" s="146"/>
      <c r="N13" s="146"/>
      <c r="O13" s="146"/>
      <c r="P13" s="216"/>
      <c r="Q13" s="216"/>
      <c r="R13" s="216">
        <f t="shared" si="9"/>
        <v>-32</v>
      </c>
      <c r="S13" s="146">
        <f t="shared" si="10"/>
        <v>-2</v>
      </c>
      <c r="T13" s="146">
        <f t="shared" si="1"/>
        <v>0</v>
      </c>
      <c r="U13" s="216"/>
      <c r="V13" s="216"/>
      <c r="W13" s="146">
        <f t="shared" si="11"/>
        <v>-33</v>
      </c>
      <c r="X13" s="216">
        <v>86</v>
      </c>
      <c r="Y13" s="146">
        <f t="shared" si="2"/>
        <v>0</v>
      </c>
      <c r="Z13" s="216"/>
      <c r="AA13" s="216"/>
      <c r="AB13" s="216">
        <f t="shared" si="12"/>
        <v>-33</v>
      </c>
      <c r="AC13" s="216">
        <f t="shared" si="13"/>
        <v>-56</v>
      </c>
      <c r="AD13" s="146">
        <f t="shared" si="3"/>
        <v>0</v>
      </c>
      <c r="AE13" s="216"/>
      <c r="AF13" s="216"/>
      <c r="AG13" s="146"/>
      <c r="AH13" s="146"/>
      <c r="AI13" s="146"/>
      <c r="AJ13" s="216"/>
      <c r="AK13" s="216"/>
      <c r="AL13" s="146">
        <f t="shared" si="14"/>
        <v>-22</v>
      </c>
      <c r="AM13" s="146">
        <f t="shared" si="19"/>
        <v>-12</v>
      </c>
      <c r="AN13" s="172">
        <f t="shared" si="15"/>
        <v>0</v>
      </c>
      <c r="AO13" s="146"/>
      <c r="AP13" s="120">
        <f t="shared" si="18"/>
        <v>0</v>
      </c>
      <c r="AQ13" s="114">
        <v>9</v>
      </c>
      <c r="AR13" s="114">
        <f t="shared" si="16"/>
        <v>0</v>
      </c>
      <c r="AS13" s="114"/>
      <c r="AT13" s="114">
        <f t="shared" si="17"/>
        <v>0</v>
      </c>
      <c r="AU13" s="114">
        <f t="shared" si="6"/>
        <v>0</v>
      </c>
      <c r="AW13" s="115" t="s">
        <v>256</v>
      </c>
      <c r="AX13" s="129"/>
      <c r="AZ13" s="324" t="s">
        <v>720</v>
      </c>
      <c r="BA13" s="247" t="s">
        <v>655</v>
      </c>
      <c r="BB13" s="247" t="s">
        <v>654</v>
      </c>
      <c r="BC13" s="247" t="s">
        <v>653</v>
      </c>
    </row>
    <row r="14" spans="1:55" ht="20.100000000000001" customHeight="1">
      <c r="A14" s="145"/>
      <c r="B14" s="233"/>
      <c r="C14" s="233"/>
      <c r="D14" s="233"/>
      <c r="E14" s="146"/>
      <c r="F14" s="216"/>
      <c r="G14" s="216"/>
      <c r="H14" s="216">
        <f t="shared" si="7"/>
        <v>0</v>
      </c>
      <c r="I14" s="216">
        <f t="shared" si="8"/>
        <v>0</v>
      </c>
      <c r="J14" s="146">
        <f t="shared" si="0"/>
        <v>0</v>
      </c>
      <c r="K14" s="146"/>
      <c r="L14" s="146"/>
      <c r="M14" s="146"/>
      <c r="N14" s="146"/>
      <c r="O14" s="146"/>
      <c r="P14" s="216"/>
      <c r="Q14" s="216"/>
      <c r="R14" s="216">
        <f t="shared" si="9"/>
        <v>-32</v>
      </c>
      <c r="S14" s="146">
        <f t="shared" si="10"/>
        <v>-2</v>
      </c>
      <c r="T14" s="146">
        <f t="shared" si="1"/>
        <v>0</v>
      </c>
      <c r="U14" s="216"/>
      <c r="V14" s="216"/>
      <c r="W14" s="146">
        <f t="shared" si="11"/>
        <v>-33</v>
      </c>
      <c r="X14" s="216">
        <v>86</v>
      </c>
      <c r="Y14" s="146">
        <f t="shared" si="2"/>
        <v>0</v>
      </c>
      <c r="Z14" s="216"/>
      <c r="AA14" s="216"/>
      <c r="AB14" s="216">
        <f t="shared" si="12"/>
        <v>-33</v>
      </c>
      <c r="AC14" s="216">
        <f t="shared" si="13"/>
        <v>-56</v>
      </c>
      <c r="AD14" s="146">
        <f t="shared" si="3"/>
        <v>0</v>
      </c>
      <c r="AE14" s="216"/>
      <c r="AF14" s="216"/>
      <c r="AG14" s="146"/>
      <c r="AH14" s="146"/>
      <c r="AI14" s="146"/>
      <c r="AJ14" s="216"/>
      <c r="AK14" s="216"/>
      <c r="AL14" s="146">
        <f t="shared" si="14"/>
        <v>-22</v>
      </c>
      <c r="AM14" s="146">
        <f t="shared" si="19"/>
        <v>-12</v>
      </c>
      <c r="AN14" s="172">
        <f t="shared" si="15"/>
        <v>0</v>
      </c>
      <c r="AO14" s="146"/>
      <c r="AP14" s="120">
        <f t="shared" si="18"/>
        <v>0</v>
      </c>
      <c r="AQ14" s="114">
        <v>10</v>
      </c>
      <c r="AR14" s="114">
        <f t="shared" si="16"/>
        <v>0</v>
      </c>
      <c r="AS14" s="114"/>
      <c r="AT14" s="114">
        <f t="shared" si="17"/>
        <v>0</v>
      </c>
      <c r="AU14" s="114">
        <f t="shared" si="6"/>
        <v>0</v>
      </c>
      <c r="AW14" s="115" t="s">
        <v>255</v>
      </c>
      <c r="AX14" s="129"/>
      <c r="AZ14" s="324" t="s">
        <v>721</v>
      </c>
      <c r="BA14" s="247" t="s">
        <v>655</v>
      </c>
      <c r="BB14" s="247" t="s">
        <v>654</v>
      </c>
      <c r="BC14" s="247" t="s">
        <v>653</v>
      </c>
    </row>
    <row r="15" spans="1:55" ht="20.100000000000001" customHeight="1">
      <c r="A15" s="145"/>
      <c r="B15" s="233"/>
      <c r="C15" s="233"/>
      <c r="D15" s="233"/>
      <c r="E15" s="146"/>
      <c r="F15" s="216"/>
      <c r="G15" s="216"/>
      <c r="H15" s="216">
        <f t="shared" si="7"/>
        <v>0</v>
      </c>
      <c r="I15" s="216">
        <f t="shared" si="8"/>
        <v>0</v>
      </c>
      <c r="J15" s="146">
        <f t="shared" si="0"/>
        <v>0</v>
      </c>
      <c r="K15" s="146"/>
      <c r="L15" s="146"/>
      <c r="M15" s="146"/>
      <c r="N15" s="146"/>
      <c r="O15" s="146"/>
      <c r="P15" s="216"/>
      <c r="Q15" s="216"/>
      <c r="R15" s="216">
        <f t="shared" si="9"/>
        <v>-32</v>
      </c>
      <c r="S15" s="146">
        <f t="shared" si="10"/>
        <v>-2</v>
      </c>
      <c r="T15" s="146">
        <f t="shared" si="1"/>
        <v>0</v>
      </c>
      <c r="U15" s="216"/>
      <c r="V15" s="216"/>
      <c r="W15" s="146">
        <f t="shared" si="11"/>
        <v>-33</v>
      </c>
      <c r="X15" s="216">
        <v>86</v>
      </c>
      <c r="Y15" s="146">
        <f t="shared" si="2"/>
        <v>0</v>
      </c>
      <c r="Z15" s="216"/>
      <c r="AA15" s="216"/>
      <c r="AB15" s="216">
        <f t="shared" si="12"/>
        <v>-33</v>
      </c>
      <c r="AC15" s="216">
        <f t="shared" si="13"/>
        <v>-56</v>
      </c>
      <c r="AD15" s="146">
        <f t="shared" si="3"/>
        <v>0</v>
      </c>
      <c r="AE15" s="216"/>
      <c r="AF15" s="216"/>
      <c r="AG15" s="146"/>
      <c r="AH15" s="146"/>
      <c r="AI15" s="146"/>
      <c r="AJ15" s="216"/>
      <c r="AK15" s="216"/>
      <c r="AL15" s="146">
        <f t="shared" si="14"/>
        <v>-22</v>
      </c>
      <c r="AM15" s="146">
        <f t="shared" si="19"/>
        <v>-12</v>
      </c>
      <c r="AN15" s="172">
        <f t="shared" si="15"/>
        <v>0</v>
      </c>
      <c r="AO15" s="146"/>
      <c r="AP15" s="120">
        <f t="shared" si="18"/>
        <v>0</v>
      </c>
      <c r="AQ15" s="114">
        <v>11</v>
      </c>
      <c r="AR15" s="114">
        <f t="shared" si="16"/>
        <v>0</v>
      </c>
      <c r="AS15" s="114"/>
      <c r="AT15" s="114">
        <f t="shared" si="17"/>
        <v>0</v>
      </c>
      <c r="AU15" s="114">
        <f t="shared" si="6"/>
        <v>0</v>
      </c>
      <c r="AW15" s="115" t="s">
        <v>260</v>
      </c>
      <c r="AX15" s="129"/>
      <c r="AZ15" s="324" t="s">
        <v>722</v>
      </c>
      <c r="BA15" s="247" t="s">
        <v>655</v>
      </c>
      <c r="BB15" s="247" t="s">
        <v>654</v>
      </c>
      <c r="BC15" s="247" t="s">
        <v>653</v>
      </c>
    </row>
    <row r="16" spans="1:55" ht="20.100000000000001" customHeight="1">
      <c r="A16" s="145"/>
      <c r="B16" s="233"/>
      <c r="C16" s="233"/>
      <c r="D16" s="233"/>
      <c r="E16" s="146"/>
      <c r="F16" s="216"/>
      <c r="G16" s="216"/>
      <c r="H16" s="216">
        <f t="shared" si="7"/>
        <v>0</v>
      </c>
      <c r="I16" s="216">
        <f t="shared" si="8"/>
        <v>0</v>
      </c>
      <c r="J16" s="146">
        <f t="shared" si="0"/>
        <v>0</v>
      </c>
      <c r="K16" s="146"/>
      <c r="L16" s="146"/>
      <c r="M16" s="146"/>
      <c r="N16" s="146"/>
      <c r="O16" s="146"/>
      <c r="P16" s="216"/>
      <c r="Q16" s="216"/>
      <c r="R16" s="216">
        <f t="shared" si="9"/>
        <v>-32</v>
      </c>
      <c r="S16" s="146">
        <f t="shared" si="10"/>
        <v>-2</v>
      </c>
      <c r="T16" s="146">
        <f t="shared" si="1"/>
        <v>0</v>
      </c>
      <c r="U16" s="216"/>
      <c r="V16" s="216"/>
      <c r="W16" s="146">
        <f t="shared" si="11"/>
        <v>-33</v>
      </c>
      <c r="X16" s="216">
        <v>86</v>
      </c>
      <c r="Y16" s="146">
        <f t="shared" si="2"/>
        <v>0</v>
      </c>
      <c r="Z16" s="216"/>
      <c r="AA16" s="216"/>
      <c r="AB16" s="216">
        <f t="shared" si="12"/>
        <v>-33</v>
      </c>
      <c r="AC16" s="216">
        <f t="shared" si="13"/>
        <v>-56</v>
      </c>
      <c r="AD16" s="146">
        <f t="shared" si="3"/>
        <v>0</v>
      </c>
      <c r="AE16" s="216"/>
      <c r="AF16" s="216"/>
      <c r="AG16" s="146"/>
      <c r="AH16" s="146"/>
      <c r="AI16" s="146"/>
      <c r="AJ16" s="216"/>
      <c r="AK16" s="216"/>
      <c r="AL16" s="146">
        <f t="shared" si="14"/>
        <v>-22</v>
      </c>
      <c r="AM16" s="146">
        <f t="shared" si="19"/>
        <v>-12</v>
      </c>
      <c r="AN16" s="172">
        <f t="shared" si="15"/>
        <v>0</v>
      </c>
      <c r="AO16" s="146"/>
      <c r="AP16" s="120">
        <f t="shared" si="18"/>
        <v>0</v>
      </c>
      <c r="AQ16" s="114">
        <v>12</v>
      </c>
      <c r="AR16" s="114">
        <f t="shared" si="16"/>
        <v>0</v>
      </c>
      <c r="AS16" s="114"/>
      <c r="AT16" s="114">
        <f t="shared" si="17"/>
        <v>0</v>
      </c>
      <c r="AU16" s="114">
        <f t="shared" si="6"/>
        <v>0</v>
      </c>
      <c r="AW16" s="245" t="s">
        <v>515</v>
      </c>
      <c r="AX16" s="129"/>
      <c r="AZ16" s="324" t="s">
        <v>723</v>
      </c>
      <c r="BA16" s="247" t="s">
        <v>655</v>
      </c>
      <c r="BB16" s="247" t="s">
        <v>654</v>
      </c>
      <c r="BC16" s="247" t="s">
        <v>653</v>
      </c>
    </row>
    <row r="17" spans="1:55" ht="20.100000000000001" customHeight="1">
      <c r="A17" s="145"/>
      <c r="B17" s="233"/>
      <c r="C17" s="233"/>
      <c r="D17" s="233"/>
      <c r="E17" s="146"/>
      <c r="F17" s="216"/>
      <c r="G17" s="216"/>
      <c r="H17" s="216">
        <f t="shared" si="7"/>
        <v>0</v>
      </c>
      <c r="I17" s="216">
        <f t="shared" si="8"/>
        <v>0</v>
      </c>
      <c r="J17" s="146">
        <f t="shared" si="0"/>
        <v>0</v>
      </c>
      <c r="K17" s="146"/>
      <c r="L17" s="146"/>
      <c r="M17" s="146"/>
      <c r="N17" s="146"/>
      <c r="O17" s="146"/>
      <c r="P17" s="216"/>
      <c r="Q17" s="216"/>
      <c r="R17" s="216">
        <f t="shared" si="9"/>
        <v>-32</v>
      </c>
      <c r="S17" s="146">
        <f t="shared" si="10"/>
        <v>-2</v>
      </c>
      <c r="T17" s="146">
        <f t="shared" si="1"/>
        <v>0</v>
      </c>
      <c r="U17" s="216"/>
      <c r="V17" s="216"/>
      <c r="W17" s="146">
        <f t="shared" si="11"/>
        <v>-33</v>
      </c>
      <c r="X17" s="216">
        <v>86</v>
      </c>
      <c r="Y17" s="146">
        <f t="shared" si="2"/>
        <v>0</v>
      </c>
      <c r="Z17" s="216"/>
      <c r="AA17" s="216"/>
      <c r="AB17" s="216">
        <f t="shared" si="12"/>
        <v>-33</v>
      </c>
      <c r="AC17" s="216">
        <f t="shared" si="13"/>
        <v>-56</v>
      </c>
      <c r="AD17" s="146">
        <f t="shared" si="3"/>
        <v>0</v>
      </c>
      <c r="AE17" s="216"/>
      <c r="AF17" s="216"/>
      <c r="AG17" s="146"/>
      <c r="AH17" s="146"/>
      <c r="AI17" s="146"/>
      <c r="AJ17" s="216"/>
      <c r="AK17" s="216"/>
      <c r="AL17" s="146">
        <f t="shared" si="14"/>
        <v>-22</v>
      </c>
      <c r="AM17" s="146">
        <f t="shared" si="19"/>
        <v>-12</v>
      </c>
      <c r="AN17" s="172">
        <f t="shared" si="15"/>
        <v>0</v>
      </c>
      <c r="AO17" s="146"/>
      <c r="AP17" s="120">
        <f t="shared" si="18"/>
        <v>0</v>
      </c>
      <c r="AQ17" s="114">
        <v>13</v>
      </c>
      <c r="AR17" s="114">
        <f t="shared" si="16"/>
        <v>0</v>
      </c>
      <c r="AS17" s="114"/>
      <c r="AT17" s="114">
        <f t="shared" si="17"/>
        <v>0</v>
      </c>
      <c r="AU17" s="114">
        <f t="shared" si="6"/>
        <v>0</v>
      </c>
      <c r="AW17" s="123"/>
      <c r="AX17" s="123"/>
      <c r="AZ17" s="324" t="s">
        <v>724</v>
      </c>
      <c r="BA17" s="247" t="s">
        <v>655</v>
      </c>
      <c r="BB17" s="247" t="s">
        <v>654</v>
      </c>
      <c r="BC17" s="247" t="s">
        <v>653</v>
      </c>
    </row>
    <row r="18" spans="1:55" ht="20.100000000000001" customHeight="1">
      <c r="A18" s="145"/>
      <c r="B18" s="233"/>
      <c r="C18" s="233"/>
      <c r="D18" s="233"/>
      <c r="E18" s="146"/>
      <c r="F18" s="216"/>
      <c r="G18" s="216"/>
      <c r="H18" s="216">
        <f t="shared" si="7"/>
        <v>0</v>
      </c>
      <c r="I18" s="216">
        <f t="shared" si="8"/>
        <v>0</v>
      </c>
      <c r="J18" s="146">
        <f t="shared" si="0"/>
        <v>0</v>
      </c>
      <c r="K18" s="146"/>
      <c r="L18" s="146"/>
      <c r="M18" s="146"/>
      <c r="N18" s="146"/>
      <c r="O18" s="146"/>
      <c r="P18" s="216"/>
      <c r="Q18" s="216"/>
      <c r="R18" s="216">
        <f t="shared" si="9"/>
        <v>-32</v>
      </c>
      <c r="S18" s="146">
        <f t="shared" si="10"/>
        <v>-2</v>
      </c>
      <c r="T18" s="146">
        <f t="shared" si="1"/>
        <v>0</v>
      </c>
      <c r="U18" s="216"/>
      <c r="V18" s="216"/>
      <c r="W18" s="146">
        <f t="shared" si="11"/>
        <v>-33</v>
      </c>
      <c r="X18" s="216">
        <v>86</v>
      </c>
      <c r="Y18" s="146">
        <f t="shared" si="2"/>
        <v>0</v>
      </c>
      <c r="Z18" s="216"/>
      <c r="AA18" s="216"/>
      <c r="AB18" s="216">
        <f t="shared" si="12"/>
        <v>-33</v>
      </c>
      <c r="AC18" s="216">
        <f t="shared" si="13"/>
        <v>-56</v>
      </c>
      <c r="AD18" s="146">
        <f t="shared" si="3"/>
        <v>0</v>
      </c>
      <c r="AE18" s="216"/>
      <c r="AF18" s="216"/>
      <c r="AG18" s="146"/>
      <c r="AH18" s="146"/>
      <c r="AI18" s="146"/>
      <c r="AJ18" s="216"/>
      <c r="AK18" s="216"/>
      <c r="AL18" s="146">
        <f t="shared" si="14"/>
        <v>-22</v>
      </c>
      <c r="AM18" s="146">
        <f t="shared" si="19"/>
        <v>-12</v>
      </c>
      <c r="AN18" s="172">
        <f t="shared" si="15"/>
        <v>0</v>
      </c>
      <c r="AO18" s="146"/>
      <c r="AP18" s="120">
        <f t="shared" si="18"/>
        <v>0</v>
      </c>
      <c r="AQ18" s="114">
        <v>14</v>
      </c>
      <c r="AR18" s="114">
        <f t="shared" si="16"/>
        <v>0</v>
      </c>
      <c r="AS18" s="114"/>
      <c r="AT18" s="114">
        <f t="shared" si="17"/>
        <v>0</v>
      </c>
      <c r="AU18" s="114">
        <f t="shared" si="6"/>
        <v>0</v>
      </c>
      <c r="AW18" s="323"/>
      <c r="AX18" s="241"/>
      <c r="AZ18" s="324" t="s">
        <v>725</v>
      </c>
      <c r="BA18" s="247" t="s">
        <v>655</v>
      </c>
      <c r="BB18" s="247" t="s">
        <v>654</v>
      </c>
      <c r="BC18" s="247" t="s">
        <v>653</v>
      </c>
    </row>
    <row r="19" spans="1:55" ht="20.100000000000001" customHeight="1">
      <c r="A19" s="147"/>
      <c r="B19" s="233"/>
      <c r="C19" s="233"/>
      <c r="D19" s="233"/>
      <c r="E19" s="146"/>
      <c r="F19" s="216"/>
      <c r="G19" s="216"/>
      <c r="H19" s="216">
        <f t="shared" si="7"/>
        <v>0</v>
      </c>
      <c r="I19" s="216">
        <f t="shared" si="8"/>
        <v>0</v>
      </c>
      <c r="J19" s="146">
        <f t="shared" si="0"/>
        <v>0</v>
      </c>
      <c r="K19" s="146"/>
      <c r="L19" s="146"/>
      <c r="M19" s="146"/>
      <c r="N19" s="146"/>
      <c r="O19" s="146"/>
      <c r="P19" s="216"/>
      <c r="Q19" s="216"/>
      <c r="R19" s="216">
        <f t="shared" si="9"/>
        <v>-32</v>
      </c>
      <c r="S19" s="146">
        <f t="shared" si="10"/>
        <v>-2</v>
      </c>
      <c r="T19" s="146">
        <f t="shared" si="1"/>
        <v>0</v>
      </c>
      <c r="U19" s="216"/>
      <c r="V19" s="216"/>
      <c r="W19" s="146">
        <f t="shared" si="11"/>
        <v>-33</v>
      </c>
      <c r="X19" s="216">
        <v>86</v>
      </c>
      <c r="Y19" s="146">
        <f t="shared" si="2"/>
        <v>0</v>
      </c>
      <c r="Z19" s="216"/>
      <c r="AA19" s="216"/>
      <c r="AB19" s="216">
        <f t="shared" si="12"/>
        <v>-33</v>
      </c>
      <c r="AC19" s="216">
        <f t="shared" si="13"/>
        <v>-56</v>
      </c>
      <c r="AD19" s="146">
        <f t="shared" si="3"/>
        <v>0</v>
      </c>
      <c r="AE19" s="216"/>
      <c r="AF19" s="216"/>
      <c r="AG19" s="146"/>
      <c r="AH19" s="146"/>
      <c r="AI19" s="146"/>
      <c r="AJ19" s="216"/>
      <c r="AK19" s="216"/>
      <c r="AL19" s="146">
        <f t="shared" si="14"/>
        <v>-22</v>
      </c>
      <c r="AM19" s="146">
        <f t="shared" si="19"/>
        <v>-12</v>
      </c>
      <c r="AN19" s="172">
        <f t="shared" si="15"/>
        <v>0</v>
      </c>
      <c r="AO19" s="146"/>
      <c r="AP19" s="120">
        <f t="shared" si="18"/>
        <v>0</v>
      </c>
      <c r="AQ19" s="114">
        <v>15</v>
      </c>
      <c r="AR19" s="114">
        <f t="shared" si="16"/>
        <v>0</v>
      </c>
      <c r="AS19" s="114"/>
      <c r="AT19" s="114">
        <f t="shared" si="17"/>
        <v>0</v>
      </c>
      <c r="AU19" s="114">
        <f t="shared" si="6"/>
        <v>0</v>
      </c>
      <c r="AZ19" s="324" t="s">
        <v>726</v>
      </c>
      <c r="BA19" s="247" t="s">
        <v>655</v>
      </c>
      <c r="BB19" s="247" t="s">
        <v>654</v>
      </c>
      <c r="BC19" s="247" t="s">
        <v>653</v>
      </c>
    </row>
    <row r="20" spans="1:55" s="123" customFormat="1" ht="20.100000000000001" customHeight="1">
      <c r="A20" s="150"/>
      <c r="B20" s="233"/>
      <c r="C20" s="233"/>
      <c r="D20" s="233"/>
      <c r="E20" s="110"/>
      <c r="F20" s="216"/>
      <c r="G20" s="216"/>
      <c r="H20" s="216">
        <f t="shared" si="7"/>
        <v>0</v>
      </c>
      <c r="I20" s="216">
        <f t="shared" si="8"/>
        <v>0</v>
      </c>
      <c r="J20" s="110">
        <f t="shared" si="0"/>
        <v>0</v>
      </c>
      <c r="K20" s="110"/>
      <c r="L20" s="110"/>
      <c r="M20" s="110"/>
      <c r="N20" s="110"/>
      <c r="O20" s="110"/>
      <c r="P20" s="216"/>
      <c r="Q20" s="216"/>
      <c r="R20" s="216">
        <f t="shared" si="9"/>
        <v>-32</v>
      </c>
      <c r="S20" s="110">
        <f t="shared" si="10"/>
        <v>-2</v>
      </c>
      <c r="T20" s="110">
        <f t="shared" si="1"/>
        <v>0</v>
      </c>
      <c r="U20" s="216"/>
      <c r="V20" s="216"/>
      <c r="W20" s="110">
        <f t="shared" si="11"/>
        <v>-33</v>
      </c>
      <c r="X20" s="216">
        <v>86</v>
      </c>
      <c r="Y20" s="110">
        <f t="shared" si="2"/>
        <v>0</v>
      </c>
      <c r="Z20" s="216"/>
      <c r="AA20" s="216"/>
      <c r="AB20" s="216">
        <f t="shared" si="12"/>
        <v>-33</v>
      </c>
      <c r="AC20" s="216">
        <f t="shared" si="13"/>
        <v>-56</v>
      </c>
      <c r="AD20" s="110">
        <f t="shared" si="3"/>
        <v>0</v>
      </c>
      <c r="AE20" s="216"/>
      <c r="AF20" s="216"/>
      <c r="AG20" s="110">
        <f>R20</f>
        <v>-32</v>
      </c>
      <c r="AH20" s="110">
        <f>C20-34</f>
        <v>-34</v>
      </c>
      <c r="AI20" s="110"/>
      <c r="AJ20" s="216"/>
      <c r="AK20" s="216"/>
      <c r="AL20" s="110">
        <f t="shared" si="14"/>
        <v>-22</v>
      </c>
      <c r="AM20" s="110">
        <f t="shared" si="19"/>
        <v>-12</v>
      </c>
      <c r="AN20" s="173">
        <f t="shared" si="15"/>
        <v>0</v>
      </c>
      <c r="AO20" s="110"/>
      <c r="AP20" s="120">
        <f>IF(B20&lt;&gt;"",IF(B20&lt;950,4,6),0)*E20</f>
        <v>0</v>
      </c>
      <c r="AQ20" s="114">
        <v>16</v>
      </c>
      <c r="AR20" s="114">
        <f t="shared" si="16"/>
        <v>0</v>
      </c>
      <c r="AS20" s="114"/>
      <c r="AT20" s="114">
        <f t="shared" si="17"/>
        <v>0</v>
      </c>
      <c r="AU20" s="114">
        <f t="shared" si="6"/>
        <v>0</v>
      </c>
      <c r="AZ20" s="324" t="s">
        <v>727</v>
      </c>
      <c r="BA20" s="247" t="s">
        <v>655</v>
      </c>
      <c r="BB20" s="247" t="s">
        <v>654</v>
      </c>
      <c r="BC20" s="247" t="s">
        <v>653</v>
      </c>
    </row>
    <row r="21" spans="1:55" ht="20.100000000000001" customHeight="1">
      <c r="A21" s="222" t="s">
        <v>457</v>
      </c>
      <c r="B21" s="222"/>
      <c r="C21" s="222"/>
      <c r="D21" s="222"/>
      <c r="E21" s="222">
        <f>SUM(E4:E20)</f>
        <v>1</v>
      </c>
      <c r="F21" s="222"/>
      <c r="G21" s="222"/>
      <c r="H21" s="222"/>
      <c r="I21" s="222"/>
      <c r="J21" s="222">
        <f>SUM(J5:J20)</f>
        <v>2</v>
      </c>
      <c r="K21" s="222"/>
      <c r="L21" s="222"/>
      <c r="M21" s="222"/>
      <c r="N21" s="222"/>
      <c r="O21" s="222">
        <f>SUM(O5:O20)</f>
        <v>1</v>
      </c>
      <c r="P21" s="222"/>
      <c r="Q21" s="222"/>
      <c r="R21" s="222"/>
      <c r="S21" s="222"/>
      <c r="T21" s="222">
        <f>SUM(T5:T20)</f>
        <v>1</v>
      </c>
      <c r="U21" s="222"/>
      <c r="V21" s="222"/>
      <c r="W21" s="222"/>
      <c r="X21" s="222"/>
      <c r="Y21" s="222">
        <f>SUM(Y5:Y20)</f>
        <v>2</v>
      </c>
      <c r="Z21" s="222"/>
      <c r="AA21" s="222"/>
      <c r="AB21" s="222"/>
      <c r="AC21" s="222"/>
      <c r="AD21" s="222">
        <f>SUM(AD5:AD20)</f>
        <v>1</v>
      </c>
      <c r="AE21" s="222"/>
      <c r="AF21" s="222"/>
      <c r="AG21" s="222"/>
      <c r="AH21" s="222"/>
      <c r="AI21" s="222">
        <f>SUM(AI5:AI20)</f>
        <v>1</v>
      </c>
      <c r="AJ21" s="222"/>
      <c r="AK21" s="222"/>
      <c r="AL21" s="222"/>
      <c r="AM21" s="222"/>
      <c r="AN21" s="222">
        <f>SUM(AN5:AN20)</f>
        <v>1</v>
      </c>
      <c r="AO21" s="222"/>
      <c r="AP21" s="120"/>
      <c r="AQ21" s="182" t="s">
        <v>498</v>
      </c>
      <c r="AR21" s="182">
        <f>SUM(AR5:AR20)</f>
        <v>-3.7090000000000001E-3</v>
      </c>
      <c r="AS21" s="182"/>
      <c r="AT21" s="182">
        <f>SUM(AT5:AT20)</f>
        <v>1.0346680999731257E-4</v>
      </c>
      <c r="AU21" s="182">
        <f>SUM(AU5:AU20)</f>
        <v>1E-3</v>
      </c>
      <c r="AZ21" s="324" t="s">
        <v>728</v>
      </c>
      <c r="BA21" s="247" t="s">
        <v>655</v>
      </c>
      <c r="BB21" s="247" t="s">
        <v>654</v>
      </c>
      <c r="BC21" s="247" t="s">
        <v>653</v>
      </c>
    </row>
    <row r="22" spans="1:55" s="122" customFormat="1" ht="20.100000000000001" customHeight="1">
      <c r="A22" s="224" t="s">
        <v>66</v>
      </c>
      <c r="B22" s="222" t="s">
        <v>71</v>
      </c>
      <c r="C22" s="222" t="s">
        <v>454</v>
      </c>
      <c r="D22" s="222" t="s">
        <v>72</v>
      </c>
      <c r="E22" s="222" t="s">
        <v>455</v>
      </c>
      <c r="F22" s="221" t="s">
        <v>331</v>
      </c>
      <c r="G22" s="221" t="s">
        <v>444</v>
      </c>
      <c r="H22" s="222" t="s">
        <v>71</v>
      </c>
      <c r="I22" s="222" t="s">
        <v>72</v>
      </c>
      <c r="J22" s="222" t="s">
        <v>227</v>
      </c>
      <c r="K22" s="221" t="s">
        <v>331</v>
      </c>
      <c r="L22" s="221" t="s">
        <v>444</v>
      </c>
      <c r="M22" s="221" t="s">
        <v>71</v>
      </c>
      <c r="N22" s="221" t="s">
        <v>454</v>
      </c>
      <c r="O22" s="221" t="s">
        <v>227</v>
      </c>
      <c r="P22" s="221" t="s">
        <v>331</v>
      </c>
      <c r="Q22" s="221" t="s">
        <v>444</v>
      </c>
      <c r="R22" s="222" t="s">
        <v>71</v>
      </c>
      <c r="S22" s="222" t="s">
        <v>454</v>
      </c>
      <c r="T22" s="222" t="s">
        <v>227</v>
      </c>
      <c r="U22" s="221" t="s">
        <v>331</v>
      </c>
      <c r="V22" s="221" t="s">
        <v>444</v>
      </c>
      <c r="W22" s="222" t="s">
        <v>71</v>
      </c>
      <c r="X22" s="222" t="s">
        <v>454</v>
      </c>
      <c r="Y22" s="222" t="s">
        <v>227</v>
      </c>
      <c r="Z22" s="221" t="s">
        <v>331</v>
      </c>
      <c r="AA22" s="221" t="s">
        <v>444</v>
      </c>
      <c r="AB22" s="221" t="s">
        <v>71</v>
      </c>
      <c r="AC22" s="221" t="s">
        <v>72</v>
      </c>
      <c r="AD22" s="221" t="s">
        <v>227</v>
      </c>
      <c r="AE22" s="221" t="s">
        <v>331</v>
      </c>
      <c r="AF22" s="221" t="s">
        <v>444</v>
      </c>
      <c r="AG22" s="221" t="s">
        <v>71</v>
      </c>
      <c r="AH22" s="221" t="s">
        <v>72</v>
      </c>
      <c r="AI22" s="221" t="s">
        <v>227</v>
      </c>
      <c r="AJ22" s="221" t="s">
        <v>331</v>
      </c>
      <c r="AK22" s="221" t="s">
        <v>444</v>
      </c>
      <c r="AL22" s="222" t="s">
        <v>71</v>
      </c>
      <c r="AM22" s="222" t="s">
        <v>72</v>
      </c>
      <c r="AN22" s="222" t="s">
        <v>227</v>
      </c>
      <c r="AO22" s="222"/>
      <c r="AP22" s="120"/>
      <c r="AQ22" s="124"/>
      <c r="AR22" s="124"/>
      <c r="AS22" s="124"/>
      <c r="AT22" s="124"/>
      <c r="AU22" s="124"/>
      <c r="AZ22" s="324" t="s">
        <v>729</v>
      </c>
      <c r="BA22" s="247" t="s">
        <v>655</v>
      </c>
      <c r="BB22" s="247" t="s">
        <v>654</v>
      </c>
      <c r="BC22" s="247" t="s">
        <v>653</v>
      </c>
    </row>
    <row r="23" spans="1:55" ht="20.100000000000001" customHeight="1">
      <c r="A23" s="232">
        <v>2</v>
      </c>
      <c r="B23" s="233">
        <v>2</v>
      </c>
      <c r="C23" s="233">
        <v>2</v>
      </c>
      <c r="D23" s="233">
        <v>2</v>
      </c>
      <c r="E23" s="233">
        <v>2</v>
      </c>
      <c r="F23" s="216">
        <v>2</v>
      </c>
      <c r="G23" s="216">
        <v>2</v>
      </c>
      <c r="H23" s="216">
        <f>C23</f>
        <v>2</v>
      </c>
      <c r="I23" s="216">
        <f>D23</f>
        <v>2</v>
      </c>
      <c r="J23" s="216">
        <f t="shared" ref="J23:J32" si="20">E23*2</f>
        <v>4</v>
      </c>
      <c r="K23" s="216">
        <v>2</v>
      </c>
      <c r="L23" s="216">
        <v>2</v>
      </c>
      <c r="M23" s="216">
        <f>B23-32</f>
        <v>-30</v>
      </c>
      <c r="N23" s="223">
        <f>C23-34</f>
        <v>-32</v>
      </c>
      <c r="O23" s="216">
        <f t="shared" ref="O23:O32" si="21">E23</f>
        <v>2</v>
      </c>
      <c r="P23" s="216">
        <v>2</v>
      </c>
      <c r="Q23" s="216">
        <v>2</v>
      </c>
      <c r="R23" s="216">
        <v>22</v>
      </c>
      <c r="S23" s="223">
        <f>C23-2</f>
        <v>0</v>
      </c>
      <c r="T23" s="216">
        <f t="shared" ref="T23:T32" si="22">E23</f>
        <v>2</v>
      </c>
      <c r="U23" s="216">
        <v>2</v>
      </c>
      <c r="V23" s="216">
        <v>2</v>
      </c>
      <c r="W23" s="216">
        <f t="shared" ref="W23:W32" si="23">B23-33</f>
        <v>-31</v>
      </c>
      <c r="X23" s="216">
        <v>86</v>
      </c>
      <c r="Y23" s="216">
        <f t="shared" ref="Y23:Y32" si="24">E23*1</f>
        <v>2</v>
      </c>
      <c r="Z23" s="216">
        <v>2</v>
      </c>
      <c r="AA23" s="216">
        <v>2</v>
      </c>
      <c r="AB23" s="216">
        <f>B23-33</f>
        <v>-31</v>
      </c>
      <c r="AC23" s="216">
        <f>C23-56</f>
        <v>-54</v>
      </c>
      <c r="AD23" s="216">
        <f t="shared" ref="AD23:AD32" si="25">E23</f>
        <v>2</v>
      </c>
      <c r="AE23" s="216">
        <v>2</v>
      </c>
      <c r="AF23" s="216">
        <v>2</v>
      </c>
      <c r="AG23" s="216">
        <v>2</v>
      </c>
      <c r="AH23" s="216">
        <v>2</v>
      </c>
      <c r="AI23" s="216">
        <v>2</v>
      </c>
      <c r="AJ23" s="216">
        <v>2</v>
      </c>
      <c r="AK23" s="216">
        <v>2</v>
      </c>
      <c r="AL23" s="216">
        <f t="shared" ref="AL23:AL32" si="26">B23-22</f>
        <v>-20</v>
      </c>
      <c r="AM23" s="216">
        <f t="shared" ref="AM23:AM32" si="27">D23-12</f>
        <v>-10</v>
      </c>
      <c r="AN23" s="153">
        <f t="shared" ref="AN23:AN32" si="28">E23</f>
        <v>2</v>
      </c>
      <c r="AO23" s="216"/>
      <c r="AP23" s="120">
        <f t="shared" ref="AP23:AP32" si="29">IF(AND(D23&lt;&gt;"",D23&gt;=1440),IF(B23&lt;950,4,6),0)*E23</f>
        <v>0</v>
      </c>
      <c r="AQ23" s="114">
        <v>1</v>
      </c>
      <c r="AR23" s="114">
        <f t="shared" ref="AR23:AR32" si="30">(H23*I23*J23+M23*N23*O23+R23*T23*S23+W23*X23*Y23+AB23*AC23*AD23+AG23*AH23*AI23)/1000000</f>
        <v>-4.0000000000000003E-5</v>
      </c>
      <c r="AS23" s="114"/>
      <c r="AT23" s="114">
        <f t="shared" ref="AT23:AT32" si="31">AL23*AM23*AN23/1000000/1.22/2.44/0.75</f>
        <v>1.7916330735465378E-4</v>
      </c>
      <c r="AU23" s="114">
        <f t="shared" ref="AU23:AU32" si="32">B23*E23/1000</f>
        <v>4.0000000000000001E-3</v>
      </c>
      <c r="AZ23" s="324" t="s">
        <v>730</v>
      </c>
      <c r="BA23" s="247" t="s">
        <v>655</v>
      </c>
      <c r="BB23" s="247" t="s">
        <v>654</v>
      </c>
      <c r="BC23" s="247" t="s">
        <v>653</v>
      </c>
    </row>
    <row r="24" spans="1:55" ht="20.100000000000001" customHeight="1">
      <c r="A24" s="232"/>
      <c r="B24" s="233"/>
      <c r="C24" s="233"/>
      <c r="D24" s="233"/>
      <c r="E24" s="233"/>
      <c r="F24" s="216"/>
      <c r="G24" s="216"/>
      <c r="H24" s="216">
        <f t="shared" ref="H24:H32" si="33">C24</f>
        <v>0</v>
      </c>
      <c r="I24" s="216">
        <f t="shared" ref="I24:I32" si="34">D24</f>
        <v>0</v>
      </c>
      <c r="J24" s="146">
        <f t="shared" si="20"/>
        <v>0</v>
      </c>
      <c r="K24" s="216"/>
      <c r="L24" s="216"/>
      <c r="M24" s="216">
        <f t="shared" ref="M24:M32" si="35">B24-32</f>
        <v>-32</v>
      </c>
      <c r="N24" s="223">
        <f t="shared" ref="N24:N32" si="36">C24-34</f>
        <v>-34</v>
      </c>
      <c r="O24" s="146">
        <f t="shared" si="21"/>
        <v>0</v>
      </c>
      <c r="P24" s="216"/>
      <c r="Q24" s="216"/>
      <c r="R24" s="216">
        <f t="shared" ref="R24:R32" si="37">B24-32</f>
        <v>-32</v>
      </c>
      <c r="S24" s="148">
        <f t="shared" ref="S24:S32" si="38">C24-2</f>
        <v>-2</v>
      </c>
      <c r="T24" s="146">
        <f t="shared" si="22"/>
        <v>0</v>
      </c>
      <c r="U24" s="216"/>
      <c r="V24" s="216"/>
      <c r="W24" s="146">
        <f t="shared" si="23"/>
        <v>-33</v>
      </c>
      <c r="X24" s="216">
        <v>86</v>
      </c>
      <c r="Y24" s="146">
        <f t="shared" si="24"/>
        <v>0</v>
      </c>
      <c r="Z24" s="216"/>
      <c r="AA24" s="216"/>
      <c r="AB24" s="216">
        <f t="shared" ref="AB24:AB32" si="39">B24-33</f>
        <v>-33</v>
      </c>
      <c r="AC24" s="216">
        <f t="shared" ref="AC24:AC32" si="40">C24-56</f>
        <v>-56</v>
      </c>
      <c r="AD24" s="146">
        <f t="shared" si="25"/>
        <v>0</v>
      </c>
      <c r="AE24" s="216"/>
      <c r="AF24" s="216"/>
      <c r="AG24" s="146"/>
      <c r="AH24" s="146"/>
      <c r="AI24" s="146"/>
      <c r="AJ24" s="216"/>
      <c r="AK24" s="216"/>
      <c r="AL24" s="146">
        <f t="shared" si="26"/>
        <v>-22</v>
      </c>
      <c r="AM24" s="146">
        <f t="shared" si="27"/>
        <v>-12</v>
      </c>
      <c r="AN24" s="172">
        <f t="shared" si="28"/>
        <v>0</v>
      </c>
      <c r="AO24" s="146"/>
      <c r="AP24" s="120">
        <f t="shared" si="29"/>
        <v>0</v>
      </c>
      <c r="AQ24" s="114">
        <v>2</v>
      </c>
      <c r="AR24" s="114">
        <f t="shared" si="30"/>
        <v>0</v>
      </c>
      <c r="AS24" s="114"/>
      <c r="AT24" s="114">
        <f t="shared" si="31"/>
        <v>0</v>
      </c>
      <c r="AU24" s="114">
        <f t="shared" si="32"/>
        <v>0</v>
      </c>
      <c r="AW24" s="323"/>
      <c r="AX24" s="241"/>
      <c r="AZ24" s="324" t="s">
        <v>731</v>
      </c>
      <c r="BA24" s="247" t="s">
        <v>655</v>
      </c>
      <c r="BB24" s="247" t="s">
        <v>654</v>
      </c>
      <c r="BC24" s="247" t="s">
        <v>653</v>
      </c>
    </row>
    <row r="25" spans="1:55" ht="20.100000000000001" customHeight="1">
      <c r="A25" s="232"/>
      <c r="B25" s="233"/>
      <c r="C25" s="233"/>
      <c r="D25" s="233"/>
      <c r="E25" s="233"/>
      <c r="F25" s="216"/>
      <c r="G25" s="216"/>
      <c r="H25" s="216">
        <f t="shared" si="33"/>
        <v>0</v>
      </c>
      <c r="I25" s="216">
        <f t="shared" si="34"/>
        <v>0</v>
      </c>
      <c r="J25" s="146">
        <f t="shared" si="20"/>
        <v>0</v>
      </c>
      <c r="K25" s="216"/>
      <c r="L25" s="216"/>
      <c r="M25" s="216">
        <f t="shared" si="35"/>
        <v>-32</v>
      </c>
      <c r="N25" s="223">
        <f t="shared" si="36"/>
        <v>-34</v>
      </c>
      <c r="O25" s="146">
        <f t="shared" si="21"/>
        <v>0</v>
      </c>
      <c r="P25" s="216"/>
      <c r="Q25" s="216"/>
      <c r="R25" s="216">
        <f t="shared" si="37"/>
        <v>-32</v>
      </c>
      <c r="S25" s="148">
        <f t="shared" si="38"/>
        <v>-2</v>
      </c>
      <c r="T25" s="146">
        <f t="shared" si="22"/>
        <v>0</v>
      </c>
      <c r="U25" s="216"/>
      <c r="V25" s="216"/>
      <c r="W25" s="146">
        <f t="shared" si="23"/>
        <v>-33</v>
      </c>
      <c r="X25" s="216">
        <v>86</v>
      </c>
      <c r="Y25" s="146">
        <f t="shared" si="24"/>
        <v>0</v>
      </c>
      <c r="Z25" s="216"/>
      <c r="AA25" s="216"/>
      <c r="AB25" s="216">
        <f t="shared" si="39"/>
        <v>-33</v>
      </c>
      <c r="AC25" s="216">
        <f t="shared" si="40"/>
        <v>-56</v>
      </c>
      <c r="AD25" s="146">
        <f t="shared" si="25"/>
        <v>0</v>
      </c>
      <c r="AE25" s="216"/>
      <c r="AF25" s="216"/>
      <c r="AG25" s="146"/>
      <c r="AH25" s="146"/>
      <c r="AI25" s="146"/>
      <c r="AJ25" s="216"/>
      <c r="AK25" s="216"/>
      <c r="AL25" s="146">
        <f t="shared" si="26"/>
        <v>-22</v>
      </c>
      <c r="AM25" s="146">
        <f t="shared" si="27"/>
        <v>-12</v>
      </c>
      <c r="AN25" s="172">
        <f t="shared" si="28"/>
        <v>0</v>
      </c>
      <c r="AO25" s="146"/>
      <c r="AP25" s="120">
        <f t="shared" si="29"/>
        <v>0</v>
      </c>
      <c r="AQ25" s="114">
        <v>3</v>
      </c>
      <c r="AR25" s="114">
        <f t="shared" si="30"/>
        <v>0</v>
      </c>
      <c r="AS25" s="114"/>
      <c r="AT25" s="114">
        <f t="shared" si="31"/>
        <v>0</v>
      </c>
      <c r="AU25" s="114">
        <f t="shared" si="32"/>
        <v>0</v>
      </c>
      <c r="AW25" s="323"/>
      <c r="AX25" s="241"/>
      <c r="AZ25" s="324" t="s">
        <v>732</v>
      </c>
      <c r="BA25" s="247" t="s">
        <v>655</v>
      </c>
      <c r="BB25" s="247" t="s">
        <v>654</v>
      </c>
      <c r="BC25" s="247" t="s">
        <v>653</v>
      </c>
    </row>
    <row r="26" spans="1:55" ht="20.100000000000001" customHeight="1">
      <c r="A26" s="145"/>
      <c r="B26" s="233"/>
      <c r="C26" s="233"/>
      <c r="D26" s="233"/>
      <c r="E26" s="146"/>
      <c r="F26" s="216"/>
      <c r="G26" s="216"/>
      <c r="H26" s="216">
        <f t="shared" si="33"/>
        <v>0</v>
      </c>
      <c r="I26" s="216">
        <f t="shared" si="34"/>
        <v>0</v>
      </c>
      <c r="J26" s="146">
        <f t="shared" si="20"/>
        <v>0</v>
      </c>
      <c r="K26" s="216"/>
      <c r="L26" s="216"/>
      <c r="M26" s="216">
        <f t="shared" si="35"/>
        <v>-32</v>
      </c>
      <c r="N26" s="223">
        <f t="shared" si="36"/>
        <v>-34</v>
      </c>
      <c r="O26" s="146">
        <f t="shared" si="21"/>
        <v>0</v>
      </c>
      <c r="P26" s="216"/>
      <c r="Q26" s="216"/>
      <c r="R26" s="216">
        <f t="shared" si="37"/>
        <v>-32</v>
      </c>
      <c r="S26" s="148">
        <f t="shared" si="38"/>
        <v>-2</v>
      </c>
      <c r="T26" s="146">
        <f t="shared" si="22"/>
        <v>0</v>
      </c>
      <c r="U26" s="216"/>
      <c r="V26" s="216"/>
      <c r="W26" s="146">
        <f t="shared" si="23"/>
        <v>-33</v>
      </c>
      <c r="X26" s="216">
        <v>86</v>
      </c>
      <c r="Y26" s="146">
        <f t="shared" si="24"/>
        <v>0</v>
      </c>
      <c r="Z26" s="216"/>
      <c r="AA26" s="216"/>
      <c r="AB26" s="216">
        <f t="shared" si="39"/>
        <v>-33</v>
      </c>
      <c r="AC26" s="216">
        <f t="shared" si="40"/>
        <v>-56</v>
      </c>
      <c r="AD26" s="146">
        <f t="shared" si="25"/>
        <v>0</v>
      </c>
      <c r="AE26" s="216"/>
      <c r="AF26" s="216"/>
      <c r="AG26" s="146"/>
      <c r="AH26" s="146"/>
      <c r="AI26" s="146"/>
      <c r="AJ26" s="216"/>
      <c r="AK26" s="216"/>
      <c r="AL26" s="146">
        <f t="shared" si="26"/>
        <v>-22</v>
      </c>
      <c r="AM26" s="146">
        <f t="shared" si="27"/>
        <v>-12</v>
      </c>
      <c r="AN26" s="172">
        <f t="shared" si="28"/>
        <v>0</v>
      </c>
      <c r="AO26" s="146"/>
      <c r="AP26" s="120">
        <f t="shared" si="29"/>
        <v>0</v>
      </c>
      <c r="AQ26" s="114">
        <v>4</v>
      </c>
      <c r="AR26" s="114">
        <f t="shared" si="30"/>
        <v>0</v>
      </c>
      <c r="AS26" s="114"/>
      <c r="AT26" s="114">
        <f t="shared" si="31"/>
        <v>0</v>
      </c>
      <c r="AU26" s="114">
        <f t="shared" si="32"/>
        <v>0</v>
      </c>
      <c r="AZ26" s="324" t="s">
        <v>733</v>
      </c>
      <c r="BA26" s="247" t="s">
        <v>655</v>
      </c>
      <c r="BB26" s="247" t="s">
        <v>654</v>
      </c>
      <c r="BC26" s="247" t="s">
        <v>653</v>
      </c>
    </row>
    <row r="27" spans="1:55" s="123" customFormat="1" ht="20.100000000000001" customHeight="1">
      <c r="A27" s="147"/>
      <c r="B27" s="233"/>
      <c r="C27" s="233"/>
      <c r="D27" s="233"/>
      <c r="E27" s="75"/>
      <c r="F27" s="216"/>
      <c r="G27" s="216"/>
      <c r="H27" s="216">
        <f t="shared" si="33"/>
        <v>0</v>
      </c>
      <c r="I27" s="216">
        <f t="shared" si="34"/>
        <v>0</v>
      </c>
      <c r="J27" s="75">
        <f t="shared" si="20"/>
        <v>0</v>
      </c>
      <c r="K27" s="216"/>
      <c r="L27" s="216"/>
      <c r="M27" s="216">
        <f t="shared" si="35"/>
        <v>-32</v>
      </c>
      <c r="N27" s="223">
        <f t="shared" si="36"/>
        <v>-34</v>
      </c>
      <c r="O27" s="75">
        <f t="shared" si="21"/>
        <v>0</v>
      </c>
      <c r="P27" s="216"/>
      <c r="Q27" s="216"/>
      <c r="R27" s="216">
        <f t="shared" si="37"/>
        <v>-32</v>
      </c>
      <c r="S27" s="149">
        <f t="shared" si="38"/>
        <v>-2</v>
      </c>
      <c r="T27" s="75">
        <f t="shared" si="22"/>
        <v>0</v>
      </c>
      <c r="U27" s="216"/>
      <c r="V27" s="216"/>
      <c r="W27" s="75">
        <f t="shared" si="23"/>
        <v>-33</v>
      </c>
      <c r="X27" s="216">
        <v>86</v>
      </c>
      <c r="Y27" s="75">
        <f t="shared" si="24"/>
        <v>0</v>
      </c>
      <c r="Z27" s="216"/>
      <c r="AA27" s="216"/>
      <c r="AB27" s="216">
        <f t="shared" si="39"/>
        <v>-33</v>
      </c>
      <c r="AC27" s="216">
        <f t="shared" si="40"/>
        <v>-56</v>
      </c>
      <c r="AD27" s="75">
        <f t="shared" si="25"/>
        <v>0</v>
      </c>
      <c r="AE27" s="216"/>
      <c r="AF27" s="216"/>
      <c r="AG27" s="75"/>
      <c r="AH27" s="75"/>
      <c r="AI27" s="75"/>
      <c r="AJ27" s="216"/>
      <c r="AK27" s="216"/>
      <c r="AL27" s="75">
        <f t="shared" si="26"/>
        <v>-22</v>
      </c>
      <c r="AM27" s="75">
        <f t="shared" si="27"/>
        <v>-12</v>
      </c>
      <c r="AN27" s="159">
        <f t="shared" si="28"/>
        <v>0</v>
      </c>
      <c r="AO27" s="75"/>
      <c r="AP27" s="120">
        <f t="shared" si="29"/>
        <v>0</v>
      </c>
      <c r="AQ27" s="114">
        <v>5</v>
      </c>
      <c r="AR27" s="114">
        <f t="shared" si="30"/>
        <v>0</v>
      </c>
      <c r="AS27" s="114"/>
      <c r="AT27" s="114">
        <f t="shared" si="31"/>
        <v>0</v>
      </c>
      <c r="AU27" s="114">
        <f t="shared" si="32"/>
        <v>0</v>
      </c>
      <c r="AZ27" s="324" t="s">
        <v>734</v>
      </c>
      <c r="BA27" s="247" t="s">
        <v>655</v>
      </c>
      <c r="BB27" s="247" t="s">
        <v>654</v>
      </c>
      <c r="BC27" s="247" t="s">
        <v>653</v>
      </c>
    </row>
    <row r="28" spans="1:55" ht="20.100000000000001" customHeight="1">
      <c r="A28" s="145"/>
      <c r="B28" s="233"/>
      <c r="C28" s="233"/>
      <c r="D28" s="233"/>
      <c r="E28" s="146"/>
      <c r="F28" s="216"/>
      <c r="G28" s="216"/>
      <c r="H28" s="216">
        <f t="shared" si="33"/>
        <v>0</v>
      </c>
      <c r="I28" s="216">
        <f t="shared" si="34"/>
        <v>0</v>
      </c>
      <c r="J28" s="146">
        <f t="shared" si="20"/>
        <v>0</v>
      </c>
      <c r="K28" s="216"/>
      <c r="L28" s="216"/>
      <c r="M28" s="216">
        <f t="shared" si="35"/>
        <v>-32</v>
      </c>
      <c r="N28" s="223">
        <f t="shared" si="36"/>
        <v>-34</v>
      </c>
      <c r="O28" s="146">
        <f t="shared" si="21"/>
        <v>0</v>
      </c>
      <c r="P28" s="216"/>
      <c r="Q28" s="216"/>
      <c r="R28" s="216">
        <f t="shared" si="37"/>
        <v>-32</v>
      </c>
      <c r="S28" s="148">
        <f t="shared" si="38"/>
        <v>-2</v>
      </c>
      <c r="T28" s="146">
        <f t="shared" si="22"/>
        <v>0</v>
      </c>
      <c r="U28" s="216"/>
      <c r="V28" s="216"/>
      <c r="W28" s="146">
        <f t="shared" si="23"/>
        <v>-33</v>
      </c>
      <c r="X28" s="216">
        <v>86</v>
      </c>
      <c r="Y28" s="146">
        <f t="shared" si="24"/>
        <v>0</v>
      </c>
      <c r="Z28" s="216"/>
      <c r="AA28" s="216"/>
      <c r="AB28" s="216">
        <f t="shared" si="39"/>
        <v>-33</v>
      </c>
      <c r="AC28" s="216">
        <f t="shared" si="40"/>
        <v>-56</v>
      </c>
      <c r="AD28" s="146">
        <f t="shared" si="25"/>
        <v>0</v>
      </c>
      <c r="AE28" s="216"/>
      <c r="AF28" s="216"/>
      <c r="AG28" s="146"/>
      <c r="AH28" s="146"/>
      <c r="AI28" s="146"/>
      <c r="AJ28" s="216"/>
      <c r="AK28" s="216"/>
      <c r="AL28" s="146">
        <f t="shared" si="26"/>
        <v>-22</v>
      </c>
      <c r="AM28" s="146">
        <f t="shared" si="27"/>
        <v>-12</v>
      </c>
      <c r="AN28" s="172">
        <f t="shared" si="28"/>
        <v>0</v>
      </c>
      <c r="AO28" s="146"/>
      <c r="AP28" s="120">
        <f t="shared" si="29"/>
        <v>0</v>
      </c>
      <c r="AQ28" s="114">
        <v>6</v>
      </c>
      <c r="AR28" s="114">
        <f t="shared" si="30"/>
        <v>0</v>
      </c>
      <c r="AS28" s="114"/>
      <c r="AT28" s="114">
        <f t="shared" si="31"/>
        <v>0</v>
      </c>
      <c r="AU28" s="114">
        <f t="shared" si="32"/>
        <v>0</v>
      </c>
      <c r="AX28" s="128"/>
      <c r="AZ28" s="324" t="s">
        <v>735</v>
      </c>
      <c r="BA28" s="247" t="s">
        <v>655</v>
      </c>
      <c r="BB28" s="247" t="s">
        <v>654</v>
      </c>
      <c r="BC28" s="247" t="s">
        <v>653</v>
      </c>
    </row>
    <row r="29" spans="1:55" ht="20.100000000000001" customHeight="1">
      <c r="A29" s="145"/>
      <c r="B29" s="233"/>
      <c r="C29" s="233"/>
      <c r="D29" s="233"/>
      <c r="E29" s="146"/>
      <c r="F29" s="216"/>
      <c r="G29" s="216"/>
      <c r="H29" s="216">
        <f t="shared" si="33"/>
        <v>0</v>
      </c>
      <c r="I29" s="216">
        <f t="shared" si="34"/>
        <v>0</v>
      </c>
      <c r="J29" s="146">
        <f t="shared" si="20"/>
        <v>0</v>
      </c>
      <c r="K29" s="216"/>
      <c r="L29" s="216"/>
      <c r="M29" s="216">
        <f t="shared" si="35"/>
        <v>-32</v>
      </c>
      <c r="N29" s="223">
        <f t="shared" si="36"/>
        <v>-34</v>
      </c>
      <c r="O29" s="146">
        <f t="shared" si="21"/>
        <v>0</v>
      </c>
      <c r="P29" s="216"/>
      <c r="Q29" s="216"/>
      <c r="R29" s="216">
        <f t="shared" si="37"/>
        <v>-32</v>
      </c>
      <c r="S29" s="148">
        <f t="shared" si="38"/>
        <v>-2</v>
      </c>
      <c r="T29" s="146">
        <f t="shared" si="22"/>
        <v>0</v>
      </c>
      <c r="U29" s="216"/>
      <c r="V29" s="216"/>
      <c r="W29" s="146">
        <f t="shared" si="23"/>
        <v>-33</v>
      </c>
      <c r="X29" s="216">
        <v>86</v>
      </c>
      <c r="Y29" s="146">
        <f t="shared" si="24"/>
        <v>0</v>
      </c>
      <c r="Z29" s="216"/>
      <c r="AA29" s="216"/>
      <c r="AB29" s="216">
        <f t="shared" si="39"/>
        <v>-33</v>
      </c>
      <c r="AC29" s="216">
        <f t="shared" si="40"/>
        <v>-56</v>
      </c>
      <c r="AD29" s="146">
        <f t="shared" si="25"/>
        <v>0</v>
      </c>
      <c r="AE29" s="216"/>
      <c r="AF29" s="216"/>
      <c r="AG29" s="146"/>
      <c r="AH29" s="146"/>
      <c r="AI29" s="146"/>
      <c r="AJ29" s="216"/>
      <c r="AK29" s="216"/>
      <c r="AL29" s="146">
        <f t="shared" si="26"/>
        <v>-22</v>
      </c>
      <c r="AM29" s="146">
        <f t="shared" si="27"/>
        <v>-12</v>
      </c>
      <c r="AN29" s="172">
        <f t="shared" si="28"/>
        <v>0</v>
      </c>
      <c r="AO29" s="146"/>
      <c r="AP29" s="120">
        <f t="shared" si="29"/>
        <v>0</v>
      </c>
      <c r="AQ29" s="114">
        <v>7</v>
      </c>
      <c r="AR29" s="114">
        <f t="shared" si="30"/>
        <v>0</v>
      </c>
      <c r="AS29" s="114"/>
      <c r="AT29" s="114">
        <f t="shared" si="31"/>
        <v>0</v>
      </c>
      <c r="AU29" s="114">
        <f t="shared" si="32"/>
        <v>0</v>
      </c>
      <c r="AX29" s="129"/>
      <c r="AZ29" s="324" t="s">
        <v>736</v>
      </c>
      <c r="BA29" s="247" t="s">
        <v>655</v>
      </c>
      <c r="BB29" s="247" t="s">
        <v>654</v>
      </c>
      <c r="BC29" s="247" t="s">
        <v>653</v>
      </c>
    </row>
    <row r="30" spans="1:55" ht="20.100000000000001" customHeight="1">
      <c r="A30" s="145"/>
      <c r="B30" s="233"/>
      <c r="C30" s="233"/>
      <c r="D30" s="233"/>
      <c r="E30" s="146"/>
      <c r="F30" s="216"/>
      <c r="G30" s="216"/>
      <c r="H30" s="216">
        <f t="shared" si="33"/>
        <v>0</v>
      </c>
      <c r="I30" s="216">
        <f t="shared" si="34"/>
        <v>0</v>
      </c>
      <c r="J30" s="146">
        <f t="shared" si="20"/>
        <v>0</v>
      </c>
      <c r="K30" s="216"/>
      <c r="L30" s="216"/>
      <c r="M30" s="216">
        <f t="shared" si="35"/>
        <v>-32</v>
      </c>
      <c r="N30" s="223">
        <f t="shared" si="36"/>
        <v>-34</v>
      </c>
      <c r="O30" s="146">
        <f t="shared" si="21"/>
        <v>0</v>
      </c>
      <c r="P30" s="216"/>
      <c r="Q30" s="216"/>
      <c r="R30" s="216">
        <f t="shared" si="37"/>
        <v>-32</v>
      </c>
      <c r="S30" s="148">
        <f t="shared" si="38"/>
        <v>-2</v>
      </c>
      <c r="T30" s="146">
        <f t="shared" si="22"/>
        <v>0</v>
      </c>
      <c r="U30" s="216"/>
      <c r="V30" s="216"/>
      <c r="W30" s="146">
        <f t="shared" si="23"/>
        <v>-33</v>
      </c>
      <c r="X30" s="216">
        <v>86</v>
      </c>
      <c r="Y30" s="146">
        <f t="shared" si="24"/>
        <v>0</v>
      </c>
      <c r="Z30" s="216"/>
      <c r="AA30" s="216"/>
      <c r="AB30" s="216">
        <f t="shared" si="39"/>
        <v>-33</v>
      </c>
      <c r="AC30" s="216">
        <f t="shared" si="40"/>
        <v>-56</v>
      </c>
      <c r="AD30" s="146">
        <f t="shared" si="25"/>
        <v>0</v>
      </c>
      <c r="AE30" s="216"/>
      <c r="AF30" s="216"/>
      <c r="AG30" s="146"/>
      <c r="AH30" s="146"/>
      <c r="AI30" s="146"/>
      <c r="AJ30" s="216"/>
      <c r="AK30" s="216"/>
      <c r="AL30" s="146">
        <f t="shared" si="26"/>
        <v>-22</v>
      </c>
      <c r="AM30" s="146">
        <f t="shared" si="27"/>
        <v>-12</v>
      </c>
      <c r="AN30" s="172">
        <f t="shared" si="28"/>
        <v>0</v>
      </c>
      <c r="AO30" s="146"/>
      <c r="AP30" s="120">
        <f t="shared" si="29"/>
        <v>0</v>
      </c>
      <c r="AQ30" s="114">
        <v>8</v>
      </c>
      <c r="AR30" s="114">
        <f t="shared" si="30"/>
        <v>0</v>
      </c>
      <c r="AS30" s="114"/>
      <c r="AT30" s="114">
        <f t="shared" si="31"/>
        <v>0</v>
      </c>
      <c r="AU30" s="114">
        <f t="shared" si="32"/>
        <v>0</v>
      </c>
      <c r="AX30" s="128"/>
      <c r="AZ30" s="324" t="s">
        <v>737</v>
      </c>
      <c r="BA30" s="247" t="s">
        <v>655</v>
      </c>
      <c r="BB30" s="247" t="s">
        <v>654</v>
      </c>
      <c r="BC30" s="247" t="s">
        <v>653</v>
      </c>
    </row>
    <row r="31" spans="1:55" ht="20.100000000000001" customHeight="1">
      <c r="A31" s="145"/>
      <c r="B31" s="233"/>
      <c r="C31" s="233"/>
      <c r="D31" s="233"/>
      <c r="E31" s="146"/>
      <c r="F31" s="216"/>
      <c r="G31" s="216"/>
      <c r="H31" s="216">
        <f t="shared" si="33"/>
        <v>0</v>
      </c>
      <c r="I31" s="216">
        <f t="shared" si="34"/>
        <v>0</v>
      </c>
      <c r="J31" s="146">
        <f>E31*2</f>
        <v>0</v>
      </c>
      <c r="K31" s="216"/>
      <c r="L31" s="216"/>
      <c r="M31" s="216">
        <f t="shared" si="35"/>
        <v>-32</v>
      </c>
      <c r="N31" s="223">
        <f t="shared" si="36"/>
        <v>-34</v>
      </c>
      <c r="O31" s="146">
        <f t="shared" si="21"/>
        <v>0</v>
      </c>
      <c r="P31" s="216"/>
      <c r="Q31" s="216"/>
      <c r="R31" s="216">
        <f t="shared" si="37"/>
        <v>-32</v>
      </c>
      <c r="S31" s="148">
        <f t="shared" si="38"/>
        <v>-2</v>
      </c>
      <c r="T31" s="146">
        <f t="shared" si="22"/>
        <v>0</v>
      </c>
      <c r="U31" s="216"/>
      <c r="V31" s="216"/>
      <c r="W31" s="146">
        <f t="shared" si="23"/>
        <v>-33</v>
      </c>
      <c r="X31" s="216">
        <v>86</v>
      </c>
      <c r="Y31" s="146">
        <f t="shared" si="24"/>
        <v>0</v>
      </c>
      <c r="Z31" s="216"/>
      <c r="AA31" s="216"/>
      <c r="AB31" s="216">
        <f t="shared" si="39"/>
        <v>-33</v>
      </c>
      <c r="AC31" s="216">
        <f t="shared" si="40"/>
        <v>-56</v>
      </c>
      <c r="AD31" s="146">
        <f>E31</f>
        <v>0</v>
      </c>
      <c r="AE31" s="216"/>
      <c r="AF31" s="216"/>
      <c r="AG31" s="146"/>
      <c r="AH31" s="146"/>
      <c r="AI31" s="146"/>
      <c r="AJ31" s="216"/>
      <c r="AK31" s="216"/>
      <c r="AL31" s="146">
        <f t="shared" si="26"/>
        <v>-22</v>
      </c>
      <c r="AM31" s="146">
        <f t="shared" si="27"/>
        <v>-12</v>
      </c>
      <c r="AN31" s="172">
        <f>E31</f>
        <v>0</v>
      </c>
      <c r="AO31" s="146"/>
      <c r="AP31" s="120">
        <f t="shared" si="29"/>
        <v>0</v>
      </c>
      <c r="AQ31" s="114">
        <v>9</v>
      </c>
      <c r="AR31" s="114">
        <f t="shared" si="30"/>
        <v>0</v>
      </c>
      <c r="AS31" s="114"/>
      <c r="AT31" s="114">
        <f t="shared" si="31"/>
        <v>0</v>
      </c>
      <c r="AU31" s="114">
        <f t="shared" si="32"/>
        <v>0</v>
      </c>
      <c r="AX31" s="128"/>
      <c r="AZ31" s="324" t="s">
        <v>738</v>
      </c>
      <c r="BA31" s="247" t="s">
        <v>655</v>
      </c>
      <c r="BB31" s="247" t="s">
        <v>654</v>
      </c>
      <c r="BC31" s="247" t="s">
        <v>653</v>
      </c>
    </row>
    <row r="32" spans="1:55" ht="20.100000000000001" customHeight="1">
      <c r="A32" s="234"/>
      <c r="B32" s="235"/>
      <c r="C32" s="235"/>
      <c r="D32" s="235"/>
      <c r="E32" s="236"/>
      <c r="F32" s="216"/>
      <c r="G32" s="216"/>
      <c r="H32" s="216">
        <f t="shared" si="33"/>
        <v>0</v>
      </c>
      <c r="I32" s="216">
        <f t="shared" si="34"/>
        <v>0</v>
      </c>
      <c r="J32" s="236">
        <f t="shared" si="20"/>
        <v>0</v>
      </c>
      <c r="K32" s="216"/>
      <c r="L32" s="216"/>
      <c r="M32" s="216">
        <f t="shared" si="35"/>
        <v>-32</v>
      </c>
      <c r="N32" s="223">
        <f t="shared" si="36"/>
        <v>-34</v>
      </c>
      <c r="O32" s="236">
        <f t="shared" si="21"/>
        <v>0</v>
      </c>
      <c r="P32" s="216"/>
      <c r="Q32" s="216"/>
      <c r="R32" s="216">
        <f t="shared" si="37"/>
        <v>-32</v>
      </c>
      <c r="S32" s="237">
        <f t="shared" si="38"/>
        <v>-2</v>
      </c>
      <c r="T32" s="236">
        <f t="shared" si="22"/>
        <v>0</v>
      </c>
      <c r="U32" s="216"/>
      <c r="V32" s="216"/>
      <c r="W32" s="236">
        <f t="shared" si="23"/>
        <v>-33</v>
      </c>
      <c r="X32" s="216">
        <v>86</v>
      </c>
      <c r="Y32" s="236">
        <f t="shared" si="24"/>
        <v>0</v>
      </c>
      <c r="Z32" s="216"/>
      <c r="AA32" s="216"/>
      <c r="AB32" s="216">
        <f t="shared" si="39"/>
        <v>-33</v>
      </c>
      <c r="AC32" s="216">
        <f t="shared" si="40"/>
        <v>-56</v>
      </c>
      <c r="AD32" s="236">
        <f t="shared" si="25"/>
        <v>0</v>
      </c>
      <c r="AE32" s="216"/>
      <c r="AF32" s="216"/>
      <c r="AG32" s="236">
        <f>R32</f>
        <v>-32</v>
      </c>
      <c r="AH32" s="236">
        <f>C32-34</f>
        <v>-34</v>
      </c>
      <c r="AI32" s="236"/>
      <c r="AJ32" s="216"/>
      <c r="AK32" s="216"/>
      <c r="AL32" s="236">
        <f t="shared" si="26"/>
        <v>-22</v>
      </c>
      <c r="AM32" s="236">
        <f t="shared" si="27"/>
        <v>-12</v>
      </c>
      <c r="AN32" s="238">
        <f t="shared" si="28"/>
        <v>0</v>
      </c>
      <c r="AO32" s="236"/>
      <c r="AP32" s="120">
        <f t="shared" si="29"/>
        <v>0</v>
      </c>
      <c r="AQ32" s="114">
        <v>10</v>
      </c>
      <c r="AR32" s="114">
        <f t="shared" si="30"/>
        <v>0</v>
      </c>
      <c r="AS32" s="114"/>
      <c r="AT32" s="114">
        <f t="shared" si="31"/>
        <v>0</v>
      </c>
      <c r="AU32" s="114">
        <f t="shared" si="32"/>
        <v>0</v>
      </c>
      <c r="AX32" s="128"/>
      <c r="AZ32" s="324" t="s">
        <v>739</v>
      </c>
      <c r="BA32" s="247" t="s">
        <v>655</v>
      </c>
      <c r="BB32" s="247" t="s">
        <v>654</v>
      </c>
      <c r="BC32" s="247" t="s">
        <v>653</v>
      </c>
    </row>
    <row r="33" spans="1:55" s="123" customFormat="1" ht="20.100000000000001" customHeight="1">
      <c r="A33" s="222" t="s">
        <v>457</v>
      </c>
      <c r="B33" s="222"/>
      <c r="C33" s="222"/>
      <c r="D33" s="222"/>
      <c r="E33" s="222">
        <f>SUM(E23:E32)</f>
        <v>2</v>
      </c>
      <c r="F33" s="222"/>
      <c r="G33" s="222"/>
      <c r="H33" s="222"/>
      <c r="I33" s="222"/>
      <c r="J33" s="222">
        <f>SUM(J23:J32)</f>
        <v>4</v>
      </c>
      <c r="K33" s="222"/>
      <c r="L33" s="222"/>
      <c r="M33" s="222"/>
      <c r="N33" s="222"/>
      <c r="O33" s="222">
        <f>SUM(O23:O32)</f>
        <v>2</v>
      </c>
      <c r="P33" s="222"/>
      <c r="Q33" s="222"/>
      <c r="R33" s="222"/>
      <c r="S33" s="222"/>
      <c r="T33" s="222">
        <f>SUM(T23:T32)</f>
        <v>2</v>
      </c>
      <c r="U33" s="222"/>
      <c r="V33" s="222"/>
      <c r="W33" s="222"/>
      <c r="X33" s="222"/>
      <c r="Y33" s="222">
        <f>SUM(Y23:Y32)</f>
        <v>2</v>
      </c>
      <c r="Z33" s="222"/>
      <c r="AA33" s="222"/>
      <c r="AB33" s="222"/>
      <c r="AC33" s="222"/>
      <c r="AD33" s="222">
        <f>SUM(AD23:AD32)</f>
        <v>2</v>
      </c>
      <c r="AE33" s="222"/>
      <c r="AF33" s="222"/>
      <c r="AG33" s="222"/>
      <c r="AH33" s="222"/>
      <c r="AI33" s="222">
        <f>SUM(AI23:AI32)</f>
        <v>2</v>
      </c>
      <c r="AJ33" s="222"/>
      <c r="AK33" s="222"/>
      <c r="AL33" s="222"/>
      <c r="AM33" s="222"/>
      <c r="AN33" s="222">
        <f>SUM(AN23:AN32)</f>
        <v>2</v>
      </c>
      <c r="AO33" s="222"/>
      <c r="AP33" s="120"/>
      <c r="AQ33" s="183" t="s">
        <v>498</v>
      </c>
      <c r="AR33" s="183">
        <f>SUM(AR23:AR32)</f>
        <v>-4.0000000000000003E-5</v>
      </c>
      <c r="AS33" s="183"/>
      <c r="AT33" s="183">
        <f>SUM(AT23:AT32)</f>
        <v>1.7916330735465378E-4</v>
      </c>
      <c r="AU33" s="183">
        <f>SUM(AU23:AU32)</f>
        <v>4.0000000000000001E-3</v>
      </c>
      <c r="AW33" s="241"/>
      <c r="AX33" s="129"/>
      <c r="AZ33" s="324" t="s">
        <v>740</v>
      </c>
      <c r="BA33" s="247" t="s">
        <v>655</v>
      </c>
      <c r="BB33" s="247" t="s">
        <v>654</v>
      </c>
      <c r="BC33" s="247" t="s">
        <v>653</v>
      </c>
    </row>
    <row r="34" spans="1:55" ht="20.100000000000001" customHeight="1">
      <c r="A34" s="219" t="s">
        <v>502</v>
      </c>
      <c r="B34" s="219"/>
      <c r="C34" s="219"/>
      <c r="D34" s="220"/>
      <c r="E34" s="220"/>
      <c r="F34" s="221" t="s">
        <v>331</v>
      </c>
      <c r="G34" s="221" t="s">
        <v>444</v>
      </c>
      <c r="H34" s="222" t="s">
        <v>71</v>
      </c>
      <c r="I34" s="222" t="s">
        <v>72</v>
      </c>
      <c r="J34" s="222" t="s">
        <v>227</v>
      </c>
      <c r="K34" s="221" t="s">
        <v>331</v>
      </c>
      <c r="L34" s="221" t="s">
        <v>444</v>
      </c>
      <c r="M34" s="221" t="s">
        <v>71</v>
      </c>
      <c r="N34" s="221" t="s">
        <v>454</v>
      </c>
      <c r="O34" s="221" t="s">
        <v>227</v>
      </c>
      <c r="P34" s="221" t="s">
        <v>331</v>
      </c>
      <c r="Q34" s="221" t="s">
        <v>444</v>
      </c>
      <c r="R34" s="222" t="s">
        <v>71</v>
      </c>
      <c r="S34" s="222" t="s">
        <v>454</v>
      </c>
      <c r="T34" s="222" t="s">
        <v>227</v>
      </c>
      <c r="U34" s="221" t="s">
        <v>331</v>
      </c>
      <c r="V34" s="221" t="s">
        <v>444</v>
      </c>
      <c r="W34" s="222" t="s">
        <v>71</v>
      </c>
      <c r="X34" s="222" t="s">
        <v>454</v>
      </c>
      <c r="Y34" s="222" t="s">
        <v>227</v>
      </c>
      <c r="Z34" s="221" t="s">
        <v>331</v>
      </c>
      <c r="AA34" s="221" t="s">
        <v>444</v>
      </c>
      <c r="AB34" s="221" t="s">
        <v>71</v>
      </c>
      <c r="AC34" s="221" t="s">
        <v>72</v>
      </c>
      <c r="AD34" s="221" t="s">
        <v>227</v>
      </c>
      <c r="AE34" s="221" t="s">
        <v>331</v>
      </c>
      <c r="AF34" s="221" t="s">
        <v>444</v>
      </c>
      <c r="AG34" s="221" t="s">
        <v>71</v>
      </c>
      <c r="AH34" s="221" t="s">
        <v>72</v>
      </c>
      <c r="AI34" s="221" t="s">
        <v>227</v>
      </c>
      <c r="AJ34" s="221" t="s">
        <v>331</v>
      </c>
      <c r="AK34" s="221" t="s">
        <v>444</v>
      </c>
      <c r="AL34" s="222" t="s">
        <v>71</v>
      </c>
      <c r="AM34" s="222" t="s">
        <v>72</v>
      </c>
      <c r="AN34" s="222" t="s">
        <v>227</v>
      </c>
      <c r="AO34" s="222"/>
      <c r="AP34" s="130"/>
      <c r="AR34" s="315" t="s">
        <v>696</v>
      </c>
      <c r="AS34" s="315"/>
      <c r="AT34" s="315" t="s">
        <v>683</v>
      </c>
      <c r="AU34" s="315" t="s">
        <v>695</v>
      </c>
      <c r="AV34" s="315" t="s">
        <v>684</v>
      </c>
      <c r="AW34" s="315" t="s">
        <v>710</v>
      </c>
      <c r="AX34" s="117"/>
      <c r="AZ34" s="324" t="s">
        <v>741</v>
      </c>
      <c r="BA34" s="247" t="s">
        <v>655</v>
      </c>
      <c r="BB34" s="247" t="s">
        <v>654</v>
      </c>
      <c r="BC34" s="247" t="s">
        <v>653</v>
      </c>
    </row>
    <row r="35" spans="1:55" ht="20.100000000000001" customHeight="1">
      <c r="A35" s="215">
        <v>3</v>
      </c>
      <c r="B35" s="215">
        <v>3</v>
      </c>
      <c r="C35" s="215">
        <v>3</v>
      </c>
      <c r="D35" s="216">
        <v>3</v>
      </c>
      <c r="E35" s="216">
        <v>3</v>
      </c>
      <c r="F35" s="216" t="s">
        <v>500</v>
      </c>
      <c r="G35" s="216">
        <v>15</v>
      </c>
      <c r="H35" s="216">
        <v>3</v>
      </c>
      <c r="I35" s="217">
        <v>3</v>
      </c>
      <c r="J35" s="218">
        <v>3</v>
      </c>
      <c r="K35" s="216" t="s">
        <v>500</v>
      </c>
      <c r="L35" s="216">
        <v>15</v>
      </c>
      <c r="M35" s="112">
        <v>3</v>
      </c>
      <c r="N35" s="112">
        <v>3</v>
      </c>
      <c r="O35" s="217">
        <v>3</v>
      </c>
      <c r="P35" s="215" t="s">
        <v>461</v>
      </c>
      <c r="Q35" s="112">
        <v>12</v>
      </c>
      <c r="R35" s="112">
        <v>3</v>
      </c>
      <c r="S35" s="215">
        <v>3</v>
      </c>
      <c r="T35" s="215">
        <v>3</v>
      </c>
      <c r="U35" s="215" t="s">
        <v>461</v>
      </c>
      <c r="V35" s="112">
        <v>12</v>
      </c>
      <c r="W35" s="113">
        <v>3</v>
      </c>
      <c r="X35" s="112">
        <v>3</v>
      </c>
      <c r="Y35" s="112">
        <v>3</v>
      </c>
      <c r="Z35" s="215" t="s">
        <v>461</v>
      </c>
      <c r="AA35" s="112">
        <v>18</v>
      </c>
      <c r="AB35" s="112">
        <v>3</v>
      </c>
      <c r="AC35" s="112">
        <v>3</v>
      </c>
      <c r="AD35" s="113">
        <v>3</v>
      </c>
      <c r="AE35" s="152" t="s">
        <v>461</v>
      </c>
      <c r="AF35" s="113">
        <v>25</v>
      </c>
      <c r="AG35" s="216">
        <v>3</v>
      </c>
      <c r="AH35" s="216">
        <v>3</v>
      </c>
      <c r="AI35" s="216">
        <v>3</v>
      </c>
      <c r="AJ35" s="270" t="s">
        <v>681</v>
      </c>
      <c r="AK35" s="113">
        <v>15</v>
      </c>
      <c r="AL35" s="112">
        <v>3</v>
      </c>
      <c r="AM35" s="112">
        <v>3</v>
      </c>
      <c r="AN35" s="209">
        <v>3</v>
      </c>
      <c r="AO35" s="112"/>
      <c r="AQ35" s="114"/>
      <c r="AR35" s="114">
        <f>(H35*I35*J35+M35*N35*O35)/1000000</f>
        <v>5.3999999999999998E-5</v>
      </c>
      <c r="AS35" s="114"/>
      <c r="AT35" s="114">
        <f>(R35*S35*T35+W35*X35*Y35)/1000000</f>
        <v>5.3999999999999998E-5</v>
      </c>
      <c r="AU35" s="114">
        <f>(AB35*AC35*AD35)/1000000</f>
        <v>2.6999999999999999E-5</v>
      </c>
      <c r="AV35" s="114">
        <f>(AG35*AH35*AI35)/1000000</f>
        <v>2.6999999999999999E-5</v>
      </c>
      <c r="AW35" s="114">
        <f>(AL35*AM35*AN35)/1000000</f>
        <v>2.6999999999999999E-5</v>
      </c>
      <c r="AZ35" s="324" t="s">
        <v>742</v>
      </c>
      <c r="BA35" s="247" t="s">
        <v>655</v>
      </c>
      <c r="BB35" s="247" t="s">
        <v>654</v>
      </c>
      <c r="BC35" s="247" t="s">
        <v>653</v>
      </c>
    </row>
    <row r="36" spans="1:55" ht="20.100000000000001" customHeight="1">
      <c r="A36" s="190"/>
      <c r="B36" s="190"/>
      <c r="C36" s="190"/>
      <c r="D36" s="152"/>
      <c r="E36" s="152"/>
      <c r="F36" s="152" t="s">
        <v>501</v>
      </c>
      <c r="G36" s="216">
        <v>15</v>
      </c>
      <c r="H36" s="152"/>
      <c r="I36" s="191"/>
      <c r="J36" s="155"/>
      <c r="K36" s="152" t="s">
        <v>501</v>
      </c>
      <c r="L36" s="216">
        <v>15</v>
      </c>
      <c r="M36" s="154"/>
      <c r="N36" s="154"/>
      <c r="O36" s="191"/>
      <c r="P36" s="190" t="s">
        <v>461</v>
      </c>
      <c r="Q36" s="268">
        <v>12</v>
      </c>
      <c r="R36" s="154"/>
      <c r="S36" s="190"/>
      <c r="T36" s="190"/>
      <c r="U36" s="190" t="s">
        <v>461</v>
      </c>
      <c r="V36" s="268">
        <v>12</v>
      </c>
      <c r="W36" s="158"/>
      <c r="X36" s="154"/>
      <c r="Y36" s="154"/>
      <c r="Z36" s="190" t="s">
        <v>461</v>
      </c>
      <c r="AA36" s="268">
        <v>18</v>
      </c>
      <c r="AB36" s="154"/>
      <c r="AC36" s="154"/>
      <c r="AD36" s="158"/>
      <c r="AE36" s="152" t="s">
        <v>461</v>
      </c>
      <c r="AF36" s="270">
        <v>25</v>
      </c>
      <c r="AG36" s="152"/>
      <c r="AH36" s="152"/>
      <c r="AI36" s="152"/>
      <c r="AJ36" s="270" t="s">
        <v>681</v>
      </c>
      <c r="AK36" s="270">
        <v>15</v>
      </c>
      <c r="AL36" s="154"/>
      <c r="AM36" s="154"/>
      <c r="AN36" s="159"/>
      <c r="AO36" s="154"/>
      <c r="AQ36" s="114"/>
      <c r="AR36" s="114">
        <f t="shared" ref="AR36:AR45" si="41">(H36*I36*J36+M36*N36*O36)/1000000</f>
        <v>0</v>
      </c>
      <c r="AS36" s="114"/>
      <c r="AT36" s="114">
        <f t="shared" ref="AT36:AT45" si="42">(R36*S36*T36+W36*X36*Y36)/1000000</f>
        <v>0</v>
      </c>
      <c r="AU36" s="114">
        <f t="shared" ref="AU36:AU45" si="43">(AB36*AC36*AD36)/1000000</f>
        <v>0</v>
      </c>
      <c r="AV36" s="114">
        <f t="shared" ref="AV36:AV45" si="44">(AG36*AH36*AI36)/1000000</f>
        <v>0</v>
      </c>
      <c r="AW36" s="114">
        <f t="shared" ref="AW36:AW45" si="45">(AL36*AM36*AN36)/1000000</f>
        <v>0</v>
      </c>
      <c r="AZ36" s="324" t="s">
        <v>743</v>
      </c>
      <c r="BA36" s="247" t="s">
        <v>655</v>
      </c>
      <c r="BB36" s="247" t="s">
        <v>654</v>
      </c>
      <c r="BC36" s="247" t="s">
        <v>653</v>
      </c>
    </row>
    <row r="37" spans="1:55" ht="20.100000000000001" customHeight="1">
      <c r="A37" s="190"/>
      <c r="B37" s="190"/>
      <c r="C37" s="190"/>
      <c r="D37" s="152"/>
      <c r="E37" s="152"/>
      <c r="F37" s="152" t="s">
        <v>501</v>
      </c>
      <c r="G37" s="216">
        <v>15</v>
      </c>
      <c r="H37" s="152"/>
      <c r="I37" s="155"/>
      <c r="J37" s="155"/>
      <c r="K37" s="152" t="s">
        <v>501</v>
      </c>
      <c r="L37" s="216">
        <v>15</v>
      </c>
      <c r="M37" s="155"/>
      <c r="N37" s="154"/>
      <c r="O37" s="154"/>
      <c r="P37" s="190" t="s">
        <v>461</v>
      </c>
      <c r="Q37" s="268">
        <v>12</v>
      </c>
      <c r="R37" s="154"/>
      <c r="T37" s="190"/>
      <c r="U37" s="190" t="s">
        <v>461</v>
      </c>
      <c r="V37" s="268">
        <v>12</v>
      </c>
      <c r="W37" s="158"/>
      <c r="X37" s="154"/>
      <c r="Y37" s="154"/>
      <c r="Z37" s="190" t="s">
        <v>461</v>
      </c>
      <c r="AA37" s="268">
        <v>18</v>
      </c>
      <c r="AB37" s="154"/>
      <c r="AC37" s="154"/>
      <c r="AD37" s="158"/>
      <c r="AE37" s="152" t="s">
        <v>461</v>
      </c>
      <c r="AF37" s="270">
        <v>25</v>
      </c>
      <c r="AG37" s="152"/>
      <c r="AH37" s="152"/>
      <c r="AI37" s="152"/>
      <c r="AJ37" s="270" t="s">
        <v>681</v>
      </c>
      <c r="AK37" s="270">
        <v>15</v>
      </c>
      <c r="AL37" s="154"/>
      <c r="AM37" s="154"/>
      <c r="AN37" s="159"/>
      <c r="AO37" s="154"/>
      <c r="AQ37" s="114"/>
      <c r="AR37" s="114">
        <f t="shared" si="41"/>
        <v>0</v>
      </c>
      <c r="AS37" s="114"/>
      <c r="AT37" s="114">
        <f t="shared" si="42"/>
        <v>0</v>
      </c>
      <c r="AU37" s="114">
        <f t="shared" si="43"/>
        <v>0</v>
      </c>
      <c r="AV37" s="114">
        <f t="shared" si="44"/>
        <v>0</v>
      </c>
      <c r="AW37" s="114">
        <f t="shared" si="45"/>
        <v>0</v>
      </c>
      <c r="AZ37" s="324" t="s">
        <v>744</v>
      </c>
      <c r="BA37" s="247" t="s">
        <v>655</v>
      </c>
      <c r="BB37" s="247" t="s">
        <v>654</v>
      </c>
      <c r="BC37" s="247" t="s">
        <v>653</v>
      </c>
    </row>
    <row r="38" spans="1:55" ht="20.100000000000001" customHeight="1">
      <c r="A38" s="190"/>
      <c r="B38" s="190"/>
      <c r="C38" s="190"/>
      <c r="D38" s="152"/>
      <c r="E38" s="152"/>
      <c r="F38" s="152" t="s">
        <v>501</v>
      </c>
      <c r="G38" s="216">
        <v>15</v>
      </c>
      <c r="H38" s="152"/>
      <c r="I38" s="155"/>
      <c r="J38" s="155"/>
      <c r="K38" s="152" t="s">
        <v>501</v>
      </c>
      <c r="L38" s="216">
        <v>15</v>
      </c>
      <c r="M38" s="155"/>
      <c r="N38" s="154"/>
      <c r="O38" s="154"/>
      <c r="P38" s="190" t="s">
        <v>461</v>
      </c>
      <c r="Q38" s="268">
        <v>12</v>
      </c>
      <c r="R38" s="154"/>
      <c r="T38" s="190"/>
      <c r="U38" s="190" t="s">
        <v>461</v>
      </c>
      <c r="V38" s="268">
        <v>12</v>
      </c>
      <c r="W38" s="158"/>
      <c r="X38" s="152"/>
      <c r="Y38" s="152"/>
      <c r="Z38" s="190" t="s">
        <v>461</v>
      </c>
      <c r="AA38" s="268">
        <v>18</v>
      </c>
      <c r="AB38" s="152"/>
      <c r="AC38" s="154"/>
      <c r="AD38" s="158"/>
      <c r="AE38" s="152" t="s">
        <v>461</v>
      </c>
      <c r="AF38" s="270">
        <v>25</v>
      </c>
      <c r="AG38" s="152"/>
      <c r="AH38" s="152"/>
      <c r="AI38" s="152"/>
      <c r="AJ38" s="270" t="s">
        <v>681</v>
      </c>
      <c r="AK38" s="270">
        <v>15</v>
      </c>
      <c r="AL38" s="110"/>
      <c r="AM38" s="110"/>
      <c r="AN38" s="173"/>
      <c r="AO38" s="154"/>
      <c r="AQ38" s="114"/>
      <c r="AR38" s="114">
        <f t="shared" si="41"/>
        <v>0</v>
      </c>
      <c r="AS38" s="114"/>
      <c r="AT38" s="114">
        <f t="shared" si="42"/>
        <v>0</v>
      </c>
      <c r="AU38" s="114">
        <f t="shared" si="43"/>
        <v>0</v>
      </c>
      <c r="AV38" s="114">
        <f t="shared" si="44"/>
        <v>0</v>
      </c>
      <c r="AW38" s="114">
        <f t="shared" si="45"/>
        <v>0</v>
      </c>
      <c r="BB38" s="119"/>
      <c r="BC38" s="119"/>
    </row>
    <row r="39" spans="1:55" ht="20.100000000000001" customHeight="1">
      <c r="A39" s="152"/>
      <c r="B39" s="152"/>
      <c r="C39" s="152"/>
      <c r="D39" s="152"/>
      <c r="E39" s="152"/>
      <c r="F39" s="152" t="s">
        <v>680</v>
      </c>
      <c r="G39" s="216">
        <v>15</v>
      </c>
      <c r="H39" s="152"/>
      <c r="I39" s="154"/>
      <c r="J39" s="154"/>
      <c r="K39" s="152" t="s">
        <v>504</v>
      </c>
      <c r="L39" s="216">
        <v>15</v>
      </c>
      <c r="M39" s="155"/>
      <c r="N39" s="154"/>
      <c r="O39" s="154"/>
      <c r="P39" s="152" t="s">
        <v>504</v>
      </c>
      <c r="Q39" s="268">
        <v>12</v>
      </c>
      <c r="R39" s="154"/>
      <c r="S39" s="190"/>
      <c r="T39" s="190"/>
      <c r="U39" s="152" t="s">
        <v>504</v>
      </c>
      <c r="V39" s="268">
        <v>12</v>
      </c>
      <c r="W39" s="158"/>
      <c r="X39" s="152"/>
      <c r="Y39" s="152"/>
      <c r="Z39" s="152" t="s">
        <v>504</v>
      </c>
      <c r="AA39" s="268">
        <v>18</v>
      </c>
      <c r="AB39" s="152"/>
      <c r="AC39" s="154"/>
      <c r="AD39" s="158"/>
      <c r="AE39" s="152" t="s">
        <v>504</v>
      </c>
      <c r="AF39" s="270">
        <v>25</v>
      </c>
      <c r="AG39" s="152"/>
      <c r="AH39" s="152"/>
      <c r="AI39" s="152"/>
      <c r="AJ39" s="270" t="s">
        <v>681</v>
      </c>
      <c r="AK39" s="270">
        <v>15</v>
      </c>
      <c r="AL39" s="110"/>
      <c r="AM39" s="110"/>
      <c r="AN39" s="173"/>
      <c r="AO39" s="154"/>
      <c r="AQ39" s="114"/>
      <c r="AR39" s="114">
        <f t="shared" si="41"/>
        <v>0</v>
      </c>
      <c r="AS39" s="114"/>
      <c r="AT39" s="114">
        <f t="shared" si="42"/>
        <v>0</v>
      </c>
      <c r="AU39" s="114">
        <f t="shared" si="43"/>
        <v>0</v>
      </c>
      <c r="AV39" s="114">
        <f t="shared" si="44"/>
        <v>0</v>
      </c>
      <c r="AW39" s="114">
        <f t="shared" si="45"/>
        <v>0</v>
      </c>
      <c r="BB39" s="119"/>
      <c r="BC39" s="119"/>
    </row>
    <row r="40" spans="1:55" ht="20.100000000000001" customHeight="1">
      <c r="A40" s="152"/>
      <c r="B40" s="152"/>
      <c r="C40" s="152"/>
      <c r="D40" s="152"/>
      <c r="E40" s="152"/>
      <c r="F40" s="152" t="s">
        <v>680</v>
      </c>
      <c r="G40" s="216">
        <v>15</v>
      </c>
      <c r="H40" s="152"/>
      <c r="I40" s="154"/>
      <c r="J40" s="154"/>
      <c r="K40" s="152" t="s">
        <v>504</v>
      </c>
      <c r="L40" s="216">
        <v>15</v>
      </c>
      <c r="M40" s="155"/>
      <c r="N40" s="154"/>
      <c r="O40" s="154"/>
      <c r="P40" s="152" t="s">
        <v>504</v>
      </c>
      <c r="Q40" s="268">
        <v>12</v>
      </c>
      <c r="R40" s="154"/>
      <c r="S40" s="190"/>
      <c r="T40" s="190"/>
      <c r="U40" s="152" t="s">
        <v>504</v>
      </c>
      <c r="V40" s="268">
        <v>12</v>
      </c>
      <c r="W40" s="158"/>
      <c r="X40" s="152"/>
      <c r="Y40" s="152"/>
      <c r="Z40" s="152" t="s">
        <v>504</v>
      </c>
      <c r="AA40" s="268">
        <v>18</v>
      </c>
      <c r="AB40" s="152"/>
      <c r="AC40" s="154"/>
      <c r="AD40" s="158"/>
      <c r="AE40" s="152" t="s">
        <v>504</v>
      </c>
      <c r="AF40" s="270">
        <v>25</v>
      </c>
      <c r="AG40" s="152"/>
      <c r="AH40" s="152"/>
      <c r="AI40" s="152"/>
      <c r="AJ40" s="270" t="s">
        <v>681</v>
      </c>
      <c r="AK40" s="270">
        <v>15</v>
      </c>
      <c r="AL40" s="110"/>
      <c r="AM40" s="110"/>
      <c r="AN40" s="173"/>
      <c r="AO40" s="154"/>
      <c r="AP40" s="130"/>
      <c r="AQ40" s="114"/>
      <c r="AR40" s="114">
        <f t="shared" si="41"/>
        <v>0</v>
      </c>
      <c r="AS40" s="114"/>
      <c r="AT40" s="114">
        <f t="shared" si="42"/>
        <v>0</v>
      </c>
      <c r="AU40" s="114">
        <f t="shared" si="43"/>
        <v>0</v>
      </c>
      <c r="AV40" s="114">
        <f t="shared" si="44"/>
        <v>0</v>
      </c>
      <c r="AW40" s="114">
        <f t="shared" si="45"/>
        <v>0</v>
      </c>
      <c r="BB40" s="119"/>
      <c r="BC40" s="119"/>
    </row>
    <row r="41" spans="1:55" ht="20.100000000000001" customHeight="1">
      <c r="A41" s="152"/>
      <c r="B41" s="152"/>
      <c r="C41" s="152"/>
      <c r="D41" s="152"/>
      <c r="E41" s="152"/>
      <c r="F41" s="270" t="s">
        <v>503</v>
      </c>
      <c r="G41" s="216">
        <v>15</v>
      </c>
      <c r="H41" s="152"/>
      <c r="I41" s="154"/>
      <c r="J41" s="154"/>
      <c r="K41" s="152" t="s">
        <v>504</v>
      </c>
      <c r="L41" s="216">
        <v>15</v>
      </c>
      <c r="M41" s="155"/>
      <c r="N41" s="154"/>
      <c r="O41" s="154"/>
      <c r="P41" s="152" t="s">
        <v>504</v>
      </c>
      <c r="Q41" s="268">
        <v>12</v>
      </c>
      <c r="R41" s="154"/>
      <c r="S41" s="190"/>
      <c r="T41" s="190"/>
      <c r="U41" s="152" t="s">
        <v>504</v>
      </c>
      <c r="V41" s="268">
        <v>12</v>
      </c>
      <c r="W41" s="158"/>
      <c r="X41" s="152"/>
      <c r="Y41" s="152"/>
      <c r="Z41" s="152" t="s">
        <v>504</v>
      </c>
      <c r="AA41" s="268">
        <v>18</v>
      </c>
      <c r="AB41" s="152"/>
      <c r="AC41" s="154"/>
      <c r="AD41" s="158"/>
      <c r="AE41" s="152" t="s">
        <v>504</v>
      </c>
      <c r="AF41" s="270">
        <v>25</v>
      </c>
      <c r="AG41" s="152"/>
      <c r="AH41" s="152"/>
      <c r="AI41" s="152"/>
      <c r="AJ41" s="270" t="s">
        <v>681</v>
      </c>
      <c r="AK41" s="270">
        <v>15</v>
      </c>
      <c r="AL41" s="110"/>
      <c r="AM41" s="110"/>
      <c r="AN41" s="173"/>
      <c r="AO41" s="154"/>
      <c r="AP41" s="130"/>
      <c r="AQ41" s="114"/>
      <c r="AR41" s="114">
        <f t="shared" si="41"/>
        <v>0</v>
      </c>
      <c r="AS41" s="114"/>
      <c r="AT41" s="114">
        <f t="shared" si="42"/>
        <v>0</v>
      </c>
      <c r="AU41" s="114">
        <f t="shared" si="43"/>
        <v>0</v>
      </c>
      <c r="AV41" s="114">
        <f t="shared" si="44"/>
        <v>0</v>
      </c>
      <c r="AW41" s="114">
        <f t="shared" si="45"/>
        <v>0</v>
      </c>
      <c r="BB41" s="119"/>
      <c r="BC41" s="119"/>
    </row>
    <row r="42" spans="1:55" ht="20.100000000000001" customHeight="1">
      <c r="A42" s="152"/>
      <c r="B42" s="152"/>
      <c r="C42" s="152"/>
      <c r="D42" s="152"/>
      <c r="E42" s="152"/>
      <c r="F42" s="266" t="s">
        <v>503</v>
      </c>
      <c r="G42" s="216">
        <v>15</v>
      </c>
      <c r="H42" s="152"/>
      <c r="I42" s="154"/>
      <c r="J42" s="154"/>
      <c r="K42" s="152" t="s">
        <v>504</v>
      </c>
      <c r="L42" s="216">
        <v>15</v>
      </c>
      <c r="M42" s="155"/>
      <c r="N42" s="154"/>
      <c r="O42" s="154"/>
      <c r="P42" s="152" t="s">
        <v>504</v>
      </c>
      <c r="Q42" s="268">
        <v>12</v>
      </c>
      <c r="R42" s="154"/>
      <c r="S42" s="190"/>
      <c r="T42" s="190"/>
      <c r="U42" s="152" t="s">
        <v>504</v>
      </c>
      <c r="V42" s="268">
        <v>12</v>
      </c>
      <c r="W42" s="158"/>
      <c r="X42" s="152"/>
      <c r="Y42" s="152"/>
      <c r="Z42" s="152" t="s">
        <v>504</v>
      </c>
      <c r="AA42" s="268">
        <v>18</v>
      </c>
      <c r="AB42" s="152"/>
      <c r="AC42" s="154"/>
      <c r="AD42" s="158"/>
      <c r="AE42" s="152" t="s">
        <v>504</v>
      </c>
      <c r="AF42" s="270">
        <v>25</v>
      </c>
      <c r="AG42" s="152"/>
      <c r="AH42" s="152"/>
      <c r="AI42" s="152"/>
      <c r="AJ42" s="270" t="s">
        <v>681</v>
      </c>
      <c r="AK42" s="270">
        <v>15</v>
      </c>
      <c r="AL42" s="110"/>
      <c r="AM42" s="110"/>
      <c r="AN42" s="173"/>
      <c r="AO42" s="154"/>
      <c r="AP42" s="130"/>
      <c r="AQ42" s="114"/>
      <c r="AR42" s="114">
        <f t="shared" si="41"/>
        <v>0</v>
      </c>
      <c r="AS42" s="114"/>
      <c r="AT42" s="114">
        <f t="shared" si="42"/>
        <v>0</v>
      </c>
      <c r="AU42" s="114">
        <f t="shared" si="43"/>
        <v>0</v>
      </c>
      <c r="AV42" s="114">
        <f t="shared" si="44"/>
        <v>0</v>
      </c>
      <c r="AW42" s="114">
        <f t="shared" si="45"/>
        <v>0</v>
      </c>
      <c r="BB42" s="119"/>
      <c r="BC42" s="119"/>
    </row>
    <row r="43" spans="1:55" ht="20.100000000000001" customHeight="1">
      <c r="A43" s="190"/>
      <c r="B43" s="190"/>
      <c r="C43" s="190"/>
      <c r="D43" s="152"/>
      <c r="E43" s="152"/>
      <c r="F43" s="266" t="s">
        <v>503</v>
      </c>
      <c r="G43" s="216">
        <v>15</v>
      </c>
      <c r="H43" s="152"/>
      <c r="I43" s="155"/>
      <c r="J43" s="155"/>
      <c r="K43" s="152" t="s">
        <v>504</v>
      </c>
      <c r="L43" s="216">
        <v>15</v>
      </c>
      <c r="M43" s="155"/>
      <c r="N43" s="154"/>
      <c r="O43" s="154"/>
      <c r="P43" s="152" t="s">
        <v>504</v>
      </c>
      <c r="Q43" s="268">
        <v>12</v>
      </c>
      <c r="R43" s="154"/>
      <c r="S43" s="190"/>
      <c r="T43" s="190"/>
      <c r="U43" s="152" t="s">
        <v>504</v>
      </c>
      <c r="V43" s="268">
        <v>12</v>
      </c>
      <c r="W43" s="158"/>
      <c r="X43" s="152"/>
      <c r="Y43" s="152"/>
      <c r="Z43" s="152" t="s">
        <v>504</v>
      </c>
      <c r="AA43" s="268">
        <v>18</v>
      </c>
      <c r="AB43" s="152"/>
      <c r="AC43" s="154"/>
      <c r="AD43" s="158"/>
      <c r="AE43" s="152" t="s">
        <v>504</v>
      </c>
      <c r="AF43" s="270">
        <v>25</v>
      </c>
      <c r="AG43" s="152"/>
      <c r="AH43" s="152"/>
      <c r="AI43" s="152"/>
      <c r="AJ43" s="270" t="s">
        <v>681</v>
      </c>
      <c r="AK43" s="270">
        <v>15</v>
      </c>
      <c r="AL43" s="110"/>
      <c r="AM43" s="110"/>
      <c r="AN43" s="173"/>
      <c r="AO43" s="154"/>
      <c r="AQ43" s="114"/>
      <c r="AR43" s="114">
        <f t="shared" si="41"/>
        <v>0</v>
      </c>
      <c r="AS43" s="114"/>
      <c r="AT43" s="114">
        <f t="shared" si="42"/>
        <v>0</v>
      </c>
      <c r="AU43" s="114">
        <f t="shared" si="43"/>
        <v>0</v>
      </c>
      <c r="AV43" s="114">
        <f t="shared" si="44"/>
        <v>0</v>
      </c>
      <c r="AW43" s="114">
        <f t="shared" si="45"/>
        <v>0</v>
      </c>
      <c r="BB43" s="119"/>
      <c r="BC43" s="119"/>
    </row>
    <row r="44" spans="1:55" ht="20.100000000000001" customHeight="1">
      <c r="A44" s="190"/>
      <c r="B44" s="190"/>
      <c r="C44" s="190"/>
      <c r="D44" s="152"/>
      <c r="E44" s="152"/>
      <c r="F44" s="266" t="s">
        <v>503</v>
      </c>
      <c r="G44" s="216">
        <v>15</v>
      </c>
      <c r="H44" s="152"/>
      <c r="I44" s="198"/>
      <c r="J44" s="198"/>
      <c r="K44" s="152" t="s">
        <v>504</v>
      </c>
      <c r="L44" s="216">
        <v>15</v>
      </c>
      <c r="M44" s="198"/>
      <c r="N44" s="186"/>
      <c r="O44" s="186"/>
      <c r="P44" s="152" t="s">
        <v>504</v>
      </c>
      <c r="Q44" s="268">
        <v>12</v>
      </c>
      <c r="R44" s="186"/>
      <c r="S44" s="155"/>
      <c r="T44" s="155"/>
      <c r="U44" s="152" t="s">
        <v>504</v>
      </c>
      <c r="V44" s="268">
        <v>12</v>
      </c>
      <c r="W44" s="154"/>
      <c r="X44" s="154"/>
      <c r="Y44" s="154"/>
      <c r="Z44" s="152" t="s">
        <v>504</v>
      </c>
      <c r="AA44" s="268">
        <v>18</v>
      </c>
      <c r="AB44" s="154"/>
      <c r="AC44" s="154"/>
      <c r="AD44" s="154"/>
      <c r="AE44" s="152" t="s">
        <v>504</v>
      </c>
      <c r="AF44" s="270">
        <v>25</v>
      </c>
      <c r="AG44" s="154"/>
      <c r="AH44" s="152"/>
      <c r="AI44" s="152"/>
      <c r="AJ44" s="270" t="s">
        <v>681</v>
      </c>
      <c r="AK44" s="270">
        <v>15</v>
      </c>
      <c r="AL44" s="154"/>
      <c r="AM44" s="154"/>
      <c r="AN44" s="159"/>
      <c r="AO44" s="154"/>
      <c r="AQ44" s="114"/>
      <c r="AR44" s="114">
        <f t="shared" si="41"/>
        <v>0</v>
      </c>
      <c r="AS44" s="114"/>
      <c r="AT44" s="114">
        <f t="shared" si="42"/>
        <v>0</v>
      </c>
      <c r="AU44" s="114">
        <f t="shared" si="43"/>
        <v>0</v>
      </c>
      <c r="AV44" s="114">
        <f t="shared" si="44"/>
        <v>0</v>
      </c>
      <c r="AW44" s="114">
        <f t="shared" si="45"/>
        <v>0</v>
      </c>
      <c r="BB44" s="119"/>
      <c r="BC44" s="119"/>
    </row>
    <row r="45" spans="1:55" ht="20.100000000000001" customHeight="1">
      <c r="A45" s="190"/>
      <c r="B45" s="190"/>
      <c r="C45" s="190"/>
      <c r="D45" s="152"/>
      <c r="E45" s="152"/>
      <c r="F45" s="266" t="s">
        <v>503</v>
      </c>
      <c r="G45" s="216">
        <v>15</v>
      </c>
      <c r="H45" s="152"/>
      <c r="I45" s="155"/>
      <c r="J45" s="155"/>
      <c r="K45" s="152" t="s">
        <v>504</v>
      </c>
      <c r="L45" s="216">
        <v>15</v>
      </c>
      <c r="M45" s="154"/>
      <c r="N45" s="154"/>
      <c r="O45" s="154"/>
      <c r="P45" s="152" t="s">
        <v>504</v>
      </c>
      <c r="Q45" s="268">
        <v>12</v>
      </c>
      <c r="R45" s="154"/>
      <c r="S45" s="155"/>
      <c r="T45" s="155"/>
      <c r="U45" s="152" t="s">
        <v>504</v>
      </c>
      <c r="V45" s="268">
        <v>12</v>
      </c>
      <c r="W45" s="154"/>
      <c r="X45" s="154"/>
      <c r="Y45" s="154"/>
      <c r="Z45" s="152" t="s">
        <v>504</v>
      </c>
      <c r="AA45" s="268">
        <v>18</v>
      </c>
      <c r="AB45" s="154"/>
      <c r="AC45" s="154"/>
      <c r="AD45" s="154"/>
      <c r="AE45" s="152" t="s">
        <v>504</v>
      </c>
      <c r="AF45" s="270">
        <v>25</v>
      </c>
      <c r="AG45" s="154"/>
      <c r="AH45" s="152"/>
      <c r="AI45" s="152"/>
      <c r="AJ45" s="270" t="s">
        <v>681</v>
      </c>
      <c r="AK45" s="270">
        <v>15</v>
      </c>
      <c r="AL45" s="154"/>
      <c r="AM45" s="154"/>
      <c r="AN45" s="159"/>
      <c r="AO45" s="154"/>
      <c r="AQ45" s="294"/>
      <c r="AR45" s="114">
        <f t="shared" si="41"/>
        <v>0</v>
      </c>
      <c r="AS45" s="114"/>
      <c r="AT45" s="114">
        <f t="shared" si="42"/>
        <v>0</v>
      </c>
      <c r="AU45" s="114">
        <f t="shared" si="43"/>
        <v>0</v>
      </c>
      <c r="AV45" s="114">
        <f t="shared" si="44"/>
        <v>0</v>
      </c>
      <c r="AW45" s="114">
        <f t="shared" si="45"/>
        <v>0</v>
      </c>
      <c r="BB45" s="119"/>
      <c r="BC45" s="119"/>
    </row>
    <row r="46" spans="1:55" ht="20.100000000000001" customHeight="1">
      <c r="A46" s="199" t="s">
        <v>506</v>
      </c>
      <c r="B46" s="200"/>
      <c r="C46" s="200"/>
      <c r="D46" s="201"/>
      <c r="E46" s="110">
        <f>SUM(E35:E45)</f>
        <v>3</v>
      </c>
      <c r="F46" s="201"/>
      <c r="G46" s="201"/>
      <c r="H46" s="201"/>
      <c r="I46" s="202"/>
      <c r="J46" s="110">
        <f>SUM(J35:J45)</f>
        <v>3</v>
      </c>
      <c r="K46" s="201"/>
      <c r="L46" s="201"/>
      <c r="M46" s="111"/>
      <c r="N46" s="111"/>
      <c r="O46" s="110">
        <f>SUM(O35:O45)</f>
        <v>3</v>
      </c>
      <c r="P46" s="201"/>
      <c r="Q46" s="201"/>
      <c r="R46" s="111"/>
      <c r="S46" s="202"/>
      <c r="T46" s="110">
        <f>SUM(T35:T45)</f>
        <v>3</v>
      </c>
      <c r="U46" s="201"/>
      <c r="V46" s="201"/>
      <c r="W46" s="111"/>
      <c r="X46" s="111"/>
      <c r="Y46" s="110">
        <f>SUM(Y35:Y45)</f>
        <v>3</v>
      </c>
      <c r="Z46" s="201"/>
      <c r="AA46" s="201"/>
      <c r="AB46" s="111"/>
      <c r="AC46" s="111"/>
      <c r="AD46" s="110">
        <f>SUM(AD35:AD45)</f>
        <v>3</v>
      </c>
      <c r="AE46" s="201"/>
      <c r="AF46" s="201"/>
      <c r="AG46" s="111"/>
      <c r="AH46" s="201"/>
      <c r="AI46" s="110">
        <f>SUM(AI35:AI45)</f>
        <v>3</v>
      </c>
      <c r="AJ46" s="201"/>
      <c r="AK46" s="201"/>
      <c r="AL46" s="111"/>
      <c r="AM46" s="111"/>
      <c r="AN46" s="203"/>
      <c r="AO46" s="154"/>
      <c r="AP46" s="130"/>
      <c r="AQ46" s="292" t="s">
        <v>498</v>
      </c>
      <c r="AR46" s="183">
        <f>SUM(AR35:AR45)</f>
        <v>5.3999999999999998E-5</v>
      </c>
      <c r="AS46" s="183"/>
      <c r="AT46" s="183">
        <f t="shared" ref="AT46" si="46">SUM(AT35:AT45)</f>
        <v>5.3999999999999998E-5</v>
      </c>
      <c r="AU46" s="183">
        <f t="shared" ref="AU46" si="47">SUM(AU35:AU45)</f>
        <v>2.6999999999999999E-5</v>
      </c>
      <c r="AV46" s="183">
        <f t="shared" ref="AV46" si="48">SUM(AV35:AV45)</f>
        <v>2.6999999999999999E-5</v>
      </c>
      <c r="AW46" s="183">
        <f t="shared" ref="AW46" si="49">SUM(AW35:AW45)</f>
        <v>2.6999999999999999E-5</v>
      </c>
      <c r="BB46" s="119"/>
      <c r="BC46" s="119"/>
    </row>
    <row r="47" spans="1:55" ht="20.100000000000001" customHeight="1">
      <c r="A47" s="185" t="s">
        <v>458</v>
      </c>
      <c r="B47" s="151"/>
      <c r="C47" s="151"/>
      <c r="D47" s="151"/>
      <c r="E47" s="151">
        <f>E21+E33+E46</f>
        <v>6</v>
      </c>
      <c r="F47" s="151" t="s">
        <v>505</v>
      </c>
      <c r="G47" s="151"/>
      <c r="H47" s="151"/>
      <c r="I47" s="151"/>
      <c r="J47" s="151">
        <f>J21+J33+J46</f>
        <v>9</v>
      </c>
      <c r="K47" s="151" t="s">
        <v>459</v>
      </c>
      <c r="L47" s="151"/>
      <c r="M47" s="151"/>
      <c r="N47" s="151"/>
      <c r="O47" s="151">
        <f>O21+O33+O46</f>
        <v>6</v>
      </c>
      <c r="P47" s="151" t="s">
        <v>459</v>
      </c>
      <c r="Q47" s="151"/>
      <c r="R47" s="151"/>
      <c r="S47" s="151"/>
      <c r="T47" s="151">
        <f>T21+T33+T46</f>
        <v>6</v>
      </c>
      <c r="U47" s="151" t="s">
        <v>459</v>
      </c>
      <c r="V47" s="151"/>
      <c r="W47" s="151"/>
      <c r="X47" s="151"/>
      <c r="Y47" s="151">
        <f>Y21+Y33+Y46</f>
        <v>7</v>
      </c>
      <c r="Z47" s="151" t="s">
        <v>459</v>
      </c>
      <c r="AA47" s="151"/>
      <c r="AB47" s="151"/>
      <c r="AC47" s="151"/>
      <c r="AD47" s="151">
        <f>AD21+AD33+AD46</f>
        <v>6</v>
      </c>
      <c r="AE47" s="151" t="s">
        <v>459</v>
      </c>
      <c r="AF47" s="151"/>
      <c r="AG47" s="151"/>
      <c r="AH47" s="151"/>
      <c r="AI47" s="151">
        <f>AI21+AI33+AI46</f>
        <v>6</v>
      </c>
      <c r="AJ47" s="151" t="s">
        <v>459</v>
      </c>
      <c r="AK47" s="151"/>
      <c r="AL47" s="151"/>
      <c r="AM47" s="151"/>
      <c r="AN47" s="174">
        <f>AN21+AN33</f>
        <v>3</v>
      </c>
      <c r="AO47" s="151" t="s">
        <v>459</v>
      </c>
      <c r="AP47" s="125">
        <f>SUM(AP5:AP33)</f>
        <v>4</v>
      </c>
      <c r="AQ47" s="184" t="s">
        <v>499</v>
      </c>
      <c r="AR47" s="293">
        <f>(AR21+AR33+AR46)</f>
        <v>-3.6950000000000004E-3</v>
      </c>
      <c r="AS47" s="293"/>
      <c r="AT47" s="293">
        <f>AT21+AT33+AT46</f>
        <v>3.3663011735196634E-4</v>
      </c>
      <c r="AU47" s="119"/>
      <c r="AV47" s="241"/>
      <c r="AW47" s="129"/>
    </row>
    <row r="48" spans="1:55" ht="20.100000000000001" customHeight="1">
      <c r="A48" s="185" t="s">
        <v>69</v>
      </c>
      <c r="B48" s="151"/>
      <c r="C48" s="875">
        <f>AU21+AU33</f>
        <v>5.0000000000000001E-3</v>
      </c>
      <c r="D48" s="876"/>
      <c r="E48" s="151" t="s">
        <v>507</v>
      </c>
      <c r="F48" s="151">
        <f>J47+O47+T47+Y47+AD47+AI47+AN47</f>
        <v>43</v>
      </c>
      <c r="G48" s="151"/>
      <c r="H48" s="151" t="s">
        <v>508</v>
      </c>
      <c r="I48" s="151">
        <f>F48-AN47</f>
        <v>40</v>
      </c>
      <c r="J48" s="151"/>
      <c r="K48" s="151" t="s">
        <v>509</v>
      </c>
      <c r="L48" s="151">
        <f>J47+O47</f>
        <v>15</v>
      </c>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74"/>
      <c r="AO48" s="156"/>
      <c r="AP48" s="126"/>
      <c r="AQ48" s="127"/>
      <c r="AR48" s="117"/>
      <c r="AS48" s="117"/>
      <c r="AT48" s="126"/>
      <c r="AV48" s="117"/>
      <c r="AX48" s="129"/>
    </row>
    <row r="49" spans="1:55" ht="20.100000000000001" customHeight="1">
      <c r="A49" s="872" t="s">
        <v>475</v>
      </c>
      <c r="B49" s="872"/>
      <c r="C49" s="872"/>
      <c r="D49" s="872"/>
      <c r="E49" s="872"/>
      <c r="F49" s="136"/>
      <c r="G49" s="136"/>
      <c r="H49" s="873"/>
      <c r="I49" s="872"/>
      <c r="J49" s="872" t="s">
        <v>476</v>
      </c>
      <c r="K49" s="872"/>
      <c r="L49" s="872"/>
      <c r="M49" s="872"/>
      <c r="N49" s="872"/>
      <c r="O49" s="872"/>
      <c r="P49" s="872"/>
      <c r="Q49" s="872"/>
      <c r="R49" s="872"/>
      <c r="S49" s="136"/>
      <c r="T49" s="136"/>
      <c r="U49" s="136"/>
      <c r="V49" s="136"/>
      <c r="W49" s="136"/>
      <c r="X49" s="136"/>
      <c r="Y49" s="136"/>
      <c r="Z49" s="136"/>
      <c r="AA49" s="136"/>
      <c r="AB49" s="136"/>
      <c r="AC49" s="136"/>
      <c r="AD49" s="136"/>
      <c r="AE49" s="136"/>
      <c r="AF49" s="136"/>
      <c r="AG49" s="136"/>
      <c r="AH49" s="136"/>
      <c r="AI49" s="136"/>
      <c r="AJ49" s="136"/>
      <c r="AK49" s="136"/>
      <c r="AL49" s="136"/>
      <c r="AM49" s="136"/>
      <c r="AP49" s="130"/>
      <c r="AQ49" s="127"/>
      <c r="AR49" s="117"/>
      <c r="AS49" s="117"/>
    </row>
    <row r="50" spans="1:55" s="121" customFormat="1" ht="20.100000000000001" customHeight="1">
      <c r="A50" s="169"/>
      <c r="B50" s="169"/>
      <c r="C50" s="169"/>
      <c r="D50" s="169"/>
      <c r="E50" s="169"/>
      <c r="F50" s="169"/>
      <c r="G50" s="169"/>
      <c r="H50" s="169"/>
      <c r="I50" s="169"/>
      <c r="J50" s="169"/>
      <c r="K50" s="169"/>
      <c r="L50" s="169"/>
      <c r="M50" s="169"/>
      <c r="N50" s="169"/>
      <c r="O50" s="169"/>
      <c r="P50" s="169"/>
      <c r="Q50" s="169"/>
      <c r="R50" s="169"/>
      <c r="S50" s="169"/>
      <c r="T50" s="169"/>
      <c r="U50" s="169"/>
      <c r="V50" s="169"/>
      <c r="W50" s="169"/>
      <c r="X50" s="170"/>
      <c r="Y50" s="170"/>
      <c r="Z50" s="170"/>
      <c r="AA50" s="170"/>
      <c r="AB50" s="170"/>
      <c r="AC50" s="170"/>
      <c r="AD50" s="170"/>
      <c r="AE50" s="170"/>
      <c r="AF50" s="170"/>
      <c r="AG50" s="170"/>
      <c r="AH50" s="170"/>
      <c r="AI50" s="170"/>
      <c r="AJ50" s="170"/>
      <c r="AK50" s="170"/>
      <c r="AL50" s="170"/>
      <c r="AM50" s="170"/>
      <c r="AN50" s="170"/>
      <c r="AO50" s="170"/>
      <c r="AP50" s="132"/>
      <c r="AQ50" s="316" t="s">
        <v>697</v>
      </c>
      <c r="AR50" s="134"/>
      <c r="AS50" s="134"/>
      <c r="AT50" s="134"/>
      <c r="AU50" s="117"/>
      <c r="AW50" s="130"/>
      <c r="AX50" s="132"/>
      <c r="BA50" s="130"/>
      <c r="BB50" s="130"/>
      <c r="BC50" s="130"/>
    </row>
    <row r="51" spans="1:55" s="132" customFormat="1" ht="20.100000000000001" customHeight="1">
      <c r="L51" s="175"/>
      <c r="M51" s="176"/>
      <c r="N51" s="176"/>
      <c r="O51" s="176"/>
      <c r="AM51" s="133"/>
      <c r="AN51" s="133"/>
      <c r="AP51" s="118"/>
      <c r="AQ51" s="132">
        <f>(H35*J35+M35*O35/1000/2.1/0.85)</f>
        <v>9.0050420168067227</v>
      </c>
      <c r="AW51" s="130"/>
      <c r="BA51" s="130"/>
      <c r="BB51" s="130"/>
      <c r="BC51" s="130"/>
    </row>
    <row r="52" spans="1:55" s="132" customFormat="1" ht="20.100000000000001" customHeight="1">
      <c r="L52" s="170"/>
      <c r="M52" s="170"/>
      <c r="N52" s="170"/>
      <c r="O52" s="170"/>
      <c r="AM52" s="133"/>
      <c r="AN52" s="133"/>
      <c r="AP52" s="118"/>
      <c r="AW52" s="130"/>
      <c r="BA52" s="130"/>
      <c r="BB52" s="130"/>
      <c r="BC52" s="130"/>
    </row>
    <row r="53" spans="1:55" s="132" customFormat="1" ht="20.100000000000001" customHeight="1">
      <c r="L53" s="170"/>
      <c r="M53" s="170"/>
      <c r="N53" s="170"/>
      <c r="O53" s="170"/>
      <c r="AM53" s="133"/>
      <c r="AN53" s="133"/>
      <c r="AP53" s="118"/>
      <c r="AW53" s="130"/>
      <c r="BA53" s="130"/>
      <c r="BB53" s="130"/>
      <c r="BC53" s="130"/>
    </row>
    <row r="54" spans="1:55" s="132" customFormat="1" ht="20.100000000000001" customHeight="1">
      <c r="L54" s="170"/>
      <c r="M54" s="170"/>
      <c r="N54" s="170"/>
      <c r="O54" s="170"/>
      <c r="AM54" s="133"/>
      <c r="AN54" s="133"/>
      <c r="AP54" s="118"/>
      <c r="AW54" s="130"/>
      <c r="BA54" s="130"/>
      <c r="BB54" s="130"/>
      <c r="BC54" s="130"/>
    </row>
    <row r="55" spans="1:55" s="132" customFormat="1" ht="20.100000000000001" customHeight="1">
      <c r="L55" s="170"/>
      <c r="M55" s="170"/>
      <c r="N55" s="170"/>
      <c r="O55" s="170"/>
      <c r="AM55" s="133"/>
      <c r="AN55" s="133"/>
      <c r="AP55" s="118"/>
      <c r="AW55" s="130"/>
      <c r="BA55" s="130"/>
      <c r="BB55" s="130"/>
      <c r="BC55" s="130"/>
    </row>
    <row r="56" spans="1:55" s="132" customFormat="1" ht="20.100000000000001" customHeight="1">
      <c r="L56" s="170"/>
      <c r="M56" s="170"/>
      <c r="N56" s="170"/>
      <c r="O56" s="170"/>
      <c r="AM56" s="133"/>
      <c r="AN56" s="133"/>
      <c r="AP56" s="118"/>
      <c r="AW56" s="130"/>
      <c r="BA56" s="130"/>
      <c r="BB56" s="130"/>
      <c r="BC56" s="130"/>
    </row>
    <row r="57" spans="1:55" s="132" customFormat="1" ht="20.100000000000001" customHeight="1">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J57" s="133"/>
      <c r="AK57" s="133"/>
      <c r="AL57" s="133"/>
      <c r="AM57" s="133"/>
      <c r="AN57" s="133"/>
      <c r="AP57" s="118"/>
      <c r="AW57" s="130"/>
      <c r="BA57" s="130"/>
      <c r="BB57" s="130"/>
      <c r="BC57" s="130"/>
    </row>
    <row r="58" spans="1:55" s="132" customFormat="1" ht="20.100000000000001" customHeight="1">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J58" s="133"/>
      <c r="AK58" s="133"/>
      <c r="AL58" s="133"/>
      <c r="AM58" s="133"/>
      <c r="AN58" s="133"/>
      <c r="AP58" s="118"/>
      <c r="AW58" s="130"/>
      <c r="BA58" s="130"/>
      <c r="BB58" s="130"/>
      <c r="BC58" s="130"/>
    </row>
    <row r="59" spans="1:55" s="132" customFormat="1" ht="20.100000000000001" customHeight="1">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J59" s="133"/>
      <c r="AK59" s="133"/>
      <c r="AL59" s="133"/>
      <c r="AM59" s="133"/>
      <c r="AN59" s="133"/>
      <c r="AP59" s="118"/>
      <c r="AW59" s="130"/>
      <c r="BA59" s="130"/>
      <c r="BB59" s="130"/>
      <c r="BC59" s="130"/>
    </row>
    <row r="60" spans="1:55" s="132" customFormat="1" ht="20.100000000000001" customHeight="1">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J60" s="133"/>
      <c r="AK60" s="133"/>
      <c r="AL60" s="133"/>
      <c r="AM60" s="133"/>
      <c r="AN60" s="133"/>
      <c r="AP60" s="118"/>
      <c r="AW60" s="130"/>
      <c r="BA60" s="130"/>
      <c r="BB60" s="130"/>
      <c r="BC60" s="130"/>
    </row>
    <row r="61" spans="1:55" s="132" customFormat="1" ht="20.100000000000001" customHeight="1">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J61" s="133"/>
      <c r="AK61" s="133"/>
      <c r="AL61" s="133"/>
      <c r="AM61" s="133"/>
      <c r="AN61" s="133"/>
      <c r="AP61" s="118"/>
      <c r="AQ61" s="118"/>
      <c r="AW61" s="130"/>
      <c r="BA61" s="130"/>
      <c r="BB61" s="130"/>
      <c r="BC61" s="130"/>
    </row>
    <row r="62" spans="1:55" s="132" customFormat="1" ht="20.100000000000001" customHeight="1">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J62" s="133"/>
      <c r="AK62" s="133"/>
      <c r="AL62" s="133"/>
      <c r="AM62" s="133"/>
      <c r="AN62" s="133"/>
      <c r="AP62" s="118"/>
      <c r="AQ62" s="118"/>
      <c r="AW62" s="130"/>
      <c r="BA62" s="130"/>
      <c r="BB62" s="130"/>
      <c r="BC62" s="130"/>
    </row>
    <row r="63" spans="1:55" s="118" customFormat="1" ht="20.100000000000001" customHeight="1">
      <c r="A63" s="167"/>
      <c r="B63" s="167"/>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8"/>
      <c r="AO63" s="168"/>
      <c r="AP63" s="116"/>
      <c r="AQ63" s="117"/>
      <c r="AR63" s="131"/>
      <c r="AS63" s="131"/>
      <c r="AT63" s="131"/>
      <c r="AU63" s="117"/>
      <c r="AW63" s="130"/>
      <c r="BA63" s="130"/>
      <c r="BB63" s="130"/>
      <c r="BC63" s="130"/>
    </row>
    <row r="64" spans="1:55" s="118" customFormat="1" ht="20.100000000000001" customHeight="1">
      <c r="A64" s="167"/>
      <c r="B64" s="167"/>
      <c r="C64" s="167"/>
      <c r="D64" s="167"/>
      <c r="E64" s="167"/>
      <c r="F64" s="167"/>
      <c r="G64" s="167"/>
      <c r="H64" s="167"/>
      <c r="I64" s="167"/>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8"/>
      <c r="AO64" s="168"/>
      <c r="AP64" s="116"/>
      <c r="AQ64" s="117"/>
      <c r="AR64" s="131"/>
      <c r="AS64" s="131"/>
      <c r="AT64" s="131"/>
      <c r="AU64" s="117"/>
      <c r="AW64" s="130"/>
      <c r="BA64" s="130"/>
      <c r="BB64" s="130"/>
      <c r="BC64" s="130"/>
    </row>
    <row r="65" spans="1:55" s="118" customFormat="1" ht="20.100000000000001" customHeight="1">
      <c r="A65" s="167"/>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8"/>
      <c r="AO65" s="168"/>
      <c r="AP65" s="116"/>
      <c r="AQ65" s="117"/>
      <c r="AR65" s="131"/>
      <c r="AS65" s="131"/>
      <c r="AT65" s="131"/>
      <c r="AU65" s="117"/>
      <c r="AW65" s="130"/>
      <c r="BA65" s="130"/>
      <c r="BB65" s="130"/>
      <c r="BC65" s="130"/>
    </row>
    <row r="66" spans="1:55" s="118" customFormat="1" ht="20.100000000000001" customHeight="1">
      <c r="A66" s="167"/>
      <c r="B66" s="167"/>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8"/>
      <c r="AO66" s="168"/>
      <c r="AP66" s="116"/>
      <c r="AQ66" s="117"/>
      <c r="AR66" s="131"/>
      <c r="AS66" s="131"/>
      <c r="AT66" s="131"/>
      <c r="AU66" s="117"/>
      <c r="AW66" s="130"/>
      <c r="BA66" s="130"/>
      <c r="BB66" s="130"/>
      <c r="BC66" s="130"/>
    </row>
    <row r="67" spans="1:55" s="118" customFormat="1" ht="20.100000000000001" customHeight="1">
      <c r="A67" s="167"/>
      <c r="B67" s="167"/>
      <c r="C67" s="167"/>
      <c r="D67" s="167"/>
      <c r="E67" s="167"/>
      <c r="F67" s="167"/>
      <c r="G67" s="167"/>
      <c r="H67" s="167"/>
      <c r="I67" s="16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8"/>
      <c r="AO67" s="168"/>
      <c r="AP67" s="116"/>
      <c r="AQ67" s="117"/>
      <c r="AR67" s="131"/>
      <c r="AS67" s="131"/>
      <c r="AT67" s="131"/>
      <c r="AU67" s="117"/>
      <c r="AW67" s="130"/>
      <c r="BA67" s="130"/>
      <c r="BB67" s="130"/>
      <c r="BC67" s="130"/>
    </row>
    <row r="68" spans="1:55" s="118" customFormat="1" ht="20.100000000000001" customHeight="1">
      <c r="A68" s="167"/>
      <c r="B68" s="167"/>
      <c r="C68" s="167"/>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8"/>
      <c r="AO68" s="168"/>
      <c r="AP68" s="116"/>
      <c r="AQ68" s="117"/>
      <c r="AR68" s="131"/>
      <c r="AS68" s="131"/>
      <c r="AT68" s="131"/>
      <c r="AU68" s="117"/>
      <c r="AW68" s="130"/>
      <c r="BA68" s="130"/>
      <c r="BB68" s="130"/>
      <c r="BC68" s="130"/>
    </row>
    <row r="69" spans="1:55" s="118" customFormat="1" ht="20.100000000000001" customHeight="1">
      <c r="A69" s="167"/>
      <c r="B69" s="167"/>
      <c r="C69" s="167"/>
      <c r="D69" s="167"/>
      <c r="E69" s="167"/>
      <c r="F69" s="167"/>
      <c r="G69" s="167"/>
      <c r="H69" s="167"/>
      <c r="I69" s="167"/>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8"/>
      <c r="AO69" s="168"/>
      <c r="AP69" s="116"/>
      <c r="AQ69" s="117"/>
      <c r="AR69" s="131"/>
      <c r="AS69" s="131"/>
      <c r="AT69" s="131"/>
      <c r="AU69" s="117"/>
      <c r="AW69" s="130"/>
      <c r="BA69" s="130"/>
      <c r="BB69" s="130"/>
      <c r="BC69" s="130"/>
    </row>
    <row r="70" spans="1:55" s="118" customFormat="1" ht="20.100000000000001" customHeight="1">
      <c r="A70" s="167"/>
      <c r="B70" s="167"/>
      <c r="C70" s="167"/>
      <c r="D70" s="167"/>
      <c r="E70" s="167"/>
      <c r="F70" s="167"/>
      <c r="G70" s="167"/>
      <c r="H70" s="167"/>
      <c r="I70" s="16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8"/>
      <c r="AO70" s="168"/>
      <c r="AP70" s="116"/>
      <c r="AQ70" s="117"/>
      <c r="AR70" s="131"/>
      <c r="AS70" s="131"/>
      <c r="AT70" s="131"/>
      <c r="AU70" s="117"/>
      <c r="AW70" s="130"/>
      <c r="BA70" s="130"/>
      <c r="BB70" s="130"/>
      <c r="BC70" s="130"/>
    </row>
    <row r="71" spans="1:55" s="118" customFormat="1" ht="20.100000000000001" customHeight="1">
      <c r="A71" s="167"/>
      <c r="B71" s="167"/>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8"/>
      <c r="AO71" s="168"/>
      <c r="AP71" s="116"/>
      <c r="AQ71" s="117"/>
      <c r="AR71" s="131"/>
      <c r="AS71" s="131"/>
      <c r="AT71" s="131"/>
      <c r="AU71" s="117"/>
      <c r="AW71" s="130"/>
      <c r="BA71" s="130"/>
      <c r="BB71" s="130"/>
      <c r="BC71" s="130"/>
    </row>
    <row r="72" spans="1:55" s="118" customFormat="1" ht="20.100000000000001" customHeight="1">
      <c r="A72" s="167"/>
      <c r="B72" s="167"/>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8"/>
      <c r="AO72" s="168"/>
      <c r="AP72" s="116"/>
      <c r="AQ72" s="117"/>
      <c r="AR72" s="131"/>
      <c r="AS72" s="131"/>
      <c r="AT72" s="131"/>
      <c r="AU72" s="117"/>
      <c r="AW72" s="130"/>
      <c r="BA72" s="130"/>
      <c r="BB72" s="130"/>
      <c r="BC72" s="130"/>
    </row>
    <row r="73" spans="1:55" s="118" customFormat="1" ht="20.100000000000001" customHeight="1">
      <c r="A73" s="167"/>
      <c r="B73" s="167"/>
      <c r="C73" s="167"/>
      <c r="D73" s="167"/>
      <c r="E73" s="167"/>
      <c r="F73" s="167"/>
      <c r="G73" s="167"/>
      <c r="H73" s="167"/>
      <c r="I73" s="167"/>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8"/>
      <c r="AO73" s="168"/>
      <c r="AP73" s="116"/>
      <c r="AQ73" s="117"/>
      <c r="AR73" s="131"/>
      <c r="AS73" s="131"/>
      <c r="AT73" s="131"/>
      <c r="AU73" s="117"/>
      <c r="AW73" s="130"/>
      <c r="BA73" s="130"/>
      <c r="BB73" s="130"/>
      <c r="BC73" s="130"/>
    </row>
    <row r="74" spans="1:55" s="118" customFormat="1" ht="20.100000000000001" customHeight="1">
      <c r="A74" s="167"/>
      <c r="B74" s="167"/>
      <c r="C74" s="167"/>
      <c r="D74" s="167"/>
      <c r="E74" s="167"/>
      <c r="F74" s="167"/>
      <c r="G74" s="167"/>
      <c r="H74" s="167"/>
      <c r="I74" s="16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8"/>
      <c r="AO74" s="168"/>
      <c r="AP74" s="116"/>
      <c r="AQ74" s="117"/>
      <c r="AR74" s="131"/>
      <c r="AS74" s="131"/>
      <c r="AT74" s="131"/>
      <c r="AU74" s="117"/>
      <c r="AW74" s="130"/>
      <c r="BA74" s="130"/>
      <c r="BB74" s="130"/>
      <c r="BC74" s="130"/>
    </row>
    <row r="75" spans="1:55" s="118" customFormat="1" ht="20.100000000000001" customHeight="1">
      <c r="A75" s="167"/>
      <c r="B75" s="167"/>
      <c r="C75" s="167"/>
      <c r="D75" s="167"/>
      <c r="E75" s="167"/>
      <c r="F75" s="167"/>
      <c r="G75" s="167"/>
      <c r="H75" s="167"/>
      <c r="I75" s="16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8"/>
      <c r="AO75" s="168"/>
      <c r="AP75" s="116"/>
      <c r="AQ75" s="117"/>
      <c r="AR75" s="131"/>
      <c r="AS75" s="131"/>
      <c r="AT75" s="131"/>
      <c r="AU75" s="117"/>
      <c r="AW75" s="130"/>
      <c r="BA75" s="130"/>
      <c r="BB75" s="130"/>
      <c r="BC75" s="130"/>
    </row>
    <row r="76" spans="1:55" s="118" customFormat="1" ht="20.100000000000001" customHeight="1">
      <c r="A76" s="167"/>
      <c r="B76" s="167"/>
      <c r="C76" s="167"/>
      <c r="D76" s="167"/>
      <c r="E76" s="167"/>
      <c r="F76" s="167"/>
      <c r="G76" s="167"/>
      <c r="H76" s="167"/>
      <c r="I76" s="16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8"/>
      <c r="AO76" s="168"/>
      <c r="AP76" s="116"/>
      <c r="AQ76" s="117"/>
      <c r="AR76" s="131"/>
      <c r="AS76" s="131"/>
      <c r="AT76" s="131"/>
      <c r="AU76" s="117"/>
      <c r="AW76" s="130"/>
      <c r="BA76" s="130"/>
      <c r="BB76" s="130"/>
      <c r="BC76" s="130"/>
    </row>
    <row r="77" spans="1:55" s="118" customFormat="1" ht="20.100000000000001" customHeight="1">
      <c r="A77" s="167"/>
      <c r="B77" s="167"/>
      <c r="C77" s="167"/>
      <c r="D77" s="167"/>
      <c r="E77" s="167"/>
      <c r="F77" s="167"/>
      <c r="G77" s="167"/>
      <c r="H77" s="167"/>
      <c r="I77" s="16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8"/>
      <c r="AO77" s="168"/>
      <c r="AP77" s="116"/>
      <c r="AQ77" s="117"/>
      <c r="AR77" s="131"/>
      <c r="AS77" s="131"/>
      <c r="AT77" s="131"/>
      <c r="AU77" s="117"/>
      <c r="AW77" s="130"/>
      <c r="BA77" s="130"/>
      <c r="BB77" s="130"/>
      <c r="BC77" s="130"/>
    </row>
    <row r="78" spans="1:55" s="118" customFormat="1" ht="20.100000000000001" customHeight="1">
      <c r="A78" s="167"/>
      <c r="B78" s="167"/>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8"/>
      <c r="AO78" s="168"/>
      <c r="AP78" s="116"/>
      <c r="AQ78" s="117"/>
      <c r="AR78" s="131"/>
      <c r="AS78" s="131"/>
      <c r="AT78" s="131"/>
      <c r="AU78" s="117"/>
      <c r="AW78" s="130"/>
      <c r="BA78" s="130"/>
      <c r="BB78" s="130"/>
      <c r="BC78" s="130"/>
    </row>
    <row r="79" spans="1:55" s="118" customFormat="1" ht="20.100000000000001" customHeight="1">
      <c r="A79" s="167"/>
      <c r="B79" s="167"/>
      <c r="C79" s="167"/>
      <c r="D79" s="167"/>
      <c r="E79" s="167"/>
      <c r="F79" s="167"/>
      <c r="G79" s="167"/>
      <c r="H79" s="167"/>
      <c r="I79" s="167"/>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8"/>
      <c r="AO79" s="168"/>
      <c r="AP79" s="116"/>
      <c r="AQ79" s="117"/>
      <c r="AR79" s="131"/>
      <c r="AS79" s="131"/>
      <c r="AT79" s="131"/>
      <c r="AU79" s="117"/>
      <c r="AW79" s="130"/>
      <c r="BA79" s="130"/>
      <c r="BB79" s="130"/>
      <c r="BC79" s="130"/>
    </row>
    <row r="80" spans="1:55" s="118" customFormat="1" ht="20.100000000000001" customHeight="1">
      <c r="A80" s="167"/>
      <c r="B80" s="167"/>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8"/>
      <c r="AO80" s="168"/>
      <c r="AP80" s="116"/>
      <c r="AQ80" s="117"/>
      <c r="AR80" s="131"/>
      <c r="AS80" s="131"/>
      <c r="AT80" s="131"/>
      <c r="AU80" s="117"/>
      <c r="AW80" s="130"/>
      <c r="BA80" s="130"/>
      <c r="BB80" s="130"/>
      <c r="BC80" s="130"/>
    </row>
    <row r="81" spans="1:55" s="118" customFormat="1" ht="20.100000000000001" customHeight="1">
      <c r="A81" s="167"/>
      <c r="B81" s="167"/>
      <c r="C81" s="167"/>
      <c r="D81" s="167"/>
      <c r="E81" s="167"/>
      <c r="F81" s="167"/>
      <c r="G81" s="167"/>
      <c r="H81" s="167"/>
      <c r="I81" s="167"/>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8"/>
      <c r="AO81" s="168"/>
      <c r="AP81" s="116"/>
      <c r="AQ81" s="117"/>
      <c r="AR81" s="131"/>
      <c r="AS81" s="131"/>
      <c r="AT81" s="131"/>
      <c r="AU81" s="117"/>
      <c r="AW81" s="130"/>
      <c r="BA81" s="130"/>
      <c r="BB81" s="130"/>
      <c r="BC81" s="130"/>
    </row>
    <row r="82" spans="1:55" s="118" customFormat="1" ht="20.100000000000001" customHeight="1">
      <c r="A82" s="167"/>
      <c r="B82" s="167"/>
      <c r="C82" s="167"/>
      <c r="D82" s="167"/>
      <c r="E82" s="167"/>
      <c r="F82" s="167"/>
      <c r="G82" s="167"/>
      <c r="H82" s="167"/>
      <c r="I82" s="167"/>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8"/>
      <c r="AO82" s="168"/>
      <c r="AP82" s="116"/>
      <c r="AQ82" s="117"/>
      <c r="AR82" s="131"/>
      <c r="AS82" s="131"/>
      <c r="AT82" s="131"/>
      <c r="AU82" s="117"/>
      <c r="AW82" s="130"/>
      <c r="BA82" s="130"/>
      <c r="BB82" s="130"/>
      <c r="BC82" s="130"/>
    </row>
    <row r="83" spans="1:55" s="118" customFormat="1" ht="20.100000000000001" customHeight="1">
      <c r="A83" s="167"/>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8"/>
      <c r="AO83" s="168"/>
      <c r="AP83" s="116"/>
      <c r="AQ83" s="117"/>
      <c r="AR83" s="131"/>
      <c r="AS83" s="131"/>
      <c r="AT83" s="131"/>
      <c r="AU83" s="117"/>
      <c r="AW83" s="130"/>
      <c r="BA83" s="130"/>
      <c r="BB83" s="130"/>
      <c r="BC83" s="130"/>
    </row>
    <row r="84" spans="1:55" s="118" customFormat="1" ht="20.100000000000001" customHeight="1">
      <c r="A84" s="167"/>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8"/>
      <c r="AO84" s="168"/>
      <c r="AP84" s="116"/>
      <c r="AQ84" s="117"/>
      <c r="AR84" s="131"/>
      <c r="AS84" s="131"/>
      <c r="AT84" s="131"/>
      <c r="AU84" s="117"/>
      <c r="AW84" s="130"/>
      <c r="BA84" s="130"/>
      <c r="BB84" s="130"/>
      <c r="BC84" s="130"/>
    </row>
    <row r="85" spans="1:55" s="118" customFormat="1" ht="20.100000000000001" customHeight="1">
      <c r="A85" s="167"/>
      <c r="B85" s="167"/>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8"/>
      <c r="AO85" s="168"/>
      <c r="AP85" s="116"/>
      <c r="AQ85" s="117"/>
      <c r="AR85" s="131"/>
      <c r="AS85" s="131"/>
      <c r="AT85" s="131"/>
      <c r="AU85" s="117"/>
      <c r="AW85" s="130"/>
      <c r="BA85" s="130"/>
      <c r="BB85" s="130"/>
      <c r="BC85" s="130"/>
    </row>
    <row r="86" spans="1:55" s="118" customFormat="1" ht="20.100000000000001" customHeight="1">
      <c r="A86" s="167"/>
      <c r="B86" s="167"/>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8"/>
      <c r="AO86" s="168"/>
      <c r="AP86" s="116"/>
      <c r="AQ86" s="117"/>
      <c r="AR86" s="131"/>
      <c r="AS86" s="131"/>
      <c r="AT86" s="131"/>
      <c r="AU86" s="117"/>
      <c r="AW86" s="130"/>
      <c r="BA86" s="130"/>
      <c r="BB86" s="130"/>
      <c r="BC86" s="130"/>
    </row>
    <row r="87" spans="1:55" s="118" customFormat="1" ht="20.100000000000001" customHeight="1">
      <c r="A87" s="167"/>
      <c r="B87" s="167"/>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8"/>
      <c r="AO87" s="168"/>
      <c r="AP87" s="116"/>
      <c r="AQ87" s="117"/>
      <c r="AR87" s="131"/>
      <c r="AS87" s="131"/>
      <c r="AT87" s="131"/>
      <c r="AU87" s="117"/>
      <c r="AW87" s="130"/>
      <c r="BA87" s="130"/>
      <c r="BB87" s="130"/>
      <c r="BC87" s="130"/>
    </row>
    <row r="88" spans="1:55" s="118" customFormat="1" ht="20.100000000000001" customHeight="1">
      <c r="A88" s="167"/>
      <c r="B88" s="167"/>
      <c r="C88" s="167"/>
      <c r="D88" s="167"/>
      <c r="E88" s="167"/>
      <c r="F88" s="167"/>
      <c r="G88" s="167"/>
      <c r="H88" s="167"/>
      <c r="I88" s="16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8"/>
      <c r="AO88" s="168"/>
      <c r="AP88" s="116"/>
      <c r="AQ88" s="117"/>
      <c r="AR88" s="131"/>
      <c r="AS88" s="131"/>
      <c r="AT88" s="131"/>
      <c r="AU88" s="117"/>
      <c r="AW88" s="130"/>
      <c r="BA88" s="130"/>
      <c r="BB88" s="130"/>
      <c r="BC88" s="130"/>
    </row>
    <row r="89" spans="1:55" s="118" customFormat="1" ht="20.100000000000001" customHeight="1">
      <c r="A89" s="167"/>
      <c r="B89" s="167"/>
      <c r="C89" s="167"/>
      <c r="D89" s="167"/>
      <c r="E89" s="167"/>
      <c r="F89" s="167"/>
      <c r="G89" s="167"/>
      <c r="H89" s="167"/>
      <c r="I89" s="167"/>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8"/>
      <c r="AO89" s="168"/>
      <c r="AP89" s="116"/>
      <c r="AQ89" s="117"/>
      <c r="AR89" s="131"/>
      <c r="AS89" s="131"/>
      <c r="AT89" s="131"/>
      <c r="AU89" s="117"/>
      <c r="AW89" s="130"/>
      <c r="BA89" s="130"/>
      <c r="BB89" s="130"/>
      <c r="BC89" s="130"/>
    </row>
    <row r="90" spans="1:55" s="118" customFormat="1" ht="20.100000000000001" customHeight="1">
      <c r="A90" s="167"/>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8"/>
      <c r="AO90" s="168"/>
      <c r="AP90" s="116"/>
      <c r="AQ90" s="117"/>
      <c r="AR90" s="131"/>
      <c r="AS90" s="131"/>
      <c r="AT90" s="131"/>
      <c r="AU90" s="117"/>
      <c r="AW90" s="130"/>
      <c r="BA90" s="130"/>
      <c r="BB90" s="130"/>
      <c r="BC90" s="130"/>
    </row>
    <row r="91" spans="1:55" s="118" customFormat="1" ht="20.100000000000001" customHeight="1">
      <c r="A91" s="167"/>
      <c r="B91" s="167"/>
      <c r="C91" s="167"/>
      <c r="D91" s="167"/>
      <c r="E91" s="167"/>
      <c r="F91" s="167"/>
      <c r="G91" s="167"/>
      <c r="H91" s="167"/>
      <c r="I91" s="167"/>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8"/>
      <c r="AO91" s="168"/>
      <c r="AP91" s="116"/>
      <c r="AQ91" s="117"/>
      <c r="AR91" s="131"/>
      <c r="AS91" s="131"/>
      <c r="AT91" s="131"/>
      <c r="AU91" s="117"/>
      <c r="AW91" s="130"/>
      <c r="BA91" s="130"/>
      <c r="BB91" s="130"/>
      <c r="BC91" s="130"/>
    </row>
    <row r="92" spans="1:55" s="118" customFormat="1" ht="20.100000000000001" customHeight="1">
      <c r="A92" s="167"/>
      <c r="B92" s="167"/>
      <c r="C92" s="167"/>
      <c r="D92" s="167"/>
      <c r="E92" s="167"/>
      <c r="F92" s="167"/>
      <c r="G92" s="167"/>
      <c r="H92" s="167"/>
      <c r="I92" s="167"/>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8"/>
      <c r="AO92" s="168"/>
      <c r="AP92" s="116"/>
      <c r="AQ92" s="117"/>
      <c r="AR92" s="131"/>
      <c r="AS92" s="131"/>
      <c r="AT92" s="131"/>
      <c r="AU92" s="117"/>
      <c r="AW92" s="130"/>
      <c r="BA92" s="130"/>
      <c r="BB92" s="130"/>
      <c r="BC92" s="130"/>
    </row>
    <row r="93" spans="1:55" s="118" customFormat="1" ht="20.100000000000001" customHeight="1">
      <c r="A93" s="167"/>
      <c r="B93" s="167"/>
      <c r="C93" s="167"/>
      <c r="D93" s="167"/>
      <c r="E93" s="167"/>
      <c r="F93" s="167"/>
      <c r="G93" s="167"/>
      <c r="H93" s="167"/>
      <c r="I93" s="16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8"/>
      <c r="AO93" s="168"/>
      <c r="AP93" s="116"/>
      <c r="AQ93" s="117"/>
      <c r="AR93" s="131"/>
      <c r="AS93" s="131"/>
      <c r="AT93" s="131"/>
      <c r="AU93" s="117"/>
      <c r="AW93" s="130"/>
      <c r="BA93" s="130"/>
      <c r="BB93" s="130"/>
      <c r="BC93" s="130"/>
    </row>
    <row r="94" spans="1:55" s="118" customFormat="1" ht="20.100000000000001" customHeight="1">
      <c r="A94" s="167"/>
      <c r="B94" s="167"/>
      <c r="C94" s="167"/>
      <c r="D94" s="167"/>
      <c r="E94" s="167"/>
      <c r="F94" s="167"/>
      <c r="G94" s="167"/>
      <c r="H94" s="167"/>
      <c r="I94" s="167"/>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8"/>
      <c r="AO94" s="168"/>
      <c r="AP94" s="116"/>
      <c r="AQ94" s="117"/>
      <c r="AR94" s="131"/>
      <c r="AS94" s="131"/>
      <c r="AT94" s="131"/>
      <c r="AU94" s="117"/>
      <c r="AW94" s="130"/>
      <c r="BA94" s="130"/>
      <c r="BB94" s="130"/>
      <c r="BC94" s="130"/>
    </row>
    <row r="95" spans="1:55" s="118" customFormat="1" ht="20.100000000000001" customHeight="1">
      <c r="A95" s="167"/>
      <c r="B95" s="167"/>
      <c r="C95" s="167"/>
      <c r="D95" s="167"/>
      <c r="E95" s="167"/>
      <c r="F95" s="167"/>
      <c r="G95" s="167"/>
      <c r="H95" s="167"/>
      <c r="I95" s="167"/>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8"/>
      <c r="AO95" s="168"/>
      <c r="AP95" s="116"/>
      <c r="AQ95" s="117"/>
      <c r="AR95" s="131"/>
      <c r="AS95" s="131"/>
      <c r="AT95" s="131"/>
      <c r="AU95" s="117"/>
      <c r="AW95" s="130"/>
      <c r="BA95" s="130"/>
      <c r="BB95" s="130"/>
      <c r="BC95" s="130"/>
    </row>
    <row r="96" spans="1:55" s="118" customFormat="1" ht="20.100000000000001" customHeight="1">
      <c r="A96" s="167"/>
      <c r="B96" s="167"/>
      <c r="C96" s="167"/>
      <c r="D96" s="167"/>
      <c r="E96" s="167"/>
      <c r="F96" s="167"/>
      <c r="G96" s="167"/>
      <c r="H96" s="167"/>
      <c r="I96" s="167"/>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8"/>
      <c r="AO96" s="168"/>
      <c r="AP96" s="116"/>
      <c r="AQ96" s="117"/>
      <c r="AR96" s="131"/>
      <c r="AS96" s="131"/>
      <c r="AT96" s="131"/>
      <c r="AU96" s="117"/>
      <c r="AW96" s="130"/>
      <c r="BA96" s="130"/>
      <c r="BB96" s="130"/>
      <c r="BC96" s="130"/>
    </row>
    <row r="97" spans="1:55" s="118" customFormat="1" ht="20.100000000000001" customHeight="1">
      <c r="A97" s="167"/>
      <c r="B97" s="167"/>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8"/>
      <c r="AO97" s="168"/>
      <c r="AP97" s="116"/>
      <c r="AQ97" s="117"/>
      <c r="AR97" s="131"/>
      <c r="AS97" s="131"/>
      <c r="AT97" s="131"/>
      <c r="AU97" s="117"/>
      <c r="AW97" s="130"/>
      <c r="BA97" s="130"/>
      <c r="BB97" s="130"/>
      <c r="BC97" s="130"/>
    </row>
    <row r="98" spans="1:55" s="118" customFormat="1" ht="20.100000000000001" customHeight="1">
      <c r="A98" s="167"/>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8"/>
      <c r="AO98" s="168"/>
      <c r="AP98" s="116"/>
      <c r="AQ98" s="117"/>
      <c r="AR98" s="131"/>
      <c r="AS98" s="131"/>
      <c r="AT98" s="131"/>
      <c r="AU98" s="117"/>
      <c r="AW98" s="130"/>
      <c r="BA98" s="130"/>
      <c r="BB98" s="130"/>
      <c r="BC98" s="130"/>
    </row>
    <row r="99" spans="1:55" s="118" customFormat="1" ht="20.100000000000001" customHeight="1">
      <c r="A99" s="167"/>
      <c r="B99" s="167"/>
      <c r="C99" s="167"/>
      <c r="D99" s="167"/>
      <c r="E99" s="167"/>
      <c r="F99" s="167"/>
      <c r="G99" s="167"/>
      <c r="H99" s="167"/>
      <c r="I99" s="167"/>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8"/>
      <c r="AO99" s="168"/>
      <c r="AP99" s="116"/>
      <c r="AQ99" s="117"/>
      <c r="AR99" s="131"/>
      <c r="AS99" s="131"/>
      <c r="AT99" s="131"/>
      <c r="AU99" s="117"/>
      <c r="AW99" s="130"/>
      <c r="BA99" s="130"/>
      <c r="BB99" s="130"/>
      <c r="BC99" s="130"/>
    </row>
    <row r="100" spans="1:55" s="118" customFormat="1" ht="20.100000000000001" customHeight="1">
      <c r="A100" s="167"/>
      <c r="B100" s="167"/>
      <c r="C100" s="167"/>
      <c r="D100" s="167"/>
      <c r="E100" s="167"/>
      <c r="F100" s="167"/>
      <c r="G100" s="167"/>
      <c r="H100" s="167"/>
      <c r="I100" s="167"/>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8"/>
      <c r="AO100" s="168"/>
      <c r="AP100" s="116"/>
      <c r="AQ100" s="117"/>
      <c r="AR100" s="131"/>
      <c r="AS100" s="131"/>
      <c r="AT100" s="131"/>
      <c r="AU100" s="117"/>
      <c r="AW100" s="130"/>
      <c r="BA100" s="130"/>
      <c r="BB100" s="130"/>
      <c r="BC100" s="130"/>
    </row>
    <row r="101" spans="1:55" s="118" customFormat="1" ht="20.100000000000001" customHeight="1">
      <c r="A101" s="167"/>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8"/>
      <c r="AO101" s="168"/>
      <c r="AP101" s="116"/>
      <c r="AQ101" s="117"/>
      <c r="AR101" s="131"/>
      <c r="AS101" s="131"/>
      <c r="AT101" s="131"/>
      <c r="AU101" s="117"/>
      <c r="AW101" s="130"/>
      <c r="BA101" s="130"/>
      <c r="BB101" s="130"/>
      <c r="BC101" s="130"/>
    </row>
    <row r="102" spans="1:55" s="118" customFormat="1" ht="20.100000000000001" customHeight="1">
      <c r="A102" s="167"/>
      <c r="B102" s="167"/>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8"/>
      <c r="AO102" s="168"/>
      <c r="AP102" s="116"/>
      <c r="AQ102" s="117"/>
      <c r="AR102" s="131"/>
      <c r="AS102" s="131"/>
      <c r="AT102" s="131"/>
      <c r="AU102" s="117"/>
      <c r="AW102" s="130"/>
      <c r="BA102" s="130"/>
      <c r="BB102" s="130"/>
      <c r="BC102" s="130"/>
    </row>
    <row r="103" spans="1:55" s="118" customFormat="1" ht="20.100000000000001" customHeight="1">
      <c r="A103" s="167"/>
      <c r="B103" s="167"/>
      <c r="C103" s="167"/>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8"/>
      <c r="AO103" s="168"/>
      <c r="AP103" s="116"/>
      <c r="AQ103" s="117"/>
      <c r="AR103" s="131"/>
      <c r="AS103" s="131"/>
      <c r="AT103" s="131"/>
      <c r="AU103" s="117"/>
      <c r="AW103" s="130"/>
      <c r="BA103" s="130"/>
      <c r="BB103" s="130"/>
      <c r="BC103" s="130"/>
    </row>
    <row r="104" spans="1:55" s="118" customFormat="1" ht="20.100000000000001" customHeight="1">
      <c r="A104" s="167"/>
      <c r="B104" s="167"/>
      <c r="C104" s="167"/>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8"/>
      <c r="AO104" s="168"/>
      <c r="AP104" s="116"/>
      <c r="AQ104" s="117"/>
      <c r="AR104" s="131"/>
      <c r="AS104" s="131"/>
      <c r="AT104" s="131"/>
      <c r="AU104" s="117"/>
      <c r="AW104" s="130"/>
      <c r="BA104" s="130"/>
      <c r="BB104" s="130"/>
      <c r="BC104" s="130"/>
    </row>
    <row r="105" spans="1:55" s="118" customFormat="1" ht="20.100000000000001" customHeight="1">
      <c r="A105" s="167"/>
      <c r="B105" s="167"/>
      <c r="C105" s="167"/>
      <c r="D105" s="167"/>
      <c r="E105" s="167"/>
      <c r="F105" s="167"/>
      <c r="G105" s="167"/>
      <c r="H105" s="167"/>
      <c r="I105" s="167"/>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8"/>
      <c r="AO105" s="168"/>
      <c r="AP105" s="116"/>
      <c r="AQ105" s="117"/>
      <c r="AR105" s="131"/>
      <c r="AS105" s="131"/>
      <c r="AT105" s="131"/>
      <c r="AU105" s="117"/>
      <c r="AW105" s="130"/>
      <c r="BA105" s="130"/>
      <c r="BB105" s="130"/>
      <c r="BC105" s="130"/>
    </row>
    <row r="106" spans="1:55" s="118" customFormat="1" ht="20.100000000000001" customHeight="1">
      <c r="A106" s="167"/>
      <c r="B106" s="167"/>
      <c r="C106" s="167"/>
      <c r="D106" s="167"/>
      <c r="E106" s="167"/>
      <c r="F106" s="167"/>
      <c r="G106" s="167"/>
      <c r="H106" s="167"/>
      <c r="I106" s="167"/>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8"/>
      <c r="AO106" s="168"/>
      <c r="AP106" s="116"/>
      <c r="AQ106" s="117"/>
      <c r="AR106" s="131"/>
      <c r="AS106" s="131"/>
      <c r="AT106" s="131"/>
      <c r="AU106" s="117"/>
      <c r="AW106" s="130"/>
      <c r="BA106" s="130"/>
      <c r="BB106" s="130"/>
      <c r="BC106" s="130"/>
    </row>
    <row r="107" spans="1:55" s="118" customFormat="1" ht="20.100000000000001" customHeight="1">
      <c r="A107" s="167"/>
      <c r="B107" s="167"/>
      <c r="C107" s="167"/>
      <c r="D107" s="167"/>
      <c r="E107" s="167"/>
      <c r="F107" s="167"/>
      <c r="G107" s="167"/>
      <c r="H107" s="167"/>
      <c r="I107" s="167"/>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8"/>
      <c r="AO107" s="168"/>
      <c r="AP107" s="116"/>
      <c r="AQ107" s="117"/>
      <c r="AR107" s="131"/>
      <c r="AS107" s="131"/>
      <c r="AT107" s="131"/>
      <c r="AU107" s="117"/>
      <c r="AW107" s="130"/>
      <c r="BA107" s="130"/>
      <c r="BB107" s="130"/>
      <c r="BC107" s="130"/>
    </row>
    <row r="108" spans="1:55" s="118" customFormat="1" ht="20.100000000000001" customHeight="1">
      <c r="A108" s="167"/>
      <c r="B108" s="167"/>
      <c r="C108" s="167"/>
      <c r="D108" s="167"/>
      <c r="E108" s="167"/>
      <c r="F108" s="167"/>
      <c r="G108" s="167"/>
      <c r="H108" s="167"/>
      <c r="I108" s="167"/>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8"/>
      <c r="AO108" s="168"/>
      <c r="AP108" s="116"/>
      <c r="AQ108" s="117"/>
      <c r="AR108" s="131"/>
      <c r="AS108" s="131"/>
      <c r="AT108" s="131"/>
      <c r="AU108" s="117"/>
      <c r="AW108" s="130"/>
      <c r="BA108" s="130"/>
      <c r="BB108" s="130"/>
      <c r="BC108" s="130"/>
    </row>
    <row r="109" spans="1:55" s="118" customFormat="1" ht="20.100000000000001" customHeight="1">
      <c r="A109" s="167"/>
      <c r="B109" s="167"/>
      <c r="C109" s="167"/>
      <c r="D109" s="167"/>
      <c r="E109" s="167"/>
      <c r="F109" s="167"/>
      <c r="G109" s="167"/>
      <c r="H109" s="167"/>
      <c r="I109" s="167"/>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8"/>
      <c r="AO109" s="168"/>
      <c r="AP109" s="116"/>
      <c r="AQ109" s="117"/>
      <c r="AR109" s="131"/>
      <c r="AS109" s="131"/>
      <c r="AT109" s="131"/>
      <c r="AU109" s="117"/>
      <c r="AW109" s="130"/>
      <c r="BA109" s="130"/>
      <c r="BB109" s="130"/>
      <c r="BC109" s="130"/>
    </row>
    <row r="110" spans="1:55" s="118" customFormat="1" ht="20.100000000000001" customHeight="1">
      <c r="A110" s="167"/>
      <c r="B110" s="167"/>
      <c r="C110" s="167"/>
      <c r="D110" s="167"/>
      <c r="E110" s="167"/>
      <c r="F110" s="167"/>
      <c r="G110" s="167"/>
      <c r="H110" s="167"/>
      <c r="I110" s="167"/>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8"/>
      <c r="AO110" s="168"/>
      <c r="AP110" s="116"/>
      <c r="AQ110" s="117"/>
      <c r="AR110" s="131"/>
      <c r="AS110" s="131"/>
      <c r="AT110" s="131"/>
      <c r="AU110" s="117"/>
      <c r="AW110" s="130"/>
      <c r="BA110" s="130"/>
      <c r="BB110" s="130"/>
      <c r="BC110" s="130"/>
    </row>
    <row r="111" spans="1:55" s="118" customFormat="1" ht="20.100000000000001" customHeight="1">
      <c r="A111" s="167"/>
      <c r="B111" s="167"/>
      <c r="C111" s="167"/>
      <c r="D111" s="167"/>
      <c r="E111" s="167"/>
      <c r="F111" s="167"/>
      <c r="G111" s="167"/>
      <c r="H111" s="167"/>
      <c r="I111" s="167"/>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8"/>
      <c r="AO111" s="168"/>
      <c r="AP111" s="116"/>
      <c r="AQ111" s="117"/>
      <c r="AR111" s="131"/>
      <c r="AS111" s="131"/>
      <c r="AT111" s="131"/>
      <c r="AU111" s="117"/>
      <c r="AW111" s="130"/>
      <c r="BA111" s="130"/>
      <c r="BB111" s="130"/>
      <c r="BC111" s="130"/>
    </row>
    <row r="112" spans="1:55" s="118" customFormat="1" ht="20.100000000000001" customHeight="1">
      <c r="A112" s="167"/>
      <c r="B112" s="167"/>
      <c r="C112" s="167"/>
      <c r="D112" s="167"/>
      <c r="E112" s="167"/>
      <c r="F112" s="167"/>
      <c r="G112" s="167"/>
      <c r="H112" s="167"/>
      <c r="I112" s="167"/>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8"/>
      <c r="AO112" s="168"/>
      <c r="AP112" s="116"/>
      <c r="AQ112" s="117"/>
      <c r="AR112" s="131"/>
      <c r="AS112" s="131"/>
      <c r="AT112" s="131"/>
      <c r="AU112" s="117"/>
      <c r="AW112" s="130"/>
      <c r="BA112" s="130"/>
      <c r="BB112" s="130"/>
      <c r="BC112" s="130"/>
    </row>
    <row r="113" spans="1:55" s="118" customFormat="1" ht="20.100000000000001" customHeight="1">
      <c r="A113" s="167"/>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8"/>
      <c r="AO113" s="168"/>
      <c r="AP113" s="116"/>
      <c r="AQ113" s="117"/>
      <c r="AR113" s="131"/>
      <c r="AS113" s="131"/>
      <c r="AT113" s="131"/>
      <c r="AU113" s="117"/>
      <c r="AW113" s="130"/>
      <c r="BA113" s="130"/>
      <c r="BB113" s="130"/>
      <c r="BC113" s="130"/>
    </row>
    <row r="114" spans="1:55" s="118" customFormat="1" ht="20.100000000000001" customHeight="1">
      <c r="A114" s="167"/>
      <c r="B114" s="167"/>
      <c r="C114" s="167"/>
      <c r="D114" s="167"/>
      <c r="E114" s="167"/>
      <c r="F114" s="167"/>
      <c r="G114" s="167"/>
      <c r="H114" s="167"/>
      <c r="I114" s="167"/>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8"/>
      <c r="AO114" s="168"/>
      <c r="AP114" s="116"/>
      <c r="AQ114" s="117"/>
      <c r="AR114" s="131"/>
      <c r="AS114" s="131"/>
      <c r="AT114" s="131"/>
      <c r="AU114" s="117"/>
      <c r="AW114" s="130"/>
      <c r="BA114" s="130"/>
      <c r="BB114" s="130"/>
      <c r="BC114" s="130"/>
    </row>
    <row r="115" spans="1:55" s="118" customFormat="1" ht="20.100000000000001" customHeight="1">
      <c r="A115" s="167"/>
      <c r="B115" s="167"/>
      <c r="C115" s="167"/>
      <c r="D115" s="167"/>
      <c r="E115" s="167"/>
      <c r="F115" s="167"/>
      <c r="G115" s="167"/>
      <c r="H115" s="167"/>
      <c r="I115" s="167"/>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8"/>
      <c r="AO115" s="168"/>
      <c r="AP115" s="116"/>
      <c r="AQ115" s="117"/>
      <c r="AR115" s="131"/>
      <c r="AS115" s="131"/>
      <c r="AT115" s="131"/>
      <c r="AU115" s="117"/>
      <c r="AW115" s="130"/>
      <c r="BA115" s="130"/>
      <c r="BB115" s="130"/>
      <c r="BC115" s="130"/>
    </row>
    <row r="116" spans="1:55" s="118" customFormat="1" ht="20.100000000000001" customHeight="1">
      <c r="A116" s="167"/>
      <c r="B116" s="167"/>
      <c r="C116" s="167"/>
      <c r="D116" s="167"/>
      <c r="E116" s="167"/>
      <c r="F116" s="167"/>
      <c r="G116" s="167"/>
      <c r="H116" s="167"/>
      <c r="I116" s="167"/>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8"/>
      <c r="AO116" s="168"/>
      <c r="AP116" s="116"/>
      <c r="AQ116" s="117"/>
      <c r="AR116" s="131"/>
      <c r="AS116" s="131"/>
      <c r="AT116" s="131"/>
      <c r="AU116" s="117"/>
      <c r="AW116" s="130"/>
      <c r="BA116" s="130"/>
      <c r="BB116" s="130"/>
      <c r="BC116" s="130"/>
    </row>
    <row r="117" spans="1:55" s="118" customFormat="1" ht="20.100000000000001" customHeight="1">
      <c r="A117" s="167"/>
      <c r="B117" s="167"/>
      <c r="C117" s="167"/>
      <c r="D117" s="167"/>
      <c r="E117" s="167"/>
      <c r="F117" s="167"/>
      <c r="G117" s="167"/>
      <c r="H117" s="167"/>
      <c r="I117" s="167"/>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8"/>
      <c r="AO117" s="168"/>
      <c r="AP117" s="116"/>
      <c r="AQ117" s="117"/>
      <c r="AR117" s="131"/>
      <c r="AS117" s="131"/>
      <c r="AT117" s="131"/>
      <c r="AU117" s="117"/>
      <c r="AW117" s="130"/>
      <c r="BA117" s="130"/>
      <c r="BB117" s="130"/>
      <c r="BC117" s="130"/>
    </row>
    <row r="118" spans="1:55" s="118" customFormat="1" ht="20.100000000000001" customHeight="1">
      <c r="A118" s="167"/>
      <c r="B118" s="167"/>
      <c r="C118" s="167"/>
      <c r="D118" s="167"/>
      <c r="E118" s="167"/>
      <c r="F118" s="167"/>
      <c r="G118" s="167"/>
      <c r="H118" s="167"/>
      <c r="I118" s="167"/>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8"/>
      <c r="AO118" s="168"/>
      <c r="AP118" s="116"/>
      <c r="AQ118" s="117"/>
      <c r="AR118" s="131"/>
      <c r="AS118" s="131"/>
      <c r="AT118" s="131"/>
      <c r="AU118" s="117"/>
      <c r="AW118" s="130"/>
      <c r="BA118" s="130"/>
      <c r="BB118" s="130"/>
      <c r="BC118" s="130"/>
    </row>
    <row r="119" spans="1:55" s="118" customFormat="1" ht="20.100000000000001" customHeight="1">
      <c r="A119" s="167"/>
      <c r="B119" s="167"/>
      <c r="C119" s="167"/>
      <c r="D119" s="167"/>
      <c r="E119" s="167"/>
      <c r="F119" s="167"/>
      <c r="G119" s="167"/>
      <c r="H119" s="167"/>
      <c r="I119" s="167"/>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8"/>
      <c r="AO119" s="168"/>
      <c r="AP119" s="116"/>
      <c r="AQ119" s="117"/>
      <c r="AR119" s="131"/>
      <c r="AS119" s="131"/>
      <c r="AT119" s="131"/>
      <c r="AU119" s="117"/>
      <c r="AW119" s="130"/>
      <c r="BA119" s="130"/>
      <c r="BB119" s="130"/>
      <c r="BC119" s="130"/>
    </row>
    <row r="120" spans="1:55" s="118" customFormat="1" ht="20.100000000000001" customHeight="1">
      <c r="A120" s="167"/>
      <c r="B120" s="167"/>
      <c r="C120" s="167"/>
      <c r="D120" s="167"/>
      <c r="E120" s="167"/>
      <c r="F120" s="167"/>
      <c r="G120" s="167"/>
      <c r="H120" s="167"/>
      <c r="I120" s="167"/>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8"/>
      <c r="AO120" s="168"/>
      <c r="AP120" s="116"/>
      <c r="AQ120" s="117"/>
      <c r="AR120" s="131"/>
      <c r="AS120" s="131"/>
      <c r="AT120" s="131"/>
      <c r="AU120" s="117"/>
      <c r="AW120" s="130"/>
      <c r="BA120" s="130"/>
      <c r="BB120" s="130"/>
      <c r="BC120" s="130"/>
    </row>
    <row r="121" spans="1:55" s="118" customFormat="1" ht="20.100000000000001" customHeight="1">
      <c r="A121" s="167"/>
      <c r="B121" s="167"/>
      <c r="C121" s="167"/>
      <c r="D121" s="167"/>
      <c r="E121" s="167"/>
      <c r="F121" s="167"/>
      <c r="G121" s="167"/>
      <c r="H121" s="167"/>
      <c r="I121" s="167"/>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8"/>
      <c r="AO121" s="168"/>
      <c r="AP121" s="116"/>
      <c r="AQ121" s="117"/>
      <c r="AR121" s="131"/>
      <c r="AS121" s="131"/>
      <c r="AT121" s="131"/>
      <c r="AU121" s="117"/>
      <c r="AW121" s="130"/>
      <c r="BA121" s="130"/>
      <c r="BB121" s="130"/>
      <c r="BC121" s="130"/>
    </row>
    <row r="122" spans="1:55" s="118" customFormat="1" ht="20.100000000000001" customHeight="1">
      <c r="A122" s="167"/>
      <c r="B122" s="167"/>
      <c r="C122" s="167"/>
      <c r="D122" s="167"/>
      <c r="E122" s="167"/>
      <c r="F122" s="167"/>
      <c r="G122" s="167"/>
      <c r="H122" s="167"/>
      <c r="I122" s="167"/>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8"/>
      <c r="AO122" s="168"/>
      <c r="AP122" s="116"/>
      <c r="AQ122" s="117"/>
      <c r="AR122" s="131"/>
      <c r="AS122" s="131"/>
      <c r="AT122" s="131"/>
      <c r="AU122" s="117"/>
      <c r="AW122" s="130"/>
      <c r="BA122" s="130"/>
      <c r="BB122" s="130"/>
      <c r="BC122" s="130"/>
    </row>
    <row r="123" spans="1:55" s="118" customFormat="1" ht="20.100000000000001" customHeight="1">
      <c r="A123" s="167"/>
      <c r="B123" s="167"/>
      <c r="C123" s="167"/>
      <c r="D123" s="167"/>
      <c r="E123" s="167"/>
      <c r="F123" s="167"/>
      <c r="G123" s="167"/>
      <c r="H123" s="167"/>
      <c r="I123" s="167"/>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8"/>
      <c r="AO123" s="168"/>
      <c r="AP123" s="116"/>
      <c r="AQ123" s="117"/>
      <c r="AR123" s="131"/>
      <c r="AS123" s="131"/>
      <c r="AT123" s="131"/>
      <c r="AU123" s="117"/>
      <c r="AW123" s="130"/>
      <c r="BA123" s="130"/>
      <c r="BB123" s="130"/>
      <c r="BC123" s="130"/>
    </row>
    <row r="124" spans="1:55" s="118" customFormat="1" ht="20.100000000000001" customHeight="1">
      <c r="A124" s="167"/>
      <c r="B124" s="167"/>
      <c r="C124" s="167"/>
      <c r="D124" s="167"/>
      <c r="E124" s="167"/>
      <c r="F124" s="167"/>
      <c r="G124" s="167"/>
      <c r="H124" s="167"/>
      <c r="I124" s="167"/>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8"/>
      <c r="AO124" s="168"/>
      <c r="AP124" s="116"/>
      <c r="AQ124" s="117"/>
      <c r="AR124" s="131"/>
      <c r="AS124" s="131"/>
      <c r="AT124" s="131"/>
      <c r="AU124" s="117"/>
      <c r="AW124" s="130"/>
      <c r="BA124" s="130"/>
      <c r="BB124" s="130"/>
      <c r="BC124" s="130"/>
    </row>
    <row r="125" spans="1:55" s="118" customFormat="1" ht="20.100000000000001" customHeight="1">
      <c r="A125" s="167"/>
      <c r="B125" s="167"/>
      <c r="C125" s="167"/>
      <c r="D125" s="167"/>
      <c r="E125" s="167"/>
      <c r="F125" s="167"/>
      <c r="G125" s="167"/>
      <c r="H125" s="167"/>
      <c r="I125" s="167"/>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8"/>
      <c r="AO125" s="168"/>
      <c r="AP125" s="116"/>
      <c r="AQ125" s="117"/>
      <c r="AR125" s="131"/>
      <c r="AS125" s="131"/>
      <c r="AT125" s="131"/>
      <c r="AU125" s="117"/>
      <c r="AW125" s="130"/>
      <c r="BA125" s="130"/>
      <c r="BB125" s="130"/>
      <c r="BC125" s="130"/>
    </row>
    <row r="126" spans="1:55" s="118" customFormat="1" ht="20.100000000000001" customHeight="1">
      <c r="A126" s="167"/>
      <c r="B126" s="167"/>
      <c r="C126" s="167"/>
      <c r="D126" s="167"/>
      <c r="E126" s="167"/>
      <c r="F126" s="167"/>
      <c r="G126" s="167"/>
      <c r="H126" s="167"/>
      <c r="I126" s="167"/>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8"/>
      <c r="AO126" s="168"/>
      <c r="AP126" s="116"/>
      <c r="AQ126" s="117"/>
      <c r="AR126" s="131"/>
      <c r="AS126" s="131"/>
      <c r="AT126" s="131"/>
      <c r="AU126" s="117"/>
      <c r="AW126" s="130"/>
      <c r="BA126" s="130"/>
      <c r="BB126" s="130"/>
      <c r="BC126" s="130"/>
    </row>
    <row r="127" spans="1:55" s="118" customFormat="1" ht="20.100000000000001" customHeight="1">
      <c r="A127" s="167"/>
      <c r="B127" s="167"/>
      <c r="C127" s="167"/>
      <c r="D127" s="167"/>
      <c r="E127" s="167"/>
      <c r="F127" s="167"/>
      <c r="G127" s="167"/>
      <c r="H127" s="167"/>
      <c r="I127" s="167"/>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8"/>
      <c r="AO127" s="168"/>
      <c r="AP127" s="116"/>
      <c r="AQ127" s="117"/>
      <c r="AR127" s="131"/>
      <c r="AS127" s="131"/>
      <c r="AT127" s="131"/>
      <c r="AU127" s="117"/>
      <c r="AW127" s="130"/>
      <c r="BA127" s="130"/>
      <c r="BB127" s="130"/>
      <c r="BC127" s="130"/>
    </row>
    <row r="128" spans="1:55" s="118" customFormat="1" ht="20.100000000000001" customHeight="1">
      <c r="A128" s="167"/>
      <c r="B128" s="167"/>
      <c r="C128" s="167"/>
      <c r="D128" s="167"/>
      <c r="E128" s="167"/>
      <c r="F128" s="167"/>
      <c r="G128" s="167"/>
      <c r="H128" s="167"/>
      <c r="I128" s="167"/>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8"/>
      <c r="AO128" s="168"/>
      <c r="AP128" s="116"/>
      <c r="AQ128" s="117"/>
      <c r="AR128" s="131"/>
      <c r="AS128" s="131"/>
      <c r="AT128" s="131"/>
      <c r="AU128" s="117"/>
      <c r="AW128" s="130"/>
      <c r="BA128" s="130"/>
      <c r="BB128" s="130"/>
      <c r="BC128" s="130"/>
    </row>
    <row r="129" spans="1:55" s="118" customFormat="1" ht="20.100000000000001" customHeight="1">
      <c r="A129" s="167"/>
      <c r="B129" s="167"/>
      <c r="C129" s="167"/>
      <c r="D129" s="167"/>
      <c r="E129" s="167"/>
      <c r="F129" s="167"/>
      <c r="G129" s="167"/>
      <c r="H129" s="167"/>
      <c r="I129" s="167"/>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8"/>
      <c r="AO129" s="168"/>
      <c r="AP129" s="116"/>
      <c r="AQ129" s="117"/>
      <c r="AR129" s="131"/>
      <c r="AS129" s="131"/>
      <c r="AT129" s="131"/>
      <c r="AU129" s="117"/>
      <c r="AW129" s="130"/>
      <c r="BA129" s="130"/>
      <c r="BB129" s="130"/>
      <c r="BC129" s="130"/>
    </row>
    <row r="130" spans="1:55" s="118" customFormat="1" ht="20.100000000000001" customHeight="1">
      <c r="A130" s="167"/>
      <c r="B130" s="167"/>
      <c r="C130" s="167"/>
      <c r="D130" s="167"/>
      <c r="E130" s="167"/>
      <c r="F130" s="167"/>
      <c r="G130" s="167"/>
      <c r="H130" s="167"/>
      <c r="I130" s="167"/>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8"/>
      <c r="AO130" s="168"/>
      <c r="AP130" s="116"/>
      <c r="AQ130" s="117"/>
      <c r="AR130" s="131"/>
      <c r="AS130" s="131"/>
      <c r="AT130" s="131"/>
      <c r="AU130" s="117"/>
      <c r="AW130" s="130"/>
      <c r="BA130" s="130"/>
      <c r="BB130" s="130"/>
      <c r="BC130" s="130"/>
    </row>
    <row r="131" spans="1:55" s="118" customFormat="1" ht="20.100000000000001" customHeight="1">
      <c r="A131" s="167"/>
      <c r="B131" s="167"/>
      <c r="C131" s="167"/>
      <c r="D131" s="167"/>
      <c r="E131" s="167"/>
      <c r="F131" s="167"/>
      <c r="G131" s="167"/>
      <c r="H131" s="167"/>
      <c r="I131" s="167"/>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8"/>
      <c r="AO131" s="168"/>
      <c r="AP131" s="116"/>
      <c r="AQ131" s="117"/>
      <c r="AR131" s="131"/>
      <c r="AS131" s="131"/>
      <c r="AT131" s="131"/>
      <c r="AU131" s="117"/>
      <c r="AW131" s="130"/>
      <c r="BA131" s="130"/>
      <c r="BB131" s="130"/>
      <c r="BC131" s="130"/>
    </row>
    <row r="132" spans="1:55" s="118" customFormat="1" ht="20.100000000000001" customHeight="1">
      <c r="A132" s="167"/>
      <c r="B132" s="167"/>
      <c r="C132" s="167"/>
      <c r="D132" s="167"/>
      <c r="E132" s="167"/>
      <c r="F132" s="167"/>
      <c r="G132" s="167"/>
      <c r="H132" s="167"/>
      <c r="I132" s="167"/>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8"/>
      <c r="AO132" s="168"/>
      <c r="AP132" s="116"/>
      <c r="AQ132" s="117"/>
      <c r="AR132" s="131"/>
      <c r="AS132" s="131"/>
      <c r="AT132" s="131"/>
      <c r="AU132" s="117"/>
      <c r="AW132" s="130"/>
      <c r="BA132" s="130"/>
      <c r="BB132" s="130"/>
      <c r="BC132" s="130"/>
    </row>
    <row r="133" spans="1:55" s="118" customFormat="1" ht="20.100000000000001" customHeight="1">
      <c r="A133" s="167"/>
      <c r="B133" s="167"/>
      <c r="C133" s="167"/>
      <c r="D133" s="167"/>
      <c r="E133" s="167"/>
      <c r="F133" s="167"/>
      <c r="G133" s="167"/>
      <c r="H133" s="167"/>
      <c r="I133" s="167"/>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8"/>
      <c r="AO133" s="168"/>
      <c r="AP133" s="116"/>
      <c r="AQ133" s="117"/>
      <c r="AR133" s="131"/>
      <c r="AS133" s="131"/>
      <c r="AT133" s="131"/>
      <c r="AU133" s="117"/>
      <c r="AW133" s="130"/>
      <c r="BA133" s="130"/>
      <c r="BB133" s="130"/>
      <c r="BC133" s="130"/>
    </row>
    <row r="134" spans="1:55" s="118" customFormat="1" ht="20.100000000000001" customHeight="1">
      <c r="A134" s="167"/>
      <c r="B134" s="167"/>
      <c r="C134" s="167"/>
      <c r="D134" s="167"/>
      <c r="E134" s="167"/>
      <c r="F134" s="167"/>
      <c r="G134" s="167"/>
      <c r="H134" s="167"/>
      <c r="I134" s="167"/>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8"/>
      <c r="AO134" s="168"/>
      <c r="AP134" s="116"/>
      <c r="AQ134" s="117"/>
      <c r="AR134" s="131"/>
      <c r="AS134" s="131"/>
      <c r="AT134" s="131"/>
      <c r="AU134" s="117"/>
      <c r="AW134" s="130"/>
      <c r="BA134" s="130"/>
      <c r="BB134" s="130"/>
      <c r="BC134" s="130"/>
    </row>
    <row r="135" spans="1:55" s="118" customFormat="1" ht="20.100000000000001" customHeight="1">
      <c r="A135" s="167"/>
      <c r="B135" s="167"/>
      <c r="C135" s="167"/>
      <c r="D135" s="167"/>
      <c r="E135" s="167"/>
      <c r="F135" s="167"/>
      <c r="G135" s="167"/>
      <c r="H135" s="167"/>
      <c r="I135" s="167"/>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8"/>
      <c r="AO135" s="168"/>
      <c r="AP135" s="116"/>
      <c r="AQ135" s="117"/>
      <c r="AR135" s="131"/>
      <c r="AS135" s="131"/>
      <c r="AT135" s="131"/>
      <c r="AU135" s="117"/>
      <c r="AW135" s="130"/>
      <c r="BA135" s="130"/>
      <c r="BB135" s="130"/>
      <c r="BC135" s="130"/>
    </row>
    <row r="136" spans="1:55" s="118" customFormat="1" ht="20.100000000000001" customHeight="1">
      <c r="A136" s="167"/>
      <c r="B136" s="167"/>
      <c r="C136" s="167"/>
      <c r="D136" s="167"/>
      <c r="E136" s="167"/>
      <c r="F136" s="167"/>
      <c r="G136" s="167"/>
      <c r="H136" s="167"/>
      <c r="I136" s="167"/>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8"/>
      <c r="AO136" s="168"/>
      <c r="AP136" s="116"/>
      <c r="AQ136" s="117"/>
      <c r="AR136" s="131"/>
      <c r="AS136" s="131"/>
      <c r="AT136" s="131"/>
      <c r="AU136" s="117"/>
      <c r="AW136" s="130"/>
      <c r="BA136" s="130"/>
      <c r="BB136" s="130"/>
      <c r="BC136" s="130"/>
    </row>
    <row r="137" spans="1:55" s="118" customFormat="1" ht="20.100000000000001" customHeight="1">
      <c r="A137" s="167"/>
      <c r="B137" s="167"/>
      <c r="C137" s="167"/>
      <c r="D137" s="167"/>
      <c r="E137" s="167"/>
      <c r="F137" s="167"/>
      <c r="G137" s="167"/>
      <c r="H137" s="167"/>
      <c r="I137" s="167"/>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8"/>
      <c r="AO137" s="168"/>
      <c r="AP137" s="116"/>
      <c r="AQ137" s="117"/>
      <c r="AR137" s="131"/>
      <c r="AS137" s="131"/>
      <c r="AT137" s="131"/>
      <c r="AU137" s="117"/>
      <c r="AW137" s="130"/>
      <c r="BA137" s="130"/>
      <c r="BB137" s="130"/>
      <c r="BC137" s="130"/>
    </row>
    <row r="138" spans="1:55" s="118" customFormat="1" ht="20.100000000000001" customHeight="1">
      <c r="A138" s="167"/>
      <c r="B138" s="167"/>
      <c r="C138" s="167"/>
      <c r="D138" s="167"/>
      <c r="E138" s="167"/>
      <c r="F138" s="167"/>
      <c r="G138" s="167"/>
      <c r="H138" s="167"/>
      <c r="I138" s="167"/>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8"/>
      <c r="AO138" s="168"/>
      <c r="AP138" s="116"/>
      <c r="AQ138" s="117"/>
      <c r="AR138" s="131"/>
      <c r="AS138" s="131"/>
      <c r="AT138" s="131"/>
      <c r="AU138" s="117"/>
      <c r="AW138" s="130"/>
      <c r="BA138" s="130"/>
      <c r="BB138" s="130"/>
      <c r="BC138" s="130"/>
    </row>
    <row r="139" spans="1:55" s="118" customFormat="1" ht="20.100000000000001" customHeight="1">
      <c r="A139" s="167"/>
      <c r="B139" s="167"/>
      <c r="C139" s="167"/>
      <c r="D139" s="167"/>
      <c r="E139" s="167"/>
      <c r="F139" s="167"/>
      <c r="G139" s="167"/>
      <c r="H139" s="167"/>
      <c r="I139" s="167"/>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8"/>
      <c r="AO139" s="168"/>
      <c r="AP139" s="116"/>
      <c r="AQ139" s="117"/>
      <c r="AR139" s="131"/>
      <c r="AS139" s="131"/>
      <c r="AT139" s="131"/>
      <c r="AU139" s="117"/>
      <c r="AW139" s="130"/>
      <c r="BA139" s="130"/>
      <c r="BB139" s="130"/>
      <c r="BC139" s="130"/>
    </row>
    <row r="140" spans="1:55" s="118" customFormat="1" ht="20.100000000000001" customHeight="1">
      <c r="A140" s="167"/>
      <c r="B140" s="167"/>
      <c r="C140" s="167"/>
      <c r="D140" s="167"/>
      <c r="E140" s="167"/>
      <c r="F140" s="167"/>
      <c r="G140" s="167"/>
      <c r="H140" s="167"/>
      <c r="I140" s="167"/>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8"/>
      <c r="AO140" s="168"/>
      <c r="AP140" s="116"/>
      <c r="AQ140" s="117"/>
      <c r="AR140" s="131"/>
      <c r="AS140" s="131"/>
      <c r="AT140" s="131"/>
      <c r="AU140" s="117"/>
      <c r="AW140" s="130"/>
      <c r="BA140" s="130"/>
      <c r="BB140" s="130"/>
      <c r="BC140" s="130"/>
    </row>
    <row r="141" spans="1:55" s="118" customFormat="1" ht="20.100000000000001" customHeight="1">
      <c r="A141" s="167"/>
      <c r="B141" s="167"/>
      <c r="C141" s="167"/>
      <c r="D141" s="167"/>
      <c r="E141" s="167"/>
      <c r="F141" s="167"/>
      <c r="G141" s="167"/>
      <c r="H141" s="167"/>
      <c r="I141" s="167"/>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8"/>
      <c r="AO141" s="168"/>
      <c r="AP141" s="116"/>
      <c r="AQ141" s="117"/>
      <c r="AR141" s="131"/>
      <c r="AS141" s="131"/>
      <c r="AT141" s="131"/>
      <c r="AU141" s="117"/>
      <c r="AW141" s="130"/>
      <c r="BA141" s="130"/>
      <c r="BB141" s="130"/>
      <c r="BC141" s="130"/>
    </row>
    <row r="142" spans="1:55" s="118" customFormat="1" ht="20.100000000000001" customHeight="1">
      <c r="A142" s="167"/>
      <c r="B142" s="167"/>
      <c r="C142" s="167"/>
      <c r="D142" s="167"/>
      <c r="E142" s="167"/>
      <c r="F142" s="167"/>
      <c r="G142" s="167"/>
      <c r="H142" s="167"/>
      <c r="I142" s="167"/>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8"/>
      <c r="AO142" s="168"/>
      <c r="AP142" s="116"/>
      <c r="AQ142" s="117"/>
      <c r="AR142" s="131"/>
      <c r="AS142" s="131"/>
      <c r="AT142" s="131"/>
      <c r="AU142" s="117"/>
      <c r="AW142" s="130"/>
      <c r="BA142" s="130"/>
      <c r="BB142" s="130"/>
      <c r="BC142" s="130"/>
    </row>
    <row r="143" spans="1:55" s="118" customFormat="1" ht="20.100000000000001" customHeight="1">
      <c r="A143" s="167"/>
      <c r="B143" s="167"/>
      <c r="C143" s="167"/>
      <c r="D143" s="167"/>
      <c r="E143" s="167"/>
      <c r="F143" s="167"/>
      <c r="G143" s="167"/>
      <c r="H143" s="167"/>
      <c r="I143" s="167"/>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8"/>
      <c r="AO143" s="168"/>
      <c r="AP143" s="116"/>
      <c r="AQ143" s="117"/>
      <c r="AR143" s="131"/>
      <c r="AS143" s="131"/>
      <c r="AT143" s="131"/>
      <c r="AU143" s="117"/>
      <c r="AW143" s="130"/>
      <c r="BA143" s="130"/>
      <c r="BB143" s="130"/>
      <c r="BC143" s="130"/>
    </row>
    <row r="144" spans="1:55" s="118" customFormat="1" ht="20.100000000000001" customHeight="1">
      <c r="A144" s="167"/>
      <c r="B144" s="167"/>
      <c r="C144" s="167"/>
      <c r="D144" s="167"/>
      <c r="E144" s="167"/>
      <c r="F144" s="167"/>
      <c r="G144" s="167"/>
      <c r="H144" s="167"/>
      <c r="I144" s="167"/>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8"/>
      <c r="AO144" s="168"/>
      <c r="AP144" s="116"/>
      <c r="AQ144" s="117"/>
      <c r="AR144" s="131"/>
      <c r="AS144" s="131"/>
      <c r="AT144" s="131"/>
      <c r="AU144" s="117"/>
      <c r="AW144" s="130"/>
      <c r="BA144" s="130"/>
      <c r="BB144" s="130"/>
      <c r="BC144" s="130"/>
    </row>
    <row r="145" spans="1:55" s="118" customFormat="1" ht="20.100000000000001" customHeight="1">
      <c r="A145" s="167"/>
      <c r="B145" s="167"/>
      <c r="C145" s="167"/>
      <c r="D145" s="167"/>
      <c r="E145" s="167"/>
      <c r="F145" s="167"/>
      <c r="G145" s="167"/>
      <c r="H145" s="167"/>
      <c r="I145" s="167"/>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8"/>
      <c r="AO145" s="168"/>
      <c r="AP145" s="116"/>
      <c r="AQ145" s="117"/>
      <c r="AR145" s="131"/>
      <c r="AS145" s="131"/>
      <c r="AT145" s="131"/>
      <c r="AU145" s="117"/>
      <c r="AW145" s="130"/>
      <c r="BA145" s="130"/>
      <c r="BB145" s="130"/>
      <c r="BC145" s="130"/>
    </row>
    <row r="146" spans="1:55" s="118" customFormat="1" ht="20.100000000000001" customHeight="1">
      <c r="A146" s="167"/>
      <c r="B146" s="167"/>
      <c r="C146" s="167"/>
      <c r="D146" s="167"/>
      <c r="E146" s="167"/>
      <c r="F146" s="167"/>
      <c r="G146" s="167"/>
      <c r="H146" s="167"/>
      <c r="I146" s="167"/>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8"/>
      <c r="AO146" s="168"/>
      <c r="AP146" s="116"/>
      <c r="AQ146" s="117"/>
      <c r="AR146" s="131"/>
      <c r="AS146" s="131"/>
      <c r="AT146" s="131"/>
      <c r="AU146" s="117"/>
      <c r="AW146" s="130"/>
      <c r="BA146" s="130"/>
      <c r="BB146" s="130"/>
      <c r="BC146" s="130"/>
    </row>
    <row r="147" spans="1:55" s="118" customFormat="1" ht="20.100000000000001" customHeight="1">
      <c r="A147" s="167"/>
      <c r="B147" s="167"/>
      <c r="C147" s="167"/>
      <c r="D147" s="167"/>
      <c r="E147" s="167"/>
      <c r="F147" s="167"/>
      <c r="G147" s="167"/>
      <c r="H147" s="167"/>
      <c r="I147" s="167"/>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8"/>
      <c r="AO147" s="168"/>
      <c r="AP147" s="116"/>
      <c r="AQ147" s="117"/>
      <c r="AR147" s="131"/>
      <c r="AS147" s="131"/>
      <c r="AT147" s="131"/>
      <c r="AU147" s="117"/>
      <c r="AW147" s="130"/>
      <c r="BA147" s="130"/>
      <c r="BB147" s="130"/>
      <c r="BC147" s="130"/>
    </row>
    <row r="148" spans="1:55" s="118" customFormat="1" ht="20.100000000000001" customHeight="1">
      <c r="A148" s="167"/>
      <c r="B148" s="167"/>
      <c r="C148" s="167"/>
      <c r="D148" s="167"/>
      <c r="E148" s="167"/>
      <c r="F148" s="167"/>
      <c r="G148" s="167"/>
      <c r="H148" s="167"/>
      <c r="I148" s="167"/>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8"/>
      <c r="AO148" s="168"/>
      <c r="AP148" s="116"/>
      <c r="AQ148" s="117"/>
      <c r="AR148" s="131"/>
      <c r="AS148" s="131"/>
      <c r="AT148" s="131"/>
      <c r="AU148" s="117"/>
      <c r="AW148" s="130"/>
      <c r="BA148" s="130"/>
      <c r="BB148" s="130"/>
      <c r="BC148" s="130"/>
    </row>
    <row r="149" spans="1:55" s="118" customFormat="1" ht="20.100000000000001" customHeight="1">
      <c r="A149" s="167"/>
      <c r="B149" s="167"/>
      <c r="C149" s="167"/>
      <c r="D149" s="167"/>
      <c r="E149" s="167"/>
      <c r="F149" s="167"/>
      <c r="G149" s="167"/>
      <c r="H149" s="167"/>
      <c r="I149" s="167"/>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8"/>
      <c r="AO149" s="168"/>
      <c r="AP149" s="116"/>
      <c r="AQ149" s="117"/>
      <c r="AR149" s="131"/>
      <c r="AS149" s="131"/>
      <c r="AT149" s="131"/>
      <c r="AU149" s="117"/>
      <c r="AW149" s="130"/>
      <c r="BA149" s="130"/>
      <c r="BB149" s="130"/>
      <c r="BC149" s="130"/>
    </row>
    <row r="150" spans="1:55" s="118" customFormat="1" ht="20.100000000000001" customHeight="1">
      <c r="A150" s="167"/>
      <c r="B150" s="167"/>
      <c r="C150" s="167"/>
      <c r="D150" s="167"/>
      <c r="E150" s="167"/>
      <c r="F150" s="167"/>
      <c r="G150" s="167"/>
      <c r="H150" s="167"/>
      <c r="I150" s="167"/>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8"/>
      <c r="AO150" s="168"/>
      <c r="AP150" s="116"/>
      <c r="AQ150" s="117"/>
      <c r="AR150" s="131"/>
      <c r="AS150" s="131"/>
      <c r="AT150" s="131"/>
      <c r="AU150" s="117"/>
      <c r="AW150" s="130"/>
      <c r="BA150" s="130"/>
      <c r="BB150" s="130"/>
      <c r="BC150" s="130"/>
    </row>
    <row r="151" spans="1:55" s="118" customFormat="1" ht="20.100000000000001" customHeight="1">
      <c r="A151" s="167"/>
      <c r="B151" s="167"/>
      <c r="C151" s="167"/>
      <c r="D151" s="167"/>
      <c r="E151" s="167"/>
      <c r="F151" s="167"/>
      <c r="G151" s="167"/>
      <c r="H151" s="167"/>
      <c r="I151" s="167"/>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8"/>
      <c r="AO151" s="168"/>
      <c r="AP151" s="116"/>
      <c r="AQ151" s="117"/>
      <c r="AR151" s="131"/>
      <c r="AS151" s="131"/>
      <c r="AT151" s="131"/>
      <c r="AU151" s="117"/>
      <c r="AW151" s="130"/>
      <c r="BA151" s="130"/>
      <c r="BB151" s="130"/>
      <c r="BC151" s="130"/>
    </row>
    <row r="152" spans="1:55" s="118" customFormat="1" ht="20.100000000000001" customHeight="1">
      <c r="A152" s="167"/>
      <c r="B152" s="167"/>
      <c r="C152" s="167"/>
      <c r="D152" s="167"/>
      <c r="E152" s="167"/>
      <c r="F152" s="167"/>
      <c r="G152" s="167"/>
      <c r="H152" s="167"/>
      <c r="I152" s="167"/>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8"/>
      <c r="AO152" s="168"/>
      <c r="AP152" s="116"/>
      <c r="AQ152" s="117"/>
      <c r="AR152" s="131"/>
      <c r="AS152" s="131"/>
      <c r="AT152" s="131"/>
      <c r="AU152" s="117"/>
      <c r="AW152" s="130"/>
      <c r="BA152" s="130"/>
      <c r="BB152" s="130"/>
      <c r="BC152" s="130"/>
    </row>
    <row r="153" spans="1:55" s="118" customFormat="1" ht="20.100000000000001" customHeight="1">
      <c r="A153" s="167"/>
      <c r="B153" s="167"/>
      <c r="C153" s="167"/>
      <c r="D153" s="167"/>
      <c r="E153" s="167"/>
      <c r="F153" s="167"/>
      <c r="G153" s="167"/>
      <c r="H153" s="167"/>
      <c r="I153" s="167"/>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8"/>
      <c r="AO153" s="168"/>
      <c r="AP153" s="116"/>
      <c r="AQ153" s="117"/>
      <c r="AR153" s="131"/>
      <c r="AS153" s="131"/>
      <c r="AT153" s="131"/>
      <c r="AU153" s="117"/>
      <c r="AW153" s="130"/>
      <c r="BA153" s="130"/>
      <c r="BB153" s="130"/>
      <c r="BC153" s="130"/>
    </row>
    <row r="154" spans="1:55" s="118" customFormat="1" ht="20.100000000000001" customHeight="1">
      <c r="A154" s="167"/>
      <c r="B154" s="167"/>
      <c r="C154" s="167"/>
      <c r="D154" s="167"/>
      <c r="E154" s="167"/>
      <c r="F154" s="167"/>
      <c r="G154" s="167"/>
      <c r="H154" s="167"/>
      <c r="I154" s="167"/>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8"/>
      <c r="AO154" s="168"/>
      <c r="AP154" s="116"/>
      <c r="AQ154" s="117"/>
      <c r="AR154" s="131"/>
      <c r="AS154" s="131"/>
      <c r="AT154" s="131"/>
      <c r="AU154" s="117"/>
      <c r="AW154" s="130"/>
      <c r="BA154" s="130"/>
      <c r="BB154" s="130"/>
      <c r="BC154" s="130"/>
    </row>
    <row r="155" spans="1:55" s="118" customFormat="1" ht="20.100000000000001" customHeight="1">
      <c r="A155" s="167"/>
      <c r="B155" s="167"/>
      <c r="C155" s="167"/>
      <c r="D155" s="167"/>
      <c r="E155" s="167"/>
      <c r="F155" s="167"/>
      <c r="G155" s="167"/>
      <c r="H155" s="167"/>
      <c r="I155" s="167"/>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8"/>
      <c r="AO155" s="168"/>
      <c r="AP155" s="116"/>
      <c r="AQ155" s="117"/>
      <c r="AR155" s="131"/>
      <c r="AS155" s="131"/>
      <c r="AT155" s="131"/>
      <c r="AU155" s="117"/>
      <c r="AW155" s="130"/>
      <c r="BA155" s="130"/>
      <c r="BB155" s="130"/>
      <c r="BC155" s="130"/>
    </row>
    <row r="156" spans="1:55" s="118" customFormat="1" ht="20.100000000000001" customHeight="1">
      <c r="A156" s="167"/>
      <c r="B156" s="167"/>
      <c r="C156" s="167"/>
      <c r="D156" s="167"/>
      <c r="E156" s="167"/>
      <c r="F156" s="167"/>
      <c r="G156" s="167"/>
      <c r="H156" s="167"/>
      <c r="I156" s="167"/>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8"/>
      <c r="AO156" s="168"/>
      <c r="AP156" s="116"/>
      <c r="AQ156" s="117"/>
      <c r="AR156" s="131"/>
      <c r="AS156" s="131"/>
      <c r="AT156" s="131"/>
      <c r="AU156" s="117"/>
      <c r="AW156" s="130"/>
      <c r="BA156" s="130"/>
      <c r="BB156" s="130"/>
      <c r="BC156" s="130"/>
    </row>
    <row r="157" spans="1:55" s="118" customFormat="1" ht="20.100000000000001" customHeight="1">
      <c r="A157" s="167"/>
      <c r="B157" s="167"/>
      <c r="C157" s="167"/>
      <c r="D157" s="167"/>
      <c r="E157" s="167"/>
      <c r="F157" s="167"/>
      <c r="G157" s="167"/>
      <c r="H157" s="167"/>
      <c r="I157" s="167"/>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8"/>
      <c r="AO157" s="168"/>
      <c r="AP157" s="116"/>
      <c r="AQ157" s="117"/>
      <c r="AR157" s="131"/>
      <c r="AS157" s="131"/>
      <c r="AT157" s="131"/>
      <c r="AU157" s="117"/>
      <c r="AW157" s="130"/>
      <c r="BA157" s="130"/>
      <c r="BB157" s="130"/>
      <c r="BC157" s="130"/>
    </row>
    <row r="158" spans="1:55" s="118" customFormat="1" ht="20.100000000000001" customHeight="1">
      <c r="A158" s="167"/>
      <c r="B158" s="167"/>
      <c r="C158" s="167"/>
      <c r="D158" s="167"/>
      <c r="E158" s="167"/>
      <c r="F158" s="167"/>
      <c r="G158" s="167"/>
      <c r="H158" s="167"/>
      <c r="I158" s="167"/>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8"/>
      <c r="AO158" s="168"/>
      <c r="AP158" s="116"/>
      <c r="AQ158" s="117"/>
      <c r="AR158" s="131"/>
      <c r="AS158" s="131"/>
      <c r="AT158" s="131"/>
      <c r="AU158" s="117"/>
      <c r="AW158" s="130"/>
      <c r="BA158" s="130"/>
      <c r="BB158" s="130"/>
      <c r="BC158" s="130"/>
    </row>
    <row r="159" spans="1:55" s="118" customFormat="1" ht="20.100000000000001" customHeight="1">
      <c r="A159" s="167"/>
      <c r="B159" s="167"/>
      <c r="C159" s="167"/>
      <c r="D159" s="167"/>
      <c r="E159" s="167"/>
      <c r="F159" s="167"/>
      <c r="G159" s="167"/>
      <c r="H159" s="167"/>
      <c r="I159" s="167"/>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8"/>
      <c r="AO159" s="168"/>
      <c r="AP159" s="116"/>
      <c r="AQ159" s="117"/>
      <c r="AR159" s="131"/>
      <c r="AS159" s="131"/>
      <c r="AT159" s="131"/>
      <c r="AU159" s="117"/>
      <c r="AW159" s="130"/>
      <c r="BA159" s="130"/>
      <c r="BB159" s="130"/>
      <c r="BC159" s="130"/>
    </row>
    <row r="160" spans="1:55" s="118" customFormat="1" ht="20.100000000000001" customHeight="1">
      <c r="A160" s="167"/>
      <c r="B160" s="167"/>
      <c r="C160" s="167"/>
      <c r="D160" s="167"/>
      <c r="E160" s="167"/>
      <c r="F160" s="167"/>
      <c r="G160" s="167"/>
      <c r="H160" s="167"/>
      <c r="I160" s="167"/>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8"/>
      <c r="AO160" s="168"/>
      <c r="AP160" s="116"/>
      <c r="AQ160" s="117"/>
      <c r="AR160" s="131"/>
      <c r="AS160" s="131"/>
      <c r="AT160" s="131"/>
      <c r="AU160" s="117"/>
      <c r="AW160" s="130"/>
      <c r="BA160" s="130"/>
      <c r="BB160" s="130"/>
      <c r="BC160" s="130"/>
    </row>
    <row r="161" spans="1:55" s="118" customFormat="1" ht="20.100000000000001" customHeight="1">
      <c r="A161" s="167"/>
      <c r="B161" s="167"/>
      <c r="C161" s="167"/>
      <c r="D161" s="167"/>
      <c r="E161" s="167"/>
      <c r="F161" s="167"/>
      <c r="G161" s="167"/>
      <c r="H161" s="167"/>
      <c r="I161" s="167"/>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8"/>
      <c r="AO161" s="168"/>
      <c r="AP161" s="116"/>
      <c r="AQ161" s="117"/>
      <c r="AR161" s="131"/>
      <c r="AS161" s="131"/>
      <c r="AT161" s="131"/>
      <c r="AU161" s="117"/>
      <c r="AW161" s="130"/>
      <c r="BA161" s="130"/>
      <c r="BB161" s="130"/>
      <c r="BC161" s="130"/>
    </row>
    <row r="162" spans="1:55" s="118" customFormat="1" ht="20.100000000000001" customHeight="1">
      <c r="A162" s="167"/>
      <c r="B162" s="167"/>
      <c r="C162" s="167"/>
      <c r="D162" s="167"/>
      <c r="E162" s="167"/>
      <c r="F162" s="167"/>
      <c r="G162" s="167"/>
      <c r="H162" s="167"/>
      <c r="I162" s="167"/>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8"/>
      <c r="AO162" s="168"/>
      <c r="AP162" s="116"/>
      <c r="AQ162" s="117"/>
      <c r="AR162" s="131"/>
      <c r="AS162" s="131"/>
      <c r="AT162" s="131"/>
      <c r="AU162" s="117"/>
      <c r="AW162" s="130"/>
      <c r="BA162" s="130"/>
      <c r="BB162" s="130"/>
      <c r="BC162" s="130"/>
    </row>
    <row r="163" spans="1:55" s="118" customFormat="1" ht="20.100000000000001" customHeight="1">
      <c r="A163" s="167"/>
      <c r="B163" s="167"/>
      <c r="C163" s="167"/>
      <c r="D163" s="167"/>
      <c r="E163" s="167"/>
      <c r="F163" s="167"/>
      <c r="G163" s="167"/>
      <c r="H163" s="167"/>
      <c r="I163" s="167"/>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8"/>
      <c r="AO163" s="168"/>
      <c r="AP163" s="116"/>
      <c r="AQ163" s="117"/>
      <c r="AR163" s="131"/>
      <c r="AS163" s="131"/>
      <c r="AT163" s="131"/>
      <c r="AU163" s="117"/>
      <c r="AW163" s="130"/>
      <c r="BA163" s="130"/>
      <c r="BB163" s="130"/>
      <c r="BC163" s="130"/>
    </row>
    <row r="164" spans="1:55" s="118" customFormat="1" ht="20.100000000000001" customHeight="1">
      <c r="A164" s="167"/>
      <c r="B164" s="167"/>
      <c r="C164" s="167"/>
      <c r="D164" s="167"/>
      <c r="E164" s="167"/>
      <c r="F164" s="167"/>
      <c r="G164" s="167"/>
      <c r="H164" s="167"/>
      <c r="I164" s="167"/>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8"/>
      <c r="AO164" s="168"/>
      <c r="AP164" s="116"/>
      <c r="AQ164" s="117"/>
      <c r="AR164" s="131"/>
      <c r="AS164" s="131"/>
      <c r="AT164" s="131"/>
      <c r="AU164" s="117"/>
      <c r="AW164" s="130"/>
      <c r="BA164" s="130"/>
      <c r="BB164" s="130"/>
      <c r="BC164" s="130"/>
    </row>
    <row r="165" spans="1:55" s="118" customFormat="1" ht="20.100000000000001" customHeight="1">
      <c r="A165" s="167"/>
      <c r="B165" s="167"/>
      <c r="C165" s="167"/>
      <c r="D165" s="167"/>
      <c r="E165" s="167"/>
      <c r="F165" s="167"/>
      <c r="G165" s="167"/>
      <c r="H165" s="167"/>
      <c r="I165" s="167"/>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8"/>
      <c r="AO165" s="168"/>
      <c r="AP165" s="116"/>
      <c r="AQ165" s="117"/>
      <c r="AR165" s="131"/>
      <c r="AS165" s="131"/>
      <c r="AT165" s="131"/>
      <c r="AU165" s="117"/>
      <c r="AW165" s="130"/>
      <c r="BA165" s="130"/>
      <c r="BB165" s="130"/>
      <c r="BC165" s="130"/>
    </row>
    <row r="166" spans="1:55" s="118" customFormat="1" ht="20.100000000000001" customHeight="1">
      <c r="A166" s="167"/>
      <c r="B166" s="167"/>
      <c r="C166" s="167"/>
      <c r="D166" s="167"/>
      <c r="E166" s="167"/>
      <c r="F166" s="167"/>
      <c r="G166" s="167"/>
      <c r="H166" s="167"/>
      <c r="I166" s="167"/>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8"/>
      <c r="AO166" s="168"/>
      <c r="AP166" s="116"/>
      <c r="AQ166" s="117"/>
      <c r="AR166" s="131"/>
      <c r="AS166" s="131"/>
      <c r="AT166" s="131"/>
      <c r="AU166" s="117"/>
      <c r="AW166" s="130"/>
      <c r="BA166" s="130"/>
      <c r="BB166" s="130"/>
      <c r="BC166" s="130"/>
    </row>
    <row r="167" spans="1:55" s="118" customFormat="1" ht="20.100000000000001" customHeight="1">
      <c r="A167" s="167"/>
      <c r="B167" s="167"/>
      <c r="C167" s="167"/>
      <c r="D167" s="167"/>
      <c r="E167" s="167"/>
      <c r="F167" s="167"/>
      <c r="G167" s="167"/>
      <c r="H167" s="167"/>
      <c r="I167" s="167"/>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8"/>
      <c r="AO167" s="168"/>
      <c r="AP167" s="116"/>
      <c r="AQ167" s="117"/>
      <c r="AR167" s="131"/>
      <c r="AS167" s="131"/>
      <c r="AT167" s="131"/>
      <c r="AU167" s="117"/>
      <c r="AW167" s="130"/>
      <c r="BA167" s="130"/>
      <c r="BB167" s="130"/>
      <c r="BC167" s="130"/>
    </row>
    <row r="168" spans="1:55" s="118" customFormat="1" ht="20.100000000000001" customHeight="1">
      <c r="A168" s="167"/>
      <c r="B168" s="167"/>
      <c r="C168" s="167"/>
      <c r="D168" s="167"/>
      <c r="E168" s="167"/>
      <c r="F168" s="167"/>
      <c r="G168" s="167"/>
      <c r="H168" s="167"/>
      <c r="I168" s="167"/>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8"/>
      <c r="AO168" s="168"/>
      <c r="AP168" s="116"/>
      <c r="AQ168" s="117"/>
      <c r="AR168" s="131"/>
      <c r="AS168" s="131"/>
      <c r="AT168" s="131"/>
      <c r="AU168" s="117"/>
      <c r="AW168" s="130"/>
      <c r="BA168" s="130"/>
      <c r="BB168" s="130"/>
      <c r="BC168" s="130"/>
    </row>
    <row r="169" spans="1:55" s="118" customFormat="1" ht="20.100000000000001" customHeight="1">
      <c r="A169" s="167"/>
      <c r="B169" s="167"/>
      <c r="C169" s="167"/>
      <c r="D169" s="167"/>
      <c r="E169" s="167"/>
      <c r="F169" s="167"/>
      <c r="G169" s="167"/>
      <c r="H169" s="167"/>
      <c r="I169" s="167"/>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8"/>
      <c r="AO169" s="168"/>
      <c r="AP169" s="116"/>
      <c r="AQ169" s="117"/>
      <c r="AR169" s="131"/>
      <c r="AS169" s="131"/>
      <c r="AT169" s="131"/>
      <c r="AU169" s="117"/>
      <c r="AW169" s="130"/>
      <c r="BA169" s="130"/>
      <c r="BB169" s="130"/>
      <c r="BC169" s="130"/>
    </row>
    <row r="170" spans="1:55" s="118" customFormat="1" ht="20.100000000000001" customHeight="1">
      <c r="A170" s="167"/>
      <c r="B170" s="167"/>
      <c r="C170" s="167"/>
      <c r="D170" s="167"/>
      <c r="E170" s="167"/>
      <c r="F170" s="167"/>
      <c r="G170" s="167"/>
      <c r="H170" s="167"/>
      <c r="I170" s="167"/>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8"/>
      <c r="AO170" s="168"/>
      <c r="AP170" s="116"/>
      <c r="AQ170" s="117"/>
      <c r="AR170" s="131"/>
      <c r="AS170" s="131"/>
      <c r="AT170" s="131"/>
      <c r="AU170" s="117"/>
      <c r="AW170" s="130"/>
      <c r="BA170" s="130"/>
      <c r="BB170" s="130"/>
      <c r="BC170" s="130"/>
    </row>
    <row r="171" spans="1:55" s="118" customFormat="1" ht="20.100000000000001" customHeight="1">
      <c r="A171" s="167"/>
      <c r="B171" s="167"/>
      <c r="C171" s="167"/>
      <c r="D171" s="167"/>
      <c r="E171" s="167"/>
      <c r="F171" s="167"/>
      <c r="G171" s="167"/>
      <c r="H171" s="167"/>
      <c r="I171" s="167"/>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8"/>
      <c r="AO171" s="168"/>
      <c r="AP171" s="116"/>
      <c r="AQ171" s="117"/>
      <c r="AR171" s="131"/>
      <c r="AS171" s="131"/>
      <c r="AT171" s="131"/>
      <c r="AU171" s="117"/>
      <c r="AW171" s="130"/>
      <c r="BA171" s="130"/>
      <c r="BB171" s="130"/>
      <c r="BC171" s="130"/>
    </row>
    <row r="172" spans="1:55" s="118" customFormat="1" ht="20.100000000000001" customHeight="1">
      <c r="A172" s="167"/>
      <c r="B172" s="167"/>
      <c r="C172" s="167"/>
      <c r="D172" s="167"/>
      <c r="E172" s="167"/>
      <c r="F172" s="167"/>
      <c r="G172" s="167"/>
      <c r="H172" s="167"/>
      <c r="I172" s="167"/>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8"/>
      <c r="AO172" s="168"/>
      <c r="AP172" s="116"/>
      <c r="AQ172" s="117"/>
      <c r="AR172" s="131"/>
      <c r="AS172" s="131"/>
      <c r="AT172" s="131"/>
      <c r="AU172" s="117"/>
      <c r="AW172" s="130"/>
      <c r="BA172" s="130"/>
      <c r="BB172" s="130"/>
      <c r="BC172" s="130"/>
    </row>
    <row r="173" spans="1:55" s="118" customFormat="1" ht="20.100000000000001" customHeight="1">
      <c r="A173" s="167"/>
      <c r="B173" s="167"/>
      <c r="C173" s="167"/>
      <c r="D173" s="167"/>
      <c r="E173" s="167"/>
      <c r="F173" s="167"/>
      <c r="G173" s="167"/>
      <c r="H173" s="167"/>
      <c r="I173" s="167"/>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8"/>
      <c r="AO173" s="168"/>
      <c r="AP173" s="116"/>
      <c r="AQ173" s="117"/>
      <c r="AR173" s="131"/>
      <c r="AS173" s="131"/>
      <c r="AT173" s="131"/>
      <c r="AU173" s="117"/>
      <c r="AW173" s="130"/>
      <c r="BA173" s="130"/>
      <c r="BB173" s="130"/>
      <c r="BC173" s="130"/>
    </row>
    <row r="174" spans="1:55" s="118" customFormat="1" ht="20.100000000000001" customHeight="1">
      <c r="A174" s="167"/>
      <c r="B174" s="167"/>
      <c r="C174" s="167"/>
      <c r="D174" s="167"/>
      <c r="E174" s="167"/>
      <c r="F174" s="167"/>
      <c r="G174" s="167"/>
      <c r="H174" s="167"/>
      <c r="I174" s="167"/>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8"/>
      <c r="AO174" s="168"/>
      <c r="AP174" s="116"/>
      <c r="AQ174" s="117"/>
      <c r="AR174" s="131"/>
      <c r="AS174" s="131"/>
      <c r="AT174" s="131"/>
      <c r="AU174" s="117"/>
      <c r="AW174" s="130"/>
      <c r="BA174" s="130"/>
      <c r="BB174" s="130"/>
      <c r="BC174" s="130"/>
    </row>
    <row r="175" spans="1:55" s="118" customFormat="1" ht="20.100000000000001" customHeight="1">
      <c r="A175" s="167"/>
      <c r="B175" s="167"/>
      <c r="C175" s="167"/>
      <c r="D175" s="167"/>
      <c r="E175" s="167"/>
      <c r="F175" s="167"/>
      <c r="G175" s="167"/>
      <c r="H175" s="167"/>
      <c r="I175" s="167"/>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8"/>
      <c r="AO175" s="168"/>
      <c r="AP175" s="116"/>
      <c r="AQ175" s="117"/>
      <c r="AR175" s="131"/>
      <c r="AS175" s="131"/>
      <c r="AT175" s="131"/>
      <c r="AU175" s="117"/>
      <c r="AW175" s="130"/>
      <c r="BA175" s="130"/>
      <c r="BB175" s="130"/>
      <c r="BC175" s="130"/>
    </row>
    <row r="176" spans="1:55" s="118" customFormat="1" ht="20.100000000000001" customHeight="1">
      <c r="A176" s="167"/>
      <c r="B176" s="167"/>
      <c r="C176" s="167"/>
      <c r="D176" s="167"/>
      <c r="E176" s="167"/>
      <c r="F176" s="167"/>
      <c r="G176" s="167"/>
      <c r="H176" s="167"/>
      <c r="I176" s="167"/>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8"/>
      <c r="AO176" s="168"/>
      <c r="AP176" s="116"/>
      <c r="AQ176" s="117"/>
      <c r="AR176" s="131"/>
      <c r="AS176" s="131"/>
      <c r="AT176" s="131"/>
      <c r="AU176" s="117"/>
      <c r="AW176" s="130"/>
      <c r="BA176" s="130"/>
      <c r="BB176" s="130"/>
      <c r="BC176" s="130"/>
    </row>
    <row r="177" spans="1:55" s="118" customFormat="1" ht="20.100000000000001" customHeight="1">
      <c r="A177" s="167"/>
      <c r="B177" s="167"/>
      <c r="C177" s="167"/>
      <c r="D177" s="167"/>
      <c r="E177" s="167"/>
      <c r="F177" s="167"/>
      <c r="G177" s="167"/>
      <c r="H177" s="167"/>
      <c r="I177" s="167"/>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8"/>
      <c r="AO177" s="168"/>
      <c r="AP177" s="116"/>
      <c r="AQ177" s="117"/>
      <c r="AR177" s="131"/>
      <c r="AS177" s="131"/>
      <c r="AT177" s="131"/>
      <c r="AU177" s="117"/>
      <c r="AW177" s="130"/>
      <c r="BA177" s="130"/>
      <c r="BB177" s="130"/>
      <c r="BC177" s="130"/>
    </row>
    <row r="178" spans="1:55" s="118" customFormat="1" ht="20.100000000000001" customHeight="1">
      <c r="A178" s="167"/>
      <c r="B178" s="167"/>
      <c r="C178" s="167"/>
      <c r="D178" s="167"/>
      <c r="E178" s="167"/>
      <c r="F178" s="167"/>
      <c r="G178" s="167"/>
      <c r="H178" s="167"/>
      <c r="I178" s="167"/>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8"/>
      <c r="AO178" s="168"/>
      <c r="AP178" s="116"/>
      <c r="AQ178" s="117"/>
      <c r="AR178" s="131"/>
      <c r="AS178" s="131"/>
      <c r="AT178" s="131"/>
      <c r="AU178" s="117"/>
      <c r="AW178" s="130"/>
      <c r="BA178" s="130"/>
      <c r="BB178" s="130"/>
      <c r="BC178" s="130"/>
    </row>
    <row r="179" spans="1:55" s="118" customFormat="1" ht="20.100000000000001" customHeight="1">
      <c r="A179" s="167"/>
      <c r="B179" s="167"/>
      <c r="C179" s="167"/>
      <c r="D179" s="167"/>
      <c r="E179" s="167"/>
      <c r="F179" s="167"/>
      <c r="G179" s="167"/>
      <c r="H179" s="167"/>
      <c r="I179" s="167"/>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8"/>
      <c r="AO179" s="168"/>
      <c r="AP179" s="116"/>
      <c r="AQ179" s="117"/>
      <c r="AR179" s="131"/>
      <c r="AS179" s="131"/>
      <c r="AT179" s="131"/>
      <c r="AU179" s="117"/>
      <c r="AW179" s="130"/>
      <c r="BA179" s="130"/>
      <c r="BB179" s="130"/>
      <c r="BC179" s="130"/>
    </row>
    <row r="180" spans="1:55" s="118" customFormat="1" ht="20.100000000000001" customHeight="1">
      <c r="A180" s="167"/>
      <c r="B180" s="167"/>
      <c r="C180" s="167"/>
      <c r="D180" s="167"/>
      <c r="E180" s="167"/>
      <c r="F180" s="167"/>
      <c r="G180" s="167"/>
      <c r="H180" s="167"/>
      <c r="I180" s="167"/>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8"/>
      <c r="AO180" s="168"/>
      <c r="AP180" s="116"/>
      <c r="AQ180" s="117"/>
      <c r="AR180" s="131"/>
      <c r="AS180" s="131"/>
      <c r="AT180" s="131"/>
      <c r="AU180" s="117"/>
      <c r="AW180" s="130"/>
      <c r="BA180" s="130"/>
      <c r="BB180" s="130"/>
      <c r="BC180" s="130"/>
    </row>
    <row r="181" spans="1:55" s="118" customFormat="1" ht="20.100000000000001" customHeight="1">
      <c r="A181" s="167"/>
      <c r="B181" s="167"/>
      <c r="C181" s="167"/>
      <c r="D181" s="167"/>
      <c r="E181" s="167"/>
      <c r="F181" s="167"/>
      <c r="G181" s="167"/>
      <c r="H181" s="167"/>
      <c r="I181" s="167"/>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8"/>
      <c r="AO181" s="168"/>
      <c r="AP181" s="116"/>
      <c r="AQ181" s="117"/>
      <c r="AR181" s="131"/>
      <c r="AS181" s="131"/>
      <c r="AT181" s="131"/>
      <c r="AU181" s="117"/>
      <c r="AW181" s="130"/>
      <c r="BA181" s="130"/>
      <c r="BB181" s="130"/>
      <c r="BC181" s="130"/>
    </row>
    <row r="182" spans="1:55" s="118" customFormat="1" ht="20.100000000000001" customHeight="1">
      <c r="A182" s="167"/>
      <c r="B182" s="167"/>
      <c r="C182" s="167"/>
      <c r="D182" s="167"/>
      <c r="E182" s="167"/>
      <c r="F182" s="167"/>
      <c r="G182" s="167"/>
      <c r="H182" s="167"/>
      <c r="I182" s="167"/>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8"/>
      <c r="AO182" s="168"/>
      <c r="AP182" s="116"/>
      <c r="AQ182" s="117"/>
      <c r="AR182" s="131"/>
      <c r="AS182" s="131"/>
      <c r="AT182" s="131"/>
      <c r="AU182" s="117"/>
      <c r="AW182" s="130"/>
      <c r="BA182" s="130"/>
      <c r="BB182" s="130"/>
      <c r="BC182" s="130"/>
    </row>
    <row r="183" spans="1:55" s="118" customFormat="1" ht="20.100000000000001" customHeight="1">
      <c r="A183" s="167"/>
      <c r="B183" s="167"/>
      <c r="C183" s="167"/>
      <c r="D183" s="167"/>
      <c r="E183" s="167"/>
      <c r="F183" s="167"/>
      <c r="G183" s="167"/>
      <c r="H183" s="167"/>
      <c r="I183" s="167"/>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8"/>
      <c r="AO183" s="168"/>
      <c r="AP183" s="116"/>
      <c r="AQ183" s="117"/>
      <c r="AR183" s="131"/>
      <c r="AS183" s="131"/>
      <c r="AT183" s="131"/>
      <c r="AU183" s="117"/>
      <c r="AW183" s="130"/>
      <c r="BA183" s="130"/>
      <c r="BB183" s="130"/>
      <c r="BC183" s="130"/>
    </row>
    <row r="184" spans="1:55" s="118" customFormat="1" ht="20.100000000000001" customHeight="1">
      <c r="A184" s="167"/>
      <c r="B184" s="167"/>
      <c r="C184" s="167"/>
      <c r="D184" s="167"/>
      <c r="E184" s="167"/>
      <c r="F184" s="167"/>
      <c r="G184" s="167"/>
      <c r="H184" s="167"/>
      <c r="I184" s="167"/>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8"/>
      <c r="AO184" s="168"/>
      <c r="AP184" s="116"/>
      <c r="AQ184" s="117"/>
      <c r="AR184" s="131"/>
      <c r="AS184" s="131"/>
      <c r="AT184" s="131"/>
      <c r="AU184" s="117"/>
      <c r="AW184" s="130"/>
      <c r="BA184" s="130"/>
      <c r="BB184" s="130"/>
      <c r="BC184" s="130"/>
    </row>
    <row r="185" spans="1:55" s="118" customFormat="1" ht="20.100000000000001" customHeight="1">
      <c r="A185" s="167"/>
      <c r="B185" s="167"/>
      <c r="C185" s="167"/>
      <c r="D185" s="167"/>
      <c r="E185" s="167"/>
      <c r="F185" s="167"/>
      <c r="G185" s="167"/>
      <c r="H185" s="167"/>
      <c r="I185" s="167"/>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8"/>
      <c r="AO185" s="168"/>
      <c r="AP185" s="116"/>
      <c r="AQ185" s="117"/>
      <c r="AR185" s="131"/>
      <c r="AS185" s="131"/>
      <c r="AT185" s="131"/>
      <c r="AU185" s="117"/>
      <c r="AW185" s="130"/>
      <c r="BA185" s="130"/>
      <c r="BB185" s="130"/>
      <c r="BC185" s="130"/>
    </row>
    <row r="186" spans="1:55" s="118" customFormat="1" ht="20.100000000000001" customHeight="1">
      <c r="A186" s="167"/>
      <c r="B186" s="167"/>
      <c r="C186" s="167"/>
      <c r="D186" s="167"/>
      <c r="E186" s="167"/>
      <c r="F186" s="167"/>
      <c r="G186" s="167"/>
      <c r="H186" s="167"/>
      <c r="I186" s="167"/>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8"/>
      <c r="AO186" s="168"/>
      <c r="AP186" s="116"/>
      <c r="AQ186" s="117"/>
      <c r="AR186" s="131"/>
      <c r="AS186" s="131"/>
      <c r="AT186" s="131"/>
      <c r="AU186" s="117"/>
      <c r="AW186" s="130"/>
      <c r="BA186" s="130"/>
      <c r="BB186" s="130"/>
      <c r="BC186" s="130"/>
    </row>
    <row r="187" spans="1:55" s="118" customFormat="1" ht="20.100000000000001" customHeight="1">
      <c r="A187" s="167"/>
      <c r="B187" s="167"/>
      <c r="C187" s="167"/>
      <c r="D187" s="167"/>
      <c r="E187" s="167"/>
      <c r="F187" s="167"/>
      <c r="G187" s="167"/>
      <c r="H187" s="167"/>
      <c r="I187" s="167"/>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8"/>
      <c r="AO187" s="168"/>
      <c r="AP187" s="116"/>
      <c r="AQ187" s="117"/>
      <c r="AR187" s="131"/>
      <c r="AS187" s="131"/>
      <c r="AT187" s="131"/>
      <c r="AU187" s="117"/>
      <c r="AW187" s="130"/>
      <c r="BA187" s="130"/>
      <c r="BB187" s="130"/>
      <c r="BC187" s="130"/>
    </row>
    <row r="188" spans="1:55" s="118" customFormat="1" ht="20.100000000000001" customHeight="1">
      <c r="A188" s="167"/>
      <c r="B188" s="167"/>
      <c r="C188" s="167"/>
      <c r="D188" s="167"/>
      <c r="E188" s="167"/>
      <c r="F188" s="167"/>
      <c r="G188" s="167"/>
      <c r="H188" s="167"/>
      <c r="I188" s="167"/>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8"/>
      <c r="AO188" s="168"/>
      <c r="AP188" s="116"/>
      <c r="AQ188" s="117"/>
      <c r="AR188" s="131"/>
      <c r="AS188" s="131"/>
      <c r="AT188" s="131"/>
      <c r="AU188" s="117"/>
      <c r="AW188" s="130"/>
      <c r="BA188" s="130"/>
      <c r="BB188" s="130"/>
      <c r="BC188" s="130"/>
    </row>
    <row r="189" spans="1:55" s="118" customFormat="1" ht="20.100000000000001" customHeight="1">
      <c r="A189" s="167"/>
      <c r="B189" s="167"/>
      <c r="C189" s="167"/>
      <c r="D189" s="167"/>
      <c r="E189" s="167"/>
      <c r="F189" s="167"/>
      <c r="G189" s="167"/>
      <c r="H189" s="167"/>
      <c r="I189" s="167"/>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8"/>
      <c r="AO189" s="168"/>
      <c r="AP189" s="116"/>
      <c r="AQ189" s="117"/>
      <c r="AR189" s="131"/>
      <c r="AS189" s="131"/>
      <c r="AT189" s="131"/>
      <c r="AU189" s="117"/>
      <c r="AW189" s="130"/>
      <c r="BA189" s="130"/>
      <c r="BB189" s="130"/>
      <c r="BC189" s="130"/>
    </row>
    <row r="190" spans="1:55" s="118" customFormat="1" ht="20.100000000000001" customHeight="1">
      <c r="A190" s="167"/>
      <c r="B190" s="167"/>
      <c r="C190" s="167"/>
      <c r="D190" s="167"/>
      <c r="E190" s="167"/>
      <c r="F190" s="167"/>
      <c r="G190" s="167"/>
      <c r="H190" s="167"/>
      <c r="I190" s="167"/>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8"/>
      <c r="AO190" s="168"/>
      <c r="AP190" s="116"/>
      <c r="AQ190" s="117"/>
      <c r="AR190" s="131"/>
      <c r="AS190" s="131"/>
      <c r="AT190" s="131"/>
      <c r="AU190" s="117"/>
      <c r="AW190" s="130"/>
      <c r="BA190" s="130"/>
      <c r="BB190" s="130"/>
      <c r="BC190" s="130"/>
    </row>
    <row r="191" spans="1:55" s="118" customFormat="1" ht="20.100000000000001" customHeight="1">
      <c r="A191" s="167"/>
      <c r="B191" s="167"/>
      <c r="C191" s="167"/>
      <c r="D191" s="167"/>
      <c r="E191" s="167"/>
      <c r="F191" s="167"/>
      <c r="G191" s="167"/>
      <c r="H191" s="167"/>
      <c r="I191" s="167"/>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8"/>
      <c r="AO191" s="168"/>
      <c r="AP191" s="116"/>
      <c r="AQ191" s="117"/>
      <c r="AR191" s="131"/>
      <c r="AS191" s="131"/>
      <c r="AT191" s="131"/>
      <c r="AU191" s="117"/>
      <c r="AW191" s="130"/>
      <c r="BA191" s="130"/>
      <c r="BB191" s="130"/>
      <c r="BC191" s="130"/>
    </row>
    <row r="192" spans="1:55" s="118" customFormat="1" ht="20.100000000000001" customHeight="1">
      <c r="A192" s="167"/>
      <c r="B192" s="167"/>
      <c r="C192" s="167"/>
      <c r="D192" s="167"/>
      <c r="E192" s="167"/>
      <c r="F192" s="167"/>
      <c r="G192" s="167"/>
      <c r="H192" s="167"/>
      <c r="I192" s="167"/>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8"/>
      <c r="AO192" s="168"/>
      <c r="AP192" s="116"/>
      <c r="AQ192" s="117"/>
      <c r="AR192" s="131"/>
      <c r="AS192" s="131"/>
      <c r="AT192" s="131"/>
      <c r="AU192" s="117"/>
      <c r="AW192" s="130"/>
      <c r="BA192" s="130"/>
      <c r="BB192" s="130"/>
      <c r="BC192" s="130"/>
    </row>
    <row r="193" spans="1:55" s="118" customFormat="1" ht="20.100000000000001" customHeight="1">
      <c r="A193" s="167"/>
      <c r="B193" s="167"/>
      <c r="C193" s="167"/>
      <c r="D193" s="167"/>
      <c r="E193" s="167"/>
      <c r="F193" s="167"/>
      <c r="G193" s="167"/>
      <c r="H193" s="167"/>
      <c r="I193" s="167"/>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8"/>
      <c r="AO193" s="168"/>
      <c r="AP193" s="116"/>
      <c r="AQ193" s="117"/>
      <c r="AR193" s="131"/>
      <c r="AS193" s="131"/>
      <c r="AT193" s="131"/>
      <c r="AU193" s="117"/>
      <c r="AW193" s="130"/>
      <c r="BA193" s="130"/>
      <c r="BB193" s="130"/>
      <c r="BC193" s="130"/>
    </row>
    <row r="194" spans="1:55" s="118" customFormat="1" ht="20.100000000000001" customHeight="1">
      <c r="A194" s="167"/>
      <c r="B194" s="167"/>
      <c r="C194" s="167"/>
      <c r="D194" s="167"/>
      <c r="E194" s="167"/>
      <c r="F194" s="167"/>
      <c r="G194" s="167"/>
      <c r="H194" s="167"/>
      <c r="I194" s="167"/>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8"/>
      <c r="AO194" s="168"/>
      <c r="AP194" s="116"/>
      <c r="AQ194" s="117"/>
      <c r="AR194" s="131"/>
      <c r="AS194" s="131"/>
      <c r="AT194" s="131"/>
      <c r="AU194" s="117"/>
      <c r="AW194" s="130"/>
      <c r="BA194" s="130"/>
      <c r="BB194" s="130"/>
      <c r="BC194" s="130"/>
    </row>
    <row r="195" spans="1:55" s="118" customFormat="1" ht="20.100000000000001" customHeight="1">
      <c r="A195" s="167"/>
      <c r="B195" s="167"/>
      <c r="C195" s="167"/>
      <c r="D195" s="167"/>
      <c r="E195" s="167"/>
      <c r="F195" s="167"/>
      <c r="G195" s="167"/>
      <c r="H195" s="167"/>
      <c r="I195" s="167"/>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8"/>
      <c r="AO195" s="168"/>
      <c r="AP195" s="116"/>
      <c r="AQ195" s="117"/>
      <c r="AR195" s="131"/>
      <c r="AS195" s="131"/>
      <c r="AT195" s="131"/>
      <c r="AU195" s="117"/>
      <c r="AW195" s="130"/>
      <c r="BA195" s="130"/>
      <c r="BB195" s="130"/>
      <c r="BC195" s="130"/>
    </row>
    <row r="196" spans="1:55" s="118" customFormat="1" ht="20.100000000000001" customHeight="1">
      <c r="A196" s="167"/>
      <c r="B196" s="167"/>
      <c r="C196" s="167"/>
      <c r="D196" s="167"/>
      <c r="E196" s="167"/>
      <c r="F196" s="167"/>
      <c r="G196" s="167"/>
      <c r="H196" s="167"/>
      <c r="I196" s="167"/>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8"/>
      <c r="AO196" s="168"/>
      <c r="AP196" s="116"/>
      <c r="AQ196" s="117"/>
      <c r="AR196" s="131"/>
      <c r="AS196" s="131"/>
      <c r="AT196" s="131"/>
      <c r="AU196" s="117"/>
      <c r="AW196" s="130"/>
      <c r="BA196" s="130"/>
      <c r="BB196" s="130"/>
      <c r="BC196" s="130"/>
    </row>
    <row r="197" spans="1:55" s="118" customFormat="1" ht="20.100000000000001" customHeight="1">
      <c r="A197" s="167"/>
      <c r="B197" s="167"/>
      <c r="C197" s="167"/>
      <c r="D197" s="167"/>
      <c r="E197" s="167"/>
      <c r="F197" s="167"/>
      <c r="G197" s="167"/>
      <c r="H197" s="167"/>
      <c r="I197" s="167"/>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8"/>
      <c r="AO197" s="168"/>
      <c r="AP197" s="116"/>
      <c r="AQ197" s="117"/>
      <c r="AR197" s="131"/>
      <c r="AS197" s="131"/>
      <c r="AT197" s="131"/>
      <c r="AU197" s="117"/>
      <c r="AW197" s="130"/>
      <c r="BA197" s="130"/>
      <c r="BB197" s="130"/>
      <c r="BC197" s="130"/>
    </row>
    <row r="198" spans="1:55" s="118" customFormat="1" ht="20.100000000000001" customHeight="1">
      <c r="A198" s="167"/>
      <c r="B198" s="167"/>
      <c r="C198" s="167"/>
      <c r="D198" s="167"/>
      <c r="E198" s="167"/>
      <c r="F198" s="167"/>
      <c r="G198" s="167"/>
      <c r="H198" s="167"/>
      <c r="I198" s="167"/>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8"/>
      <c r="AO198" s="168"/>
      <c r="AP198" s="116"/>
      <c r="AQ198" s="117"/>
      <c r="AR198" s="131"/>
      <c r="AS198" s="131"/>
      <c r="AT198" s="131"/>
      <c r="AU198" s="117"/>
      <c r="AW198" s="130"/>
      <c r="BA198" s="130"/>
      <c r="BB198" s="130"/>
      <c r="BC198" s="130"/>
    </row>
    <row r="199" spans="1:55" s="118" customFormat="1" ht="20.100000000000001" customHeight="1">
      <c r="A199" s="167"/>
      <c r="B199" s="167"/>
      <c r="C199" s="167"/>
      <c r="D199" s="167"/>
      <c r="E199" s="167"/>
      <c r="F199" s="167"/>
      <c r="G199" s="167"/>
      <c r="H199" s="167"/>
      <c r="I199" s="167"/>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8"/>
      <c r="AO199" s="168"/>
      <c r="AP199" s="116"/>
      <c r="AQ199" s="117"/>
      <c r="AR199" s="131"/>
      <c r="AS199" s="131"/>
      <c r="AT199" s="131"/>
      <c r="AU199" s="117"/>
      <c r="AW199" s="130"/>
      <c r="BA199" s="130"/>
      <c r="BB199" s="130"/>
      <c r="BC199" s="130"/>
    </row>
    <row r="200" spans="1:55" s="118" customFormat="1" ht="20.100000000000001" customHeight="1">
      <c r="A200" s="167"/>
      <c r="B200" s="167"/>
      <c r="C200" s="167"/>
      <c r="D200" s="167"/>
      <c r="E200" s="167"/>
      <c r="F200" s="167"/>
      <c r="G200" s="167"/>
      <c r="H200" s="167"/>
      <c r="I200" s="167"/>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8"/>
      <c r="AO200" s="168"/>
      <c r="AP200" s="116"/>
      <c r="AQ200" s="117"/>
      <c r="AR200" s="131"/>
      <c r="AS200" s="131"/>
      <c r="AT200" s="131"/>
      <c r="AU200" s="117"/>
      <c r="AW200" s="130"/>
      <c r="BA200" s="130"/>
      <c r="BB200" s="130"/>
      <c r="BC200" s="130"/>
    </row>
    <row r="201" spans="1:55" s="118" customFormat="1" ht="20.100000000000001" customHeight="1">
      <c r="A201" s="167"/>
      <c r="B201" s="167"/>
      <c r="C201" s="167"/>
      <c r="D201" s="167"/>
      <c r="E201" s="167"/>
      <c r="F201" s="167"/>
      <c r="G201" s="167"/>
      <c r="H201" s="167"/>
      <c r="I201" s="167"/>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8"/>
      <c r="AO201" s="168"/>
      <c r="AP201" s="116"/>
      <c r="AQ201" s="117"/>
      <c r="AR201" s="131"/>
      <c r="AS201" s="131"/>
      <c r="AT201" s="131"/>
      <c r="AU201" s="117"/>
      <c r="AW201" s="130"/>
      <c r="BA201" s="130"/>
      <c r="BB201" s="130"/>
      <c r="BC201" s="130"/>
    </row>
    <row r="202" spans="1:55" s="118" customFormat="1" ht="20.100000000000001" customHeight="1">
      <c r="A202" s="167"/>
      <c r="B202" s="167"/>
      <c r="C202" s="167"/>
      <c r="D202" s="167"/>
      <c r="E202" s="167"/>
      <c r="F202" s="167"/>
      <c r="G202" s="167"/>
      <c r="H202" s="167"/>
      <c r="I202" s="167"/>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8"/>
      <c r="AO202" s="168"/>
      <c r="AP202" s="116"/>
      <c r="AQ202" s="117"/>
      <c r="AR202" s="131"/>
      <c r="AS202" s="131"/>
      <c r="AT202" s="131"/>
      <c r="AU202" s="117"/>
      <c r="AW202" s="130"/>
      <c r="BA202" s="130"/>
      <c r="BB202" s="130"/>
      <c r="BC202" s="130"/>
    </row>
    <row r="203" spans="1:55" s="118" customFormat="1" ht="20.100000000000001" customHeight="1">
      <c r="A203" s="167"/>
      <c r="B203" s="167"/>
      <c r="C203" s="167"/>
      <c r="D203" s="167"/>
      <c r="E203" s="167"/>
      <c r="F203" s="167"/>
      <c r="G203" s="167"/>
      <c r="H203" s="167"/>
      <c r="I203" s="167"/>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8"/>
      <c r="AO203" s="168"/>
      <c r="AP203" s="116"/>
      <c r="AQ203" s="117"/>
      <c r="AR203" s="131"/>
      <c r="AS203" s="131"/>
      <c r="AT203" s="131"/>
      <c r="AU203" s="117"/>
      <c r="AW203" s="130"/>
      <c r="BA203" s="130"/>
      <c r="BB203" s="130"/>
      <c r="BC203" s="130"/>
    </row>
    <row r="204" spans="1:55" s="118" customFormat="1" ht="20.100000000000001" customHeight="1">
      <c r="A204" s="167"/>
      <c r="B204" s="167"/>
      <c r="C204" s="167"/>
      <c r="D204" s="167"/>
      <c r="E204" s="167"/>
      <c r="F204" s="167"/>
      <c r="G204" s="167"/>
      <c r="H204" s="167"/>
      <c r="I204" s="167"/>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8"/>
      <c r="AO204" s="168"/>
      <c r="AP204" s="116"/>
      <c r="AQ204" s="117"/>
      <c r="AR204" s="131"/>
      <c r="AS204" s="131"/>
      <c r="AT204" s="131"/>
      <c r="AU204" s="117"/>
      <c r="AW204" s="130"/>
      <c r="BA204" s="130"/>
      <c r="BB204" s="130"/>
      <c r="BC204" s="130"/>
    </row>
    <row r="205" spans="1:55" s="118" customFormat="1" ht="20.100000000000001" customHeight="1">
      <c r="A205" s="167"/>
      <c r="B205" s="167"/>
      <c r="C205" s="167"/>
      <c r="D205" s="167"/>
      <c r="E205" s="167"/>
      <c r="F205" s="167"/>
      <c r="G205" s="167"/>
      <c r="H205" s="167"/>
      <c r="I205" s="167"/>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8"/>
      <c r="AO205" s="168"/>
      <c r="AP205" s="116"/>
      <c r="AQ205" s="117"/>
      <c r="AR205" s="131"/>
      <c r="AS205" s="131"/>
      <c r="AT205" s="131"/>
      <c r="AU205" s="117"/>
      <c r="AW205" s="130"/>
      <c r="BA205" s="130"/>
      <c r="BB205" s="130"/>
      <c r="BC205" s="130"/>
    </row>
    <row r="206" spans="1:55" s="118" customFormat="1" ht="20.100000000000001" customHeight="1">
      <c r="A206" s="167"/>
      <c r="B206" s="167"/>
      <c r="C206" s="167"/>
      <c r="D206" s="167"/>
      <c r="E206" s="167"/>
      <c r="F206" s="167"/>
      <c r="G206" s="167"/>
      <c r="H206" s="167"/>
      <c r="I206" s="167"/>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8"/>
      <c r="AO206" s="168"/>
      <c r="AP206" s="116"/>
      <c r="AQ206" s="117"/>
      <c r="AR206" s="131"/>
      <c r="AS206" s="131"/>
      <c r="AT206" s="131"/>
      <c r="AU206" s="117"/>
      <c r="AW206" s="130"/>
      <c r="BA206" s="130"/>
      <c r="BB206" s="130"/>
      <c r="BC206" s="130"/>
    </row>
    <row r="207" spans="1:55" s="118" customFormat="1" ht="20.100000000000001" customHeight="1">
      <c r="A207" s="167"/>
      <c r="B207" s="167"/>
      <c r="C207" s="167"/>
      <c r="D207" s="167"/>
      <c r="E207" s="167"/>
      <c r="F207" s="167"/>
      <c r="G207" s="167"/>
      <c r="H207" s="167"/>
      <c r="I207" s="167"/>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8"/>
      <c r="AO207" s="168"/>
      <c r="AP207" s="116"/>
      <c r="AQ207" s="117"/>
      <c r="AR207" s="131"/>
      <c r="AS207" s="131"/>
      <c r="AT207" s="131"/>
      <c r="AU207" s="117"/>
      <c r="AW207" s="130"/>
      <c r="BA207" s="130"/>
      <c r="BB207" s="130"/>
      <c r="BC207" s="130"/>
    </row>
    <row r="208" spans="1:55" s="118" customFormat="1" ht="20.100000000000001" customHeight="1">
      <c r="A208" s="167"/>
      <c r="B208" s="167"/>
      <c r="C208" s="167"/>
      <c r="D208" s="167"/>
      <c r="E208" s="167"/>
      <c r="F208" s="167"/>
      <c r="G208" s="167"/>
      <c r="H208" s="167"/>
      <c r="I208" s="167"/>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8"/>
      <c r="AO208" s="168"/>
      <c r="AP208" s="116"/>
      <c r="AQ208" s="117"/>
      <c r="AR208" s="131"/>
      <c r="AS208" s="131"/>
      <c r="AT208" s="131"/>
      <c r="AU208" s="117"/>
      <c r="AW208" s="130"/>
      <c r="BA208" s="130"/>
      <c r="BB208" s="130"/>
      <c r="BC208" s="130"/>
    </row>
    <row r="209" spans="1:55" s="118" customFormat="1" ht="20.100000000000001" customHeight="1">
      <c r="A209" s="167"/>
      <c r="B209" s="167"/>
      <c r="C209" s="167"/>
      <c r="D209" s="167"/>
      <c r="E209" s="167"/>
      <c r="F209" s="167"/>
      <c r="G209" s="167"/>
      <c r="H209" s="167"/>
      <c r="I209" s="167"/>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8"/>
      <c r="AO209" s="168"/>
      <c r="AP209" s="116"/>
      <c r="AQ209" s="117"/>
      <c r="AR209" s="131"/>
      <c r="AS209" s="131"/>
      <c r="AT209" s="131"/>
      <c r="AU209" s="117"/>
      <c r="AW209" s="130"/>
      <c r="BA209" s="130"/>
      <c r="BB209" s="130"/>
      <c r="BC209" s="130"/>
    </row>
    <row r="210" spans="1:55" s="118" customFormat="1" ht="20.100000000000001" customHeight="1">
      <c r="A210" s="167"/>
      <c r="B210" s="167"/>
      <c r="C210" s="167"/>
      <c r="D210" s="167"/>
      <c r="E210" s="167"/>
      <c r="F210" s="167"/>
      <c r="G210" s="167"/>
      <c r="H210" s="167"/>
      <c r="I210" s="167"/>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8"/>
      <c r="AO210" s="168"/>
      <c r="AP210" s="116"/>
      <c r="AQ210" s="117"/>
      <c r="AR210" s="131"/>
      <c r="AS210" s="131"/>
      <c r="AT210" s="131"/>
      <c r="AU210" s="117"/>
      <c r="AW210" s="130"/>
      <c r="BA210" s="130"/>
      <c r="BB210" s="130"/>
      <c r="BC210" s="130"/>
    </row>
    <row r="211" spans="1:55" s="118" customFormat="1" ht="20.100000000000001" customHeight="1">
      <c r="A211" s="167"/>
      <c r="B211" s="167"/>
      <c r="C211" s="167"/>
      <c r="D211" s="167"/>
      <c r="E211" s="167"/>
      <c r="F211" s="167"/>
      <c r="G211" s="167"/>
      <c r="H211" s="167"/>
      <c r="I211" s="167"/>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8"/>
      <c r="AO211" s="168"/>
      <c r="AP211" s="116"/>
      <c r="AQ211" s="117"/>
      <c r="AR211" s="131"/>
      <c r="AS211" s="131"/>
      <c r="AT211" s="131"/>
      <c r="AU211" s="117"/>
      <c r="AW211" s="130"/>
      <c r="BA211" s="130"/>
      <c r="BB211" s="130"/>
      <c r="BC211" s="130"/>
    </row>
    <row r="212" spans="1:55" s="118" customFormat="1" ht="20.100000000000001" customHeight="1">
      <c r="A212" s="167"/>
      <c r="B212" s="167"/>
      <c r="C212" s="167"/>
      <c r="D212" s="167"/>
      <c r="E212" s="167"/>
      <c r="F212" s="167"/>
      <c r="G212" s="167"/>
      <c r="H212" s="167"/>
      <c r="I212" s="167"/>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8"/>
      <c r="AO212" s="168"/>
      <c r="AP212" s="116"/>
      <c r="AQ212" s="117"/>
      <c r="AR212" s="131"/>
      <c r="AS212" s="131"/>
      <c r="AT212" s="131"/>
      <c r="AU212" s="117"/>
      <c r="AW212" s="130"/>
      <c r="BA212" s="130"/>
      <c r="BB212" s="130"/>
      <c r="BC212" s="130"/>
    </row>
    <row r="213" spans="1:55" s="118" customFormat="1" ht="20.100000000000001" customHeight="1">
      <c r="A213" s="167"/>
      <c r="B213" s="167"/>
      <c r="C213" s="167"/>
      <c r="D213" s="167"/>
      <c r="E213" s="167"/>
      <c r="F213" s="167"/>
      <c r="G213" s="167"/>
      <c r="H213" s="167"/>
      <c r="I213" s="167"/>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8"/>
      <c r="AO213" s="168"/>
      <c r="AP213" s="116"/>
      <c r="AQ213" s="117"/>
      <c r="AR213" s="131"/>
      <c r="AS213" s="131"/>
      <c r="AT213" s="131"/>
      <c r="AU213" s="117"/>
      <c r="AW213" s="130"/>
      <c r="BA213" s="130"/>
      <c r="BB213" s="130"/>
      <c r="BC213" s="130"/>
    </row>
    <row r="214" spans="1:55" s="118" customFormat="1" ht="20.100000000000001" customHeight="1">
      <c r="A214" s="167"/>
      <c r="B214" s="167"/>
      <c r="C214" s="167"/>
      <c r="D214" s="167"/>
      <c r="E214" s="167"/>
      <c r="F214" s="167"/>
      <c r="G214" s="167"/>
      <c r="H214" s="167"/>
      <c r="I214" s="167"/>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8"/>
      <c r="AO214" s="168"/>
      <c r="AP214" s="116"/>
      <c r="AQ214" s="117"/>
      <c r="AR214" s="131"/>
      <c r="AS214" s="131"/>
      <c r="AT214" s="131"/>
      <c r="AU214" s="117"/>
      <c r="AW214" s="130"/>
      <c r="BA214" s="130"/>
      <c r="BB214" s="130"/>
      <c r="BC214" s="130"/>
    </row>
    <row r="215" spans="1:55" s="118" customFormat="1" ht="20.100000000000001" customHeight="1">
      <c r="A215" s="167"/>
      <c r="B215" s="167"/>
      <c r="C215" s="167"/>
      <c r="D215" s="167"/>
      <c r="E215" s="167"/>
      <c r="F215" s="167"/>
      <c r="G215" s="167"/>
      <c r="H215" s="167"/>
      <c r="I215" s="167"/>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8"/>
      <c r="AO215" s="168"/>
      <c r="AP215" s="116"/>
      <c r="AQ215" s="117"/>
      <c r="AR215" s="131"/>
      <c r="AS215" s="131"/>
      <c r="AT215" s="131"/>
      <c r="AU215" s="117"/>
      <c r="AW215" s="130"/>
      <c r="BA215" s="130"/>
      <c r="BB215" s="130"/>
      <c r="BC215" s="130"/>
    </row>
    <row r="216" spans="1:55" s="118" customFormat="1" ht="20.100000000000001" customHeight="1">
      <c r="A216" s="167"/>
      <c r="B216" s="167"/>
      <c r="C216" s="167"/>
      <c r="D216" s="167"/>
      <c r="E216" s="167"/>
      <c r="F216" s="167"/>
      <c r="G216" s="167"/>
      <c r="H216" s="167"/>
      <c r="I216" s="167"/>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8"/>
      <c r="AO216" s="168"/>
      <c r="AP216" s="116"/>
      <c r="AQ216" s="117"/>
      <c r="AR216" s="131"/>
      <c r="AS216" s="131"/>
      <c r="AT216" s="131"/>
      <c r="AU216" s="117"/>
      <c r="AW216" s="130"/>
      <c r="BA216" s="130"/>
      <c r="BB216" s="130"/>
      <c r="BC216" s="130"/>
    </row>
    <row r="217" spans="1:55" s="118" customFormat="1" ht="20.100000000000001" customHeight="1">
      <c r="A217" s="167"/>
      <c r="B217" s="167"/>
      <c r="C217" s="167"/>
      <c r="D217" s="167"/>
      <c r="E217" s="167"/>
      <c r="F217" s="167"/>
      <c r="G217" s="167"/>
      <c r="H217" s="167"/>
      <c r="I217" s="167"/>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8"/>
      <c r="AO217" s="168"/>
      <c r="AP217" s="116"/>
      <c r="AQ217" s="117"/>
      <c r="AR217" s="131"/>
      <c r="AS217" s="131"/>
      <c r="AT217" s="131"/>
      <c r="AU217" s="117"/>
      <c r="AW217" s="130"/>
      <c r="BA217" s="130"/>
      <c r="BB217" s="130"/>
      <c r="BC217" s="130"/>
    </row>
    <row r="218" spans="1:55" s="118" customFormat="1" ht="20.100000000000001" customHeight="1">
      <c r="A218" s="167"/>
      <c r="B218" s="167"/>
      <c r="C218" s="167"/>
      <c r="D218" s="167"/>
      <c r="E218" s="167"/>
      <c r="F218" s="167"/>
      <c r="G218" s="167"/>
      <c r="H218" s="167"/>
      <c r="I218" s="167"/>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8"/>
      <c r="AO218" s="168"/>
      <c r="AP218" s="116"/>
      <c r="AQ218" s="117"/>
      <c r="AR218" s="131"/>
      <c r="AS218" s="131"/>
      <c r="AT218" s="131"/>
      <c r="AU218" s="117"/>
      <c r="AW218" s="130"/>
      <c r="BA218" s="130"/>
      <c r="BB218" s="130"/>
      <c r="BC218" s="130"/>
    </row>
    <row r="219" spans="1:55" s="118" customFormat="1" ht="20.100000000000001" customHeight="1">
      <c r="A219" s="167"/>
      <c r="B219" s="167"/>
      <c r="C219" s="167"/>
      <c r="D219" s="167"/>
      <c r="E219" s="167"/>
      <c r="F219" s="167"/>
      <c r="G219" s="167"/>
      <c r="H219" s="167"/>
      <c r="I219" s="167"/>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8"/>
      <c r="AO219" s="168"/>
      <c r="AP219" s="116"/>
      <c r="AQ219" s="117"/>
      <c r="AR219" s="131"/>
      <c r="AS219" s="131"/>
      <c r="AT219" s="131"/>
      <c r="AU219" s="117"/>
      <c r="AW219" s="130"/>
      <c r="BA219" s="130"/>
      <c r="BB219" s="130"/>
      <c r="BC219" s="130"/>
    </row>
    <row r="220" spans="1:55" s="118" customFormat="1" ht="20.100000000000001" customHeight="1">
      <c r="A220" s="167"/>
      <c r="B220" s="167"/>
      <c r="C220" s="167"/>
      <c r="D220" s="167"/>
      <c r="E220" s="167"/>
      <c r="F220" s="167"/>
      <c r="G220" s="167"/>
      <c r="H220" s="167"/>
      <c r="I220" s="167"/>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8"/>
      <c r="AO220" s="168"/>
      <c r="AP220" s="116"/>
      <c r="AQ220" s="117"/>
      <c r="AR220" s="131"/>
      <c r="AS220" s="131"/>
      <c r="AT220" s="131"/>
      <c r="AU220" s="117"/>
      <c r="AW220" s="130"/>
      <c r="BA220" s="130"/>
      <c r="BB220" s="130"/>
      <c r="BC220" s="130"/>
    </row>
    <row r="221" spans="1:55" s="118" customFormat="1" ht="20.100000000000001" customHeight="1">
      <c r="A221" s="167"/>
      <c r="B221" s="167"/>
      <c r="C221" s="167"/>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8"/>
      <c r="AO221" s="168"/>
      <c r="AP221" s="116"/>
      <c r="AQ221" s="117"/>
      <c r="AR221" s="131"/>
      <c r="AS221" s="131"/>
      <c r="AT221" s="131"/>
      <c r="AU221" s="117"/>
      <c r="AW221" s="130"/>
      <c r="BA221" s="130"/>
      <c r="BB221" s="130"/>
      <c r="BC221" s="130"/>
    </row>
    <row r="222" spans="1:55" s="118" customFormat="1" ht="20.100000000000001" customHeight="1">
      <c r="A222" s="167"/>
      <c r="B222" s="167"/>
      <c r="C222" s="167"/>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8"/>
      <c r="AO222" s="168"/>
      <c r="AP222" s="116"/>
      <c r="AQ222" s="117"/>
      <c r="AR222" s="131"/>
      <c r="AS222" s="131"/>
      <c r="AT222" s="131"/>
      <c r="AU222" s="117"/>
      <c r="AW222" s="130"/>
      <c r="BA222" s="130"/>
      <c r="BB222" s="130"/>
      <c r="BC222" s="130"/>
    </row>
    <row r="223" spans="1:55" s="118" customFormat="1" ht="20.100000000000001" customHeight="1">
      <c r="A223" s="167"/>
      <c r="B223" s="167"/>
      <c r="C223" s="167"/>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8"/>
      <c r="AO223" s="168"/>
      <c r="AP223" s="116"/>
      <c r="AQ223" s="117"/>
      <c r="AR223" s="131"/>
      <c r="AS223" s="131"/>
      <c r="AT223" s="131"/>
      <c r="AU223" s="117"/>
      <c r="AW223" s="130"/>
      <c r="BA223" s="130"/>
      <c r="BB223" s="130"/>
      <c r="BC223" s="130"/>
    </row>
    <row r="224" spans="1:55" s="118" customFormat="1" ht="20.100000000000001" customHeight="1">
      <c r="A224" s="167"/>
      <c r="B224" s="167"/>
      <c r="C224" s="167"/>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8"/>
      <c r="AO224" s="168"/>
      <c r="AP224" s="116"/>
      <c r="AQ224" s="117"/>
      <c r="AR224" s="131"/>
      <c r="AS224" s="131"/>
      <c r="AT224" s="131"/>
      <c r="AU224" s="117"/>
      <c r="AW224" s="130"/>
      <c r="BA224" s="130"/>
      <c r="BB224" s="130"/>
      <c r="BC224" s="130"/>
    </row>
    <row r="225" spans="1:55" s="118" customFormat="1" ht="20.100000000000001" customHeight="1">
      <c r="A225" s="167"/>
      <c r="B225" s="167"/>
      <c r="C225" s="167"/>
      <c r="D225" s="167"/>
      <c r="E225" s="167"/>
      <c r="F225" s="167"/>
      <c r="G225" s="167"/>
      <c r="H225" s="167"/>
      <c r="I225" s="167"/>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8"/>
      <c r="AO225" s="168"/>
      <c r="AP225" s="116"/>
      <c r="AQ225" s="117"/>
      <c r="AR225" s="131"/>
      <c r="AS225" s="131"/>
      <c r="AT225" s="131"/>
      <c r="AU225" s="117"/>
      <c r="AW225" s="130"/>
      <c r="BA225" s="130"/>
      <c r="BB225" s="130"/>
      <c r="BC225" s="130"/>
    </row>
    <row r="226" spans="1:55" s="118" customFormat="1" ht="20.100000000000001" customHeight="1">
      <c r="A226" s="167"/>
      <c r="B226" s="167"/>
      <c r="C226" s="167"/>
      <c r="D226" s="167"/>
      <c r="E226" s="167"/>
      <c r="F226" s="167"/>
      <c r="G226" s="167"/>
      <c r="H226" s="167"/>
      <c r="I226" s="167"/>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8"/>
      <c r="AO226" s="168"/>
      <c r="AP226" s="116"/>
      <c r="AQ226" s="117"/>
      <c r="AR226" s="131"/>
      <c r="AS226" s="131"/>
      <c r="AT226" s="131"/>
      <c r="AU226" s="117"/>
      <c r="AW226" s="130"/>
      <c r="BA226" s="130"/>
      <c r="BB226" s="130"/>
      <c r="BC226" s="130"/>
    </row>
    <row r="227" spans="1:55" s="118" customFormat="1" ht="20.100000000000001" customHeight="1">
      <c r="A227" s="167"/>
      <c r="B227" s="167"/>
      <c r="C227" s="167"/>
      <c r="D227" s="167"/>
      <c r="E227" s="167"/>
      <c r="F227" s="167"/>
      <c r="G227" s="167"/>
      <c r="H227" s="167"/>
      <c r="I227" s="167"/>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8"/>
      <c r="AO227" s="168"/>
      <c r="AP227" s="116"/>
      <c r="AQ227" s="117"/>
      <c r="AR227" s="131"/>
      <c r="AS227" s="131"/>
      <c r="AT227" s="131"/>
      <c r="AU227" s="117"/>
      <c r="AW227" s="130"/>
      <c r="BA227" s="130"/>
      <c r="BB227" s="130"/>
      <c r="BC227" s="130"/>
    </row>
    <row r="228" spans="1:55" s="118" customFormat="1" ht="20.100000000000001" customHeight="1">
      <c r="A228" s="167"/>
      <c r="B228" s="167"/>
      <c r="C228" s="167"/>
      <c r="D228" s="167"/>
      <c r="E228" s="167"/>
      <c r="F228" s="167"/>
      <c r="G228" s="167"/>
      <c r="H228" s="167"/>
      <c r="I228" s="167"/>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8"/>
      <c r="AO228" s="168"/>
      <c r="AP228" s="116"/>
      <c r="AQ228" s="117"/>
      <c r="AR228" s="131"/>
      <c r="AS228" s="131"/>
      <c r="AT228" s="131"/>
      <c r="AU228" s="117"/>
      <c r="AW228" s="130"/>
      <c r="BA228" s="130"/>
      <c r="BB228" s="130"/>
      <c r="BC228" s="130"/>
    </row>
    <row r="229" spans="1:55" s="118" customFormat="1" ht="20.100000000000001" customHeight="1">
      <c r="A229" s="167"/>
      <c r="B229" s="167"/>
      <c r="C229" s="167"/>
      <c r="D229" s="167"/>
      <c r="E229" s="167"/>
      <c r="F229" s="167"/>
      <c r="G229" s="167"/>
      <c r="H229" s="167"/>
      <c r="I229" s="16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8"/>
      <c r="AO229" s="168"/>
      <c r="AP229" s="116"/>
      <c r="AQ229" s="117"/>
      <c r="AR229" s="131"/>
      <c r="AS229" s="131"/>
      <c r="AT229" s="131"/>
      <c r="AU229" s="117"/>
      <c r="AW229" s="130"/>
      <c r="BA229" s="130"/>
      <c r="BB229" s="130"/>
      <c r="BC229" s="130"/>
    </row>
    <row r="230" spans="1:55" s="118" customFormat="1" ht="20.100000000000001" customHeight="1">
      <c r="A230" s="167"/>
      <c r="B230" s="167"/>
      <c r="C230" s="167"/>
      <c r="D230" s="167"/>
      <c r="E230" s="167"/>
      <c r="F230" s="167"/>
      <c r="G230" s="167"/>
      <c r="H230" s="167"/>
      <c r="I230" s="167"/>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8"/>
      <c r="AO230" s="168"/>
      <c r="AP230" s="116"/>
      <c r="AQ230" s="117"/>
      <c r="AR230" s="131"/>
      <c r="AS230" s="131"/>
      <c r="AT230" s="131"/>
      <c r="AU230" s="117"/>
      <c r="AW230" s="130"/>
      <c r="BA230" s="130"/>
      <c r="BB230" s="130"/>
      <c r="BC230" s="130"/>
    </row>
    <row r="231" spans="1:55" s="118" customFormat="1" ht="20.100000000000001" customHeight="1">
      <c r="A231" s="167"/>
      <c r="B231" s="167"/>
      <c r="C231" s="167"/>
      <c r="D231" s="167"/>
      <c r="E231" s="167"/>
      <c r="F231" s="167"/>
      <c r="G231" s="167"/>
      <c r="H231" s="167"/>
      <c r="I231" s="167"/>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8"/>
      <c r="AO231" s="168"/>
      <c r="AP231" s="116"/>
      <c r="AQ231" s="117"/>
      <c r="AR231" s="131"/>
      <c r="AS231" s="131"/>
      <c r="AT231" s="131"/>
      <c r="AU231" s="117"/>
      <c r="AW231" s="130"/>
      <c r="BA231" s="130"/>
      <c r="BB231" s="130"/>
      <c r="BC231" s="130"/>
    </row>
    <row r="232" spans="1:55" s="118" customFormat="1" ht="20.100000000000001" customHeight="1">
      <c r="A232" s="167"/>
      <c r="B232" s="167"/>
      <c r="C232" s="167"/>
      <c r="D232" s="167"/>
      <c r="E232" s="167"/>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8"/>
      <c r="AO232" s="168"/>
      <c r="AP232" s="116"/>
      <c r="AQ232" s="117"/>
      <c r="AR232" s="131"/>
      <c r="AS232" s="131"/>
      <c r="AT232" s="131"/>
      <c r="AU232" s="117"/>
      <c r="AW232" s="130"/>
      <c r="BA232" s="130"/>
      <c r="BB232" s="130"/>
      <c r="BC232" s="130"/>
    </row>
    <row r="233" spans="1:55" s="118" customFormat="1" ht="20.100000000000001" customHeight="1">
      <c r="A233" s="167"/>
      <c r="B233" s="167"/>
      <c r="C233" s="167"/>
      <c r="D233" s="167"/>
      <c r="E233" s="167"/>
      <c r="F233" s="167"/>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8"/>
      <c r="AO233" s="168"/>
      <c r="AP233" s="116"/>
      <c r="AQ233" s="117"/>
      <c r="AR233" s="131"/>
      <c r="AS233" s="131"/>
      <c r="AT233" s="131"/>
      <c r="AU233" s="117"/>
      <c r="AW233" s="130"/>
      <c r="BA233" s="130"/>
      <c r="BB233" s="130"/>
      <c r="BC233" s="130"/>
    </row>
    <row r="234" spans="1:55" s="118" customFormat="1" ht="20.100000000000001" customHeight="1">
      <c r="A234" s="167"/>
      <c r="B234" s="167"/>
      <c r="C234" s="167"/>
      <c r="D234" s="167"/>
      <c r="E234" s="167"/>
      <c r="F234" s="16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8"/>
      <c r="AO234" s="168"/>
      <c r="AP234" s="116"/>
      <c r="AQ234" s="117"/>
      <c r="AR234" s="131"/>
      <c r="AS234" s="131"/>
      <c r="AT234" s="131"/>
      <c r="AU234" s="117"/>
      <c r="AW234" s="130"/>
      <c r="BA234" s="130"/>
      <c r="BB234" s="130"/>
      <c r="BC234" s="130"/>
    </row>
    <row r="235" spans="1:55" s="118" customFormat="1" ht="20.100000000000001" customHeight="1">
      <c r="A235" s="167"/>
      <c r="B235" s="167"/>
      <c r="C235" s="167"/>
      <c r="D235" s="167"/>
      <c r="E235" s="167"/>
      <c r="F235" s="167"/>
      <c r="G235" s="167"/>
      <c r="H235" s="16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8"/>
      <c r="AO235" s="168"/>
      <c r="AP235" s="116"/>
      <c r="AQ235" s="117"/>
      <c r="AR235" s="131"/>
      <c r="AS235" s="131"/>
      <c r="AT235" s="131"/>
      <c r="AU235" s="117"/>
      <c r="AW235" s="130"/>
      <c r="BA235" s="130"/>
      <c r="BB235" s="130"/>
      <c r="BC235" s="130"/>
    </row>
    <row r="236" spans="1:55" s="118" customFormat="1" ht="20.100000000000001" customHeight="1">
      <c r="A236" s="167"/>
      <c r="B236" s="167"/>
      <c r="C236" s="167"/>
      <c r="D236" s="167"/>
      <c r="E236" s="167"/>
      <c r="F236" s="167"/>
      <c r="G236" s="167"/>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8"/>
      <c r="AO236" s="168"/>
      <c r="AP236" s="116"/>
      <c r="AQ236" s="117"/>
      <c r="AR236" s="131"/>
      <c r="AS236" s="131"/>
      <c r="AT236" s="131"/>
      <c r="AU236" s="117"/>
      <c r="AW236" s="130"/>
      <c r="BA236" s="130"/>
      <c r="BB236" s="130"/>
      <c r="BC236" s="130"/>
    </row>
    <row r="237" spans="1:55" s="118" customFormat="1" ht="20.100000000000001" customHeight="1">
      <c r="A237" s="167"/>
      <c r="B237" s="167"/>
      <c r="C237" s="167"/>
      <c r="D237" s="167"/>
      <c r="E237" s="167"/>
      <c r="F237" s="167"/>
      <c r="G237" s="16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8"/>
      <c r="AO237" s="168"/>
      <c r="AP237" s="116"/>
      <c r="AQ237" s="117"/>
      <c r="AR237" s="131"/>
      <c r="AS237" s="131"/>
      <c r="AT237" s="131"/>
      <c r="AU237" s="117"/>
      <c r="AW237" s="130"/>
      <c r="BA237" s="130"/>
      <c r="BB237" s="130"/>
      <c r="BC237" s="130"/>
    </row>
    <row r="238" spans="1:55" s="118" customFormat="1" ht="20.100000000000001" customHeight="1">
      <c r="A238" s="167"/>
      <c r="B238" s="167"/>
      <c r="C238" s="167"/>
      <c r="D238" s="167"/>
      <c r="E238" s="167"/>
      <c r="F238" s="167"/>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8"/>
      <c r="AO238" s="168"/>
      <c r="AP238" s="116"/>
      <c r="AQ238" s="117"/>
      <c r="AR238" s="131"/>
      <c r="AS238" s="131"/>
      <c r="AT238" s="131"/>
      <c r="AU238" s="117"/>
      <c r="AW238" s="130"/>
      <c r="BA238" s="130"/>
      <c r="BB238" s="130"/>
      <c r="BC238" s="130"/>
    </row>
    <row r="239" spans="1:55" s="118" customFormat="1" ht="20.100000000000001" customHeight="1">
      <c r="A239" s="167"/>
      <c r="B239" s="167"/>
      <c r="C239" s="167"/>
      <c r="D239" s="167"/>
      <c r="E239" s="167"/>
      <c r="F239" s="167"/>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8"/>
      <c r="AO239" s="168"/>
      <c r="AP239" s="116"/>
      <c r="AQ239" s="117"/>
      <c r="AR239" s="131"/>
      <c r="AS239" s="131"/>
      <c r="AT239" s="131"/>
      <c r="AU239" s="117"/>
      <c r="AW239" s="130"/>
      <c r="BA239" s="130"/>
      <c r="BB239" s="130"/>
      <c r="BC239" s="130"/>
    </row>
    <row r="240" spans="1:55" s="118" customFormat="1" ht="20.100000000000001" customHeight="1">
      <c r="A240" s="167"/>
      <c r="B240" s="167"/>
      <c r="C240" s="167"/>
      <c r="D240" s="167"/>
      <c r="E240" s="167"/>
      <c r="F240" s="167"/>
      <c r="G240" s="167"/>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8"/>
      <c r="AO240" s="168"/>
      <c r="AP240" s="116"/>
      <c r="AQ240" s="117"/>
      <c r="AR240" s="131"/>
      <c r="AS240" s="131"/>
      <c r="AT240" s="131"/>
      <c r="AU240" s="117"/>
      <c r="AW240" s="130"/>
      <c r="BA240" s="130"/>
      <c r="BB240" s="130"/>
      <c r="BC240" s="130"/>
    </row>
    <row r="241" spans="1:55" s="118" customFormat="1" ht="20.100000000000001" customHeight="1">
      <c r="A241" s="167"/>
      <c r="B241" s="167"/>
      <c r="C241" s="167"/>
      <c r="D241" s="167"/>
      <c r="E241" s="167"/>
      <c r="F241" s="167"/>
      <c r="G241" s="167"/>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8"/>
      <c r="AO241" s="168"/>
      <c r="AP241" s="116"/>
      <c r="AQ241" s="117"/>
      <c r="AR241" s="131"/>
      <c r="AS241" s="131"/>
      <c r="AT241" s="131"/>
      <c r="AU241" s="117"/>
      <c r="AW241" s="130"/>
      <c r="BA241" s="130"/>
      <c r="BB241" s="130"/>
      <c r="BC241" s="130"/>
    </row>
    <row r="242" spans="1:55" s="118" customFormat="1" ht="20.100000000000001" customHeight="1">
      <c r="A242" s="167"/>
      <c r="B242" s="167"/>
      <c r="C242" s="167"/>
      <c r="D242" s="167"/>
      <c r="E242" s="167"/>
      <c r="F242" s="167"/>
      <c r="G242" s="16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8"/>
      <c r="AO242" s="168"/>
      <c r="AP242" s="116"/>
      <c r="AQ242" s="117"/>
      <c r="AR242" s="131"/>
      <c r="AS242" s="131"/>
      <c r="AT242" s="131"/>
      <c r="AU242" s="117"/>
      <c r="AW242" s="130"/>
      <c r="BA242" s="130"/>
      <c r="BB242" s="130"/>
      <c r="BC242" s="130"/>
    </row>
    <row r="243" spans="1:55" s="118" customFormat="1" ht="20.100000000000001" customHeight="1">
      <c r="A243" s="167"/>
      <c r="B243" s="167"/>
      <c r="C243" s="167"/>
      <c r="D243" s="167"/>
      <c r="E243" s="167"/>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8"/>
      <c r="AO243" s="168"/>
      <c r="AP243" s="116"/>
      <c r="AQ243" s="117"/>
      <c r="AR243" s="131"/>
      <c r="AS243" s="131"/>
      <c r="AT243" s="131"/>
      <c r="AU243" s="117"/>
      <c r="AW243" s="130"/>
      <c r="BA243" s="130"/>
      <c r="BB243" s="130"/>
      <c r="BC243" s="130"/>
    </row>
    <row r="244" spans="1:55" s="118" customFormat="1" ht="20.100000000000001" customHeight="1">
      <c r="A244" s="167"/>
      <c r="B244" s="167"/>
      <c r="C244" s="167"/>
      <c r="D244" s="167"/>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8"/>
      <c r="AO244" s="168"/>
      <c r="AP244" s="116"/>
      <c r="AQ244" s="117"/>
      <c r="AR244" s="131"/>
      <c r="AS244" s="131"/>
      <c r="AT244" s="131"/>
      <c r="AU244" s="117"/>
      <c r="AW244" s="130"/>
      <c r="BA244" s="130"/>
      <c r="BB244" s="130"/>
      <c r="BC244" s="130"/>
    </row>
    <row r="245" spans="1:55" s="118" customFormat="1" ht="20.100000000000001" customHeight="1">
      <c r="A245" s="167"/>
      <c r="B245" s="167"/>
      <c r="C245" s="167"/>
      <c r="D245" s="167"/>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8"/>
      <c r="AO245" s="168"/>
      <c r="AP245" s="116"/>
      <c r="AQ245" s="117"/>
      <c r="AR245" s="131"/>
      <c r="AS245" s="131"/>
      <c r="AT245" s="131"/>
      <c r="AU245" s="117"/>
      <c r="AW245" s="130"/>
      <c r="BA245" s="130"/>
      <c r="BB245" s="130"/>
      <c r="BC245" s="130"/>
    </row>
    <row r="246" spans="1:55" s="118" customFormat="1" ht="20.100000000000001" customHeight="1">
      <c r="A246" s="167"/>
      <c r="B246" s="167"/>
      <c r="C246" s="167"/>
      <c r="D246" s="167"/>
      <c r="E246" s="167"/>
      <c r="F246" s="167"/>
      <c r="G246" s="16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8"/>
      <c r="AO246" s="168"/>
      <c r="AP246" s="116"/>
      <c r="AQ246" s="117"/>
      <c r="AR246" s="131"/>
      <c r="AS246" s="131"/>
      <c r="AT246" s="131"/>
      <c r="AU246" s="117"/>
      <c r="AW246" s="130"/>
      <c r="BA246" s="130"/>
      <c r="BB246" s="130"/>
      <c r="BC246" s="130"/>
    </row>
    <row r="247" spans="1:55" s="118" customFormat="1" ht="20.100000000000001" customHeight="1">
      <c r="A247" s="167"/>
      <c r="B247" s="167"/>
      <c r="C247" s="167"/>
      <c r="D247" s="167"/>
      <c r="E247" s="167"/>
      <c r="F247" s="167"/>
      <c r="G247" s="16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8"/>
      <c r="AO247" s="168"/>
      <c r="AP247" s="116"/>
      <c r="AQ247" s="117"/>
      <c r="AR247" s="131"/>
      <c r="AS247" s="131"/>
      <c r="AT247" s="131"/>
      <c r="AU247" s="117"/>
      <c r="AW247" s="130"/>
      <c r="BA247" s="130"/>
      <c r="BB247" s="130"/>
      <c r="BC247" s="130"/>
    </row>
    <row r="248" spans="1:55" s="118" customFormat="1" ht="20.100000000000001" customHeight="1">
      <c r="A248" s="167"/>
      <c r="B248" s="167"/>
      <c r="C248" s="167"/>
      <c r="D248" s="167"/>
      <c r="E248" s="167"/>
      <c r="F248" s="167"/>
      <c r="G248" s="16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8"/>
      <c r="AO248" s="168"/>
      <c r="AP248" s="116"/>
      <c r="AQ248" s="117"/>
      <c r="AR248" s="131"/>
      <c r="AS248" s="131"/>
      <c r="AT248" s="131"/>
      <c r="AU248" s="117"/>
      <c r="AW248" s="130"/>
      <c r="BA248" s="130"/>
      <c r="BB248" s="130"/>
      <c r="BC248" s="130"/>
    </row>
    <row r="249" spans="1:55" s="118" customFormat="1" ht="20.100000000000001" customHeight="1">
      <c r="A249" s="167"/>
      <c r="B249" s="167"/>
      <c r="C249" s="167"/>
      <c r="D249" s="167"/>
      <c r="E249" s="167"/>
      <c r="F249" s="167"/>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8"/>
      <c r="AO249" s="168"/>
      <c r="AP249" s="116"/>
      <c r="AQ249" s="117"/>
      <c r="AR249" s="131"/>
      <c r="AS249" s="131"/>
      <c r="AT249" s="131"/>
      <c r="AU249" s="117"/>
      <c r="AW249" s="130"/>
      <c r="BA249" s="130"/>
      <c r="BB249" s="130"/>
      <c r="BC249" s="130"/>
    </row>
    <row r="250" spans="1:55" s="118" customFormat="1" ht="20.100000000000001" customHeight="1">
      <c r="A250" s="167"/>
      <c r="B250" s="167"/>
      <c r="C250" s="167"/>
      <c r="D250" s="167"/>
      <c r="E250" s="167"/>
      <c r="F250" s="167"/>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8"/>
      <c r="AO250" s="168"/>
      <c r="AP250" s="116"/>
      <c r="AQ250" s="117"/>
      <c r="AR250" s="131"/>
      <c r="AS250" s="131"/>
      <c r="AT250" s="131"/>
      <c r="AU250" s="117"/>
      <c r="AW250" s="130"/>
      <c r="BA250" s="130"/>
      <c r="BB250" s="130"/>
      <c r="BC250" s="130"/>
    </row>
    <row r="251" spans="1:55" s="118" customFormat="1" ht="20.100000000000001" customHeight="1">
      <c r="A251" s="167"/>
      <c r="B251" s="167"/>
      <c r="C251" s="167"/>
      <c r="D251" s="167"/>
      <c r="E251" s="167"/>
      <c r="F251" s="167"/>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8"/>
      <c r="AO251" s="168"/>
      <c r="AP251" s="116"/>
      <c r="AQ251" s="117"/>
      <c r="AR251" s="131"/>
      <c r="AS251" s="131"/>
      <c r="AT251" s="131"/>
      <c r="AU251" s="117"/>
      <c r="AW251" s="130"/>
      <c r="BA251" s="130"/>
      <c r="BB251" s="130"/>
      <c r="BC251" s="130"/>
    </row>
    <row r="252" spans="1:55" s="118" customFormat="1" ht="20.100000000000001" customHeight="1">
      <c r="A252" s="167"/>
      <c r="B252" s="167"/>
      <c r="C252" s="167"/>
      <c r="D252" s="167"/>
      <c r="E252" s="167"/>
      <c r="F252" s="167"/>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C252" s="167"/>
      <c r="AD252" s="167"/>
      <c r="AE252" s="167"/>
      <c r="AF252" s="167"/>
      <c r="AG252" s="167"/>
      <c r="AH252" s="167"/>
      <c r="AI252" s="167"/>
      <c r="AJ252" s="167"/>
      <c r="AK252" s="167"/>
      <c r="AL252" s="167"/>
      <c r="AM252" s="167"/>
      <c r="AN252" s="168"/>
      <c r="AO252" s="168"/>
      <c r="AP252" s="116"/>
      <c r="AQ252" s="117"/>
      <c r="AR252" s="131"/>
      <c r="AS252" s="131"/>
      <c r="AT252" s="131"/>
      <c r="AU252" s="117"/>
      <c r="AW252" s="130"/>
      <c r="BA252" s="130"/>
      <c r="BB252" s="130"/>
      <c r="BC252" s="130"/>
    </row>
    <row r="253" spans="1:55" s="118" customFormat="1" ht="20.100000000000001" customHeight="1">
      <c r="A253" s="167"/>
      <c r="B253" s="167"/>
      <c r="C253" s="167"/>
      <c r="D253" s="167"/>
      <c r="E253" s="167"/>
      <c r="F253" s="167"/>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C253" s="167"/>
      <c r="AD253" s="167"/>
      <c r="AE253" s="167"/>
      <c r="AF253" s="167"/>
      <c r="AG253" s="167"/>
      <c r="AH253" s="167"/>
      <c r="AI253" s="167"/>
      <c r="AJ253" s="167"/>
      <c r="AK253" s="167"/>
      <c r="AL253" s="167"/>
      <c r="AM253" s="167"/>
      <c r="AN253" s="168"/>
      <c r="AO253" s="168"/>
      <c r="AP253" s="116"/>
      <c r="AQ253" s="117"/>
      <c r="AR253" s="131"/>
      <c r="AS253" s="131"/>
      <c r="AT253" s="131"/>
      <c r="AU253" s="117"/>
      <c r="AW253" s="130"/>
      <c r="BA253" s="130"/>
      <c r="BB253" s="130"/>
      <c r="BC253" s="130"/>
    </row>
    <row r="254" spans="1:55" s="118" customFormat="1" ht="20.100000000000001" customHeight="1">
      <c r="A254" s="167"/>
      <c r="B254" s="167"/>
      <c r="C254" s="167"/>
      <c r="D254" s="167"/>
      <c r="E254" s="167"/>
      <c r="F254" s="167"/>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C254" s="167"/>
      <c r="AD254" s="167"/>
      <c r="AE254" s="167"/>
      <c r="AF254" s="167"/>
      <c r="AG254" s="167"/>
      <c r="AH254" s="167"/>
      <c r="AI254" s="167"/>
      <c r="AJ254" s="167"/>
      <c r="AK254" s="167"/>
      <c r="AL254" s="167"/>
      <c r="AM254" s="167"/>
      <c r="AN254" s="168"/>
      <c r="AO254" s="168"/>
      <c r="AP254" s="116"/>
      <c r="AQ254" s="117"/>
      <c r="AR254" s="131"/>
      <c r="AS254" s="131"/>
      <c r="AT254" s="131"/>
      <c r="AU254" s="117"/>
      <c r="AW254" s="130"/>
      <c r="BA254" s="130"/>
      <c r="BB254" s="130"/>
      <c r="BC254" s="130"/>
    </row>
    <row r="255" spans="1:55" s="118" customFormat="1" ht="20.100000000000001" customHeight="1">
      <c r="A255" s="167"/>
      <c r="B255" s="167"/>
      <c r="C255" s="167"/>
      <c r="D255" s="167"/>
      <c r="E255" s="167"/>
      <c r="F255" s="167"/>
      <c r="G255" s="167"/>
      <c r="H255" s="167"/>
      <c r="I255" s="167"/>
      <c r="J255" s="167"/>
      <c r="K255" s="167"/>
      <c r="L255" s="167"/>
      <c r="M255" s="167"/>
      <c r="N255" s="167"/>
      <c r="O255" s="167"/>
      <c r="P255" s="167"/>
      <c r="Q255" s="167"/>
      <c r="R255" s="167"/>
      <c r="S255" s="167"/>
      <c r="T255" s="167"/>
      <c r="U255" s="167"/>
      <c r="V255" s="167"/>
      <c r="W255" s="167"/>
      <c r="X255" s="167"/>
      <c r="Y255" s="167"/>
      <c r="Z255" s="167"/>
      <c r="AA255" s="167"/>
      <c r="AB255" s="167"/>
      <c r="AC255" s="167"/>
      <c r="AD255" s="167"/>
      <c r="AE255" s="167"/>
      <c r="AF255" s="167"/>
      <c r="AG255" s="167"/>
      <c r="AH255" s="167"/>
      <c r="AI255" s="167"/>
      <c r="AJ255" s="167"/>
      <c r="AK255" s="167"/>
      <c r="AL255" s="167"/>
      <c r="AM255" s="167"/>
      <c r="AN255" s="168"/>
      <c r="AO255" s="168"/>
      <c r="AP255" s="116"/>
      <c r="AQ255" s="117"/>
      <c r="AR255" s="131"/>
      <c r="AS255" s="131"/>
      <c r="AT255" s="131"/>
      <c r="AU255" s="117"/>
      <c r="AW255" s="130"/>
      <c r="BA255" s="130"/>
      <c r="BB255" s="130"/>
      <c r="BC255" s="130"/>
    </row>
    <row r="256" spans="1:55" s="118" customFormat="1" ht="20.100000000000001" customHeight="1">
      <c r="A256" s="167"/>
      <c r="B256" s="167"/>
      <c r="C256" s="167"/>
      <c r="D256" s="167"/>
      <c r="E256" s="167"/>
      <c r="F256" s="167"/>
      <c r="G256" s="167"/>
      <c r="H256" s="167"/>
      <c r="I256" s="167"/>
      <c r="J256" s="167"/>
      <c r="K256" s="167"/>
      <c r="L256" s="167"/>
      <c r="M256" s="167"/>
      <c r="N256" s="167"/>
      <c r="O256" s="167"/>
      <c r="P256" s="167"/>
      <c r="Q256" s="167"/>
      <c r="R256" s="167"/>
      <c r="S256" s="167"/>
      <c r="T256" s="167"/>
      <c r="U256" s="167"/>
      <c r="V256" s="167"/>
      <c r="W256" s="167"/>
      <c r="X256" s="167"/>
      <c r="Y256" s="167"/>
      <c r="Z256" s="167"/>
      <c r="AA256" s="167"/>
      <c r="AB256" s="167"/>
      <c r="AC256" s="167"/>
      <c r="AD256" s="167"/>
      <c r="AE256" s="167"/>
      <c r="AF256" s="167"/>
      <c r="AG256" s="167"/>
      <c r="AH256" s="167"/>
      <c r="AI256" s="167"/>
      <c r="AJ256" s="167"/>
      <c r="AK256" s="167"/>
      <c r="AL256" s="167"/>
      <c r="AM256" s="167"/>
      <c r="AN256" s="168"/>
      <c r="AO256" s="168"/>
      <c r="AP256" s="116"/>
      <c r="AQ256" s="117"/>
      <c r="AR256" s="131"/>
      <c r="AS256" s="131"/>
      <c r="AT256" s="131"/>
      <c r="AU256" s="117"/>
      <c r="AW256" s="130"/>
      <c r="BA256" s="130"/>
      <c r="BB256" s="130"/>
      <c r="BC256" s="130"/>
    </row>
    <row r="257" spans="1:55" s="118" customFormat="1" ht="20.100000000000001" customHeight="1">
      <c r="A257" s="167"/>
      <c r="B257" s="167"/>
      <c r="C257" s="167"/>
      <c r="D257" s="167"/>
      <c r="E257" s="167"/>
      <c r="F257" s="167"/>
      <c r="G257" s="167"/>
      <c r="H257" s="167"/>
      <c r="I257" s="167"/>
      <c r="J257" s="167"/>
      <c r="K257" s="167"/>
      <c r="L257" s="167"/>
      <c r="M257" s="167"/>
      <c r="N257" s="167"/>
      <c r="O257" s="167"/>
      <c r="P257" s="167"/>
      <c r="Q257" s="167"/>
      <c r="R257" s="167"/>
      <c r="S257" s="167"/>
      <c r="T257" s="167"/>
      <c r="U257" s="167"/>
      <c r="V257" s="167"/>
      <c r="W257" s="167"/>
      <c r="X257" s="167"/>
      <c r="Y257" s="167"/>
      <c r="Z257" s="167"/>
      <c r="AA257" s="167"/>
      <c r="AB257" s="167"/>
      <c r="AC257" s="167"/>
      <c r="AD257" s="167"/>
      <c r="AE257" s="167"/>
      <c r="AF257" s="167"/>
      <c r="AG257" s="167"/>
      <c r="AH257" s="167"/>
      <c r="AI257" s="167"/>
      <c r="AJ257" s="167"/>
      <c r="AK257" s="167"/>
      <c r="AL257" s="167"/>
      <c r="AM257" s="167"/>
      <c r="AN257" s="168"/>
      <c r="AO257" s="168"/>
      <c r="AP257" s="116"/>
      <c r="AQ257" s="117"/>
      <c r="AR257" s="131"/>
      <c r="AS257" s="131"/>
      <c r="AT257" s="131"/>
      <c r="AU257" s="117"/>
      <c r="AW257" s="130"/>
      <c r="BA257" s="130"/>
      <c r="BB257" s="130"/>
      <c r="BC257" s="130"/>
    </row>
    <row r="258" spans="1:55" s="118" customFormat="1" ht="20.100000000000001" customHeight="1">
      <c r="A258" s="167"/>
      <c r="B258" s="167"/>
      <c r="C258" s="167"/>
      <c r="D258" s="167"/>
      <c r="E258" s="167"/>
      <c r="F258" s="167"/>
      <c r="G258" s="167"/>
      <c r="H258" s="167"/>
      <c r="I258" s="167"/>
      <c r="J258" s="167"/>
      <c r="K258" s="167"/>
      <c r="L258" s="167"/>
      <c r="M258" s="167"/>
      <c r="N258" s="167"/>
      <c r="O258" s="167"/>
      <c r="P258" s="167"/>
      <c r="Q258" s="167"/>
      <c r="R258" s="167"/>
      <c r="S258" s="167"/>
      <c r="T258" s="167"/>
      <c r="U258" s="167"/>
      <c r="V258" s="167"/>
      <c r="W258" s="167"/>
      <c r="X258" s="167"/>
      <c r="Y258" s="167"/>
      <c r="Z258" s="167"/>
      <c r="AA258" s="167"/>
      <c r="AB258" s="167"/>
      <c r="AC258" s="167"/>
      <c r="AD258" s="167"/>
      <c r="AE258" s="167"/>
      <c r="AF258" s="167"/>
      <c r="AG258" s="167"/>
      <c r="AH258" s="167"/>
      <c r="AI258" s="167"/>
      <c r="AJ258" s="167"/>
      <c r="AK258" s="167"/>
      <c r="AL258" s="167"/>
      <c r="AM258" s="167"/>
      <c r="AN258" s="168"/>
      <c r="AO258" s="168"/>
      <c r="AP258" s="116"/>
      <c r="AQ258" s="117"/>
      <c r="AR258" s="131"/>
      <c r="AS258" s="131"/>
      <c r="AT258" s="131"/>
      <c r="AU258" s="117"/>
      <c r="AW258" s="130"/>
      <c r="BA258" s="130"/>
      <c r="BB258" s="130"/>
      <c r="BC258" s="130"/>
    </row>
    <row r="259" spans="1:55" s="118" customFormat="1" ht="20.100000000000001" customHeight="1">
      <c r="A259" s="167"/>
      <c r="B259" s="167"/>
      <c r="C259" s="167"/>
      <c r="D259" s="167"/>
      <c r="E259" s="167"/>
      <c r="F259" s="167"/>
      <c r="G259" s="167"/>
      <c r="H259" s="167"/>
      <c r="I259" s="167"/>
      <c r="J259" s="167"/>
      <c r="K259" s="167"/>
      <c r="L259" s="167"/>
      <c r="M259" s="167"/>
      <c r="N259" s="167"/>
      <c r="O259" s="167"/>
      <c r="P259" s="167"/>
      <c r="Q259" s="167"/>
      <c r="R259" s="167"/>
      <c r="S259" s="167"/>
      <c r="T259" s="167"/>
      <c r="U259" s="167"/>
      <c r="V259" s="167"/>
      <c r="W259" s="167"/>
      <c r="X259" s="167"/>
      <c r="Y259" s="167"/>
      <c r="Z259" s="167"/>
      <c r="AA259" s="167"/>
      <c r="AB259" s="167"/>
      <c r="AC259" s="167"/>
      <c r="AD259" s="167"/>
      <c r="AE259" s="167"/>
      <c r="AF259" s="167"/>
      <c r="AG259" s="167"/>
      <c r="AH259" s="167"/>
      <c r="AI259" s="167"/>
      <c r="AJ259" s="167"/>
      <c r="AK259" s="167"/>
      <c r="AL259" s="167"/>
      <c r="AM259" s="167"/>
      <c r="AN259" s="168"/>
      <c r="AO259" s="168"/>
      <c r="AP259" s="116"/>
      <c r="AQ259" s="117"/>
      <c r="AR259" s="131"/>
      <c r="AS259" s="131"/>
      <c r="AT259" s="131"/>
      <c r="AU259" s="117"/>
      <c r="AW259" s="130"/>
      <c r="BA259" s="130"/>
      <c r="BB259" s="130"/>
      <c r="BC259" s="130"/>
    </row>
    <row r="260" spans="1:55" s="118" customFormat="1" ht="20.100000000000001" customHeight="1">
      <c r="A260" s="167"/>
      <c r="B260" s="167"/>
      <c r="C260" s="167"/>
      <c r="D260" s="167"/>
      <c r="E260" s="167"/>
      <c r="F260" s="167"/>
      <c r="G260" s="167"/>
      <c r="H260" s="167"/>
      <c r="I260" s="167"/>
      <c r="J260" s="167"/>
      <c r="K260" s="167"/>
      <c r="L260" s="167"/>
      <c r="M260" s="167"/>
      <c r="N260" s="167"/>
      <c r="O260" s="167"/>
      <c r="P260" s="167"/>
      <c r="Q260" s="167"/>
      <c r="R260" s="167"/>
      <c r="S260" s="167"/>
      <c r="T260" s="167"/>
      <c r="U260" s="167"/>
      <c r="V260" s="167"/>
      <c r="W260" s="167"/>
      <c r="X260" s="167"/>
      <c r="Y260" s="167"/>
      <c r="Z260" s="167"/>
      <c r="AA260" s="167"/>
      <c r="AB260" s="167"/>
      <c r="AC260" s="167"/>
      <c r="AD260" s="167"/>
      <c r="AE260" s="167"/>
      <c r="AF260" s="167"/>
      <c r="AG260" s="167"/>
      <c r="AH260" s="167"/>
      <c r="AI260" s="167"/>
      <c r="AJ260" s="167"/>
      <c r="AK260" s="167"/>
      <c r="AL260" s="167"/>
      <c r="AM260" s="167"/>
      <c r="AN260" s="168"/>
      <c r="AO260" s="168"/>
      <c r="AP260" s="116"/>
      <c r="AQ260" s="117"/>
      <c r="AR260" s="131"/>
      <c r="AS260" s="131"/>
      <c r="AT260" s="131"/>
      <c r="AU260" s="117"/>
      <c r="AW260" s="130"/>
      <c r="BA260" s="130"/>
      <c r="BB260" s="130"/>
      <c r="BC260" s="130"/>
    </row>
    <row r="261" spans="1:55" s="118" customFormat="1" ht="20.100000000000001" customHeight="1">
      <c r="A261" s="167"/>
      <c r="B261" s="167"/>
      <c r="C261" s="167"/>
      <c r="D261" s="167"/>
      <c r="E261" s="167"/>
      <c r="F261" s="167"/>
      <c r="G261" s="167"/>
      <c r="H261" s="167"/>
      <c r="I261" s="167"/>
      <c r="J261" s="167"/>
      <c r="K261" s="167"/>
      <c r="L261" s="167"/>
      <c r="M261" s="167"/>
      <c r="N261" s="167"/>
      <c r="O261" s="167"/>
      <c r="P261" s="167"/>
      <c r="Q261" s="167"/>
      <c r="R261" s="167"/>
      <c r="S261" s="167"/>
      <c r="T261" s="167"/>
      <c r="U261" s="167"/>
      <c r="V261" s="167"/>
      <c r="W261" s="167"/>
      <c r="X261" s="167"/>
      <c r="Y261" s="167"/>
      <c r="Z261" s="167"/>
      <c r="AA261" s="167"/>
      <c r="AB261" s="167"/>
      <c r="AC261" s="167"/>
      <c r="AD261" s="167"/>
      <c r="AE261" s="167"/>
      <c r="AF261" s="167"/>
      <c r="AG261" s="167"/>
      <c r="AH261" s="167"/>
      <c r="AI261" s="167"/>
      <c r="AJ261" s="167"/>
      <c r="AK261" s="167"/>
      <c r="AL261" s="167"/>
      <c r="AM261" s="167"/>
      <c r="AN261" s="168"/>
      <c r="AO261" s="168"/>
      <c r="AP261" s="116"/>
      <c r="AQ261" s="117"/>
      <c r="AR261" s="131"/>
      <c r="AS261" s="131"/>
      <c r="AT261" s="131"/>
      <c r="AU261" s="117"/>
      <c r="AW261" s="130"/>
      <c r="BA261" s="130"/>
      <c r="BB261" s="130"/>
      <c r="BC261" s="130"/>
    </row>
    <row r="262" spans="1:55" s="118" customFormat="1" ht="20.100000000000001" customHeight="1">
      <c r="A262" s="167"/>
      <c r="B262" s="167"/>
      <c r="C262" s="167"/>
      <c r="D262" s="167"/>
      <c r="E262" s="167"/>
      <c r="F262" s="167"/>
      <c r="G262" s="167"/>
      <c r="H262" s="167"/>
      <c r="I262" s="167"/>
      <c r="J262" s="167"/>
      <c r="K262" s="167"/>
      <c r="L262" s="167"/>
      <c r="M262" s="167"/>
      <c r="N262" s="167"/>
      <c r="O262" s="167"/>
      <c r="P262" s="167"/>
      <c r="Q262" s="167"/>
      <c r="R262" s="167"/>
      <c r="S262" s="167"/>
      <c r="T262" s="167"/>
      <c r="U262" s="167"/>
      <c r="V262" s="167"/>
      <c r="W262" s="167"/>
      <c r="X262" s="167"/>
      <c r="Y262" s="167"/>
      <c r="Z262" s="167"/>
      <c r="AA262" s="167"/>
      <c r="AB262" s="167"/>
      <c r="AC262" s="167"/>
      <c r="AD262" s="167"/>
      <c r="AE262" s="167"/>
      <c r="AF262" s="167"/>
      <c r="AG262" s="167"/>
      <c r="AH262" s="167"/>
      <c r="AI262" s="167"/>
      <c r="AJ262" s="167"/>
      <c r="AK262" s="167"/>
      <c r="AL262" s="167"/>
      <c r="AM262" s="167"/>
      <c r="AN262" s="168"/>
      <c r="AO262" s="168"/>
      <c r="AP262" s="116"/>
      <c r="AQ262" s="117"/>
      <c r="AR262" s="131"/>
      <c r="AS262" s="131"/>
      <c r="AT262" s="131"/>
      <c r="AU262" s="117"/>
      <c r="AW262" s="130"/>
      <c r="BA262" s="130"/>
      <c r="BB262" s="130"/>
      <c r="BC262" s="130"/>
    </row>
    <row r="263" spans="1:55" s="118" customFormat="1" ht="20.100000000000001" customHeight="1">
      <c r="A263" s="167"/>
      <c r="B263" s="167"/>
      <c r="C263" s="167"/>
      <c r="D263" s="167"/>
      <c r="E263" s="167"/>
      <c r="F263" s="167"/>
      <c r="G263" s="167"/>
      <c r="H263" s="167"/>
      <c r="I263" s="167"/>
      <c r="J263" s="167"/>
      <c r="K263" s="167"/>
      <c r="L263" s="167"/>
      <c r="M263" s="167"/>
      <c r="N263" s="167"/>
      <c r="O263" s="167"/>
      <c r="P263" s="167"/>
      <c r="Q263" s="167"/>
      <c r="R263" s="167"/>
      <c r="S263" s="167"/>
      <c r="T263" s="167"/>
      <c r="U263" s="167"/>
      <c r="V263" s="167"/>
      <c r="W263" s="167"/>
      <c r="X263" s="167"/>
      <c r="Y263" s="167"/>
      <c r="Z263" s="167"/>
      <c r="AA263" s="167"/>
      <c r="AB263" s="167"/>
      <c r="AC263" s="167"/>
      <c r="AD263" s="167"/>
      <c r="AE263" s="167"/>
      <c r="AF263" s="167"/>
      <c r="AG263" s="167"/>
      <c r="AH263" s="167"/>
      <c r="AI263" s="167"/>
      <c r="AJ263" s="167"/>
      <c r="AK263" s="167"/>
      <c r="AL263" s="167"/>
      <c r="AM263" s="167"/>
      <c r="AN263" s="168"/>
      <c r="AO263" s="168"/>
      <c r="AP263" s="116"/>
      <c r="AQ263" s="117"/>
      <c r="AR263" s="131"/>
      <c r="AS263" s="131"/>
      <c r="AT263" s="131"/>
      <c r="AU263" s="117"/>
      <c r="AW263" s="130"/>
      <c r="BA263" s="130"/>
      <c r="BB263" s="130"/>
      <c r="BC263" s="130"/>
    </row>
    <row r="264" spans="1:55" s="118" customFormat="1" ht="20.100000000000001" customHeight="1">
      <c r="A264" s="167"/>
      <c r="B264" s="167"/>
      <c r="C264" s="167"/>
      <c r="D264" s="167"/>
      <c r="E264" s="167"/>
      <c r="F264" s="167"/>
      <c r="G264" s="167"/>
      <c r="H264" s="167"/>
      <c r="I264" s="167"/>
      <c r="J264" s="167"/>
      <c r="K264" s="167"/>
      <c r="L264" s="167"/>
      <c r="M264" s="167"/>
      <c r="N264" s="167"/>
      <c r="O264" s="167"/>
      <c r="P264" s="167"/>
      <c r="Q264" s="167"/>
      <c r="R264" s="167"/>
      <c r="S264" s="167"/>
      <c r="T264" s="167"/>
      <c r="U264" s="167"/>
      <c r="V264" s="167"/>
      <c r="W264" s="167"/>
      <c r="X264" s="167"/>
      <c r="Y264" s="167"/>
      <c r="Z264" s="167"/>
      <c r="AA264" s="167"/>
      <c r="AB264" s="167"/>
      <c r="AC264" s="167"/>
      <c r="AD264" s="167"/>
      <c r="AE264" s="167"/>
      <c r="AF264" s="167"/>
      <c r="AG264" s="167"/>
      <c r="AH264" s="167"/>
      <c r="AI264" s="167"/>
      <c r="AJ264" s="167"/>
      <c r="AK264" s="167"/>
      <c r="AL264" s="167"/>
      <c r="AM264" s="167"/>
      <c r="AN264" s="168"/>
      <c r="AO264" s="168"/>
      <c r="AP264" s="116"/>
      <c r="AQ264" s="117"/>
      <c r="AR264" s="131"/>
      <c r="AS264" s="131"/>
      <c r="AT264" s="131"/>
      <c r="AU264" s="117"/>
      <c r="AW264" s="130"/>
      <c r="BA264" s="130"/>
      <c r="BB264" s="130"/>
      <c r="BC264" s="130"/>
    </row>
    <row r="265" spans="1:55" s="118" customFormat="1" ht="20.100000000000001" customHeight="1">
      <c r="A265" s="167"/>
      <c r="B265" s="167"/>
      <c r="C265" s="167"/>
      <c r="D265" s="167"/>
      <c r="E265" s="167"/>
      <c r="F265" s="167"/>
      <c r="G265" s="167"/>
      <c r="H265" s="167"/>
      <c r="I265" s="167"/>
      <c r="J265" s="167"/>
      <c r="K265" s="167"/>
      <c r="L265" s="167"/>
      <c r="M265" s="167"/>
      <c r="N265" s="167"/>
      <c r="O265" s="167"/>
      <c r="P265" s="167"/>
      <c r="Q265" s="167"/>
      <c r="R265" s="167"/>
      <c r="S265" s="167"/>
      <c r="T265" s="167"/>
      <c r="U265" s="167"/>
      <c r="V265" s="167"/>
      <c r="W265" s="167"/>
      <c r="X265" s="167"/>
      <c r="Y265" s="167"/>
      <c r="Z265" s="167"/>
      <c r="AA265" s="167"/>
      <c r="AB265" s="167"/>
      <c r="AC265" s="167"/>
      <c r="AD265" s="167"/>
      <c r="AE265" s="167"/>
      <c r="AF265" s="167"/>
      <c r="AG265" s="167"/>
      <c r="AH265" s="167"/>
      <c r="AI265" s="167"/>
      <c r="AJ265" s="167"/>
      <c r="AK265" s="167"/>
      <c r="AL265" s="167"/>
      <c r="AM265" s="167"/>
      <c r="AN265" s="168"/>
      <c r="AO265" s="168"/>
      <c r="AP265" s="116"/>
      <c r="AQ265" s="117"/>
      <c r="AR265" s="131"/>
      <c r="AS265" s="131"/>
      <c r="AT265" s="131"/>
      <c r="AU265" s="117"/>
      <c r="AW265" s="130"/>
      <c r="BA265" s="130"/>
      <c r="BB265" s="130"/>
      <c r="BC265" s="130"/>
    </row>
    <row r="266" spans="1:55" s="118" customFormat="1" ht="20.100000000000001" customHeight="1">
      <c r="A266" s="167"/>
      <c r="B266" s="167"/>
      <c r="C266" s="167"/>
      <c r="D266" s="167"/>
      <c r="E266" s="167"/>
      <c r="F266" s="167"/>
      <c r="G266" s="167"/>
      <c r="H266" s="167"/>
      <c r="I266" s="167"/>
      <c r="J266" s="167"/>
      <c r="K266" s="167"/>
      <c r="L266" s="167"/>
      <c r="M266" s="167"/>
      <c r="N266" s="167"/>
      <c r="O266" s="167"/>
      <c r="P266" s="167"/>
      <c r="Q266" s="167"/>
      <c r="R266" s="167"/>
      <c r="S266" s="167"/>
      <c r="T266" s="167"/>
      <c r="U266" s="167"/>
      <c r="V266" s="167"/>
      <c r="W266" s="167"/>
      <c r="X266" s="167"/>
      <c r="Y266" s="167"/>
      <c r="Z266" s="167"/>
      <c r="AA266" s="167"/>
      <c r="AB266" s="167"/>
      <c r="AC266" s="167"/>
      <c r="AD266" s="167"/>
      <c r="AE266" s="167"/>
      <c r="AF266" s="167"/>
      <c r="AG266" s="167"/>
      <c r="AH266" s="167"/>
      <c r="AI266" s="167"/>
      <c r="AJ266" s="167"/>
      <c r="AK266" s="167"/>
      <c r="AL266" s="167"/>
      <c r="AM266" s="167"/>
      <c r="AN266" s="168"/>
      <c r="AO266" s="168"/>
      <c r="AP266" s="116"/>
      <c r="AQ266" s="117"/>
      <c r="AR266" s="131"/>
      <c r="AS266" s="131"/>
      <c r="AT266" s="131"/>
      <c r="AU266" s="117"/>
      <c r="AW266" s="130"/>
      <c r="BA266" s="130"/>
      <c r="BB266" s="130"/>
      <c r="BC266" s="130"/>
    </row>
    <row r="267" spans="1:55" s="118" customFormat="1" ht="20.100000000000001" customHeight="1">
      <c r="A267" s="167"/>
      <c r="B267" s="167"/>
      <c r="C267" s="167"/>
      <c r="D267" s="167"/>
      <c r="E267" s="167"/>
      <c r="F267" s="167"/>
      <c r="G267" s="167"/>
      <c r="H267" s="167"/>
      <c r="I267" s="167"/>
      <c r="J267" s="167"/>
      <c r="K267" s="167"/>
      <c r="L267" s="167"/>
      <c r="M267" s="167"/>
      <c r="N267" s="167"/>
      <c r="O267" s="167"/>
      <c r="P267" s="167"/>
      <c r="Q267" s="167"/>
      <c r="R267" s="167"/>
      <c r="S267" s="167"/>
      <c r="T267" s="167"/>
      <c r="U267" s="167"/>
      <c r="V267" s="167"/>
      <c r="W267" s="167"/>
      <c r="X267" s="167"/>
      <c r="Y267" s="167"/>
      <c r="Z267" s="167"/>
      <c r="AA267" s="167"/>
      <c r="AB267" s="167"/>
      <c r="AC267" s="167"/>
      <c r="AD267" s="167"/>
      <c r="AE267" s="167"/>
      <c r="AF267" s="167"/>
      <c r="AG267" s="167"/>
      <c r="AH267" s="167"/>
      <c r="AI267" s="167"/>
      <c r="AJ267" s="167"/>
      <c r="AK267" s="167"/>
      <c r="AL267" s="167"/>
      <c r="AM267" s="167"/>
      <c r="AN267" s="168"/>
      <c r="AO267" s="168"/>
      <c r="AP267" s="116"/>
      <c r="AQ267" s="117"/>
      <c r="AR267" s="131"/>
      <c r="AS267" s="131"/>
      <c r="AT267" s="131"/>
      <c r="AU267" s="117"/>
      <c r="AW267" s="130"/>
      <c r="BA267" s="130"/>
      <c r="BB267" s="130"/>
      <c r="BC267" s="130"/>
    </row>
    <row r="268" spans="1:55" s="118" customFormat="1" ht="20.100000000000001" customHeight="1">
      <c r="A268" s="167"/>
      <c r="B268" s="167"/>
      <c r="C268" s="167"/>
      <c r="D268" s="167"/>
      <c r="E268" s="167"/>
      <c r="F268" s="167"/>
      <c r="G268" s="167"/>
      <c r="H268" s="167"/>
      <c r="I268" s="167"/>
      <c r="J268" s="167"/>
      <c r="K268" s="167"/>
      <c r="L268" s="167"/>
      <c r="M268" s="167"/>
      <c r="N268" s="167"/>
      <c r="O268" s="167"/>
      <c r="P268" s="167"/>
      <c r="Q268" s="167"/>
      <c r="R268" s="167"/>
      <c r="S268" s="167"/>
      <c r="T268" s="167"/>
      <c r="U268" s="167"/>
      <c r="V268" s="167"/>
      <c r="W268" s="167"/>
      <c r="X268" s="167"/>
      <c r="Y268" s="167"/>
      <c r="Z268" s="167"/>
      <c r="AA268" s="167"/>
      <c r="AB268" s="167"/>
      <c r="AC268" s="167"/>
      <c r="AD268" s="167"/>
      <c r="AE268" s="167"/>
      <c r="AF268" s="167"/>
      <c r="AG268" s="167"/>
      <c r="AH268" s="167"/>
      <c r="AI268" s="167"/>
      <c r="AJ268" s="167"/>
      <c r="AK268" s="167"/>
      <c r="AL268" s="167"/>
      <c r="AM268" s="167"/>
      <c r="AN268" s="168"/>
      <c r="AO268" s="168"/>
      <c r="AP268" s="116"/>
      <c r="AQ268" s="117"/>
      <c r="AR268" s="131"/>
      <c r="AS268" s="131"/>
      <c r="AT268" s="131"/>
      <c r="AU268" s="117"/>
      <c r="AW268" s="130"/>
      <c r="BA268" s="130"/>
      <c r="BB268" s="130"/>
      <c r="BC268" s="130"/>
    </row>
    <row r="269" spans="1:55" s="118" customFormat="1" ht="20.100000000000001" customHeight="1">
      <c r="A269" s="167"/>
      <c r="B269" s="167"/>
      <c r="C269" s="167"/>
      <c r="D269" s="167"/>
      <c r="E269" s="167"/>
      <c r="F269" s="167"/>
      <c r="G269" s="167"/>
      <c r="H269" s="167"/>
      <c r="I269" s="167"/>
      <c r="J269" s="167"/>
      <c r="K269" s="167"/>
      <c r="L269" s="167"/>
      <c r="M269" s="167"/>
      <c r="N269" s="167"/>
      <c r="O269" s="167"/>
      <c r="P269" s="167"/>
      <c r="Q269" s="167"/>
      <c r="R269" s="167"/>
      <c r="S269" s="167"/>
      <c r="T269" s="167"/>
      <c r="U269" s="167"/>
      <c r="V269" s="167"/>
      <c r="W269" s="167"/>
      <c r="X269" s="167"/>
      <c r="Y269" s="167"/>
      <c r="Z269" s="167"/>
      <c r="AA269" s="167"/>
      <c r="AB269" s="167"/>
      <c r="AC269" s="167"/>
      <c r="AD269" s="167"/>
      <c r="AE269" s="167"/>
      <c r="AF269" s="167"/>
      <c r="AG269" s="167"/>
      <c r="AH269" s="167"/>
      <c r="AI269" s="167"/>
      <c r="AJ269" s="167"/>
      <c r="AK269" s="167"/>
      <c r="AL269" s="167"/>
      <c r="AM269" s="167"/>
      <c r="AN269" s="168"/>
      <c r="AO269" s="168"/>
      <c r="AP269" s="116"/>
      <c r="AQ269" s="117"/>
      <c r="AR269" s="131"/>
      <c r="AS269" s="131"/>
      <c r="AT269" s="131"/>
      <c r="AU269" s="117"/>
      <c r="AW269" s="130"/>
      <c r="BA269" s="130"/>
      <c r="BB269" s="130"/>
      <c r="BC269" s="130"/>
    </row>
    <row r="270" spans="1:55" s="118" customFormat="1" ht="20.100000000000001" customHeight="1">
      <c r="A270" s="167"/>
      <c r="B270" s="167"/>
      <c r="C270" s="167"/>
      <c r="D270" s="167"/>
      <c r="E270" s="167"/>
      <c r="F270" s="167"/>
      <c r="G270" s="167"/>
      <c r="H270" s="167"/>
      <c r="I270" s="167"/>
      <c r="J270" s="167"/>
      <c r="K270" s="167"/>
      <c r="L270" s="167"/>
      <c r="M270" s="167"/>
      <c r="N270" s="167"/>
      <c r="O270" s="167"/>
      <c r="P270" s="167"/>
      <c r="Q270" s="167"/>
      <c r="R270" s="167"/>
      <c r="S270" s="167"/>
      <c r="T270" s="167"/>
      <c r="U270" s="167"/>
      <c r="V270" s="167"/>
      <c r="W270" s="167"/>
      <c r="X270" s="167"/>
      <c r="Y270" s="167"/>
      <c r="Z270" s="167"/>
      <c r="AA270" s="167"/>
      <c r="AB270" s="167"/>
      <c r="AC270" s="167"/>
      <c r="AD270" s="167"/>
      <c r="AE270" s="167"/>
      <c r="AF270" s="167"/>
      <c r="AG270" s="167"/>
      <c r="AH270" s="167"/>
      <c r="AI270" s="167"/>
      <c r="AJ270" s="167"/>
      <c r="AK270" s="167"/>
      <c r="AL270" s="167"/>
      <c r="AM270" s="167"/>
      <c r="AN270" s="168"/>
      <c r="AO270" s="168"/>
      <c r="AP270" s="116"/>
      <c r="AQ270" s="117"/>
      <c r="AR270" s="131"/>
      <c r="AS270" s="131"/>
      <c r="AT270" s="131"/>
      <c r="AU270" s="117"/>
      <c r="AW270" s="130"/>
      <c r="BA270" s="130"/>
      <c r="BB270" s="130"/>
      <c r="BC270" s="130"/>
    </row>
    <row r="271" spans="1:55" s="118" customFormat="1" ht="20.100000000000001" customHeight="1">
      <c r="A271" s="167"/>
      <c r="B271" s="167"/>
      <c r="C271" s="167"/>
      <c r="D271" s="167"/>
      <c r="E271" s="167"/>
      <c r="F271" s="167"/>
      <c r="G271" s="167"/>
      <c r="H271" s="167"/>
      <c r="I271" s="167"/>
      <c r="J271" s="167"/>
      <c r="K271" s="167"/>
      <c r="L271" s="167"/>
      <c r="M271" s="167"/>
      <c r="N271" s="167"/>
      <c r="O271" s="167"/>
      <c r="P271" s="167"/>
      <c r="Q271" s="167"/>
      <c r="R271" s="167"/>
      <c r="S271" s="167"/>
      <c r="T271" s="167"/>
      <c r="U271" s="167"/>
      <c r="V271" s="167"/>
      <c r="W271" s="167"/>
      <c r="X271" s="167"/>
      <c r="Y271" s="167"/>
      <c r="Z271" s="167"/>
      <c r="AA271" s="167"/>
      <c r="AB271" s="167"/>
      <c r="AC271" s="167"/>
      <c r="AD271" s="167"/>
      <c r="AE271" s="167"/>
      <c r="AF271" s="167"/>
      <c r="AG271" s="167"/>
      <c r="AH271" s="167"/>
      <c r="AI271" s="167"/>
      <c r="AJ271" s="167"/>
      <c r="AK271" s="167"/>
      <c r="AL271" s="167"/>
      <c r="AM271" s="167"/>
      <c r="AN271" s="168"/>
      <c r="AO271" s="168"/>
      <c r="AP271" s="116"/>
      <c r="AQ271" s="117"/>
      <c r="AR271" s="131"/>
      <c r="AS271" s="131"/>
      <c r="AT271" s="131"/>
      <c r="AU271" s="117"/>
      <c r="AW271" s="130"/>
      <c r="BA271" s="130"/>
      <c r="BB271" s="130"/>
      <c r="BC271" s="130"/>
    </row>
    <row r="272" spans="1:55" s="118" customFormat="1" ht="20.100000000000001" customHeight="1">
      <c r="A272" s="167"/>
      <c r="B272" s="167"/>
      <c r="C272" s="167"/>
      <c r="D272" s="167"/>
      <c r="E272" s="167"/>
      <c r="F272" s="167"/>
      <c r="G272" s="167"/>
      <c r="H272" s="167"/>
      <c r="I272" s="167"/>
      <c r="J272" s="167"/>
      <c r="K272" s="167"/>
      <c r="L272" s="167"/>
      <c r="M272" s="167"/>
      <c r="N272" s="167"/>
      <c r="O272" s="167"/>
      <c r="P272" s="167"/>
      <c r="Q272" s="167"/>
      <c r="R272" s="167"/>
      <c r="S272" s="167"/>
      <c r="T272" s="167"/>
      <c r="U272" s="167"/>
      <c r="V272" s="167"/>
      <c r="W272" s="167"/>
      <c r="X272" s="167"/>
      <c r="Y272" s="167"/>
      <c r="Z272" s="167"/>
      <c r="AA272" s="167"/>
      <c r="AB272" s="167"/>
      <c r="AC272" s="167"/>
      <c r="AD272" s="167"/>
      <c r="AE272" s="167"/>
      <c r="AF272" s="167"/>
      <c r="AG272" s="167"/>
      <c r="AH272" s="167"/>
      <c r="AI272" s="167"/>
      <c r="AJ272" s="167"/>
      <c r="AK272" s="167"/>
      <c r="AL272" s="167"/>
      <c r="AM272" s="167"/>
      <c r="AN272" s="168"/>
      <c r="AO272" s="168"/>
      <c r="AP272" s="116"/>
      <c r="AQ272" s="117"/>
      <c r="AR272" s="131"/>
      <c r="AS272" s="131"/>
      <c r="AT272" s="131"/>
      <c r="AU272" s="117"/>
      <c r="AW272" s="130"/>
      <c r="BA272" s="130"/>
      <c r="BB272" s="130"/>
      <c r="BC272" s="130"/>
    </row>
    <row r="273" spans="1:55" s="118" customFormat="1" ht="20.100000000000001" customHeight="1">
      <c r="A273" s="167"/>
      <c r="B273" s="167"/>
      <c r="C273" s="167"/>
      <c r="D273" s="167"/>
      <c r="E273" s="167"/>
      <c r="F273" s="167"/>
      <c r="G273" s="167"/>
      <c r="H273" s="167"/>
      <c r="I273" s="167"/>
      <c r="J273" s="167"/>
      <c r="K273" s="167"/>
      <c r="L273" s="167"/>
      <c r="M273" s="167"/>
      <c r="N273" s="167"/>
      <c r="O273" s="167"/>
      <c r="P273" s="167"/>
      <c r="Q273" s="167"/>
      <c r="R273" s="167"/>
      <c r="S273" s="167"/>
      <c r="T273" s="167"/>
      <c r="U273" s="167"/>
      <c r="V273" s="167"/>
      <c r="W273" s="167"/>
      <c r="X273" s="167"/>
      <c r="Y273" s="167"/>
      <c r="Z273" s="167"/>
      <c r="AA273" s="167"/>
      <c r="AB273" s="167"/>
      <c r="AC273" s="167"/>
      <c r="AD273" s="167"/>
      <c r="AE273" s="167"/>
      <c r="AF273" s="167"/>
      <c r="AG273" s="167"/>
      <c r="AH273" s="167"/>
      <c r="AI273" s="167"/>
      <c r="AJ273" s="167"/>
      <c r="AK273" s="167"/>
      <c r="AL273" s="167"/>
      <c r="AM273" s="167"/>
      <c r="AN273" s="168"/>
      <c r="AO273" s="168"/>
      <c r="AP273" s="116"/>
      <c r="AQ273" s="117"/>
      <c r="AR273" s="131"/>
      <c r="AS273" s="131"/>
      <c r="AT273" s="131"/>
      <c r="AU273" s="117"/>
      <c r="AW273" s="130"/>
      <c r="BA273" s="130"/>
      <c r="BB273" s="130"/>
      <c r="BC273" s="130"/>
    </row>
    <row r="274" spans="1:55" s="118" customFormat="1" ht="20.100000000000001" customHeight="1">
      <c r="A274" s="167"/>
      <c r="B274" s="167"/>
      <c r="C274" s="167"/>
      <c r="D274" s="167"/>
      <c r="E274" s="167"/>
      <c r="F274" s="167"/>
      <c r="G274" s="167"/>
      <c r="H274" s="167"/>
      <c r="I274" s="167"/>
      <c r="J274" s="167"/>
      <c r="K274" s="167"/>
      <c r="L274" s="167"/>
      <c r="M274" s="167"/>
      <c r="N274" s="167"/>
      <c r="O274" s="167"/>
      <c r="P274" s="167"/>
      <c r="Q274" s="167"/>
      <c r="R274" s="167"/>
      <c r="S274" s="167"/>
      <c r="T274" s="167"/>
      <c r="U274" s="167"/>
      <c r="V274" s="167"/>
      <c r="W274" s="167"/>
      <c r="X274" s="167"/>
      <c r="Y274" s="167"/>
      <c r="Z274" s="167"/>
      <c r="AA274" s="167"/>
      <c r="AB274" s="167"/>
      <c r="AC274" s="167"/>
      <c r="AD274" s="167"/>
      <c r="AE274" s="167"/>
      <c r="AF274" s="167"/>
      <c r="AG274" s="167"/>
      <c r="AH274" s="167"/>
      <c r="AI274" s="167"/>
      <c r="AJ274" s="167"/>
      <c r="AK274" s="167"/>
      <c r="AL274" s="167"/>
      <c r="AM274" s="167"/>
      <c r="AN274" s="168"/>
      <c r="AO274" s="168"/>
      <c r="AP274" s="116"/>
      <c r="AQ274" s="117"/>
      <c r="AR274" s="131"/>
      <c r="AS274" s="131"/>
      <c r="AT274" s="131"/>
      <c r="AU274" s="117"/>
      <c r="AW274" s="130"/>
      <c r="BA274" s="130"/>
      <c r="BB274" s="130"/>
      <c r="BC274" s="130"/>
    </row>
    <row r="275" spans="1:55" s="118" customFormat="1" ht="20.100000000000001" customHeight="1">
      <c r="A275" s="167"/>
      <c r="B275" s="167"/>
      <c r="C275" s="167"/>
      <c r="D275" s="167"/>
      <c r="E275" s="167"/>
      <c r="F275" s="167"/>
      <c r="G275" s="167"/>
      <c r="H275" s="167"/>
      <c r="I275" s="167"/>
      <c r="J275" s="167"/>
      <c r="K275" s="167"/>
      <c r="L275" s="167"/>
      <c r="M275" s="167"/>
      <c r="N275" s="167"/>
      <c r="O275" s="167"/>
      <c r="P275" s="167"/>
      <c r="Q275" s="167"/>
      <c r="R275" s="167"/>
      <c r="S275" s="167"/>
      <c r="T275" s="167"/>
      <c r="U275" s="167"/>
      <c r="V275" s="167"/>
      <c r="W275" s="167"/>
      <c r="X275" s="167"/>
      <c r="Y275" s="167"/>
      <c r="Z275" s="167"/>
      <c r="AA275" s="167"/>
      <c r="AB275" s="167"/>
      <c r="AC275" s="167"/>
      <c r="AD275" s="167"/>
      <c r="AE275" s="167"/>
      <c r="AF275" s="167"/>
      <c r="AG275" s="167"/>
      <c r="AH275" s="167"/>
      <c r="AI275" s="167"/>
      <c r="AJ275" s="167"/>
      <c r="AK275" s="167"/>
      <c r="AL275" s="167"/>
      <c r="AM275" s="167"/>
      <c r="AN275" s="168"/>
      <c r="AO275" s="168"/>
      <c r="AP275" s="116"/>
      <c r="AQ275" s="117"/>
      <c r="AR275" s="131"/>
      <c r="AS275" s="131"/>
      <c r="AT275" s="131"/>
      <c r="AU275" s="117"/>
      <c r="AW275" s="130"/>
      <c r="BA275" s="130"/>
      <c r="BB275" s="130"/>
      <c r="BC275" s="130"/>
    </row>
    <row r="276" spans="1:55" s="118" customFormat="1" ht="20.100000000000001" customHeight="1">
      <c r="A276" s="167"/>
      <c r="B276" s="167"/>
      <c r="C276" s="167"/>
      <c r="D276" s="167"/>
      <c r="E276" s="167"/>
      <c r="F276" s="167"/>
      <c r="G276" s="167"/>
      <c r="H276" s="167"/>
      <c r="I276" s="167"/>
      <c r="J276" s="167"/>
      <c r="K276" s="167"/>
      <c r="L276" s="167"/>
      <c r="M276" s="167"/>
      <c r="N276" s="167"/>
      <c r="O276" s="167"/>
      <c r="P276" s="167"/>
      <c r="Q276" s="167"/>
      <c r="R276" s="167"/>
      <c r="S276" s="167"/>
      <c r="T276" s="167"/>
      <c r="U276" s="167"/>
      <c r="V276" s="167"/>
      <c r="W276" s="167"/>
      <c r="X276" s="167"/>
      <c r="Y276" s="167"/>
      <c r="Z276" s="167"/>
      <c r="AA276" s="167"/>
      <c r="AB276" s="167"/>
      <c r="AC276" s="167"/>
      <c r="AD276" s="167"/>
      <c r="AE276" s="167"/>
      <c r="AF276" s="167"/>
      <c r="AG276" s="167"/>
      <c r="AH276" s="167"/>
      <c r="AI276" s="167"/>
      <c r="AJ276" s="167"/>
      <c r="AK276" s="167"/>
      <c r="AL276" s="167"/>
      <c r="AM276" s="167"/>
      <c r="AN276" s="168"/>
      <c r="AO276" s="168"/>
      <c r="AP276" s="116"/>
      <c r="AQ276" s="117"/>
      <c r="AR276" s="131"/>
      <c r="AS276" s="131"/>
      <c r="AT276" s="131"/>
      <c r="AU276" s="117"/>
      <c r="AW276" s="130"/>
      <c r="BA276" s="130"/>
      <c r="BB276" s="130"/>
      <c r="BC276" s="130"/>
    </row>
    <row r="277" spans="1:55" s="118" customFormat="1" ht="20.100000000000001" customHeight="1">
      <c r="A277" s="167"/>
      <c r="B277" s="167"/>
      <c r="C277" s="167"/>
      <c r="D277" s="167"/>
      <c r="E277" s="167"/>
      <c r="F277" s="167"/>
      <c r="G277" s="167"/>
      <c r="H277" s="167"/>
      <c r="I277" s="167"/>
      <c r="J277" s="167"/>
      <c r="K277" s="167"/>
      <c r="L277" s="167"/>
      <c r="M277" s="167"/>
      <c r="N277" s="167"/>
      <c r="O277" s="167"/>
      <c r="P277" s="167"/>
      <c r="Q277" s="167"/>
      <c r="R277" s="167"/>
      <c r="S277" s="167"/>
      <c r="T277" s="167"/>
      <c r="U277" s="167"/>
      <c r="V277" s="167"/>
      <c r="W277" s="167"/>
      <c r="X277" s="167"/>
      <c r="Y277" s="167"/>
      <c r="Z277" s="167"/>
      <c r="AA277" s="167"/>
      <c r="AB277" s="167"/>
      <c r="AC277" s="167"/>
      <c r="AD277" s="167"/>
      <c r="AE277" s="167"/>
      <c r="AF277" s="167"/>
      <c r="AG277" s="167"/>
      <c r="AH277" s="167"/>
      <c r="AI277" s="167"/>
      <c r="AJ277" s="167"/>
      <c r="AK277" s="167"/>
      <c r="AL277" s="167"/>
      <c r="AM277" s="167"/>
      <c r="AN277" s="168"/>
      <c r="AO277" s="168"/>
      <c r="AP277" s="116"/>
      <c r="AQ277" s="117"/>
      <c r="AR277" s="131"/>
      <c r="AS277" s="131"/>
      <c r="AT277" s="131"/>
      <c r="AU277" s="117"/>
      <c r="AW277" s="130"/>
      <c r="BA277" s="130"/>
      <c r="BB277" s="130"/>
      <c r="BC277" s="130"/>
    </row>
    <row r="278" spans="1:55" s="118" customFormat="1" ht="20.100000000000001" customHeight="1">
      <c r="A278" s="167"/>
      <c r="B278" s="167"/>
      <c r="C278" s="167"/>
      <c r="D278" s="167"/>
      <c r="E278" s="167"/>
      <c r="F278" s="167"/>
      <c r="G278" s="167"/>
      <c r="H278" s="167"/>
      <c r="I278" s="167"/>
      <c r="J278" s="167"/>
      <c r="K278" s="167"/>
      <c r="L278" s="167"/>
      <c r="M278" s="167"/>
      <c r="N278" s="167"/>
      <c r="O278" s="167"/>
      <c r="P278" s="167"/>
      <c r="Q278" s="167"/>
      <c r="R278" s="167"/>
      <c r="S278" s="167"/>
      <c r="T278" s="167"/>
      <c r="U278" s="167"/>
      <c r="V278" s="167"/>
      <c r="W278" s="167"/>
      <c r="X278" s="167"/>
      <c r="Y278" s="167"/>
      <c r="Z278" s="167"/>
      <c r="AA278" s="167"/>
      <c r="AB278" s="167"/>
      <c r="AC278" s="167"/>
      <c r="AD278" s="167"/>
      <c r="AE278" s="167"/>
      <c r="AF278" s="167"/>
      <c r="AG278" s="167"/>
      <c r="AH278" s="167"/>
      <c r="AI278" s="167"/>
      <c r="AJ278" s="167"/>
      <c r="AK278" s="167"/>
      <c r="AL278" s="167"/>
      <c r="AM278" s="167"/>
      <c r="AN278" s="168"/>
      <c r="AO278" s="168"/>
      <c r="AP278" s="116"/>
      <c r="AQ278" s="117"/>
      <c r="AR278" s="131"/>
      <c r="AS278" s="131"/>
      <c r="AT278" s="131"/>
      <c r="AU278" s="117"/>
      <c r="AW278" s="130"/>
      <c r="BA278" s="130"/>
      <c r="BB278" s="130"/>
      <c r="BC278" s="130"/>
    </row>
    <row r="279" spans="1:55" s="118" customFormat="1" ht="20.100000000000001" customHeight="1">
      <c r="A279" s="167"/>
      <c r="B279" s="167"/>
      <c r="C279" s="167"/>
      <c r="D279" s="167"/>
      <c r="E279" s="167"/>
      <c r="F279" s="167"/>
      <c r="G279" s="167"/>
      <c r="H279" s="167"/>
      <c r="I279" s="167"/>
      <c r="J279" s="167"/>
      <c r="K279" s="167"/>
      <c r="L279" s="167"/>
      <c r="M279" s="167"/>
      <c r="N279" s="167"/>
      <c r="O279" s="167"/>
      <c r="P279" s="167"/>
      <c r="Q279" s="167"/>
      <c r="R279" s="167"/>
      <c r="S279" s="167"/>
      <c r="T279" s="167"/>
      <c r="U279" s="167"/>
      <c r="V279" s="167"/>
      <c r="W279" s="167"/>
      <c r="X279" s="167"/>
      <c r="Y279" s="167"/>
      <c r="Z279" s="167"/>
      <c r="AA279" s="167"/>
      <c r="AB279" s="167"/>
      <c r="AC279" s="167"/>
      <c r="AD279" s="167"/>
      <c r="AE279" s="167"/>
      <c r="AF279" s="167"/>
      <c r="AG279" s="167"/>
      <c r="AH279" s="167"/>
      <c r="AI279" s="167"/>
      <c r="AJ279" s="167"/>
      <c r="AK279" s="167"/>
      <c r="AL279" s="167"/>
      <c r="AM279" s="167"/>
      <c r="AN279" s="168"/>
      <c r="AO279" s="168"/>
      <c r="AP279" s="116"/>
      <c r="AQ279" s="117"/>
      <c r="AR279" s="131"/>
      <c r="AS279" s="131"/>
      <c r="AT279" s="131"/>
      <c r="AU279" s="117"/>
      <c r="AW279" s="130"/>
      <c r="BA279" s="130"/>
      <c r="BB279" s="130"/>
      <c r="BC279" s="130"/>
    </row>
    <row r="280" spans="1:55" s="118" customFormat="1" ht="20.100000000000001" customHeight="1">
      <c r="A280" s="167"/>
      <c r="B280" s="167"/>
      <c r="C280" s="167"/>
      <c r="D280" s="167"/>
      <c r="E280" s="167"/>
      <c r="F280" s="167"/>
      <c r="G280" s="167"/>
      <c r="H280" s="167"/>
      <c r="I280" s="167"/>
      <c r="J280" s="167"/>
      <c r="K280" s="167"/>
      <c r="L280" s="167"/>
      <c r="M280" s="167"/>
      <c r="N280" s="167"/>
      <c r="O280" s="167"/>
      <c r="P280" s="167"/>
      <c r="Q280" s="167"/>
      <c r="R280" s="167"/>
      <c r="S280" s="167"/>
      <c r="T280" s="167"/>
      <c r="U280" s="167"/>
      <c r="V280" s="167"/>
      <c r="W280" s="167"/>
      <c r="X280" s="167"/>
      <c r="Y280" s="167"/>
      <c r="Z280" s="167"/>
      <c r="AA280" s="167"/>
      <c r="AB280" s="167"/>
      <c r="AC280" s="167"/>
      <c r="AD280" s="167"/>
      <c r="AE280" s="167"/>
      <c r="AF280" s="167"/>
      <c r="AG280" s="167"/>
      <c r="AH280" s="167"/>
      <c r="AI280" s="167"/>
      <c r="AJ280" s="167"/>
      <c r="AK280" s="167"/>
      <c r="AL280" s="167"/>
      <c r="AM280" s="167"/>
      <c r="AN280" s="168"/>
      <c r="AO280" s="168"/>
      <c r="AP280" s="116"/>
      <c r="AQ280" s="117"/>
      <c r="AR280" s="131"/>
      <c r="AS280" s="131"/>
      <c r="AT280" s="131"/>
      <c r="AU280" s="117"/>
      <c r="AW280" s="130"/>
      <c r="BA280" s="130"/>
      <c r="BB280" s="130"/>
      <c r="BC280" s="130"/>
    </row>
    <row r="281" spans="1:55" s="118" customFormat="1" ht="20.100000000000001" customHeight="1">
      <c r="A281" s="167"/>
      <c r="B281" s="167"/>
      <c r="C281" s="167"/>
      <c r="D281" s="167"/>
      <c r="E281" s="167"/>
      <c r="F281" s="167"/>
      <c r="G281" s="167"/>
      <c r="H281" s="167"/>
      <c r="I281" s="167"/>
      <c r="J281" s="167"/>
      <c r="K281" s="167"/>
      <c r="L281" s="167"/>
      <c r="M281" s="167"/>
      <c r="N281" s="167"/>
      <c r="O281" s="167"/>
      <c r="P281" s="167"/>
      <c r="Q281" s="167"/>
      <c r="R281" s="167"/>
      <c r="S281" s="167"/>
      <c r="T281" s="167"/>
      <c r="U281" s="167"/>
      <c r="V281" s="167"/>
      <c r="W281" s="167"/>
      <c r="X281" s="167"/>
      <c r="Y281" s="167"/>
      <c r="Z281" s="167"/>
      <c r="AA281" s="167"/>
      <c r="AB281" s="167"/>
      <c r="AC281" s="167"/>
      <c r="AD281" s="167"/>
      <c r="AE281" s="167"/>
      <c r="AF281" s="167"/>
      <c r="AG281" s="167"/>
      <c r="AH281" s="167"/>
      <c r="AI281" s="167"/>
      <c r="AJ281" s="167"/>
      <c r="AK281" s="167"/>
      <c r="AL281" s="167"/>
      <c r="AM281" s="167"/>
      <c r="AN281" s="168"/>
      <c r="AO281" s="168"/>
      <c r="AP281" s="116"/>
      <c r="AQ281" s="117"/>
      <c r="AR281" s="131"/>
      <c r="AS281" s="131"/>
      <c r="AT281" s="131"/>
      <c r="AU281" s="117"/>
      <c r="AW281" s="130"/>
      <c r="BA281" s="130"/>
      <c r="BB281" s="130"/>
      <c r="BC281" s="130"/>
    </row>
    <row r="282" spans="1:55" s="118" customFormat="1" ht="20.100000000000001" customHeight="1">
      <c r="A282" s="167"/>
      <c r="B282" s="167"/>
      <c r="C282" s="167"/>
      <c r="D282" s="167"/>
      <c r="E282" s="167"/>
      <c r="F282" s="167"/>
      <c r="G282" s="167"/>
      <c r="H282" s="167"/>
      <c r="I282" s="167"/>
      <c r="J282" s="167"/>
      <c r="K282" s="167"/>
      <c r="L282" s="167"/>
      <c r="M282" s="167"/>
      <c r="N282" s="167"/>
      <c r="O282" s="167"/>
      <c r="P282" s="167"/>
      <c r="Q282" s="167"/>
      <c r="R282" s="167"/>
      <c r="S282" s="167"/>
      <c r="T282" s="167"/>
      <c r="U282" s="167"/>
      <c r="V282" s="167"/>
      <c r="W282" s="167"/>
      <c r="X282" s="167"/>
      <c r="Y282" s="167"/>
      <c r="Z282" s="167"/>
      <c r="AA282" s="167"/>
      <c r="AB282" s="167"/>
      <c r="AC282" s="167"/>
      <c r="AD282" s="167"/>
      <c r="AE282" s="167"/>
      <c r="AF282" s="167"/>
      <c r="AG282" s="167"/>
      <c r="AH282" s="167"/>
      <c r="AI282" s="167"/>
      <c r="AJ282" s="167"/>
      <c r="AK282" s="167"/>
      <c r="AL282" s="167"/>
      <c r="AM282" s="167"/>
      <c r="AN282" s="168"/>
      <c r="AO282" s="168"/>
      <c r="AP282" s="116"/>
      <c r="AQ282" s="117"/>
      <c r="AR282" s="131"/>
      <c r="AS282" s="131"/>
      <c r="AT282" s="131"/>
      <c r="AU282" s="117"/>
      <c r="AW282" s="130"/>
      <c r="BA282" s="130"/>
      <c r="BB282" s="130"/>
      <c r="BC282" s="130"/>
    </row>
    <row r="283" spans="1:55" s="118" customFormat="1" ht="20.100000000000001" customHeight="1">
      <c r="A283" s="167"/>
      <c r="B283" s="167"/>
      <c r="C283" s="167"/>
      <c r="D283" s="167"/>
      <c r="E283" s="167"/>
      <c r="F283" s="167"/>
      <c r="G283" s="167"/>
      <c r="H283" s="167"/>
      <c r="I283" s="167"/>
      <c r="J283" s="167"/>
      <c r="K283" s="167"/>
      <c r="L283" s="167"/>
      <c r="M283" s="167"/>
      <c r="N283" s="167"/>
      <c r="O283" s="167"/>
      <c r="P283" s="167"/>
      <c r="Q283" s="167"/>
      <c r="R283" s="167"/>
      <c r="S283" s="167"/>
      <c r="T283" s="167"/>
      <c r="U283" s="167"/>
      <c r="V283" s="167"/>
      <c r="W283" s="167"/>
      <c r="X283" s="167"/>
      <c r="Y283" s="167"/>
      <c r="Z283" s="167"/>
      <c r="AA283" s="167"/>
      <c r="AB283" s="167"/>
      <c r="AC283" s="167"/>
      <c r="AD283" s="167"/>
      <c r="AE283" s="167"/>
      <c r="AF283" s="167"/>
      <c r="AG283" s="167"/>
      <c r="AH283" s="167"/>
      <c r="AI283" s="167"/>
      <c r="AJ283" s="167"/>
      <c r="AK283" s="167"/>
      <c r="AL283" s="167"/>
      <c r="AM283" s="167"/>
      <c r="AN283" s="168"/>
      <c r="AO283" s="168"/>
      <c r="AP283" s="116"/>
      <c r="AQ283" s="117"/>
      <c r="AR283" s="131"/>
      <c r="AS283" s="131"/>
      <c r="AT283" s="131"/>
      <c r="AU283" s="117"/>
      <c r="AW283" s="130"/>
      <c r="BA283" s="130"/>
      <c r="BB283" s="130"/>
      <c r="BC283" s="130"/>
    </row>
    <row r="284" spans="1:55" s="118" customFormat="1" ht="20.100000000000001" customHeight="1">
      <c r="A284" s="167"/>
      <c r="B284" s="167"/>
      <c r="C284" s="167"/>
      <c r="D284" s="167"/>
      <c r="E284" s="167"/>
      <c r="F284" s="167"/>
      <c r="G284" s="167"/>
      <c r="H284" s="167"/>
      <c r="I284" s="167"/>
      <c r="J284" s="167"/>
      <c r="K284" s="167"/>
      <c r="L284" s="167"/>
      <c r="M284" s="167"/>
      <c r="N284" s="167"/>
      <c r="O284" s="167"/>
      <c r="P284" s="167"/>
      <c r="Q284" s="167"/>
      <c r="R284" s="167"/>
      <c r="S284" s="167"/>
      <c r="T284" s="167"/>
      <c r="U284" s="167"/>
      <c r="V284" s="167"/>
      <c r="W284" s="167"/>
      <c r="X284" s="167"/>
      <c r="Y284" s="167"/>
      <c r="Z284" s="167"/>
      <c r="AA284" s="167"/>
      <c r="AB284" s="167"/>
      <c r="AC284" s="167"/>
      <c r="AD284" s="167"/>
      <c r="AE284" s="167"/>
      <c r="AF284" s="167"/>
      <c r="AG284" s="167"/>
      <c r="AH284" s="167"/>
      <c r="AI284" s="167"/>
      <c r="AJ284" s="167"/>
      <c r="AK284" s="167"/>
      <c r="AL284" s="167"/>
      <c r="AM284" s="167"/>
      <c r="AN284" s="168"/>
      <c r="AO284" s="168"/>
      <c r="AP284" s="116"/>
      <c r="AQ284" s="117"/>
      <c r="AR284" s="131"/>
      <c r="AS284" s="131"/>
      <c r="AT284" s="131"/>
      <c r="AU284" s="117"/>
      <c r="AW284" s="130"/>
      <c r="BA284" s="130"/>
      <c r="BB284" s="130"/>
      <c r="BC284" s="130"/>
    </row>
    <row r="285" spans="1:55" s="118" customFormat="1" ht="20.100000000000001" customHeight="1">
      <c r="A285" s="167"/>
      <c r="B285" s="167"/>
      <c r="C285" s="167"/>
      <c r="D285" s="167"/>
      <c r="E285" s="167"/>
      <c r="F285" s="167"/>
      <c r="G285" s="167"/>
      <c r="H285" s="167"/>
      <c r="I285" s="167"/>
      <c r="J285" s="167"/>
      <c r="K285" s="167"/>
      <c r="L285" s="167"/>
      <c r="M285" s="167"/>
      <c r="N285" s="167"/>
      <c r="O285" s="167"/>
      <c r="P285" s="167"/>
      <c r="Q285" s="167"/>
      <c r="R285" s="167"/>
      <c r="S285" s="167"/>
      <c r="T285" s="167"/>
      <c r="U285" s="167"/>
      <c r="V285" s="167"/>
      <c r="W285" s="167"/>
      <c r="X285" s="167"/>
      <c r="Y285" s="167"/>
      <c r="Z285" s="167"/>
      <c r="AA285" s="167"/>
      <c r="AB285" s="167"/>
      <c r="AC285" s="167"/>
      <c r="AD285" s="167"/>
      <c r="AE285" s="167"/>
      <c r="AF285" s="167"/>
      <c r="AG285" s="167"/>
      <c r="AH285" s="167"/>
      <c r="AI285" s="167"/>
      <c r="AJ285" s="167"/>
      <c r="AK285" s="167"/>
      <c r="AL285" s="167"/>
      <c r="AM285" s="167"/>
      <c r="AN285" s="168"/>
      <c r="AO285" s="168"/>
      <c r="AP285" s="116"/>
      <c r="AQ285" s="117"/>
      <c r="AR285" s="131"/>
      <c r="AS285" s="131"/>
      <c r="AT285" s="131"/>
      <c r="AU285" s="117"/>
      <c r="AW285" s="130"/>
      <c r="BA285" s="130"/>
      <c r="BB285" s="130"/>
      <c r="BC285" s="130"/>
    </row>
    <row r="286" spans="1:55" s="118" customFormat="1" ht="20.100000000000001" customHeight="1">
      <c r="A286" s="167"/>
      <c r="B286" s="167"/>
      <c r="C286" s="167"/>
      <c r="D286" s="167"/>
      <c r="E286" s="167"/>
      <c r="F286" s="167"/>
      <c r="G286" s="167"/>
      <c r="H286" s="167"/>
      <c r="I286" s="167"/>
      <c r="J286" s="167"/>
      <c r="K286" s="167"/>
      <c r="L286" s="167"/>
      <c r="M286" s="167"/>
      <c r="N286" s="167"/>
      <c r="O286" s="167"/>
      <c r="P286" s="167"/>
      <c r="Q286" s="167"/>
      <c r="R286" s="167"/>
      <c r="S286" s="167"/>
      <c r="T286" s="167"/>
      <c r="U286" s="167"/>
      <c r="V286" s="167"/>
      <c r="W286" s="167"/>
      <c r="X286" s="167"/>
      <c r="Y286" s="167"/>
      <c r="Z286" s="167"/>
      <c r="AA286" s="167"/>
      <c r="AB286" s="167"/>
      <c r="AC286" s="167"/>
      <c r="AD286" s="167"/>
      <c r="AE286" s="167"/>
      <c r="AF286" s="167"/>
      <c r="AG286" s="167"/>
      <c r="AH286" s="167"/>
      <c r="AI286" s="167"/>
      <c r="AJ286" s="167"/>
      <c r="AK286" s="167"/>
      <c r="AL286" s="167"/>
      <c r="AM286" s="167"/>
      <c r="AN286" s="168"/>
      <c r="AO286" s="168"/>
      <c r="AP286" s="116"/>
      <c r="AQ286" s="117"/>
      <c r="AR286" s="131"/>
      <c r="AS286" s="131"/>
      <c r="AT286" s="131"/>
      <c r="AU286" s="117"/>
      <c r="AW286" s="130"/>
      <c r="BA286" s="130"/>
      <c r="BB286" s="130"/>
      <c r="BC286" s="130"/>
    </row>
    <row r="287" spans="1:55" s="118" customFormat="1" ht="20.100000000000001" customHeight="1">
      <c r="A287" s="167"/>
      <c r="B287" s="167"/>
      <c r="C287" s="167"/>
      <c r="D287" s="167"/>
      <c r="E287" s="167"/>
      <c r="F287" s="167"/>
      <c r="G287" s="167"/>
      <c r="H287" s="167"/>
      <c r="I287" s="167"/>
      <c r="J287" s="167"/>
      <c r="K287" s="167"/>
      <c r="L287" s="167"/>
      <c r="M287" s="167"/>
      <c r="N287" s="167"/>
      <c r="O287" s="167"/>
      <c r="P287" s="167"/>
      <c r="Q287" s="167"/>
      <c r="R287" s="167"/>
      <c r="S287" s="167"/>
      <c r="T287" s="167"/>
      <c r="U287" s="167"/>
      <c r="V287" s="167"/>
      <c r="W287" s="167"/>
      <c r="X287" s="167"/>
      <c r="Y287" s="167"/>
      <c r="Z287" s="167"/>
      <c r="AA287" s="167"/>
      <c r="AB287" s="167"/>
      <c r="AC287" s="167"/>
      <c r="AD287" s="167"/>
      <c r="AE287" s="167"/>
      <c r="AF287" s="167"/>
      <c r="AG287" s="167"/>
      <c r="AH287" s="167"/>
      <c r="AI287" s="167"/>
      <c r="AJ287" s="167"/>
      <c r="AK287" s="167"/>
      <c r="AL287" s="167"/>
      <c r="AM287" s="167"/>
      <c r="AN287" s="168"/>
      <c r="AO287" s="168"/>
      <c r="AP287" s="116"/>
      <c r="AQ287" s="117"/>
      <c r="AR287" s="131"/>
      <c r="AS287" s="131"/>
      <c r="AT287" s="131"/>
      <c r="AU287" s="117"/>
      <c r="AW287" s="130"/>
      <c r="BA287" s="130"/>
      <c r="BB287" s="130"/>
      <c r="BC287" s="130"/>
    </row>
    <row r="288" spans="1:55" s="118" customFormat="1" ht="20.100000000000001" customHeight="1">
      <c r="A288" s="167"/>
      <c r="B288" s="167"/>
      <c r="C288" s="167"/>
      <c r="D288" s="167"/>
      <c r="E288" s="167"/>
      <c r="F288" s="167"/>
      <c r="G288" s="167"/>
      <c r="H288" s="167"/>
      <c r="I288" s="167"/>
      <c r="J288" s="167"/>
      <c r="K288" s="167"/>
      <c r="L288" s="167"/>
      <c r="M288" s="167"/>
      <c r="N288" s="167"/>
      <c r="O288" s="167"/>
      <c r="P288" s="167"/>
      <c r="Q288" s="167"/>
      <c r="R288" s="167"/>
      <c r="S288" s="167"/>
      <c r="T288" s="167"/>
      <c r="U288" s="167"/>
      <c r="V288" s="167"/>
      <c r="W288" s="167"/>
      <c r="X288" s="167"/>
      <c r="Y288" s="167"/>
      <c r="Z288" s="167"/>
      <c r="AA288" s="167"/>
      <c r="AB288" s="167"/>
      <c r="AC288" s="167"/>
      <c r="AD288" s="167"/>
      <c r="AE288" s="167"/>
      <c r="AF288" s="167"/>
      <c r="AG288" s="167"/>
      <c r="AH288" s="167"/>
      <c r="AI288" s="167"/>
      <c r="AJ288" s="167"/>
      <c r="AK288" s="167"/>
      <c r="AL288" s="167"/>
      <c r="AM288" s="167"/>
      <c r="AN288" s="168"/>
      <c r="AO288" s="168"/>
      <c r="AP288" s="116"/>
      <c r="AQ288" s="117"/>
      <c r="AR288" s="131"/>
      <c r="AS288" s="131"/>
      <c r="AT288" s="131"/>
      <c r="AU288" s="117"/>
      <c r="AW288" s="130"/>
      <c r="BA288" s="130"/>
      <c r="BB288" s="130"/>
      <c r="BC288" s="130"/>
    </row>
    <row r="289" spans="1:55" s="118" customFormat="1" ht="20.100000000000001" customHeight="1">
      <c r="A289" s="167"/>
      <c r="B289" s="167"/>
      <c r="C289" s="167"/>
      <c r="D289" s="167"/>
      <c r="E289" s="167"/>
      <c r="F289" s="167"/>
      <c r="G289" s="167"/>
      <c r="H289" s="167"/>
      <c r="I289" s="167"/>
      <c r="J289" s="167"/>
      <c r="K289" s="167"/>
      <c r="L289" s="167"/>
      <c r="M289" s="167"/>
      <c r="N289" s="167"/>
      <c r="O289" s="167"/>
      <c r="P289" s="167"/>
      <c r="Q289" s="167"/>
      <c r="R289" s="167"/>
      <c r="S289" s="167"/>
      <c r="T289" s="167"/>
      <c r="U289" s="167"/>
      <c r="V289" s="167"/>
      <c r="W289" s="167"/>
      <c r="X289" s="167"/>
      <c r="Y289" s="167"/>
      <c r="Z289" s="167"/>
      <c r="AA289" s="167"/>
      <c r="AB289" s="167"/>
      <c r="AC289" s="167"/>
      <c r="AD289" s="167"/>
      <c r="AE289" s="167"/>
      <c r="AF289" s="167"/>
      <c r="AG289" s="167"/>
      <c r="AH289" s="167"/>
      <c r="AI289" s="167"/>
      <c r="AJ289" s="167"/>
      <c r="AK289" s="167"/>
      <c r="AL289" s="167"/>
      <c r="AM289" s="167"/>
      <c r="AN289" s="168"/>
      <c r="AO289" s="168"/>
      <c r="AP289" s="116"/>
      <c r="AQ289" s="117"/>
      <c r="AR289" s="131"/>
      <c r="AS289" s="131"/>
      <c r="AT289" s="131"/>
      <c r="AU289" s="117"/>
      <c r="AW289" s="130"/>
      <c r="BA289" s="130"/>
      <c r="BB289" s="130"/>
      <c r="BC289" s="130"/>
    </row>
    <row r="290" spans="1:55" s="118" customFormat="1" ht="20.100000000000001" customHeight="1">
      <c r="A290" s="167"/>
      <c r="B290" s="167"/>
      <c r="C290" s="167"/>
      <c r="D290" s="167"/>
      <c r="E290" s="167"/>
      <c r="F290" s="167"/>
      <c r="G290" s="167"/>
      <c r="H290" s="167"/>
      <c r="I290" s="167"/>
      <c r="J290" s="167"/>
      <c r="K290" s="167"/>
      <c r="L290" s="167"/>
      <c r="M290" s="167"/>
      <c r="N290" s="167"/>
      <c r="O290" s="167"/>
      <c r="P290" s="167"/>
      <c r="Q290" s="167"/>
      <c r="R290" s="167"/>
      <c r="S290" s="167"/>
      <c r="T290" s="167"/>
      <c r="U290" s="167"/>
      <c r="V290" s="167"/>
      <c r="W290" s="167"/>
      <c r="X290" s="167"/>
      <c r="Y290" s="167"/>
      <c r="Z290" s="167"/>
      <c r="AA290" s="167"/>
      <c r="AB290" s="167"/>
      <c r="AC290" s="167"/>
      <c r="AD290" s="167"/>
      <c r="AE290" s="167"/>
      <c r="AF290" s="167"/>
      <c r="AG290" s="167"/>
      <c r="AH290" s="167"/>
      <c r="AI290" s="167"/>
      <c r="AJ290" s="167"/>
      <c r="AK290" s="167"/>
      <c r="AL290" s="167"/>
      <c r="AM290" s="167"/>
      <c r="AN290" s="168"/>
      <c r="AO290" s="168"/>
      <c r="AP290" s="116"/>
      <c r="AQ290" s="117"/>
      <c r="AR290" s="131"/>
      <c r="AS290" s="131"/>
      <c r="AT290" s="131"/>
      <c r="AU290" s="117"/>
      <c r="AW290" s="130"/>
      <c r="BA290" s="130"/>
      <c r="BB290" s="130"/>
      <c r="BC290" s="130"/>
    </row>
    <row r="291" spans="1:55" s="118" customFormat="1" ht="20.100000000000001" customHeight="1">
      <c r="A291" s="167"/>
      <c r="B291" s="167"/>
      <c r="C291" s="167"/>
      <c r="D291" s="167"/>
      <c r="E291" s="167"/>
      <c r="F291" s="167"/>
      <c r="G291" s="167"/>
      <c r="H291" s="167"/>
      <c r="I291" s="167"/>
      <c r="J291" s="167"/>
      <c r="K291" s="167"/>
      <c r="L291" s="167"/>
      <c r="M291" s="167"/>
      <c r="N291" s="167"/>
      <c r="O291" s="167"/>
      <c r="P291" s="167"/>
      <c r="Q291" s="167"/>
      <c r="R291" s="167"/>
      <c r="S291" s="167"/>
      <c r="T291" s="167"/>
      <c r="U291" s="167"/>
      <c r="V291" s="167"/>
      <c r="W291" s="167"/>
      <c r="X291" s="167"/>
      <c r="Y291" s="167"/>
      <c r="Z291" s="167"/>
      <c r="AA291" s="167"/>
      <c r="AB291" s="167"/>
      <c r="AC291" s="167"/>
      <c r="AD291" s="167"/>
      <c r="AE291" s="167"/>
      <c r="AF291" s="167"/>
      <c r="AG291" s="167"/>
      <c r="AH291" s="167"/>
      <c r="AI291" s="167"/>
      <c r="AJ291" s="167"/>
      <c r="AK291" s="167"/>
      <c r="AL291" s="167"/>
      <c r="AM291" s="167"/>
      <c r="AN291" s="168"/>
      <c r="AO291" s="168"/>
      <c r="AP291" s="116"/>
      <c r="AQ291" s="117"/>
      <c r="AR291" s="131"/>
      <c r="AS291" s="131"/>
      <c r="AT291" s="131"/>
      <c r="AU291" s="117"/>
      <c r="AW291" s="130"/>
      <c r="BA291" s="130"/>
      <c r="BB291" s="130"/>
      <c r="BC291" s="130"/>
    </row>
    <row r="292" spans="1:55" s="118" customFormat="1" ht="20.100000000000001" customHeight="1">
      <c r="A292" s="167"/>
      <c r="B292" s="167"/>
      <c r="C292" s="167"/>
      <c r="D292" s="167"/>
      <c r="E292" s="167"/>
      <c r="F292" s="167"/>
      <c r="G292" s="167"/>
      <c r="H292" s="167"/>
      <c r="I292" s="167"/>
      <c r="J292" s="167"/>
      <c r="K292" s="167"/>
      <c r="L292" s="167"/>
      <c r="M292" s="167"/>
      <c r="N292" s="167"/>
      <c r="O292" s="167"/>
      <c r="P292" s="167"/>
      <c r="Q292" s="167"/>
      <c r="R292" s="167"/>
      <c r="S292" s="167"/>
      <c r="T292" s="167"/>
      <c r="U292" s="167"/>
      <c r="V292" s="167"/>
      <c r="W292" s="167"/>
      <c r="X292" s="167"/>
      <c r="Y292" s="167"/>
      <c r="Z292" s="167"/>
      <c r="AA292" s="167"/>
      <c r="AB292" s="167"/>
      <c r="AC292" s="167"/>
      <c r="AD292" s="167"/>
      <c r="AE292" s="167"/>
      <c r="AF292" s="167"/>
      <c r="AG292" s="167"/>
      <c r="AH292" s="167"/>
      <c r="AI292" s="167"/>
      <c r="AJ292" s="167"/>
      <c r="AK292" s="167"/>
      <c r="AL292" s="167"/>
      <c r="AM292" s="167"/>
      <c r="AN292" s="168"/>
      <c r="AO292" s="168"/>
      <c r="AP292" s="116"/>
      <c r="AQ292" s="117"/>
      <c r="AR292" s="131"/>
      <c r="AS292" s="131"/>
      <c r="AT292" s="131"/>
      <c r="AU292" s="117"/>
      <c r="AW292" s="130"/>
      <c r="BA292" s="130"/>
      <c r="BB292" s="130"/>
      <c r="BC292" s="130"/>
    </row>
    <row r="293" spans="1:55" s="118" customFormat="1" ht="20.100000000000001" customHeight="1">
      <c r="A293" s="167"/>
      <c r="B293" s="167"/>
      <c r="C293" s="167"/>
      <c r="D293" s="167"/>
      <c r="E293" s="167"/>
      <c r="F293" s="167"/>
      <c r="G293" s="167"/>
      <c r="H293" s="167"/>
      <c r="I293" s="167"/>
      <c r="J293" s="167"/>
      <c r="K293" s="167"/>
      <c r="L293" s="167"/>
      <c r="M293" s="167"/>
      <c r="N293" s="167"/>
      <c r="O293" s="167"/>
      <c r="P293" s="167"/>
      <c r="Q293" s="167"/>
      <c r="R293" s="167"/>
      <c r="S293" s="167"/>
      <c r="T293" s="167"/>
      <c r="U293" s="167"/>
      <c r="V293" s="167"/>
      <c r="W293" s="167"/>
      <c r="X293" s="167"/>
      <c r="Y293" s="167"/>
      <c r="Z293" s="167"/>
      <c r="AA293" s="167"/>
      <c r="AB293" s="167"/>
      <c r="AC293" s="167"/>
      <c r="AD293" s="167"/>
      <c r="AE293" s="167"/>
      <c r="AF293" s="167"/>
      <c r="AG293" s="167"/>
      <c r="AH293" s="167"/>
      <c r="AI293" s="167"/>
      <c r="AJ293" s="167"/>
      <c r="AK293" s="167"/>
      <c r="AL293" s="167"/>
      <c r="AM293" s="167"/>
      <c r="AN293" s="168"/>
      <c r="AO293" s="168"/>
      <c r="AP293" s="116"/>
      <c r="AQ293" s="117"/>
      <c r="AR293" s="131"/>
      <c r="AS293" s="131"/>
      <c r="AT293" s="131"/>
      <c r="AU293" s="117"/>
      <c r="AW293" s="130"/>
      <c r="BA293" s="130"/>
      <c r="BB293" s="130"/>
      <c r="BC293" s="130"/>
    </row>
    <row r="294" spans="1:55" s="118" customFormat="1" ht="20.100000000000001" customHeight="1">
      <c r="A294" s="167"/>
      <c r="B294" s="167"/>
      <c r="C294" s="167"/>
      <c r="D294" s="167"/>
      <c r="E294" s="167"/>
      <c r="F294" s="167"/>
      <c r="G294" s="167"/>
      <c r="H294" s="167"/>
      <c r="I294" s="167"/>
      <c r="J294" s="167"/>
      <c r="K294" s="167"/>
      <c r="L294" s="167"/>
      <c r="M294" s="167"/>
      <c r="N294" s="167"/>
      <c r="O294" s="167"/>
      <c r="P294" s="167"/>
      <c r="Q294" s="167"/>
      <c r="R294" s="167"/>
      <c r="S294" s="167"/>
      <c r="T294" s="167"/>
      <c r="U294" s="167"/>
      <c r="V294" s="167"/>
      <c r="W294" s="167"/>
      <c r="X294" s="167"/>
      <c r="Y294" s="167"/>
      <c r="Z294" s="167"/>
      <c r="AA294" s="167"/>
      <c r="AB294" s="167"/>
      <c r="AC294" s="167"/>
      <c r="AD294" s="167"/>
      <c r="AE294" s="167"/>
      <c r="AF294" s="167"/>
      <c r="AG294" s="167"/>
      <c r="AH294" s="167"/>
      <c r="AI294" s="167"/>
      <c r="AJ294" s="167"/>
      <c r="AK294" s="167"/>
      <c r="AL294" s="167"/>
      <c r="AM294" s="167"/>
      <c r="AN294" s="168"/>
      <c r="AO294" s="168"/>
      <c r="AP294" s="116"/>
      <c r="AQ294" s="117"/>
      <c r="AR294" s="131"/>
      <c r="AS294" s="131"/>
      <c r="AT294" s="131"/>
      <c r="AU294" s="117"/>
      <c r="AW294" s="130"/>
      <c r="BA294" s="130"/>
      <c r="BB294" s="130"/>
      <c r="BC294" s="130"/>
    </row>
    <row r="295" spans="1:55" s="118" customFormat="1" ht="20.100000000000001" customHeight="1">
      <c r="A295" s="167"/>
      <c r="B295" s="167"/>
      <c r="C295" s="167"/>
      <c r="D295" s="167"/>
      <c r="E295" s="167"/>
      <c r="F295" s="167"/>
      <c r="G295" s="167"/>
      <c r="H295" s="167"/>
      <c r="I295" s="167"/>
      <c r="J295" s="167"/>
      <c r="K295" s="167"/>
      <c r="L295" s="167"/>
      <c r="M295" s="167"/>
      <c r="N295" s="167"/>
      <c r="O295" s="167"/>
      <c r="P295" s="167"/>
      <c r="Q295" s="167"/>
      <c r="R295" s="167"/>
      <c r="S295" s="167"/>
      <c r="T295" s="167"/>
      <c r="U295" s="167"/>
      <c r="V295" s="167"/>
      <c r="W295" s="167"/>
      <c r="X295" s="167"/>
      <c r="Y295" s="167"/>
      <c r="Z295" s="167"/>
      <c r="AA295" s="167"/>
      <c r="AB295" s="167"/>
      <c r="AC295" s="167"/>
      <c r="AD295" s="167"/>
      <c r="AE295" s="167"/>
      <c r="AF295" s="167"/>
      <c r="AG295" s="167"/>
      <c r="AH295" s="167"/>
      <c r="AI295" s="167"/>
      <c r="AJ295" s="167"/>
      <c r="AK295" s="167"/>
      <c r="AL295" s="167"/>
      <c r="AM295" s="167"/>
      <c r="AN295" s="168"/>
      <c r="AO295" s="168"/>
      <c r="AP295" s="116"/>
      <c r="AQ295" s="117"/>
      <c r="AR295" s="131"/>
      <c r="AS295" s="131"/>
      <c r="AT295" s="131"/>
      <c r="AU295" s="117"/>
      <c r="AW295" s="130"/>
      <c r="BA295" s="130"/>
      <c r="BB295" s="130"/>
      <c r="BC295" s="130"/>
    </row>
    <row r="296" spans="1:55" s="118" customFormat="1" ht="20.100000000000001" customHeight="1">
      <c r="A296" s="167"/>
      <c r="B296" s="167"/>
      <c r="C296" s="167"/>
      <c r="D296" s="167"/>
      <c r="E296" s="167"/>
      <c r="F296" s="167"/>
      <c r="G296" s="167"/>
      <c r="H296" s="167"/>
      <c r="I296" s="167"/>
      <c r="J296" s="167"/>
      <c r="K296" s="167"/>
      <c r="L296" s="167"/>
      <c r="M296" s="167"/>
      <c r="N296" s="167"/>
      <c r="O296" s="167"/>
      <c r="P296" s="167"/>
      <c r="Q296" s="167"/>
      <c r="R296" s="167"/>
      <c r="S296" s="167"/>
      <c r="T296" s="167"/>
      <c r="U296" s="167"/>
      <c r="V296" s="167"/>
      <c r="W296" s="167"/>
      <c r="X296" s="167"/>
      <c r="Y296" s="167"/>
      <c r="Z296" s="167"/>
      <c r="AA296" s="167"/>
      <c r="AB296" s="167"/>
      <c r="AC296" s="167"/>
      <c r="AD296" s="167"/>
      <c r="AE296" s="167"/>
      <c r="AF296" s="167"/>
      <c r="AG296" s="167"/>
      <c r="AH296" s="167"/>
      <c r="AI296" s="167"/>
      <c r="AJ296" s="167"/>
      <c r="AK296" s="167"/>
      <c r="AL296" s="167"/>
      <c r="AM296" s="167"/>
      <c r="AN296" s="168"/>
      <c r="AO296" s="168"/>
      <c r="AP296" s="116"/>
      <c r="AQ296" s="117"/>
      <c r="AR296" s="131"/>
      <c r="AS296" s="131"/>
      <c r="AT296" s="131"/>
      <c r="AU296" s="117"/>
      <c r="AW296" s="130"/>
      <c r="BA296" s="130"/>
      <c r="BB296" s="130"/>
      <c r="BC296" s="130"/>
    </row>
    <row r="297" spans="1:55" s="118" customFormat="1" ht="20.100000000000001" customHeight="1">
      <c r="A297" s="167"/>
      <c r="B297" s="167"/>
      <c r="C297" s="167"/>
      <c r="D297" s="167"/>
      <c r="E297" s="167"/>
      <c r="F297" s="167"/>
      <c r="G297" s="167"/>
      <c r="H297" s="167"/>
      <c r="I297" s="167"/>
      <c r="J297" s="167"/>
      <c r="K297" s="167"/>
      <c r="L297" s="167"/>
      <c r="M297" s="167"/>
      <c r="N297" s="167"/>
      <c r="O297" s="167"/>
      <c r="P297" s="167"/>
      <c r="Q297" s="167"/>
      <c r="R297" s="167"/>
      <c r="S297" s="167"/>
      <c r="T297" s="167"/>
      <c r="U297" s="167"/>
      <c r="V297" s="167"/>
      <c r="W297" s="167"/>
      <c r="X297" s="167"/>
      <c r="Y297" s="167"/>
      <c r="Z297" s="167"/>
      <c r="AA297" s="167"/>
      <c r="AB297" s="167"/>
      <c r="AC297" s="167"/>
      <c r="AD297" s="167"/>
      <c r="AE297" s="167"/>
      <c r="AF297" s="167"/>
      <c r="AG297" s="167"/>
      <c r="AH297" s="167"/>
      <c r="AI297" s="167"/>
      <c r="AJ297" s="167"/>
      <c r="AK297" s="167"/>
      <c r="AL297" s="167"/>
      <c r="AM297" s="167"/>
      <c r="AN297" s="168"/>
      <c r="AO297" s="168"/>
      <c r="AP297" s="116"/>
      <c r="AQ297" s="117"/>
      <c r="AR297" s="131"/>
      <c r="AS297" s="131"/>
      <c r="AT297" s="131"/>
      <c r="AU297" s="117"/>
      <c r="AW297" s="130"/>
      <c r="BA297" s="130"/>
      <c r="BB297" s="130"/>
      <c r="BC297" s="130"/>
    </row>
    <row r="298" spans="1:55" s="118" customFormat="1" ht="20.100000000000001" customHeight="1">
      <c r="A298" s="167"/>
      <c r="B298" s="167"/>
      <c r="C298" s="167"/>
      <c r="D298" s="167"/>
      <c r="E298" s="167"/>
      <c r="F298" s="167"/>
      <c r="G298" s="167"/>
      <c r="H298" s="167"/>
      <c r="I298" s="167"/>
      <c r="J298" s="167"/>
      <c r="K298" s="167"/>
      <c r="L298" s="167"/>
      <c r="M298" s="167"/>
      <c r="N298" s="167"/>
      <c r="O298" s="167"/>
      <c r="P298" s="167"/>
      <c r="Q298" s="167"/>
      <c r="R298" s="167"/>
      <c r="S298" s="167"/>
      <c r="T298" s="167"/>
      <c r="U298" s="167"/>
      <c r="V298" s="167"/>
      <c r="W298" s="167"/>
      <c r="X298" s="167"/>
      <c r="Y298" s="167"/>
      <c r="Z298" s="167"/>
      <c r="AA298" s="167"/>
      <c r="AB298" s="167"/>
      <c r="AC298" s="167"/>
      <c r="AD298" s="167"/>
      <c r="AE298" s="167"/>
      <c r="AF298" s="167"/>
      <c r="AG298" s="167"/>
      <c r="AH298" s="167"/>
      <c r="AI298" s="167"/>
      <c r="AJ298" s="167"/>
      <c r="AK298" s="167"/>
      <c r="AL298" s="167"/>
      <c r="AM298" s="167"/>
      <c r="AN298" s="168"/>
      <c r="AO298" s="168"/>
      <c r="AP298" s="116"/>
      <c r="AQ298" s="117"/>
      <c r="AR298" s="131"/>
      <c r="AS298" s="131"/>
      <c r="AT298" s="131"/>
      <c r="AU298" s="117"/>
      <c r="AW298" s="130"/>
      <c r="BA298" s="130"/>
      <c r="BB298" s="130"/>
      <c r="BC298" s="130"/>
    </row>
    <row r="299" spans="1:55" s="118" customFormat="1" ht="20.100000000000001" customHeight="1">
      <c r="A299" s="167"/>
      <c r="B299" s="167"/>
      <c r="C299" s="167"/>
      <c r="D299" s="167"/>
      <c r="E299" s="167"/>
      <c r="F299" s="167"/>
      <c r="G299" s="167"/>
      <c r="H299" s="167"/>
      <c r="I299" s="167"/>
      <c r="J299" s="167"/>
      <c r="K299" s="167"/>
      <c r="L299" s="167"/>
      <c r="M299" s="167"/>
      <c r="N299" s="167"/>
      <c r="O299" s="167"/>
      <c r="P299" s="167"/>
      <c r="Q299" s="167"/>
      <c r="R299" s="167"/>
      <c r="S299" s="167"/>
      <c r="T299" s="167"/>
      <c r="U299" s="167"/>
      <c r="V299" s="167"/>
      <c r="W299" s="167"/>
      <c r="X299" s="167"/>
      <c r="Y299" s="167"/>
      <c r="Z299" s="167"/>
      <c r="AA299" s="167"/>
      <c r="AB299" s="167"/>
      <c r="AC299" s="167"/>
      <c r="AD299" s="167"/>
      <c r="AE299" s="167"/>
      <c r="AF299" s="167"/>
      <c r="AG299" s="167"/>
      <c r="AH299" s="167"/>
      <c r="AI299" s="167"/>
      <c r="AJ299" s="167"/>
      <c r="AK299" s="167"/>
      <c r="AL299" s="167"/>
      <c r="AM299" s="167"/>
      <c r="AN299" s="168"/>
      <c r="AO299" s="168"/>
      <c r="AP299" s="116"/>
      <c r="AQ299" s="117"/>
      <c r="AR299" s="131"/>
      <c r="AS299" s="131"/>
      <c r="AT299" s="131"/>
      <c r="AU299" s="117"/>
      <c r="AW299" s="130"/>
      <c r="BA299" s="130"/>
      <c r="BB299" s="130"/>
      <c r="BC299" s="130"/>
    </row>
    <row r="300" spans="1:55" s="118" customFormat="1" ht="20.100000000000001" customHeight="1">
      <c r="A300" s="167"/>
      <c r="B300" s="167"/>
      <c r="C300" s="167"/>
      <c r="D300" s="167"/>
      <c r="E300" s="167"/>
      <c r="F300" s="167"/>
      <c r="G300" s="167"/>
      <c r="H300" s="167"/>
      <c r="I300" s="167"/>
      <c r="J300" s="167"/>
      <c r="K300" s="167"/>
      <c r="L300" s="167"/>
      <c r="M300" s="167"/>
      <c r="N300" s="167"/>
      <c r="O300" s="167"/>
      <c r="P300" s="167"/>
      <c r="Q300" s="167"/>
      <c r="R300" s="167"/>
      <c r="S300" s="167"/>
      <c r="T300" s="167"/>
      <c r="U300" s="167"/>
      <c r="V300" s="167"/>
      <c r="W300" s="167"/>
      <c r="X300" s="167"/>
      <c r="Y300" s="167"/>
      <c r="Z300" s="167"/>
      <c r="AA300" s="167"/>
      <c r="AB300" s="167"/>
      <c r="AC300" s="167"/>
      <c r="AD300" s="167"/>
      <c r="AE300" s="167"/>
      <c r="AF300" s="167"/>
      <c r="AG300" s="167"/>
      <c r="AH300" s="167"/>
      <c r="AI300" s="167"/>
      <c r="AJ300" s="167"/>
      <c r="AK300" s="167"/>
      <c r="AL300" s="167"/>
      <c r="AM300" s="167"/>
      <c r="AN300" s="168"/>
      <c r="AO300" s="168"/>
      <c r="AP300" s="116"/>
      <c r="AQ300" s="117"/>
      <c r="AR300" s="131"/>
      <c r="AS300" s="131"/>
      <c r="AT300" s="131"/>
      <c r="AU300" s="117"/>
      <c r="AW300" s="130"/>
      <c r="BA300" s="130"/>
      <c r="BB300" s="130"/>
      <c r="BC300" s="130"/>
    </row>
    <row r="301" spans="1:55" s="118" customFormat="1" ht="20.100000000000001" customHeight="1">
      <c r="A301" s="167"/>
      <c r="B301" s="167"/>
      <c r="C301" s="167"/>
      <c r="D301" s="167"/>
      <c r="E301" s="167"/>
      <c r="F301" s="167"/>
      <c r="G301" s="167"/>
      <c r="H301" s="167"/>
      <c r="I301" s="167"/>
      <c r="J301" s="167"/>
      <c r="K301" s="167"/>
      <c r="L301" s="167"/>
      <c r="M301" s="167"/>
      <c r="N301" s="167"/>
      <c r="O301" s="167"/>
      <c r="P301" s="167"/>
      <c r="Q301" s="167"/>
      <c r="R301" s="167"/>
      <c r="S301" s="167"/>
      <c r="T301" s="167"/>
      <c r="U301" s="167"/>
      <c r="V301" s="167"/>
      <c r="W301" s="167"/>
      <c r="X301" s="167"/>
      <c r="Y301" s="167"/>
      <c r="Z301" s="167"/>
      <c r="AA301" s="167"/>
      <c r="AB301" s="167"/>
      <c r="AC301" s="167"/>
      <c r="AD301" s="167"/>
      <c r="AE301" s="167"/>
      <c r="AF301" s="167"/>
      <c r="AG301" s="167"/>
      <c r="AH301" s="167"/>
      <c r="AI301" s="167"/>
      <c r="AJ301" s="167"/>
      <c r="AK301" s="167"/>
      <c r="AL301" s="167"/>
      <c r="AM301" s="167"/>
      <c r="AN301" s="168"/>
      <c r="AO301" s="168"/>
      <c r="AP301" s="116"/>
      <c r="AQ301" s="117"/>
      <c r="AR301" s="131"/>
      <c r="AS301" s="131"/>
      <c r="AT301" s="131"/>
      <c r="AU301" s="117"/>
      <c r="AW301" s="130"/>
      <c r="BA301" s="130"/>
      <c r="BB301" s="130"/>
      <c r="BC301" s="130"/>
    </row>
    <row r="302" spans="1:55" s="118" customFormat="1" ht="20.100000000000001" customHeight="1">
      <c r="A302" s="167"/>
      <c r="B302" s="167"/>
      <c r="C302" s="167"/>
      <c r="D302" s="167"/>
      <c r="E302" s="167"/>
      <c r="F302" s="167"/>
      <c r="G302" s="167"/>
      <c r="H302" s="167"/>
      <c r="I302" s="167"/>
      <c r="J302" s="167"/>
      <c r="K302" s="167"/>
      <c r="L302" s="167"/>
      <c r="M302" s="167"/>
      <c r="N302" s="167"/>
      <c r="O302" s="167"/>
      <c r="P302" s="167"/>
      <c r="Q302" s="167"/>
      <c r="R302" s="167"/>
      <c r="S302" s="167"/>
      <c r="T302" s="167"/>
      <c r="U302" s="167"/>
      <c r="V302" s="167"/>
      <c r="W302" s="167"/>
      <c r="X302" s="167"/>
      <c r="Y302" s="167"/>
      <c r="Z302" s="167"/>
      <c r="AA302" s="167"/>
      <c r="AB302" s="167"/>
      <c r="AC302" s="167"/>
      <c r="AD302" s="167"/>
      <c r="AE302" s="167"/>
      <c r="AF302" s="167"/>
      <c r="AG302" s="167"/>
      <c r="AH302" s="167"/>
      <c r="AI302" s="167"/>
      <c r="AJ302" s="167"/>
      <c r="AK302" s="167"/>
      <c r="AL302" s="167"/>
      <c r="AM302" s="167"/>
      <c r="AN302" s="168"/>
      <c r="AO302" s="168"/>
      <c r="AP302" s="116"/>
      <c r="AQ302" s="117"/>
      <c r="AR302" s="131"/>
      <c r="AS302" s="131"/>
      <c r="AT302" s="131"/>
      <c r="AU302" s="117"/>
      <c r="AW302" s="130"/>
      <c r="BA302" s="130"/>
      <c r="BB302" s="130"/>
      <c r="BC302" s="130"/>
    </row>
    <row r="303" spans="1:55" s="118" customFormat="1" ht="20.100000000000001" customHeight="1">
      <c r="A303" s="167"/>
      <c r="B303" s="167"/>
      <c r="C303" s="167"/>
      <c r="D303" s="167"/>
      <c r="E303" s="167"/>
      <c r="F303" s="167"/>
      <c r="G303" s="167"/>
      <c r="H303" s="167"/>
      <c r="I303" s="167"/>
      <c r="J303" s="167"/>
      <c r="K303" s="167"/>
      <c r="L303" s="167"/>
      <c r="M303" s="167"/>
      <c r="N303" s="167"/>
      <c r="O303" s="167"/>
      <c r="P303" s="167"/>
      <c r="Q303" s="167"/>
      <c r="R303" s="167"/>
      <c r="S303" s="167"/>
      <c r="T303" s="167"/>
      <c r="U303" s="167"/>
      <c r="V303" s="167"/>
      <c r="W303" s="167"/>
      <c r="X303" s="167"/>
      <c r="Y303" s="167"/>
      <c r="Z303" s="167"/>
      <c r="AA303" s="167"/>
      <c r="AB303" s="167"/>
      <c r="AC303" s="167"/>
      <c r="AD303" s="167"/>
      <c r="AE303" s="167"/>
      <c r="AF303" s="167"/>
      <c r="AG303" s="167"/>
      <c r="AH303" s="167"/>
      <c r="AI303" s="167"/>
      <c r="AJ303" s="167"/>
      <c r="AK303" s="167"/>
      <c r="AL303" s="167"/>
      <c r="AM303" s="167"/>
      <c r="AN303" s="168"/>
      <c r="AO303" s="168"/>
      <c r="AP303" s="116"/>
      <c r="AQ303" s="117"/>
      <c r="AR303" s="131"/>
      <c r="AS303" s="131"/>
      <c r="AT303" s="131"/>
      <c r="AU303" s="117"/>
      <c r="AW303" s="130"/>
      <c r="BA303" s="130"/>
      <c r="BB303" s="130"/>
      <c r="BC303" s="130"/>
    </row>
    <row r="304" spans="1:55" s="118" customFormat="1" ht="20.100000000000001" customHeight="1">
      <c r="A304" s="167"/>
      <c r="B304" s="167"/>
      <c r="C304" s="167"/>
      <c r="D304" s="167"/>
      <c r="E304" s="167"/>
      <c r="F304" s="167"/>
      <c r="G304" s="167"/>
      <c r="H304" s="167"/>
      <c r="I304" s="167"/>
      <c r="J304" s="167"/>
      <c r="K304" s="167"/>
      <c r="L304" s="167"/>
      <c r="M304" s="167"/>
      <c r="N304" s="167"/>
      <c r="O304" s="167"/>
      <c r="P304" s="167"/>
      <c r="Q304" s="167"/>
      <c r="R304" s="167"/>
      <c r="S304" s="167"/>
      <c r="T304" s="167"/>
      <c r="U304" s="167"/>
      <c r="V304" s="167"/>
      <c r="W304" s="167"/>
      <c r="X304" s="167"/>
      <c r="Y304" s="167"/>
      <c r="Z304" s="167"/>
      <c r="AA304" s="167"/>
      <c r="AB304" s="167"/>
      <c r="AC304" s="167"/>
      <c r="AD304" s="167"/>
      <c r="AE304" s="167"/>
      <c r="AF304" s="167"/>
      <c r="AG304" s="167"/>
      <c r="AH304" s="167"/>
      <c r="AI304" s="167"/>
      <c r="AJ304" s="167"/>
      <c r="AK304" s="167"/>
      <c r="AL304" s="167"/>
      <c r="AM304" s="167"/>
      <c r="AN304" s="168"/>
      <c r="AO304" s="168"/>
      <c r="AP304" s="116"/>
      <c r="AQ304" s="117"/>
      <c r="AR304" s="131"/>
      <c r="AS304" s="131"/>
      <c r="AT304" s="131"/>
      <c r="AU304" s="117"/>
      <c r="AW304" s="130"/>
      <c r="BA304" s="130"/>
      <c r="BB304" s="130"/>
      <c r="BC304" s="130"/>
    </row>
    <row r="305" spans="1:55" s="118" customFormat="1" ht="20.100000000000001" customHeight="1">
      <c r="A305" s="167"/>
      <c r="B305" s="167"/>
      <c r="C305" s="167"/>
      <c r="D305" s="167"/>
      <c r="E305" s="167"/>
      <c r="F305" s="167"/>
      <c r="G305" s="167"/>
      <c r="H305" s="167"/>
      <c r="I305" s="167"/>
      <c r="J305" s="167"/>
      <c r="K305" s="167"/>
      <c r="L305" s="167"/>
      <c r="M305" s="167"/>
      <c r="N305" s="167"/>
      <c r="O305" s="167"/>
      <c r="P305" s="167"/>
      <c r="Q305" s="167"/>
      <c r="R305" s="167"/>
      <c r="S305" s="167"/>
      <c r="T305" s="167"/>
      <c r="U305" s="167"/>
      <c r="V305" s="167"/>
      <c r="W305" s="167"/>
      <c r="X305" s="167"/>
      <c r="Y305" s="167"/>
      <c r="Z305" s="167"/>
      <c r="AA305" s="167"/>
      <c r="AB305" s="167"/>
      <c r="AC305" s="167"/>
      <c r="AD305" s="167"/>
      <c r="AE305" s="167"/>
      <c r="AF305" s="167"/>
      <c r="AG305" s="167"/>
      <c r="AH305" s="167"/>
      <c r="AI305" s="167"/>
      <c r="AJ305" s="167"/>
      <c r="AK305" s="167"/>
      <c r="AL305" s="167"/>
      <c r="AM305" s="167"/>
      <c r="AN305" s="168"/>
      <c r="AO305" s="168"/>
      <c r="AP305" s="116"/>
      <c r="AQ305" s="117"/>
      <c r="AR305" s="131"/>
      <c r="AS305" s="131"/>
      <c r="AT305" s="131"/>
      <c r="AU305" s="117"/>
      <c r="AW305" s="130"/>
      <c r="BA305" s="130"/>
      <c r="BB305" s="130"/>
      <c r="BC305" s="130"/>
    </row>
    <row r="306" spans="1:55" s="118" customFormat="1" ht="20.100000000000001" customHeight="1">
      <c r="A306" s="167"/>
      <c r="B306" s="167"/>
      <c r="C306" s="167"/>
      <c r="D306" s="167"/>
      <c r="E306" s="167"/>
      <c r="F306" s="167"/>
      <c r="G306" s="167"/>
      <c r="H306" s="167"/>
      <c r="I306" s="167"/>
      <c r="J306" s="167"/>
      <c r="K306" s="167"/>
      <c r="L306" s="167"/>
      <c r="M306" s="167"/>
      <c r="N306" s="167"/>
      <c r="O306" s="167"/>
      <c r="P306" s="167"/>
      <c r="Q306" s="167"/>
      <c r="R306" s="167"/>
      <c r="S306" s="167"/>
      <c r="T306" s="167"/>
      <c r="U306" s="167"/>
      <c r="V306" s="167"/>
      <c r="W306" s="167"/>
      <c r="X306" s="167"/>
      <c r="Y306" s="167"/>
      <c r="Z306" s="167"/>
      <c r="AA306" s="167"/>
      <c r="AB306" s="167"/>
      <c r="AC306" s="167"/>
      <c r="AD306" s="167"/>
      <c r="AE306" s="167"/>
      <c r="AF306" s="167"/>
      <c r="AG306" s="167"/>
      <c r="AH306" s="167"/>
      <c r="AI306" s="167"/>
      <c r="AJ306" s="167"/>
      <c r="AK306" s="167"/>
      <c r="AL306" s="167"/>
      <c r="AM306" s="167"/>
      <c r="AN306" s="168"/>
      <c r="AO306" s="168"/>
      <c r="AP306" s="116"/>
      <c r="AQ306" s="117"/>
      <c r="AR306" s="131"/>
      <c r="AS306" s="131"/>
      <c r="AT306" s="131"/>
      <c r="AU306" s="117"/>
      <c r="AW306" s="130"/>
      <c r="BA306" s="130"/>
      <c r="BB306" s="130"/>
      <c r="BC306" s="130"/>
    </row>
    <row r="307" spans="1:55" s="118" customFormat="1" ht="20.100000000000001" customHeight="1">
      <c r="A307" s="167"/>
      <c r="B307" s="167"/>
      <c r="C307" s="167"/>
      <c r="D307" s="167"/>
      <c r="E307" s="167"/>
      <c r="F307" s="167"/>
      <c r="G307" s="167"/>
      <c r="H307" s="167"/>
      <c r="I307" s="167"/>
      <c r="J307" s="167"/>
      <c r="K307" s="167"/>
      <c r="L307" s="167"/>
      <c r="M307" s="167"/>
      <c r="N307" s="167"/>
      <c r="O307" s="167"/>
      <c r="P307" s="167"/>
      <c r="Q307" s="167"/>
      <c r="R307" s="167"/>
      <c r="S307" s="167"/>
      <c r="T307" s="167"/>
      <c r="U307" s="167"/>
      <c r="V307" s="167"/>
      <c r="W307" s="167"/>
      <c r="X307" s="167"/>
      <c r="Y307" s="167"/>
      <c r="Z307" s="167"/>
      <c r="AA307" s="167"/>
      <c r="AB307" s="167"/>
      <c r="AC307" s="167"/>
      <c r="AD307" s="167"/>
      <c r="AE307" s="167"/>
      <c r="AF307" s="167"/>
      <c r="AG307" s="167"/>
      <c r="AH307" s="167"/>
      <c r="AI307" s="167"/>
      <c r="AJ307" s="167"/>
      <c r="AK307" s="167"/>
      <c r="AL307" s="167"/>
      <c r="AM307" s="167"/>
      <c r="AN307" s="168"/>
      <c r="AO307" s="168"/>
      <c r="AP307" s="116"/>
      <c r="AQ307" s="117"/>
      <c r="AR307" s="131"/>
      <c r="AS307" s="131"/>
      <c r="AT307" s="131"/>
      <c r="AU307" s="117"/>
      <c r="AW307" s="130"/>
      <c r="BA307" s="130"/>
      <c r="BB307" s="130"/>
      <c r="BC307" s="130"/>
    </row>
    <row r="308" spans="1:55" s="118" customFormat="1" ht="20.100000000000001" customHeight="1">
      <c r="A308" s="167"/>
      <c r="B308" s="167"/>
      <c r="C308" s="167"/>
      <c r="D308" s="167"/>
      <c r="E308" s="167"/>
      <c r="F308" s="167"/>
      <c r="G308" s="167"/>
      <c r="H308" s="167"/>
      <c r="I308" s="167"/>
      <c r="J308" s="167"/>
      <c r="K308" s="167"/>
      <c r="L308" s="167"/>
      <c r="M308" s="167"/>
      <c r="N308" s="167"/>
      <c r="O308" s="167"/>
      <c r="P308" s="167"/>
      <c r="Q308" s="167"/>
      <c r="R308" s="167"/>
      <c r="S308" s="167"/>
      <c r="T308" s="167"/>
      <c r="U308" s="167"/>
      <c r="V308" s="167"/>
      <c r="W308" s="167"/>
      <c r="X308" s="167"/>
      <c r="Y308" s="167"/>
      <c r="Z308" s="167"/>
      <c r="AA308" s="167"/>
      <c r="AB308" s="167"/>
      <c r="AC308" s="167"/>
      <c r="AD308" s="167"/>
      <c r="AE308" s="167"/>
      <c r="AF308" s="167"/>
      <c r="AG308" s="167"/>
      <c r="AH308" s="167"/>
      <c r="AI308" s="167"/>
      <c r="AJ308" s="167"/>
      <c r="AK308" s="167"/>
      <c r="AL308" s="167"/>
      <c r="AM308" s="167"/>
      <c r="AN308" s="168"/>
      <c r="AO308" s="168"/>
      <c r="AP308" s="116"/>
      <c r="AQ308" s="117"/>
      <c r="AR308" s="131"/>
      <c r="AS308" s="131"/>
      <c r="AT308" s="131"/>
      <c r="AU308" s="117"/>
      <c r="AW308" s="130"/>
      <c r="BA308" s="130"/>
      <c r="BB308" s="130"/>
      <c r="BC308" s="130"/>
    </row>
    <row r="309" spans="1:55" s="118" customFormat="1" ht="20.100000000000001" customHeight="1">
      <c r="A309" s="167"/>
      <c r="B309" s="167"/>
      <c r="C309" s="167"/>
      <c r="D309" s="167"/>
      <c r="E309" s="167"/>
      <c r="F309" s="167"/>
      <c r="G309" s="167"/>
      <c r="H309" s="167"/>
      <c r="I309" s="167"/>
      <c r="J309" s="167"/>
      <c r="K309" s="167"/>
      <c r="L309" s="167"/>
      <c r="M309" s="167"/>
      <c r="N309" s="167"/>
      <c r="O309" s="167"/>
      <c r="P309" s="167"/>
      <c r="Q309" s="167"/>
      <c r="R309" s="167"/>
      <c r="S309" s="167"/>
      <c r="T309" s="167"/>
      <c r="U309" s="167"/>
      <c r="V309" s="167"/>
      <c r="W309" s="167"/>
      <c r="X309" s="167"/>
      <c r="Y309" s="167"/>
      <c r="Z309" s="167"/>
      <c r="AA309" s="167"/>
      <c r="AB309" s="167"/>
      <c r="AC309" s="167"/>
      <c r="AD309" s="167"/>
      <c r="AE309" s="167"/>
      <c r="AF309" s="167"/>
      <c r="AG309" s="167"/>
      <c r="AH309" s="167"/>
      <c r="AI309" s="167"/>
      <c r="AJ309" s="167"/>
      <c r="AK309" s="167"/>
      <c r="AL309" s="167"/>
      <c r="AM309" s="167"/>
      <c r="AN309" s="168"/>
      <c r="AO309" s="168"/>
      <c r="AP309" s="116"/>
      <c r="AQ309" s="117"/>
      <c r="AR309" s="131"/>
      <c r="AS309" s="131"/>
      <c r="AT309" s="131"/>
      <c r="AU309" s="117"/>
      <c r="AW309" s="130"/>
      <c r="BA309" s="130"/>
      <c r="BB309" s="130"/>
      <c r="BC309" s="130"/>
    </row>
    <row r="310" spans="1:55" s="118" customFormat="1" ht="20.100000000000001" customHeight="1">
      <c r="A310" s="167"/>
      <c r="B310" s="167"/>
      <c r="C310" s="167"/>
      <c r="D310" s="167"/>
      <c r="E310" s="167"/>
      <c r="F310" s="167"/>
      <c r="G310" s="167"/>
      <c r="H310" s="167"/>
      <c r="I310" s="167"/>
      <c r="J310" s="167"/>
      <c r="K310" s="167"/>
      <c r="L310" s="167"/>
      <c r="M310" s="167"/>
      <c r="N310" s="167"/>
      <c r="O310" s="167"/>
      <c r="P310" s="167"/>
      <c r="Q310" s="167"/>
      <c r="R310" s="167"/>
      <c r="S310" s="167"/>
      <c r="T310" s="167"/>
      <c r="U310" s="167"/>
      <c r="V310" s="167"/>
      <c r="W310" s="167"/>
      <c r="X310" s="167"/>
      <c r="Y310" s="167"/>
      <c r="Z310" s="167"/>
      <c r="AA310" s="167"/>
      <c r="AB310" s="167"/>
      <c r="AC310" s="167"/>
      <c r="AD310" s="167"/>
      <c r="AE310" s="167"/>
      <c r="AF310" s="167"/>
      <c r="AG310" s="167"/>
      <c r="AH310" s="167"/>
      <c r="AI310" s="167"/>
      <c r="AJ310" s="167"/>
      <c r="AK310" s="167"/>
      <c r="AL310" s="167"/>
      <c r="AM310" s="167"/>
      <c r="AN310" s="168"/>
      <c r="AO310" s="168"/>
      <c r="AP310" s="116"/>
      <c r="AQ310" s="117"/>
      <c r="AR310" s="131"/>
      <c r="AS310" s="131"/>
      <c r="AT310" s="131"/>
      <c r="AU310" s="117"/>
      <c r="AW310" s="130"/>
      <c r="BA310" s="130"/>
      <c r="BB310" s="130"/>
      <c r="BC310" s="130"/>
    </row>
    <row r="311" spans="1:55" s="118" customFormat="1" ht="20.100000000000001" customHeight="1">
      <c r="A311" s="167"/>
      <c r="B311" s="167"/>
      <c r="C311" s="167"/>
      <c r="D311" s="167"/>
      <c r="E311" s="167"/>
      <c r="F311" s="167"/>
      <c r="G311" s="167"/>
      <c r="H311" s="167"/>
      <c r="I311" s="167"/>
      <c r="J311" s="167"/>
      <c r="K311" s="167"/>
      <c r="L311" s="167"/>
      <c r="M311" s="167"/>
      <c r="N311" s="167"/>
      <c r="O311" s="167"/>
      <c r="P311" s="167"/>
      <c r="Q311" s="167"/>
      <c r="R311" s="167"/>
      <c r="S311" s="167"/>
      <c r="T311" s="167"/>
      <c r="U311" s="167"/>
      <c r="V311" s="167"/>
      <c r="W311" s="167"/>
      <c r="X311" s="167"/>
      <c r="Y311" s="167"/>
      <c r="Z311" s="167"/>
      <c r="AA311" s="167"/>
      <c r="AB311" s="167"/>
      <c r="AC311" s="167"/>
      <c r="AD311" s="167"/>
      <c r="AE311" s="167"/>
      <c r="AF311" s="167"/>
      <c r="AG311" s="167"/>
      <c r="AH311" s="167"/>
      <c r="AI311" s="167"/>
      <c r="AJ311" s="167"/>
      <c r="AK311" s="167"/>
      <c r="AL311" s="167"/>
      <c r="AM311" s="167"/>
      <c r="AN311" s="168"/>
      <c r="AO311" s="168"/>
      <c r="AP311" s="116"/>
      <c r="AQ311" s="117"/>
      <c r="AR311" s="131"/>
      <c r="AS311" s="131"/>
      <c r="AT311" s="131"/>
      <c r="AU311" s="117"/>
      <c r="AW311" s="130"/>
      <c r="BA311" s="130"/>
      <c r="BB311" s="130"/>
      <c r="BC311" s="130"/>
    </row>
    <row r="312" spans="1:55" s="118" customFormat="1" ht="20.100000000000001" customHeight="1">
      <c r="A312" s="167"/>
      <c r="B312" s="167"/>
      <c r="C312" s="167"/>
      <c r="D312" s="167"/>
      <c r="E312" s="167"/>
      <c r="F312" s="167"/>
      <c r="G312" s="167"/>
      <c r="H312" s="167"/>
      <c r="I312" s="167"/>
      <c r="J312" s="167"/>
      <c r="K312" s="167"/>
      <c r="L312" s="167"/>
      <c r="M312" s="167"/>
      <c r="N312" s="167"/>
      <c r="O312" s="167"/>
      <c r="P312" s="167"/>
      <c r="Q312" s="167"/>
      <c r="R312" s="167"/>
      <c r="S312" s="167"/>
      <c r="T312" s="167"/>
      <c r="U312" s="167"/>
      <c r="V312" s="167"/>
      <c r="W312" s="167"/>
      <c r="X312" s="167"/>
      <c r="Y312" s="167"/>
      <c r="Z312" s="167"/>
      <c r="AA312" s="167"/>
      <c r="AB312" s="167"/>
      <c r="AC312" s="167"/>
      <c r="AD312" s="167"/>
      <c r="AE312" s="167"/>
      <c r="AF312" s="167"/>
      <c r="AG312" s="167"/>
      <c r="AH312" s="167"/>
      <c r="AI312" s="167"/>
      <c r="AJ312" s="167"/>
      <c r="AK312" s="167"/>
      <c r="AL312" s="167"/>
      <c r="AM312" s="167"/>
      <c r="AN312" s="168"/>
      <c r="AO312" s="168"/>
      <c r="AP312" s="116"/>
      <c r="AQ312" s="117"/>
      <c r="AR312" s="131"/>
      <c r="AS312" s="131"/>
      <c r="AT312" s="131"/>
      <c r="AU312" s="117"/>
      <c r="AW312" s="130"/>
      <c r="BA312" s="130"/>
      <c r="BB312" s="130"/>
      <c r="BC312" s="130"/>
    </row>
    <row r="313" spans="1:55" s="118" customFormat="1" ht="20.100000000000001" customHeight="1">
      <c r="A313" s="167"/>
      <c r="B313" s="167"/>
      <c r="C313" s="167"/>
      <c r="D313" s="167"/>
      <c r="E313" s="167"/>
      <c r="F313" s="167"/>
      <c r="G313" s="167"/>
      <c r="H313" s="167"/>
      <c r="I313" s="167"/>
      <c r="J313" s="167"/>
      <c r="K313" s="167"/>
      <c r="L313" s="167"/>
      <c r="M313" s="167"/>
      <c r="N313" s="167"/>
      <c r="O313" s="167"/>
      <c r="P313" s="167"/>
      <c r="Q313" s="167"/>
      <c r="R313" s="167"/>
      <c r="S313" s="167"/>
      <c r="T313" s="167"/>
      <c r="U313" s="167"/>
      <c r="V313" s="167"/>
      <c r="W313" s="167"/>
      <c r="X313" s="167"/>
      <c r="Y313" s="167"/>
      <c r="Z313" s="167"/>
      <c r="AA313" s="167"/>
      <c r="AB313" s="167"/>
      <c r="AC313" s="167"/>
      <c r="AD313" s="167"/>
      <c r="AE313" s="167"/>
      <c r="AF313" s="167"/>
      <c r="AG313" s="167"/>
      <c r="AH313" s="167"/>
      <c r="AI313" s="167"/>
      <c r="AJ313" s="167"/>
      <c r="AK313" s="167"/>
      <c r="AL313" s="167"/>
      <c r="AM313" s="167"/>
      <c r="AN313" s="168"/>
      <c r="AO313" s="168"/>
      <c r="AP313" s="116"/>
      <c r="AQ313" s="117"/>
      <c r="AR313" s="131"/>
      <c r="AS313" s="131"/>
      <c r="AT313" s="131"/>
      <c r="AU313" s="117"/>
      <c r="AW313" s="130"/>
      <c r="BA313" s="130"/>
      <c r="BB313" s="130"/>
      <c r="BC313" s="130"/>
    </row>
    <row r="314" spans="1:55" s="118" customFormat="1" ht="20.100000000000001" customHeight="1">
      <c r="A314" s="167"/>
      <c r="B314" s="167"/>
      <c r="C314" s="167"/>
      <c r="D314" s="167"/>
      <c r="E314" s="167"/>
      <c r="F314" s="167"/>
      <c r="G314" s="167"/>
      <c r="H314" s="167"/>
      <c r="I314" s="167"/>
      <c r="J314" s="167"/>
      <c r="K314" s="167"/>
      <c r="L314" s="167"/>
      <c r="M314" s="167"/>
      <c r="N314" s="167"/>
      <c r="O314" s="167"/>
      <c r="P314" s="167"/>
      <c r="Q314" s="167"/>
      <c r="R314" s="167"/>
      <c r="S314" s="167"/>
      <c r="T314" s="167"/>
      <c r="U314" s="167"/>
      <c r="V314" s="167"/>
      <c r="W314" s="167"/>
      <c r="X314" s="167"/>
      <c r="Y314" s="167"/>
      <c r="Z314" s="167"/>
      <c r="AA314" s="167"/>
      <c r="AB314" s="167"/>
      <c r="AC314" s="167"/>
      <c r="AD314" s="167"/>
      <c r="AE314" s="167"/>
      <c r="AF314" s="167"/>
      <c r="AG314" s="167"/>
      <c r="AH314" s="167"/>
      <c r="AI314" s="167"/>
      <c r="AJ314" s="167"/>
      <c r="AK314" s="167"/>
      <c r="AL314" s="167"/>
      <c r="AM314" s="167"/>
      <c r="AN314" s="168"/>
      <c r="AO314" s="168"/>
      <c r="AP314" s="116"/>
      <c r="AQ314" s="117"/>
      <c r="AR314" s="131"/>
      <c r="AS314" s="131"/>
      <c r="AT314" s="131"/>
      <c r="AU314" s="117"/>
      <c r="AW314" s="130"/>
      <c r="BA314" s="130"/>
      <c r="BB314" s="130"/>
      <c r="BC314" s="130"/>
    </row>
    <row r="315" spans="1:55" s="118" customFormat="1" ht="20.100000000000001" customHeight="1">
      <c r="A315" s="167"/>
      <c r="B315" s="167"/>
      <c r="C315" s="167"/>
      <c r="D315" s="167"/>
      <c r="E315" s="167"/>
      <c r="F315" s="167"/>
      <c r="G315" s="167"/>
      <c r="H315" s="167"/>
      <c r="I315" s="167"/>
      <c r="J315" s="167"/>
      <c r="K315" s="167"/>
      <c r="L315" s="167"/>
      <c r="M315" s="167"/>
      <c r="N315" s="167"/>
      <c r="O315" s="167"/>
      <c r="P315" s="167"/>
      <c r="Q315" s="167"/>
      <c r="R315" s="167"/>
      <c r="S315" s="167"/>
      <c r="T315" s="167"/>
      <c r="U315" s="167"/>
      <c r="V315" s="167"/>
      <c r="W315" s="167"/>
      <c r="X315" s="167"/>
      <c r="Y315" s="167"/>
      <c r="Z315" s="167"/>
      <c r="AA315" s="167"/>
      <c r="AB315" s="167"/>
      <c r="AC315" s="167"/>
      <c r="AD315" s="167"/>
      <c r="AE315" s="167"/>
      <c r="AF315" s="167"/>
      <c r="AG315" s="167"/>
      <c r="AH315" s="167"/>
      <c r="AI315" s="167"/>
      <c r="AJ315" s="167"/>
      <c r="AK315" s="167"/>
      <c r="AL315" s="167"/>
      <c r="AM315" s="167"/>
      <c r="AN315" s="168"/>
      <c r="AO315" s="168"/>
      <c r="AP315" s="116"/>
      <c r="AQ315" s="117"/>
      <c r="AR315" s="131"/>
      <c r="AS315" s="131"/>
      <c r="AT315" s="131"/>
      <c r="AU315" s="117"/>
      <c r="AW315" s="130"/>
      <c r="BA315" s="130"/>
      <c r="BB315" s="130"/>
      <c r="BC315" s="130"/>
    </row>
    <row r="316" spans="1:55" s="118" customFormat="1" ht="20.100000000000001" customHeight="1">
      <c r="A316" s="167"/>
      <c r="B316" s="167"/>
      <c r="C316" s="167"/>
      <c r="D316" s="167"/>
      <c r="E316" s="167"/>
      <c r="F316" s="167"/>
      <c r="G316" s="167"/>
      <c r="H316" s="167"/>
      <c r="I316" s="167"/>
      <c r="J316" s="167"/>
      <c r="K316" s="167"/>
      <c r="L316" s="167"/>
      <c r="M316" s="167"/>
      <c r="N316" s="167"/>
      <c r="O316" s="167"/>
      <c r="P316" s="167"/>
      <c r="Q316" s="167"/>
      <c r="R316" s="167"/>
      <c r="S316" s="167"/>
      <c r="T316" s="167"/>
      <c r="U316" s="167"/>
      <c r="V316" s="167"/>
      <c r="W316" s="167"/>
      <c r="X316" s="167"/>
      <c r="Y316" s="167"/>
      <c r="Z316" s="167"/>
      <c r="AA316" s="167"/>
      <c r="AB316" s="167"/>
      <c r="AC316" s="167"/>
      <c r="AD316" s="167"/>
      <c r="AE316" s="167"/>
      <c r="AF316" s="167"/>
      <c r="AG316" s="167"/>
      <c r="AH316" s="167"/>
      <c r="AI316" s="167"/>
      <c r="AJ316" s="167"/>
      <c r="AK316" s="167"/>
      <c r="AL316" s="167"/>
      <c r="AM316" s="167"/>
      <c r="AN316" s="168"/>
      <c r="AO316" s="168"/>
      <c r="AP316" s="116"/>
      <c r="AQ316" s="117"/>
      <c r="AR316" s="131"/>
      <c r="AS316" s="131"/>
      <c r="AT316" s="131"/>
      <c r="AU316" s="117"/>
      <c r="AW316" s="130"/>
      <c r="BA316" s="130"/>
      <c r="BB316" s="130"/>
      <c r="BC316" s="130"/>
    </row>
    <row r="317" spans="1:55" s="118" customFormat="1" ht="20.100000000000001" customHeight="1">
      <c r="A317" s="167"/>
      <c r="B317" s="167"/>
      <c r="C317" s="167"/>
      <c r="D317" s="167"/>
      <c r="E317" s="167"/>
      <c r="F317" s="167"/>
      <c r="G317" s="167"/>
      <c r="H317" s="167"/>
      <c r="I317" s="167"/>
      <c r="J317" s="167"/>
      <c r="K317" s="167"/>
      <c r="L317" s="167"/>
      <c r="M317" s="167"/>
      <c r="N317" s="167"/>
      <c r="O317" s="167"/>
      <c r="P317" s="167"/>
      <c r="Q317" s="167"/>
      <c r="R317" s="167"/>
      <c r="S317" s="167"/>
      <c r="T317" s="167"/>
      <c r="U317" s="167"/>
      <c r="V317" s="167"/>
      <c r="W317" s="167"/>
      <c r="X317" s="167"/>
      <c r="Y317" s="167"/>
      <c r="Z317" s="167"/>
      <c r="AA317" s="167"/>
      <c r="AB317" s="167"/>
      <c r="AC317" s="167"/>
      <c r="AD317" s="167"/>
      <c r="AE317" s="167"/>
      <c r="AF317" s="167"/>
      <c r="AG317" s="167"/>
      <c r="AH317" s="167"/>
      <c r="AI317" s="167"/>
      <c r="AJ317" s="167"/>
      <c r="AK317" s="167"/>
      <c r="AL317" s="167"/>
      <c r="AM317" s="167"/>
      <c r="AN317" s="168"/>
      <c r="AO317" s="168"/>
      <c r="AP317" s="116"/>
      <c r="AQ317" s="117"/>
      <c r="AR317" s="131"/>
      <c r="AS317" s="131"/>
      <c r="AT317" s="131"/>
      <c r="AU317" s="117"/>
      <c r="AW317" s="130"/>
      <c r="BA317" s="130"/>
      <c r="BB317" s="130"/>
      <c r="BC317" s="130"/>
    </row>
    <row r="318" spans="1:55" s="118" customFormat="1" ht="20.100000000000001" customHeight="1">
      <c r="A318" s="167"/>
      <c r="B318" s="167"/>
      <c r="C318" s="167"/>
      <c r="D318" s="167"/>
      <c r="E318" s="167"/>
      <c r="F318" s="167"/>
      <c r="G318" s="167"/>
      <c r="H318" s="167"/>
      <c r="I318" s="167"/>
      <c r="J318" s="167"/>
      <c r="K318" s="167"/>
      <c r="L318" s="167"/>
      <c r="M318" s="167"/>
      <c r="N318" s="167"/>
      <c r="O318" s="167"/>
      <c r="P318" s="167"/>
      <c r="Q318" s="167"/>
      <c r="R318" s="167"/>
      <c r="S318" s="167"/>
      <c r="T318" s="167"/>
      <c r="U318" s="167"/>
      <c r="V318" s="167"/>
      <c r="W318" s="167"/>
      <c r="X318" s="167"/>
      <c r="Y318" s="167"/>
      <c r="Z318" s="167"/>
      <c r="AA318" s="167"/>
      <c r="AB318" s="167"/>
      <c r="AC318" s="167"/>
      <c r="AD318" s="167"/>
      <c r="AE318" s="167"/>
      <c r="AF318" s="167"/>
      <c r="AG318" s="167"/>
      <c r="AH318" s="167"/>
      <c r="AI318" s="167"/>
      <c r="AJ318" s="167"/>
      <c r="AK318" s="167"/>
      <c r="AL318" s="167"/>
      <c r="AM318" s="167"/>
      <c r="AN318" s="168"/>
      <c r="AO318" s="168"/>
      <c r="AP318" s="116"/>
      <c r="AQ318" s="117"/>
      <c r="AR318" s="131"/>
      <c r="AS318" s="131"/>
      <c r="AT318" s="131"/>
      <c r="AU318" s="117"/>
      <c r="AW318" s="130"/>
      <c r="BA318" s="130"/>
      <c r="BB318" s="130"/>
      <c r="BC318" s="130"/>
    </row>
    <row r="319" spans="1:55" s="118" customFormat="1" ht="20.100000000000001" customHeight="1">
      <c r="A319" s="167"/>
      <c r="B319" s="167"/>
      <c r="C319" s="167"/>
      <c r="D319" s="167"/>
      <c r="E319" s="167"/>
      <c r="F319" s="167"/>
      <c r="G319" s="167"/>
      <c r="H319" s="167"/>
      <c r="I319" s="167"/>
      <c r="J319" s="167"/>
      <c r="K319" s="167"/>
      <c r="L319" s="167"/>
      <c r="M319" s="167"/>
      <c r="N319" s="167"/>
      <c r="O319" s="167"/>
      <c r="P319" s="167"/>
      <c r="Q319" s="167"/>
      <c r="R319" s="167"/>
      <c r="S319" s="167"/>
      <c r="T319" s="167"/>
      <c r="U319" s="167"/>
      <c r="V319" s="167"/>
      <c r="W319" s="167"/>
      <c r="X319" s="167"/>
      <c r="Y319" s="167"/>
      <c r="Z319" s="167"/>
      <c r="AA319" s="167"/>
      <c r="AB319" s="167"/>
      <c r="AC319" s="167"/>
      <c r="AD319" s="167"/>
      <c r="AE319" s="167"/>
      <c r="AF319" s="167"/>
      <c r="AG319" s="167"/>
      <c r="AH319" s="167"/>
      <c r="AI319" s="167"/>
      <c r="AJ319" s="167"/>
      <c r="AK319" s="167"/>
      <c r="AL319" s="167"/>
      <c r="AM319" s="167"/>
      <c r="AN319" s="168"/>
      <c r="AO319" s="168"/>
      <c r="AP319" s="116"/>
      <c r="AQ319" s="117"/>
      <c r="AR319" s="131"/>
      <c r="AS319" s="131"/>
      <c r="AT319" s="131"/>
      <c r="AU319" s="117"/>
      <c r="AW319" s="130"/>
      <c r="BA319" s="130"/>
      <c r="BB319" s="130"/>
      <c r="BC319" s="130"/>
    </row>
    <row r="320" spans="1:55" s="118" customFormat="1" ht="20.100000000000001" customHeight="1">
      <c r="A320" s="167"/>
      <c r="B320" s="167"/>
      <c r="C320" s="167"/>
      <c r="D320" s="167"/>
      <c r="E320" s="167"/>
      <c r="F320" s="167"/>
      <c r="G320" s="167"/>
      <c r="H320" s="167"/>
      <c r="I320" s="167"/>
      <c r="J320" s="167"/>
      <c r="K320" s="167"/>
      <c r="L320" s="167"/>
      <c r="M320" s="167"/>
      <c r="N320" s="167"/>
      <c r="O320" s="167"/>
      <c r="P320" s="167"/>
      <c r="Q320" s="167"/>
      <c r="R320" s="167"/>
      <c r="S320" s="167"/>
      <c r="T320" s="167"/>
      <c r="U320" s="167"/>
      <c r="V320" s="167"/>
      <c r="W320" s="167"/>
      <c r="X320" s="167"/>
      <c r="Y320" s="167"/>
      <c r="Z320" s="167"/>
      <c r="AA320" s="167"/>
      <c r="AB320" s="167"/>
      <c r="AC320" s="167"/>
      <c r="AD320" s="167"/>
      <c r="AE320" s="167"/>
      <c r="AF320" s="167"/>
      <c r="AG320" s="167"/>
      <c r="AH320" s="167"/>
      <c r="AI320" s="167"/>
      <c r="AJ320" s="167"/>
      <c r="AK320" s="167"/>
      <c r="AL320" s="167"/>
      <c r="AM320" s="167"/>
      <c r="AN320" s="168"/>
      <c r="AO320" s="168"/>
      <c r="AP320" s="116"/>
      <c r="AQ320" s="117"/>
      <c r="AR320" s="131"/>
      <c r="AS320" s="131"/>
      <c r="AT320" s="131"/>
      <c r="AU320" s="117"/>
      <c r="AW320" s="130"/>
      <c r="BA320" s="130"/>
      <c r="BB320" s="130"/>
      <c r="BC320" s="130"/>
    </row>
    <row r="321" spans="1:55" s="118" customFormat="1" ht="20.100000000000001" customHeight="1">
      <c r="A321" s="167"/>
      <c r="B321" s="167"/>
      <c r="C321" s="167"/>
      <c r="D321" s="167"/>
      <c r="E321" s="167"/>
      <c r="F321" s="167"/>
      <c r="G321" s="167"/>
      <c r="H321" s="167"/>
      <c r="I321" s="167"/>
      <c r="J321" s="167"/>
      <c r="K321" s="167"/>
      <c r="L321" s="167"/>
      <c r="M321" s="167"/>
      <c r="N321" s="167"/>
      <c r="O321" s="167"/>
      <c r="P321" s="167"/>
      <c r="Q321" s="167"/>
      <c r="R321" s="167"/>
      <c r="S321" s="167"/>
      <c r="T321" s="167"/>
      <c r="U321" s="167"/>
      <c r="V321" s="167"/>
      <c r="W321" s="167"/>
      <c r="X321" s="167"/>
      <c r="Y321" s="167"/>
      <c r="Z321" s="167"/>
      <c r="AA321" s="167"/>
      <c r="AB321" s="167"/>
      <c r="AC321" s="167"/>
      <c r="AD321" s="167"/>
      <c r="AE321" s="167"/>
      <c r="AF321" s="167"/>
      <c r="AG321" s="167"/>
      <c r="AH321" s="167"/>
      <c r="AI321" s="167"/>
      <c r="AJ321" s="167"/>
      <c r="AK321" s="167"/>
      <c r="AL321" s="167"/>
      <c r="AM321" s="167"/>
      <c r="AN321" s="168"/>
      <c r="AO321" s="168"/>
      <c r="AP321" s="116"/>
      <c r="AQ321" s="117"/>
      <c r="AR321" s="131"/>
      <c r="AS321" s="131"/>
      <c r="AT321" s="131"/>
      <c r="AU321" s="117"/>
      <c r="AW321" s="130"/>
      <c r="BA321" s="130"/>
      <c r="BB321" s="130"/>
      <c r="BC321" s="130"/>
    </row>
    <row r="322" spans="1:55" s="118" customFormat="1" ht="20.100000000000001" customHeight="1">
      <c r="A322" s="167"/>
      <c r="B322" s="167"/>
      <c r="C322" s="167"/>
      <c r="D322" s="167"/>
      <c r="E322" s="167"/>
      <c r="F322" s="167"/>
      <c r="G322" s="167"/>
      <c r="H322" s="167"/>
      <c r="I322" s="167"/>
      <c r="J322" s="167"/>
      <c r="K322" s="167"/>
      <c r="L322" s="167"/>
      <c r="M322" s="167"/>
      <c r="N322" s="167"/>
      <c r="O322" s="167"/>
      <c r="P322" s="167"/>
      <c r="Q322" s="167"/>
      <c r="R322" s="167"/>
      <c r="S322" s="167"/>
      <c r="T322" s="167"/>
      <c r="U322" s="167"/>
      <c r="V322" s="167"/>
      <c r="W322" s="167"/>
      <c r="X322" s="167"/>
      <c r="Y322" s="167"/>
      <c r="Z322" s="167"/>
      <c r="AA322" s="167"/>
      <c r="AB322" s="167"/>
      <c r="AC322" s="167"/>
      <c r="AD322" s="167"/>
      <c r="AE322" s="167"/>
      <c r="AF322" s="167"/>
      <c r="AG322" s="167"/>
      <c r="AH322" s="167"/>
      <c r="AI322" s="167"/>
      <c r="AJ322" s="167"/>
      <c r="AK322" s="167"/>
      <c r="AL322" s="167"/>
      <c r="AM322" s="167"/>
      <c r="AN322" s="168"/>
      <c r="AO322" s="168"/>
      <c r="AP322" s="116"/>
      <c r="AQ322" s="117"/>
      <c r="AR322" s="131"/>
      <c r="AS322" s="131"/>
      <c r="AT322" s="131"/>
      <c r="AU322" s="117"/>
      <c r="AW322" s="130"/>
      <c r="BA322" s="130"/>
      <c r="BB322" s="130"/>
      <c r="BC322" s="130"/>
    </row>
    <row r="323" spans="1:55" s="118" customFormat="1" ht="20.100000000000001" customHeight="1">
      <c r="A323" s="167"/>
      <c r="B323" s="167"/>
      <c r="C323" s="167"/>
      <c r="D323" s="167"/>
      <c r="E323" s="167"/>
      <c r="F323" s="167"/>
      <c r="G323" s="167"/>
      <c r="H323" s="167"/>
      <c r="I323" s="167"/>
      <c r="J323" s="167"/>
      <c r="K323" s="167"/>
      <c r="L323" s="167"/>
      <c r="M323" s="167"/>
      <c r="N323" s="167"/>
      <c r="O323" s="167"/>
      <c r="P323" s="167"/>
      <c r="Q323" s="167"/>
      <c r="R323" s="167"/>
      <c r="S323" s="167"/>
      <c r="T323" s="167"/>
      <c r="U323" s="167"/>
      <c r="V323" s="167"/>
      <c r="W323" s="167"/>
      <c r="X323" s="167"/>
      <c r="Y323" s="167"/>
      <c r="Z323" s="167"/>
      <c r="AA323" s="167"/>
      <c r="AB323" s="167"/>
      <c r="AC323" s="167"/>
      <c r="AD323" s="167"/>
      <c r="AE323" s="167"/>
      <c r="AF323" s="167"/>
      <c r="AG323" s="167"/>
      <c r="AH323" s="167"/>
      <c r="AI323" s="167"/>
      <c r="AJ323" s="167"/>
      <c r="AK323" s="167"/>
      <c r="AL323" s="167"/>
      <c r="AM323" s="167"/>
      <c r="AN323" s="168"/>
      <c r="AO323" s="168"/>
      <c r="AP323" s="116"/>
      <c r="AQ323" s="117"/>
      <c r="AR323" s="131"/>
      <c r="AS323" s="131"/>
      <c r="AT323" s="131"/>
      <c r="AU323" s="117"/>
      <c r="AW323" s="130"/>
      <c r="BA323" s="130"/>
      <c r="BB323" s="130"/>
      <c r="BC323" s="130"/>
    </row>
    <row r="324" spans="1:55" s="118" customFormat="1" ht="20.100000000000001" customHeight="1">
      <c r="A324" s="167"/>
      <c r="B324" s="167"/>
      <c r="C324" s="167"/>
      <c r="D324" s="167"/>
      <c r="E324" s="167"/>
      <c r="F324" s="167"/>
      <c r="G324" s="167"/>
      <c r="H324" s="167"/>
      <c r="I324" s="167"/>
      <c r="J324" s="167"/>
      <c r="K324" s="167"/>
      <c r="L324" s="167"/>
      <c r="M324" s="167"/>
      <c r="N324" s="167"/>
      <c r="O324" s="167"/>
      <c r="P324" s="167"/>
      <c r="Q324" s="167"/>
      <c r="R324" s="167"/>
      <c r="S324" s="167"/>
      <c r="T324" s="167"/>
      <c r="U324" s="167"/>
      <c r="V324" s="167"/>
      <c r="W324" s="167"/>
      <c r="X324" s="167"/>
      <c r="Y324" s="167"/>
      <c r="Z324" s="167"/>
      <c r="AA324" s="167"/>
      <c r="AB324" s="167"/>
      <c r="AC324" s="167"/>
      <c r="AD324" s="167"/>
      <c r="AE324" s="167"/>
      <c r="AF324" s="167"/>
      <c r="AG324" s="167"/>
      <c r="AH324" s="167"/>
      <c r="AI324" s="167"/>
      <c r="AJ324" s="167"/>
      <c r="AK324" s="167"/>
      <c r="AL324" s="167"/>
      <c r="AM324" s="167"/>
      <c r="AN324" s="168"/>
      <c r="AO324" s="168"/>
      <c r="AP324" s="116"/>
      <c r="AQ324" s="117"/>
      <c r="AR324" s="131"/>
      <c r="AS324" s="131"/>
      <c r="AT324" s="131"/>
      <c r="AU324" s="117"/>
      <c r="AW324" s="130"/>
      <c r="BA324" s="130"/>
      <c r="BB324" s="130"/>
      <c r="BC324" s="130"/>
    </row>
    <row r="325" spans="1:55" s="118" customFormat="1" ht="20.100000000000001" customHeight="1">
      <c r="A325" s="167"/>
      <c r="B325" s="167"/>
      <c r="C325" s="167"/>
      <c r="D325" s="167"/>
      <c r="E325" s="167"/>
      <c r="F325" s="167"/>
      <c r="G325" s="167"/>
      <c r="H325" s="167"/>
      <c r="I325" s="167"/>
      <c r="J325" s="167"/>
      <c r="K325" s="167"/>
      <c r="L325" s="167"/>
      <c r="M325" s="167"/>
      <c r="N325" s="167"/>
      <c r="O325" s="167"/>
      <c r="P325" s="167"/>
      <c r="Q325" s="167"/>
      <c r="R325" s="167"/>
      <c r="S325" s="167"/>
      <c r="T325" s="167"/>
      <c r="U325" s="167"/>
      <c r="V325" s="167"/>
      <c r="W325" s="167"/>
      <c r="X325" s="167"/>
      <c r="Y325" s="167"/>
      <c r="Z325" s="167"/>
      <c r="AA325" s="167"/>
      <c r="AB325" s="167"/>
      <c r="AC325" s="167"/>
      <c r="AD325" s="167"/>
      <c r="AE325" s="167"/>
      <c r="AF325" s="167"/>
      <c r="AG325" s="167"/>
      <c r="AH325" s="167"/>
      <c r="AI325" s="167"/>
      <c r="AJ325" s="167"/>
      <c r="AK325" s="167"/>
      <c r="AL325" s="167"/>
      <c r="AM325" s="167"/>
      <c r="AN325" s="168"/>
      <c r="AO325" s="168"/>
      <c r="AP325" s="116"/>
      <c r="AQ325" s="117"/>
      <c r="AR325" s="131"/>
      <c r="AS325" s="131"/>
      <c r="AT325" s="131"/>
      <c r="AU325" s="117"/>
      <c r="AW325" s="130"/>
      <c r="BA325" s="130"/>
      <c r="BB325" s="130"/>
      <c r="BC325" s="130"/>
    </row>
    <row r="326" spans="1:55" s="118" customFormat="1" ht="20.100000000000001" customHeight="1">
      <c r="A326" s="167"/>
      <c r="B326" s="167"/>
      <c r="C326" s="167"/>
      <c r="D326" s="167"/>
      <c r="E326" s="167"/>
      <c r="F326" s="167"/>
      <c r="G326" s="167"/>
      <c r="H326" s="167"/>
      <c r="I326" s="167"/>
      <c r="J326" s="167"/>
      <c r="K326" s="167"/>
      <c r="L326" s="167"/>
      <c r="M326" s="167"/>
      <c r="N326" s="167"/>
      <c r="O326" s="167"/>
      <c r="P326" s="167"/>
      <c r="Q326" s="167"/>
      <c r="R326" s="167"/>
      <c r="S326" s="167"/>
      <c r="T326" s="167"/>
      <c r="U326" s="167"/>
      <c r="V326" s="167"/>
      <c r="W326" s="167"/>
      <c r="X326" s="167"/>
      <c r="Y326" s="167"/>
      <c r="Z326" s="167"/>
      <c r="AA326" s="167"/>
      <c r="AB326" s="167"/>
      <c r="AC326" s="167"/>
      <c r="AD326" s="167"/>
      <c r="AE326" s="167"/>
      <c r="AF326" s="167"/>
      <c r="AG326" s="167"/>
      <c r="AH326" s="167"/>
      <c r="AI326" s="167"/>
      <c r="AJ326" s="167"/>
      <c r="AK326" s="167"/>
      <c r="AL326" s="167"/>
      <c r="AM326" s="167"/>
      <c r="AN326" s="168"/>
      <c r="AO326" s="168"/>
      <c r="AP326" s="116"/>
      <c r="AQ326" s="117"/>
      <c r="AR326" s="131"/>
      <c r="AS326" s="131"/>
      <c r="AT326" s="131"/>
      <c r="AU326" s="117"/>
      <c r="AW326" s="130"/>
      <c r="BA326" s="130"/>
      <c r="BB326" s="130"/>
      <c r="BC326" s="130"/>
    </row>
    <row r="327" spans="1:55" s="118" customFormat="1" ht="20.100000000000001" customHeight="1">
      <c r="A327" s="167"/>
      <c r="B327" s="167"/>
      <c r="C327" s="167"/>
      <c r="D327" s="167"/>
      <c r="E327" s="167"/>
      <c r="F327" s="167"/>
      <c r="G327" s="167"/>
      <c r="H327" s="167"/>
      <c r="I327" s="167"/>
      <c r="J327" s="167"/>
      <c r="K327" s="167"/>
      <c r="L327" s="167"/>
      <c r="M327" s="167"/>
      <c r="N327" s="167"/>
      <c r="O327" s="167"/>
      <c r="P327" s="167"/>
      <c r="Q327" s="167"/>
      <c r="R327" s="167"/>
      <c r="S327" s="167"/>
      <c r="T327" s="167"/>
      <c r="U327" s="167"/>
      <c r="V327" s="167"/>
      <c r="W327" s="167"/>
      <c r="X327" s="167"/>
      <c r="Y327" s="167"/>
      <c r="Z327" s="167"/>
      <c r="AA327" s="167"/>
      <c r="AB327" s="167"/>
      <c r="AC327" s="167"/>
      <c r="AD327" s="167"/>
      <c r="AE327" s="167"/>
      <c r="AF327" s="167"/>
      <c r="AG327" s="167"/>
      <c r="AH327" s="167"/>
      <c r="AI327" s="167"/>
      <c r="AJ327" s="167"/>
      <c r="AK327" s="167"/>
      <c r="AL327" s="167"/>
      <c r="AM327" s="167"/>
      <c r="AN327" s="168"/>
      <c r="AO327" s="168"/>
      <c r="AP327" s="116"/>
      <c r="AQ327" s="117"/>
      <c r="AR327" s="131"/>
      <c r="AS327" s="131"/>
      <c r="AT327" s="131"/>
      <c r="AU327" s="117"/>
      <c r="AW327" s="130"/>
      <c r="BA327" s="130"/>
      <c r="BB327" s="130"/>
      <c r="BC327" s="130"/>
    </row>
    <row r="328" spans="1:55" s="118" customFormat="1" ht="20.100000000000001" customHeight="1">
      <c r="A328" s="167"/>
      <c r="B328" s="167"/>
      <c r="C328" s="167"/>
      <c r="D328" s="167"/>
      <c r="E328" s="167"/>
      <c r="F328" s="167"/>
      <c r="G328" s="167"/>
      <c r="H328" s="167"/>
      <c r="I328" s="167"/>
      <c r="J328" s="167"/>
      <c r="K328" s="167"/>
      <c r="L328" s="167"/>
      <c r="M328" s="167"/>
      <c r="N328" s="167"/>
      <c r="O328" s="167"/>
      <c r="P328" s="167"/>
      <c r="Q328" s="167"/>
      <c r="R328" s="167"/>
      <c r="S328" s="167"/>
      <c r="T328" s="167"/>
      <c r="U328" s="167"/>
      <c r="V328" s="167"/>
      <c r="W328" s="167"/>
      <c r="X328" s="167"/>
      <c r="Y328" s="167"/>
      <c r="Z328" s="167"/>
      <c r="AA328" s="167"/>
      <c r="AB328" s="167"/>
      <c r="AC328" s="167"/>
      <c r="AD328" s="167"/>
      <c r="AE328" s="167"/>
      <c r="AF328" s="167"/>
      <c r="AG328" s="167"/>
      <c r="AH328" s="167"/>
      <c r="AI328" s="167"/>
      <c r="AJ328" s="167"/>
      <c r="AK328" s="167"/>
      <c r="AL328" s="167"/>
      <c r="AM328" s="167"/>
      <c r="AN328" s="168"/>
      <c r="AO328" s="168"/>
      <c r="AP328" s="116"/>
      <c r="AQ328" s="117"/>
      <c r="AR328" s="131"/>
      <c r="AS328" s="131"/>
      <c r="AT328" s="131"/>
      <c r="AU328" s="117"/>
      <c r="AW328" s="130"/>
      <c r="BA328" s="130"/>
      <c r="BB328" s="130"/>
      <c r="BC328" s="130"/>
    </row>
    <row r="329" spans="1:55" s="118" customFormat="1" ht="20.100000000000001" customHeight="1">
      <c r="A329" s="167"/>
      <c r="B329" s="167"/>
      <c r="C329" s="167"/>
      <c r="D329" s="167"/>
      <c r="E329" s="167"/>
      <c r="F329" s="167"/>
      <c r="G329" s="167"/>
      <c r="H329" s="167"/>
      <c r="I329" s="167"/>
      <c r="J329" s="167"/>
      <c r="K329" s="167"/>
      <c r="L329" s="167"/>
      <c r="M329" s="167"/>
      <c r="N329" s="167"/>
      <c r="O329" s="167"/>
      <c r="P329" s="167"/>
      <c r="Q329" s="167"/>
      <c r="R329" s="167"/>
      <c r="S329" s="167"/>
      <c r="T329" s="167"/>
      <c r="U329" s="167"/>
      <c r="V329" s="167"/>
      <c r="W329" s="167"/>
      <c r="X329" s="167"/>
      <c r="Y329" s="167"/>
      <c r="Z329" s="167"/>
      <c r="AA329" s="167"/>
      <c r="AB329" s="167"/>
      <c r="AC329" s="167"/>
      <c r="AD329" s="167"/>
      <c r="AE329" s="167"/>
      <c r="AF329" s="167"/>
      <c r="AG329" s="167"/>
      <c r="AH329" s="167"/>
      <c r="AI329" s="167"/>
      <c r="AJ329" s="167"/>
      <c r="AK329" s="167"/>
      <c r="AL329" s="167"/>
      <c r="AM329" s="167"/>
      <c r="AN329" s="168"/>
      <c r="AO329" s="168"/>
      <c r="AP329" s="116"/>
      <c r="AQ329" s="117"/>
      <c r="AR329" s="131"/>
      <c r="AS329" s="131"/>
      <c r="AT329" s="131"/>
      <c r="AU329" s="117"/>
      <c r="AW329" s="130"/>
      <c r="BA329" s="130"/>
      <c r="BB329" s="130"/>
      <c r="BC329" s="130"/>
    </row>
    <row r="330" spans="1:55" s="118" customFormat="1" ht="20.100000000000001" customHeight="1">
      <c r="A330" s="167"/>
      <c r="B330" s="167"/>
      <c r="C330" s="167"/>
      <c r="D330" s="167"/>
      <c r="E330" s="167"/>
      <c r="F330" s="167"/>
      <c r="G330" s="167"/>
      <c r="H330" s="167"/>
      <c r="I330" s="167"/>
      <c r="J330" s="167"/>
      <c r="K330" s="167"/>
      <c r="L330" s="167"/>
      <c r="M330" s="167"/>
      <c r="N330" s="167"/>
      <c r="O330" s="167"/>
      <c r="P330" s="167"/>
      <c r="Q330" s="167"/>
      <c r="R330" s="167"/>
      <c r="S330" s="167"/>
      <c r="T330" s="167"/>
      <c r="U330" s="167"/>
      <c r="V330" s="167"/>
      <c r="W330" s="167"/>
      <c r="X330" s="167"/>
      <c r="Y330" s="167"/>
      <c r="Z330" s="167"/>
      <c r="AA330" s="167"/>
      <c r="AB330" s="167"/>
      <c r="AC330" s="167"/>
      <c r="AD330" s="167"/>
      <c r="AE330" s="167"/>
      <c r="AF330" s="167"/>
      <c r="AG330" s="167"/>
      <c r="AH330" s="167"/>
      <c r="AI330" s="167"/>
      <c r="AJ330" s="167"/>
      <c r="AK330" s="167"/>
      <c r="AL330" s="167"/>
      <c r="AM330" s="167"/>
      <c r="AN330" s="168"/>
      <c r="AO330" s="168"/>
      <c r="AP330" s="116"/>
      <c r="AQ330" s="117"/>
      <c r="AR330" s="131"/>
      <c r="AS330" s="131"/>
      <c r="AT330" s="131"/>
      <c r="AU330" s="117"/>
      <c r="AW330" s="130"/>
      <c r="BA330" s="130"/>
      <c r="BB330" s="130"/>
      <c r="BC330" s="130"/>
    </row>
    <row r="331" spans="1:55" s="118" customFormat="1" ht="20.100000000000001" customHeight="1">
      <c r="A331" s="167"/>
      <c r="B331" s="167"/>
      <c r="C331" s="167"/>
      <c r="D331" s="167"/>
      <c r="E331" s="167"/>
      <c r="F331" s="167"/>
      <c r="G331" s="167"/>
      <c r="H331" s="167"/>
      <c r="I331" s="167"/>
      <c r="J331" s="167"/>
      <c r="K331" s="167"/>
      <c r="L331" s="167"/>
      <c r="M331" s="167"/>
      <c r="N331" s="167"/>
      <c r="O331" s="167"/>
      <c r="P331" s="167"/>
      <c r="Q331" s="167"/>
      <c r="R331" s="167"/>
      <c r="S331" s="167"/>
      <c r="T331" s="167"/>
      <c r="U331" s="167"/>
      <c r="V331" s="167"/>
      <c r="W331" s="167"/>
      <c r="X331" s="167"/>
      <c r="Y331" s="167"/>
      <c r="Z331" s="167"/>
      <c r="AA331" s="167"/>
      <c r="AB331" s="167"/>
      <c r="AC331" s="167"/>
      <c r="AD331" s="167"/>
      <c r="AE331" s="167"/>
      <c r="AF331" s="167"/>
      <c r="AG331" s="167"/>
      <c r="AH331" s="167"/>
      <c r="AI331" s="167"/>
      <c r="AJ331" s="167"/>
      <c r="AK331" s="167"/>
      <c r="AL331" s="167"/>
      <c r="AM331" s="167"/>
      <c r="AN331" s="168"/>
      <c r="AO331" s="168"/>
      <c r="AP331" s="116"/>
      <c r="AQ331" s="117"/>
      <c r="AR331" s="131"/>
      <c r="AS331" s="131"/>
      <c r="AT331" s="131"/>
      <c r="AU331" s="117"/>
      <c r="AW331" s="130"/>
      <c r="BA331" s="130"/>
      <c r="BB331" s="130"/>
      <c r="BC331" s="130"/>
    </row>
    <row r="332" spans="1:55" s="118" customFormat="1" ht="20.100000000000001" customHeight="1">
      <c r="A332" s="167"/>
      <c r="B332" s="167"/>
      <c r="C332" s="167"/>
      <c r="D332" s="167"/>
      <c r="E332" s="167"/>
      <c r="F332" s="167"/>
      <c r="G332" s="167"/>
      <c r="H332" s="167"/>
      <c r="I332" s="167"/>
      <c r="J332" s="167"/>
      <c r="K332" s="167"/>
      <c r="L332" s="167"/>
      <c r="M332" s="167"/>
      <c r="N332" s="167"/>
      <c r="O332" s="167"/>
      <c r="P332" s="167"/>
      <c r="Q332" s="167"/>
      <c r="R332" s="167"/>
      <c r="S332" s="167"/>
      <c r="T332" s="167"/>
      <c r="U332" s="167"/>
      <c r="V332" s="167"/>
      <c r="W332" s="167"/>
      <c r="X332" s="167"/>
      <c r="Y332" s="167"/>
      <c r="Z332" s="167"/>
      <c r="AA332" s="167"/>
      <c r="AB332" s="167"/>
      <c r="AC332" s="167"/>
      <c r="AD332" s="167"/>
      <c r="AE332" s="167"/>
      <c r="AF332" s="167"/>
      <c r="AG332" s="167"/>
      <c r="AH332" s="167"/>
      <c r="AI332" s="167"/>
      <c r="AJ332" s="167"/>
      <c r="AK332" s="167"/>
      <c r="AL332" s="167"/>
      <c r="AM332" s="167"/>
      <c r="AN332" s="168"/>
      <c r="AO332" s="168"/>
      <c r="AP332" s="116"/>
      <c r="AQ332" s="117"/>
      <c r="AR332" s="131"/>
      <c r="AS332" s="131"/>
      <c r="AT332" s="131"/>
      <c r="AU332" s="117"/>
      <c r="AW332" s="130"/>
      <c r="BA332" s="130"/>
      <c r="BB332" s="130"/>
      <c r="BC332" s="130"/>
    </row>
    <row r="333" spans="1:55" s="118" customFormat="1" ht="20.100000000000001" customHeight="1">
      <c r="A333" s="167"/>
      <c r="B333" s="167"/>
      <c r="C333" s="167"/>
      <c r="D333" s="167"/>
      <c r="E333" s="167"/>
      <c r="F333" s="167"/>
      <c r="G333" s="167"/>
      <c r="H333" s="167"/>
      <c r="I333" s="167"/>
      <c r="J333" s="167"/>
      <c r="K333" s="167"/>
      <c r="L333" s="167"/>
      <c r="M333" s="167"/>
      <c r="N333" s="167"/>
      <c r="O333" s="167"/>
      <c r="P333" s="167"/>
      <c r="Q333" s="167"/>
      <c r="R333" s="167"/>
      <c r="S333" s="167"/>
      <c r="T333" s="167"/>
      <c r="U333" s="167"/>
      <c r="V333" s="167"/>
      <c r="W333" s="167"/>
      <c r="X333" s="167"/>
      <c r="Y333" s="167"/>
      <c r="Z333" s="167"/>
      <c r="AA333" s="167"/>
      <c r="AB333" s="167"/>
      <c r="AC333" s="167"/>
      <c r="AD333" s="167"/>
      <c r="AE333" s="167"/>
      <c r="AF333" s="167"/>
      <c r="AG333" s="167"/>
      <c r="AH333" s="167"/>
      <c r="AI333" s="167"/>
      <c r="AJ333" s="167"/>
      <c r="AK333" s="167"/>
      <c r="AL333" s="167"/>
      <c r="AM333" s="167"/>
      <c r="AN333" s="168"/>
      <c r="AO333" s="168"/>
      <c r="AP333" s="116"/>
      <c r="AQ333" s="117"/>
      <c r="AR333" s="131"/>
      <c r="AS333" s="131"/>
      <c r="AT333" s="131"/>
      <c r="AU333" s="117"/>
      <c r="AW333" s="130"/>
      <c r="BA333" s="130"/>
      <c r="BB333" s="130"/>
      <c r="BC333" s="130"/>
    </row>
    <row r="334" spans="1:55" s="118" customFormat="1" ht="20.100000000000001" customHeight="1">
      <c r="A334" s="167"/>
      <c r="B334" s="167"/>
      <c r="C334" s="167"/>
      <c r="D334" s="167"/>
      <c r="E334" s="167"/>
      <c r="F334" s="167"/>
      <c r="G334" s="167"/>
      <c r="H334" s="167"/>
      <c r="I334" s="167"/>
      <c r="J334" s="167"/>
      <c r="K334" s="167"/>
      <c r="L334" s="167"/>
      <c r="M334" s="167"/>
      <c r="N334" s="167"/>
      <c r="O334" s="167"/>
      <c r="P334" s="167"/>
      <c r="Q334" s="167"/>
      <c r="R334" s="167"/>
      <c r="S334" s="167"/>
      <c r="T334" s="167"/>
      <c r="U334" s="167"/>
      <c r="V334" s="167"/>
      <c r="W334" s="167"/>
      <c r="X334" s="167"/>
      <c r="Y334" s="167"/>
      <c r="Z334" s="167"/>
      <c r="AA334" s="167"/>
      <c r="AB334" s="167"/>
      <c r="AC334" s="167"/>
      <c r="AD334" s="167"/>
      <c r="AE334" s="167"/>
      <c r="AF334" s="167"/>
      <c r="AG334" s="167"/>
      <c r="AH334" s="167"/>
      <c r="AI334" s="167"/>
      <c r="AJ334" s="167"/>
      <c r="AK334" s="167"/>
      <c r="AL334" s="167"/>
      <c r="AM334" s="167"/>
      <c r="AN334" s="168"/>
      <c r="AO334" s="168"/>
      <c r="AP334" s="116"/>
      <c r="AQ334" s="117"/>
      <c r="AR334" s="131"/>
      <c r="AS334" s="131"/>
      <c r="AT334" s="131"/>
      <c r="AU334" s="117"/>
      <c r="AW334" s="130"/>
      <c r="BA334" s="130"/>
      <c r="BB334" s="130"/>
      <c r="BC334" s="130"/>
    </row>
    <row r="335" spans="1:55" s="118" customFormat="1" ht="20.100000000000001" customHeight="1">
      <c r="A335" s="167"/>
      <c r="B335" s="167"/>
      <c r="C335" s="167"/>
      <c r="D335" s="167"/>
      <c r="E335" s="167"/>
      <c r="F335" s="167"/>
      <c r="G335" s="167"/>
      <c r="H335" s="167"/>
      <c r="I335" s="167"/>
      <c r="J335" s="167"/>
      <c r="K335" s="167"/>
      <c r="L335" s="167"/>
      <c r="M335" s="167"/>
      <c r="N335" s="167"/>
      <c r="O335" s="167"/>
      <c r="P335" s="167"/>
      <c r="Q335" s="167"/>
      <c r="R335" s="167"/>
      <c r="S335" s="167"/>
      <c r="T335" s="167"/>
      <c r="U335" s="167"/>
      <c r="V335" s="167"/>
      <c r="W335" s="167"/>
      <c r="X335" s="167"/>
      <c r="Y335" s="167"/>
      <c r="Z335" s="167"/>
      <c r="AA335" s="167"/>
      <c r="AB335" s="167"/>
      <c r="AC335" s="167"/>
      <c r="AD335" s="167"/>
      <c r="AE335" s="167"/>
      <c r="AF335" s="167"/>
      <c r="AG335" s="167"/>
      <c r="AH335" s="167"/>
      <c r="AI335" s="167"/>
      <c r="AJ335" s="167"/>
      <c r="AK335" s="167"/>
      <c r="AL335" s="167"/>
      <c r="AM335" s="167"/>
      <c r="AN335" s="168"/>
      <c r="AO335" s="168"/>
      <c r="AP335" s="116"/>
      <c r="AQ335" s="117"/>
      <c r="AR335" s="131"/>
      <c r="AS335" s="131"/>
      <c r="AT335" s="131"/>
      <c r="AU335" s="117"/>
      <c r="AW335" s="130"/>
      <c r="BA335" s="130"/>
      <c r="BB335" s="130"/>
      <c r="BC335" s="130"/>
    </row>
    <row r="336" spans="1:55" s="118" customFormat="1" ht="20.100000000000001" customHeight="1">
      <c r="A336" s="167"/>
      <c r="B336" s="167"/>
      <c r="C336" s="167"/>
      <c r="D336" s="167"/>
      <c r="E336" s="167"/>
      <c r="F336" s="167"/>
      <c r="G336" s="167"/>
      <c r="H336" s="167"/>
      <c r="I336" s="167"/>
      <c r="J336" s="167"/>
      <c r="K336" s="167"/>
      <c r="L336" s="167"/>
      <c r="M336" s="167"/>
      <c r="N336" s="167"/>
      <c r="O336" s="167"/>
      <c r="P336" s="167"/>
      <c r="Q336" s="167"/>
      <c r="R336" s="167"/>
      <c r="S336" s="167"/>
      <c r="T336" s="167"/>
      <c r="U336" s="167"/>
      <c r="V336" s="167"/>
      <c r="W336" s="167"/>
      <c r="X336" s="167"/>
      <c r="Y336" s="167"/>
      <c r="Z336" s="167"/>
      <c r="AA336" s="167"/>
      <c r="AB336" s="167"/>
      <c r="AC336" s="167"/>
      <c r="AD336" s="167"/>
      <c r="AE336" s="167"/>
      <c r="AF336" s="167"/>
      <c r="AG336" s="167"/>
      <c r="AH336" s="167"/>
      <c r="AI336" s="167"/>
      <c r="AJ336" s="167"/>
      <c r="AK336" s="167"/>
      <c r="AL336" s="167"/>
      <c r="AM336" s="167"/>
      <c r="AN336" s="168"/>
      <c r="AO336" s="168"/>
      <c r="AP336" s="116"/>
      <c r="AQ336" s="117"/>
      <c r="AR336" s="131"/>
      <c r="AS336" s="131"/>
      <c r="AT336" s="131"/>
      <c r="AU336" s="117"/>
      <c r="AW336" s="130"/>
      <c r="BA336" s="130"/>
      <c r="BB336" s="130"/>
      <c r="BC336" s="130"/>
    </row>
    <row r="337" spans="1:55" s="118" customFormat="1" ht="20.100000000000001" customHeight="1">
      <c r="A337" s="167"/>
      <c r="B337" s="167"/>
      <c r="C337" s="167"/>
      <c r="D337" s="167"/>
      <c r="E337" s="167"/>
      <c r="F337" s="167"/>
      <c r="G337" s="167"/>
      <c r="H337" s="167"/>
      <c r="I337" s="167"/>
      <c r="J337" s="167"/>
      <c r="K337" s="167"/>
      <c r="L337" s="167"/>
      <c r="M337" s="167"/>
      <c r="N337" s="167"/>
      <c r="O337" s="167"/>
      <c r="P337" s="167"/>
      <c r="Q337" s="167"/>
      <c r="R337" s="167"/>
      <c r="S337" s="167"/>
      <c r="T337" s="167"/>
      <c r="U337" s="167"/>
      <c r="V337" s="167"/>
      <c r="W337" s="167"/>
      <c r="X337" s="167"/>
      <c r="Y337" s="167"/>
      <c r="Z337" s="167"/>
      <c r="AA337" s="167"/>
      <c r="AB337" s="167"/>
      <c r="AC337" s="167"/>
      <c r="AD337" s="167"/>
      <c r="AE337" s="167"/>
      <c r="AF337" s="167"/>
      <c r="AG337" s="167"/>
      <c r="AH337" s="167"/>
      <c r="AI337" s="167"/>
      <c r="AJ337" s="167"/>
      <c r="AK337" s="167"/>
      <c r="AL337" s="167"/>
      <c r="AM337" s="167"/>
      <c r="AN337" s="168"/>
      <c r="AO337" s="168"/>
      <c r="AP337" s="116"/>
      <c r="AQ337" s="117"/>
      <c r="AR337" s="131"/>
      <c r="AS337" s="131"/>
      <c r="AT337" s="131"/>
      <c r="AU337" s="117"/>
      <c r="AW337" s="130"/>
      <c r="BA337" s="130"/>
      <c r="BB337" s="130"/>
      <c r="BC337" s="130"/>
    </row>
    <row r="338" spans="1:55" s="118" customFormat="1" ht="20.100000000000001" customHeight="1">
      <c r="A338" s="167"/>
      <c r="B338" s="167"/>
      <c r="C338" s="167"/>
      <c r="D338" s="167"/>
      <c r="E338" s="167"/>
      <c r="F338" s="167"/>
      <c r="G338" s="167"/>
      <c r="H338" s="167"/>
      <c r="I338" s="167"/>
      <c r="J338" s="167"/>
      <c r="K338" s="167"/>
      <c r="L338" s="167"/>
      <c r="M338" s="167"/>
      <c r="N338" s="167"/>
      <c r="O338" s="167"/>
      <c r="P338" s="167"/>
      <c r="Q338" s="167"/>
      <c r="R338" s="167"/>
      <c r="S338" s="167"/>
      <c r="T338" s="167"/>
      <c r="U338" s="167"/>
      <c r="V338" s="167"/>
      <c r="W338" s="167"/>
      <c r="X338" s="167"/>
      <c r="Y338" s="167"/>
      <c r="Z338" s="167"/>
      <c r="AA338" s="167"/>
      <c r="AB338" s="167"/>
      <c r="AC338" s="167"/>
      <c r="AD338" s="167"/>
      <c r="AE338" s="167"/>
      <c r="AF338" s="167"/>
      <c r="AG338" s="167"/>
      <c r="AH338" s="167"/>
      <c r="AI338" s="167"/>
      <c r="AJ338" s="167"/>
      <c r="AK338" s="167"/>
      <c r="AL338" s="167"/>
      <c r="AM338" s="167"/>
      <c r="AN338" s="168"/>
      <c r="AO338" s="168"/>
      <c r="AP338" s="116"/>
      <c r="AQ338" s="117"/>
      <c r="AR338" s="131"/>
      <c r="AS338" s="131"/>
      <c r="AT338" s="131"/>
      <c r="AU338" s="117"/>
      <c r="AW338" s="130"/>
      <c r="BA338" s="130"/>
      <c r="BB338" s="130"/>
      <c r="BC338" s="130"/>
    </row>
    <row r="339" spans="1:55" s="118" customFormat="1" ht="20.100000000000001" customHeight="1">
      <c r="A339" s="167"/>
      <c r="B339" s="167"/>
      <c r="C339" s="167"/>
      <c r="D339" s="167"/>
      <c r="E339" s="167"/>
      <c r="F339" s="167"/>
      <c r="G339" s="167"/>
      <c r="H339" s="167"/>
      <c r="I339" s="167"/>
      <c r="J339" s="167"/>
      <c r="K339" s="167"/>
      <c r="L339" s="167"/>
      <c r="M339" s="167"/>
      <c r="N339" s="167"/>
      <c r="O339" s="167"/>
      <c r="P339" s="167"/>
      <c r="Q339" s="167"/>
      <c r="R339" s="167"/>
      <c r="S339" s="167"/>
      <c r="T339" s="167"/>
      <c r="U339" s="167"/>
      <c r="V339" s="167"/>
      <c r="W339" s="167"/>
      <c r="X339" s="167"/>
      <c r="Y339" s="167"/>
      <c r="Z339" s="167"/>
      <c r="AA339" s="167"/>
      <c r="AB339" s="167"/>
      <c r="AC339" s="167"/>
      <c r="AD339" s="167"/>
      <c r="AE339" s="167"/>
      <c r="AF339" s="167"/>
      <c r="AG339" s="167"/>
      <c r="AH339" s="167"/>
      <c r="AI339" s="167"/>
      <c r="AJ339" s="167"/>
      <c r="AK339" s="167"/>
      <c r="AL339" s="167"/>
      <c r="AM339" s="167"/>
      <c r="AN339" s="168"/>
      <c r="AO339" s="168"/>
      <c r="AP339" s="116"/>
      <c r="AQ339" s="117"/>
      <c r="AR339" s="131"/>
      <c r="AS339" s="131"/>
      <c r="AT339" s="131"/>
      <c r="AU339" s="117"/>
      <c r="AW339" s="130"/>
      <c r="BA339" s="130"/>
      <c r="BB339" s="130"/>
      <c r="BC339" s="130"/>
    </row>
    <row r="340" spans="1:55" s="118" customFormat="1" ht="20.100000000000001" customHeight="1">
      <c r="A340" s="167"/>
      <c r="B340" s="167"/>
      <c r="C340" s="167"/>
      <c r="D340" s="167"/>
      <c r="E340" s="167"/>
      <c r="F340" s="167"/>
      <c r="G340" s="167"/>
      <c r="H340" s="167"/>
      <c r="I340" s="167"/>
      <c r="J340" s="167"/>
      <c r="K340" s="167"/>
      <c r="L340" s="167"/>
      <c r="M340" s="167"/>
      <c r="N340" s="167"/>
      <c r="O340" s="167"/>
      <c r="P340" s="167"/>
      <c r="Q340" s="167"/>
      <c r="R340" s="167"/>
      <c r="S340" s="167"/>
      <c r="T340" s="167"/>
      <c r="U340" s="167"/>
      <c r="V340" s="167"/>
      <c r="W340" s="167"/>
      <c r="X340" s="167"/>
      <c r="Y340" s="167"/>
      <c r="Z340" s="167"/>
      <c r="AA340" s="167"/>
      <c r="AB340" s="167"/>
      <c r="AC340" s="167"/>
      <c r="AD340" s="167"/>
      <c r="AE340" s="167"/>
      <c r="AF340" s="167"/>
      <c r="AG340" s="167"/>
      <c r="AH340" s="167"/>
      <c r="AI340" s="167"/>
      <c r="AJ340" s="167"/>
      <c r="AK340" s="167"/>
      <c r="AL340" s="167"/>
      <c r="AM340" s="167"/>
      <c r="AN340" s="168"/>
      <c r="AO340" s="168"/>
      <c r="AP340" s="116"/>
      <c r="AQ340" s="117"/>
      <c r="AR340" s="131"/>
      <c r="AS340" s="131"/>
      <c r="AT340" s="131"/>
      <c r="AU340" s="117"/>
      <c r="AW340" s="130"/>
      <c r="BA340" s="130"/>
      <c r="BB340" s="130"/>
      <c r="BC340" s="130"/>
    </row>
    <row r="341" spans="1:55" s="118" customFormat="1" ht="20.100000000000001" customHeight="1">
      <c r="A341" s="167"/>
      <c r="B341" s="167"/>
      <c r="C341" s="167"/>
      <c r="D341" s="167"/>
      <c r="E341" s="167"/>
      <c r="F341" s="167"/>
      <c r="G341" s="167"/>
      <c r="H341" s="167"/>
      <c r="I341" s="167"/>
      <c r="J341" s="167"/>
      <c r="K341" s="167"/>
      <c r="L341" s="167"/>
      <c r="M341" s="167"/>
      <c r="N341" s="167"/>
      <c r="O341" s="167"/>
      <c r="P341" s="167"/>
      <c r="Q341" s="167"/>
      <c r="R341" s="167"/>
      <c r="S341" s="167"/>
      <c r="T341" s="167"/>
      <c r="U341" s="167"/>
      <c r="V341" s="167"/>
      <c r="W341" s="167"/>
      <c r="X341" s="167"/>
      <c r="Y341" s="167"/>
      <c r="Z341" s="167"/>
      <c r="AA341" s="167"/>
      <c r="AB341" s="167"/>
      <c r="AC341" s="167"/>
      <c r="AD341" s="167"/>
      <c r="AE341" s="167"/>
      <c r="AF341" s="167"/>
      <c r="AG341" s="167"/>
      <c r="AH341" s="167"/>
      <c r="AI341" s="167"/>
      <c r="AJ341" s="167"/>
      <c r="AK341" s="167"/>
      <c r="AL341" s="167"/>
      <c r="AM341" s="167"/>
      <c r="AN341" s="168"/>
      <c r="AO341" s="168"/>
      <c r="AP341" s="116"/>
      <c r="AQ341" s="117"/>
      <c r="AR341" s="131"/>
      <c r="AS341" s="131"/>
      <c r="AT341" s="131"/>
      <c r="AU341" s="117"/>
      <c r="AW341" s="130"/>
      <c r="BA341" s="130"/>
      <c r="BB341" s="130"/>
      <c r="BC341" s="130"/>
    </row>
    <row r="342" spans="1:55" s="118" customFormat="1" ht="20.100000000000001" customHeight="1">
      <c r="A342" s="167"/>
      <c r="B342" s="167"/>
      <c r="C342" s="167"/>
      <c r="D342" s="167"/>
      <c r="E342" s="167"/>
      <c r="F342" s="167"/>
      <c r="G342" s="167"/>
      <c r="H342" s="167"/>
      <c r="I342" s="167"/>
      <c r="J342" s="167"/>
      <c r="K342" s="167"/>
      <c r="L342" s="167"/>
      <c r="M342" s="167"/>
      <c r="N342" s="167"/>
      <c r="O342" s="167"/>
      <c r="P342" s="167"/>
      <c r="Q342" s="167"/>
      <c r="R342" s="167"/>
      <c r="S342" s="167"/>
      <c r="T342" s="167"/>
      <c r="U342" s="167"/>
      <c r="V342" s="167"/>
      <c r="W342" s="167"/>
      <c r="X342" s="167"/>
      <c r="Y342" s="167"/>
      <c r="Z342" s="167"/>
      <c r="AA342" s="167"/>
      <c r="AB342" s="167"/>
      <c r="AC342" s="167"/>
      <c r="AD342" s="167"/>
      <c r="AE342" s="167"/>
      <c r="AF342" s="167"/>
      <c r="AG342" s="167"/>
      <c r="AH342" s="167"/>
      <c r="AI342" s="167"/>
      <c r="AJ342" s="167"/>
      <c r="AK342" s="167"/>
      <c r="AL342" s="167"/>
      <c r="AM342" s="167"/>
      <c r="AN342" s="168"/>
      <c r="AO342" s="168"/>
      <c r="AP342" s="116"/>
      <c r="AQ342" s="117"/>
      <c r="AR342" s="131"/>
      <c r="AS342" s="131"/>
      <c r="AT342" s="131"/>
      <c r="AU342" s="117"/>
      <c r="AW342" s="130"/>
      <c r="BA342" s="130"/>
      <c r="BB342" s="130"/>
      <c r="BC342" s="130"/>
    </row>
    <row r="343" spans="1:55" s="118" customFormat="1" ht="20.100000000000001" customHeight="1">
      <c r="A343" s="167"/>
      <c r="B343" s="167"/>
      <c r="C343" s="167"/>
      <c r="D343" s="167"/>
      <c r="E343" s="167"/>
      <c r="F343" s="167"/>
      <c r="G343" s="167"/>
      <c r="H343" s="167"/>
      <c r="I343" s="167"/>
      <c r="J343" s="167"/>
      <c r="K343" s="167"/>
      <c r="L343" s="167"/>
      <c r="M343" s="167"/>
      <c r="N343" s="167"/>
      <c r="O343" s="167"/>
      <c r="P343" s="167"/>
      <c r="Q343" s="167"/>
      <c r="R343" s="167"/>
      <c r="S343" s="167"/>
      <c r="T343" s="167"/>
      <c r="U343" s="167"/>
      <c r="V343" s="167"/>
      <c r="W343" s="167"/>
      <c r="X343" s="167"/>
      <c r="Y343" s="167"/>
      <c r="Z343" s="167"/>
      <c r="AA343" s="167"/>
      <c r="AB343" s="167"/>
      <c r="AC343" s="167"/>
      <c r="AD343" s="167"/>
      <c r="AE343" s="167"/>
      <c r="AF343" s="167"/>
      <c r="AG343" s="167"/>
      <c r="AH343" s="167"/>
      <c r="AI343" s="167"/>
      <c r="AJ343" s="167"/>
      <c r="AK343" s="167"/>
      <c r="AL343" s="167"/>
      <c r="AM343" s="167"/>
      <c r="AN343" s="168"/>
      <c r="AO343" s="168"/>
      <c r="AP343" s="116"/>
      <c r="AQ343" s="117"/>
      <c r="AR343" s="131"/>
      <c r="AS343" s="131"/>
      <c r="AT343" s="131"/>
      <c r="AU343" s="117"/>
      <c r="AW343" s="130"/>
      <c r="BA343" s="130"/>
      <c r="BB343" s="130"/>
      <c r="BC343" s="130"/>
    </row>
    <row r="344" spans="1:55" s="118" customFormat="1" ht="20.100000000000001" customHeight="1">
      <c r="A344" s="167"/>
      <c r="B344" s="167"/>
      <c r="C344" s="167"/>
      <c r="D344" s="167"/>
      <c r="E344" s="167"/>
      <c r="F344" s="167"/>
      <c r="G344" s="167"/>
      <c r="H344" s="167"/>
      <c r="I344" s="167"/>
      <c r="J344" s="167"/>
      <c r="K344" s="167"/>
      <c r="L344" s="167"/>
      <c r="M344" s="167"/>
      <c r="N344" s="167"/>
      <c r="O344" s="167"/>
      <c r="P344" s="167"/>
      <c r="Q344" s="167"/>
      <c r="R344" s="167"/>
      <c r="S344" s="167"/>
      <c r="T344" s="167"/>
      <c r="U344" s="167"/>
      <c r="V344" s="167"/>
      <c r="W344" s="167"/>
      <c r="X344" s="167"/>
      <c r="Y344" s="167"/>
      <c r="Z344" s="167"/>
      <c r="AA344" s="167"/>
      <c r="AB344" s="167"/>
      <c r="AC344" s="167"/>
      <c r="AD344" s="167"/>
      <c r="AE344" s="167"/>
      <c r="AF344" s="167"/>
      <c r="AG344" s="167"/>
      <c r="AH344" s="167"/>
      <c r="AI344" s="167"/>
      <c r="AJ344" s="167"/>
      <c r="AK344" s="167"/>
      <c r="AL344" s="167"/>
      <c r="AM344" s="167"/>
      <c r="AN344" s="168"/>
      <c r="AO344" s="168"/>
      <c r="AP344" s="116"/>
      <c r="AQ344" s="117"/>
      <c r="AR344" s="131"/>
      <c r="AS344" s="131"/>
      <c r="AT344" s="131"/>
      <c r="AU344" s="117"/>
      <c r="AW344" s="130"/>
      <c r="BA344" s="130"/>
      <c r="BB344" s="130"/>
      <c r="BC344" s="130"/>
    </row>
    <row r="345" spans="1:55" s="118" customFormat="1" ht="20.100000000000001" customHeight="1">
      <c r="A345" s="167"/>
      <c r="B345" s="167"/>
      <c r="C345" s="167"/>
      <c r="D345" s="167"/>
      <c r="E345" s="167"/>
      <c r="F345" s="167"/>
      <c r="G345" s="167"/>
      <c r="H345" s="167"/>
      <c r="I345" s="167"/>
      <c r="J345" s="167"/>
      <c r="K345" s="167"/>
      <c r="L345" s="167"/>
      <c r="M345" s="167"/>
      <c r="N345" s="167"/>
      <c r="O345" s="167"/>
      <c r="P345" s="167"/>
      <c r="Q345" s="167"/>
      <c r="R345" s="167"/>
      <c r="S345" s="167"/>
      <c r="T345" s="167"/>
      <c r="U345" s="167"/>
      <c r="V345" s="167"/>
      <c r="W345" s="167"/>
      <c r="X345" s="167"/>
      <c r="Y345" s="167"/>
      <c r="Z345" s="167"/>
      <c r="AA345" s="167"/>
      <c r="AB345" s="167"/>
      <c r="AC345" s="167"/>
      <c r="AD345" s="167"/>
      <c r="AE345" s="167"/>
      <c r="AF345" s="167"/>
      <c r="AG345" s="167"/>
      <c r="AH345" s="167"/>
      <c r="AI345" s="167"/>
      <c r="AJ345" s="167"/>
      <c r="AK345" s="167"/>
      <c r="AL345" s="167"/>
      <c r="AM345" s="167"/>
      <c r="AN345" s="168"/>
      <c r="AO345" s="168"/>
      <c r="AP345" s="116"/>
      <c r="AQ345" s="117"/>
      <c r="AR345" s="131"/>
      <c r="AS345" s="131"/>
      <c r="AT345" s="131"/>
      <c r="AU345" s="117"/>
      <c r="AW345" s="130"/>
      <c r="BA345" s="130"/>
      <c r="BB345" s="130"/>
      <c r="BC345" s="130"/>
    </row>
    <row r="346" spans="1:55" s="118" customFormat="1" ht="20.100000000000001" customHeight="1">
      <c r="A346" s="167"/>
      <c r="B346" s="167"/>
      <c r="C346" s="167"/>
      <c r="D346" s="167"/>
      <c r="E346" s="167"/>
      <c r="F346" s="167"/>
      <c r="G346" s="167"/>
      <c r="H346" s="167"/>
      <c r="I346" s="167"/>
      <c r="J346" s="167"/>
      <c r="K346" s="167"/>
      <c r="L346" s="167"/>
      <c r="M346" s="167"/>
      <c r="N346" s="167"/>
      <c r="O346" s="167"/>
      <c r="P346" s="167"/>
      <c r="Q346" s="167"/>
      <c r="R346" s="167"/>
      <c r="S346" s="167"/>
      <c r="T346" s="167"/>
      <c r="U346" s="167"/>
      <c r="V346" s="167"/>
      <c r="W346" s="167"/>
      <c r="X346" s="167"/>
      <c r="Y346" s="167"/>
      <c r="Z346" s="167"/>
      <c r="AA346" s="167"/>
      <c r="AB346" s="167"/>
      <c r="AC346" s="167"/>
      <c r="AD346" s="167"/>
      <c r="AE346" s="167"/>
      <c r="AF346" s="167"/>
      <c r="AG346" s="167"/>
      <c r="AH346" s="167"/>
      <c r="AI346" s="167"/>
      <c r="AJ346" s="167"/>
      <c r="AK346" s="167"/>
      <c r="AL346" s="167"/>
      <c r="AM346" s="167"/>
      <c r="AN346" s="168"/>
      <c r="AO346" s="168"/>
      <c r="AP346" s="116"/>
      <c r="AQ346" s="117"/>
      <c r="AR346" s="131"/>
      <c r="AS346" s="131"/>
      <c r="AT346" s="131"/>
      <c r="AU346" s="117"/>
      <c r="AW346" s="130"/>
      <c r="BA346" s="130"/>
      <c r="BB346" s="130"/>
      <c r="BC346" s="130"/>
    </row>
    <row r="347" spans="1:55" s="118" customFormat="1" ht="20.100000000000001" customHeight="1">
      <c r="A347" s="167"/>
      <c r="B347" s="167"/>
      <c r="C347" s="167"/>
      <c r="D347" s="167"/>
      <c r="E347" s="167"/>
      <c r="F347" s="167"/>
      <c r="G347" s="167"/>
      <c r="H347" s="167"/>
      <c r="I347" s="167"/>
      <c r="J347" s="167"/>
      <c r="K347" s="167"/>
      <c r="L347" s="167"/>
      <c r="M347" s="167"/>
      <c r="N347" s="167"/>
      <c r="O347" s="167"/>
      <c r="P347" s="167"/>
      <c r="Q347" s="167"/>
      <c r="R347" s="167"/>
      <c r="S347" s="167"/>
      <c r="T347" s="167"/>
      <c r="U347" s="167"/>
      <c r="V347" s="167"/>
      <c r="W347" s="167"/>
      <c r="X347" s="167"/>
      <c r="Y347" s="167"/>
      <c r="Z347" s="167"/>
      <c r="AA347" s="167"/>
      <c r="AB347" s="167"/>
      <c r="AC347" s="167"/>
      <c r="AD347" s="167"/>
      <c r="AE347" s="167"/>
      <c r="AF347" s="167"/>
      <c r="AG347" s="167"/>
      <c r="AH347" s="167"/>
      <c r="AI347" s="167"/>
      <c r="AJ347" s="167"/>
      <c r="AK347" s="167"/>
      <c r="AL347" s="167"/>
      <c r="AM347" s="167"/>
      <c r="AN347" s="168"/>
      <c r="AO347" s="168"/>
      <c r="AP347" s="116"/>
      <c r="AQ347" s="117"/>
      <c r="AR347" s="131"/>
      <c r="AS347" s="131"/>
      <c r="AT347" s="131"/>
      <c r="AU347" s="117"/>
      <c r="AW347" s="130"/>
      <c r="BA347" s="130"/>
      <c r="BB347" s="130"/>
      <c r="BC347" s="130"/>
    </row>
    <row r="348" spans="1:55" s="118" customFormat="1" ht="20.100000000000001" customHeight="1">
      <c r="A348" s="167"/>
      <c r="B348" s="167"/>
      <c r="C348" s="167"/>
      <c r="D348" s="167"/>
      <c r="E348" s="167"/>
      <c r="F348" s="167"/>
      <c r="G348" s="167"/>
      <c r="H348" s="167"/>
      <c r="I348" s="167"/>
      <c r="J348" s="167"/>
      <c r="K348" s="167"/>
      <c r="L348" s="167"/>
      <c r="M348" s="167"/>
      <c r="N348" s="167"/>
      <c r="O348" s="167"/>
      <c r="P348" s="167"/>
      <c r="Q348" s="167"/>
      <c r="R348" s="167"/>
      <c r="S348" s="167"/>
      <c r="T348" s="167"/>
      <c r="U348" s="167"/>
      <c r="V348" s="167"/>
      <c r="W348" s="167"/>
      <c r="X348" s="167"/>
      <c r="Y348" s="167"/>
      <c r="Z348" s="167"/>
      <c r="AA348" s="167"/>
      <c r="AB348" s="167"/>
      <c r="AC348" s="167"/>
      <c r="AD348" s="167"/>
      <c r="AE348" s="167"/>
      <c r="AF348" s="167"/>
      <c r="AG348" s="167"/>
      <c r="AH348" s="167"/>
      <c r="AI348" s="167"/>
      <c r="AJ348" s="167"/>
      <c r="AK348" s="167"/>
      <c r="AL348" s="167"/>
      <c r="AM348" s="167"/>
      <c r="AN348" s="168"/>
      <c r="AO348" s="168"/>
      <c r="AP348" s="116"/>
      <c r="AQ348" s="117"/>
      <c r="AR348" s="131"/>
      <c r="AS348" s="131"/>
      <c r="AT348" s="131"/>
      <c r="AU348" s="117"/>
      <c r="AW348" s="130"/>
      <c r="BA348" s="130"/>
      <c r="BB348" s="130"/>
      <c r="BC348" s="130"/>
    </row>
    <row r="349" spans="1:55" s="118" customFormat="1" ht="20.100000000000001" customHeight="1">
      <c r="A349" s="167"/>
      <c r="B349" s="167"/>
      <c r="C349" s="167"/>
      <c r="D349" s="167"/>
      <c r="E349" s="167"/>
      <c r="F349" s="167"/>
      <c r="G349" s="167"/>
      <c r="H349" s="167"/>
      <c r="I349" s="167"/>
      <c r="J349" s="167"/>
      <c r="K349" s="167"/>
      <c r="L349" s="167"/>
      <c r="M349" s="167"/>
      <c r="N349" s="167"/>
      <c r="O349" s="167"/>
      <c r="P349" s="167"/>
      <c r="Q349" s="167"/>
      <c r="R349" s="167"/>
      <c r="S349" s="167"/>
      <c r="T349" s="167"/>
      <c r="U349" s="167"/>
      <c r="V349" s="167"/>
      <c r="W349" s="167"/>
      <c r="X349" s="167"/>
      <c r="Y349" s="167"/>
      <c r="Z349" s="167"/>
      <c r="AA349" s="167"/>
      <c r="AB349" s="167"/>
      <c r="AC349" s="167"/>
      <c r="AD349" s="167"/>
      <c r="AE349" s="167"/>
      <c r="AF349" s="167"/>
      <c r="AG349" s="167"/>
      <c r="AH349" s="167"/>
      <c r="AI349" s="167"/>
      <c r="AJ349" s="167"/>
      <c r="AK349" s="167"/>
      <c r="AL349" s="167"/>
      <c r="AM349" s="167"/>
      <c r="AN349" s="168"/>
      <c r="AO349" s="168"/>
      <c r="AP349" s="116"/>
      <c r="AQ349" s="117"/>
      <c r="AR349" s="131"/>
      <c r="AS349" s="131"/>
      <c r="AT349" s="131"/>
      <c r="AU349" s="117"/>
      <c r="AW349" s="130"/>
      <c r="BA349" s="130"/>
      <c r="BB349" s="130"/>
      <c r="BC349" s="130"/>
    </row>
    <row r="350" spans="1:55" s="118" customFormat="1" ht="20.100000000000001" customHeight="1">
      <c r="A350" s="167"/>
      <c r="B350" s="167"/>
      <c r="C350" s="167"/>
      <c r="D350" s="167"/>
      <c r="E350" s="167"/>
      <c r="F350" s="167"/>
      <c r="G350" s="167"/>
      <c r="H350" s="167"/>
      <c r="I350" s="167"/>
      <c r="J350" s="167"/>
      <c r="K350" s="167"/>
      <c r="L350" s="167"/>
      <c r="M350" s="167"/>
      <c r="N350" s="167"/>
      <c r="O350" s="167"/>
      <c r="P350" s="167"/>
      <c r="Q350" s="167"/>
      <c r="R350" s="167"/>
      <c r="S350" s="167"/>
      <c r="T350" s="167"/>
      <c r="U350" s="167"/>
      <c r="V350" s="167"/>
      <c r="W350" s="167"/>
      <c r="X350" s="167"/>
      <c r="Y350" s="167"/>
      <c r="Z350" s="167"/>
      <c r="AA350" s="167"/>
      <c r="AB350" s="167"/>
      <c r="AC350" s="167"/>
      <c r="AD350" s="167"/>
      <c r="AE350" s="167"/>
      <c r="AF350" s="167"/>
      <c r="AG350" s="167"/>
      <c r="AH350" s="167"/>
      <c r="AI350" s="167"/>
      <c r="AJ350" s="167"/>
      <c r="AK350" s="167"/>
      <c r="AL350" s="167"/>
      <c r="AM350" s="167"/>
      <c r="AN350" s="168"/>
      <c r="AO350" s="168"/>
      <c r="AP350" s="116"/>
      <c r="AQ350" s="117"/>
      <c r="AR350" s="131"/>
      <c r="AS350" s="131"/>
      <c r="AT350" s="131"/>
      <c r="AU350" s="117"/>
      <c r="AW350" s="130"/>
      <c r="BA350" s="130"/>
      <c r="BB350" s="130"/>
      <c r="BC350" s="130"/>
    </row>
    <row r="351" spans="1:55" s="118" customFormat="1" ht="20.100000000000001" customHeight="1">
      <c r="A351" s="167"/>
      <c r="B351" s="167"/>
      <c r="C351" s="167"/>
      <c r="D351" s="167"/>
      <c r="E351" s="167"/>
      <c r="F351" s="167"/>
      <c r="G351" s="167"/>
      <c r="H351" s="167"/>
      <c r="I351" s="167"/>
      <c r="J351" s="167"/>
      <c r="K351" s="167"/>
      <c r="L351" s="167"/>
      <c r="M351" s="167"/>
      <c r="N351" s="167"/>
      <c r="O351" s="167"/>
      <c r="P351" s="167"/>
      <c r="Q351" s="167"/>
      <c r="R351" s="167"/>
      <c r="S351" s="167"/>
      <c r="T351" s="167"/>
      <c r="U351" s="167"/>
      <c r="V351" s="167"/>
      <c r="W351" s="167"/>
      <c r="X351" s="167"/>
      <c r="Y351" s="167"/>
      <c r="Z351" s="167"/>
      <c r="AA351" s="167"/>
      <c r="AB351" s="167"/>
      <c r="AC351" s="167"/>
      <c r="AD351" s="167"/>
      <c r="AE351" s="167"/>
      <c r="AF351" s="167"/>
      <c r="AG351" s="167"/>
      <c r="AH351" s="167"/>
      <c r="AI351" s="167"/>
      <c r="AJ351" s="167"/>
      <c r="AK351" s="167"/>
      <c r="AL351" s="167"/>
      <c r="AM351" s="167"/>
      <c r="AN351" s="168"/>
      <c r="AO351" s="168"/>
      <c r="AP351" s="116"/>
      <c r="AQ351" s="117"/>
      <c r="AR351" s="131"/>
      <c r="AS351" s="131"/>
      <c r="AT351" s="131"/>
      <c r="AU351" s="117"/>
      <c r="AW351" s="130"/>
      <c r="BA351" s="130"/>
      <c r="BB351" s="130"/>
      <c r="BC351" s="130"/>
    </row>
    <row r="352" spans="1:55" s="118" customFormat="1" ht="20.100000000000001" customHeight="1">
      <c r="A352" s="167"/>
      <c r="B352" s="167"/>
      <c r="C352" s="167"/>
      <c r="D352" s="167"/>
      <c r="E352" s="167"/>
      <c r="F352" s="167"/>
      <c r="G352" s="167"/>
      <c r="H352" s="167"/>
      <c r="I352" s="167"/>
      <c r="J352" s="167"/>
      <c r="K352" s="167"/>
      <c r="L352" s="167"/>
      <c r="M352" s="167"/>
      <c r="N352" s="167"/>
      <c r="O352" s="167"/>
      <c r="P352" s="167"/>
      <c r="Q352" s="167"/>
      <c r="R352" s="167"/>
      <c r="S352" s="167"/>
      <c r="T352" s="167"/>
      <c r="U352" s="167"/>
      <c r="V352" s="167"/>
      <c r="W352" s="167"/>
      <c r="X352" s="167"/>
      <c r="Y352" s="167"/>
      <c r="Z352" s="167"/>
      <c r="AA352" s="167"/>
      <c r="AB352" s="167"/>
      <c r="AC352" s="167"/>
      <c r="AD352" s="167"/>
      <c r="AE352" s="167"/>
      <c r="AF352" s="167"/>
      <c r="AG352" s="167"/>
      <c r="AH352" s="167"/>
      <c r="AI352" s="167"/>
      <c r="AJ352" s="167"/>
      <c r="AK352" s="167"/>
      <c r="AL352" s="167"/>
      <c r="AM352" s="167"/>
      <c r="AN352" s="168"/>
      <c r="AO352" s="168"/>
      <c r="AP352" s="116"/>
      <c r="AQ352" s="117"/>
      <c r="AR352" s="131"/>
      <c r="AS352" s="131"/>
      <c r="AT352" s="131"/>
      <c r="AU352" s="117"/>
      <c r="AW352" s="130"/>
      <c r="BA352" s="130"/>
      <c r="BB352" s="130"/>
      <c r="BC352" s="130"/>
    </row>
    <row r="353" spans="1:55" s="118" customFormat="1" ht="20.100000000000001" customHeight="1">
      <c r="A353" s="167"/>
      <c r="B353" s="167"/>
      <c r="C353" s="167"/>
      <c r="D353" s="167"/>
      <c r="E353" s="167"/>
      <c r="F353" s="167"/>
      <c r="G353" s="167"/>
      <c r="H353" s="167"/>
      <c r="I353" s="167"/>
      <c r="J353" s="167"/>
      <c r="K353" s="167"/>
      <c r="L353" s="167"/>
      <c r="M353" s="167"/>
      <c r="N353" s="167"/>
      <c r="O353" s="167"/>
      <c r="P353" s="167"/>
      <c r="Q353" s="167"/>
      <c r="R353" s="167"/>
      <c r="S353" s="167"/>
      <c r="T353" s="167"/>
      <c r="U353" s="167"/>
      <c r="V353" s="167"/>
      <c r="W353" s="167"/>
      <c r="X353" s="167"/>
      <c r="Y353" s="167"/>
      <c r="Z353" s="167"/>
      <c r="AA353" s="167"/>
      <c r="AB353" s="167"/>
      <c r="AC353" s="167"/>
      <c r="AD353" s="167"/>
      <c r="AE353" s="167"/>
      <c r="AF353" s="167"/>
      <c r="AG353" s="167"/>
      <c r="AH353" s="167"/>
      <c r="AI353" s="167"/>
      <c r="AJ353" s="167"/>
      <c r="AK353" s="167"/>
      <c r="AL353" s="167"/>
      <c r="AM353" s="167"/>
      <c r="AN353" s="168"/>
      <c r="AO353" s="168"/>
      <c r="AP353" s="116"/>
      <c r="AQ353" s="117"/>
      <c r="AR353" s="131"/>
      <c r="AS353" s="131"/>
      <c r="AT353" s="131"/>
      <c r="AU353" s="117"/>
      <c r="AW353" s="130"/>
      <c r="BA353" s="130"/>
      <c r="BB353" s="130"/>
      <c r="BC353" s="130"/>
    </row>
    <row r="354" spans="1:55" s="118" customFormat="1" ht="20.100000000000001" customHeight="1">
      <c r="A354" s="167"/>
      <c r="B354" s="167"/>
      <c r="C354" s="167"/>
      <c r="D354" s="167"/>
      <c r="E354" s="167"/>
      <c r="F354" s="167"/>
      <c r="G354" s="167"/>
      <c r="H354" s="167"/>
      <c r="I354" s="167"/>
      <c r="J354" s="167"/>
      <c r="K354" s="167"/>
      <c r="L354" s="167"/>
      <c r="M354" s="167"/>
      <c r="N354" s="167"/>
      <c r="O354" s="167"/>
      <c r="P354" s="167"/>
      <c r="Q354" s="167"/>
      <c r="R354" s="167"/>
      <c r="S354" s="167"/>
      <c r="T354" s="167"/>
      <c r="U354" s="167"/>
      <c r="V354" s="167"/>
      <c r="W354" s="167"/>
      <c r="X354" s="167"/>
      <c r="Y354" s="167"/>
      <c r="Z354" s="167"/>
      <c r="AA354" s="167"/>
      <c r="AB354" s="167"/>
      <c r="AC354" s="167"/>
      <c r="AD354" s="167"/>
      <c r="AE354" s="167"/>
      <c r="AF354" s="167"/>
      <c r="AG354" s="167"/>
      <c r="AH354" s="167"/>
      <c r="AI354" s="167"/>
      <c r="AJ354" s="167"/>
      <c r="AK354" s="167"/>
      <c r="AL354" s="167"/>
      <c r="AM354" s="167"/>
      <c r="AN354" s="168"/>
      <c r="AO354" s="168"/>
      <c r="AP354" s="116"/>
      <c r="AQ354" s="117"/>
      <c r="AR354" s="131"/>
      <c r="AS354" s="131"/>
      <c r="AT354" s="131"/>
      <c r="AU354" s="117"/>
      <c r="AW354" s="130"/>
      <c r="BA354" s="130"/>
      <c r="BB354" s="130"/>
      <c r="BC354" s="130"/>
    </row>
    <row r="355" spans="1:55" s="118" customFormat="1" ht="20.100000000000001" customHeight="1">
      <c r="A355" s="167"/>
      <c r="B355" s="167"/>
      <c r="C355" s="167"/>
      <c r="D355" s="167"/>
      <c r="E355" s="167"/>
      <c r="F355" s="167"/>
      <c r="G355" s="167"/>
      <c r="H355" s="167"/>
      <c r="I355" s="167"/>
      <c r="J355" s="167"/>
      <c r="K355" s="167"/>
      <c r="L355" s="167"/>
      <c r="M355" s="167"/>
      <c r="N355" s="167"/>
      <c r="O355" s="167"/>
      <c r="P355" s="167"/>
      <c r="Q355" s="167"/>
      <c r="R355" s="167"/>
      <c r="S355" s="167"/>
      <c r="T355" s="167"/>
      <c r="U355" s="167"/>
      <c r="V355" s="167"/>
      <c r="W355" s="167"/>
      <c r="X355" s="167"/>
      <c r="Y355" s="167"/>
      <c r="Z355" s="167"/>
      <c r="AA355" s="167"/>
      <c r="AB355" s="167"/>
      <c r="AC355" s="167"/>
      <c r="AD355" s="167"/>
      <c r="AE355" s="167"/>
      <c r="AF355" s="167"/>
      <c r="AG355" s="167"/>
      <c r="AH355" s="167"/>
      <c r="AI355" s="167"/>
      <c r="AJ355" s="167"/>
      <c r="AK355" s="167"/>
      <c r="AL355" s="167"/>
      <c r="AM355" s="167"/>
      <c r="AN355" s="168"/>
      <c r="AO355" s="168"/>
      <c r="AP355" s="116"/>
      <c r="AQ355" s="117"/>
      <c r="AR355" s="131"/>
      <c r="AS355" s="131"/>
      <c r="AT355" s="131"/>
      <c r="AU355" s="117"/>
      <c r="AW355" s="130"/>
      <c r="BA355" s="130"/>
      <c r="BB355" s="130"/>
      <c r="BC355" s="130"/>
    </row>
    <row r="356" spans="1:55" s="118" customFormat="1" ht="20.100000000000001" customHeight="1">
      <c r="A356" s="167"/>
      <c r="B356" s="167"/>
      <c r="C356" s="167"/>
      <c r="D356" s="167"/>
      <c r="E356" s="167"/>
      <c r="F356" s="167"/>
      <c r="G356" s="167"/>
      <c r="H356" s="167"/>
      <c r="I356" s="167"/>
      <c r="J356" s="167"/>
      <c r="K356" s="167"/>
      <c r="L356" s="167"/>
      <c r="M356" s="167"/>
      <c r="N356" s="167"/>
      <c r="O356" s="167"/>
      <c r="P356" s="167"/>
      <c r="Q356" s="167"/>
      <c r="R356" s="167"/>
      <c r="S356" s="167"/>
      <c r="T356" s="167"/>
      <c r="U356" s="167"/>
      <c r="V356" s="167"/>
      <c r="W356" s="167"/>
      <c r="X356" s="167"/>
      <c r="Y356" s="167"/>
      <c r="Z356" s="167"/>
      <c r="AA356" s="167"/>
      <c r="AB356" s="167"/>
      <c r="AC356" s="167"/>
      <c r="AD356" s="167"/>
      <c r="AE356" s="167"/>
      <c r="AF356" s="167"/>
      <c r="AG356" s="167"/>
      <c r="AH356" s="167"/>
      <c r="AI356" s="167"/>
      <c r="AJ356" s="167"/>
      <c r="AK356" s="167"/>
      <c r="AL356" s="167"/>
      <c r="AM356" s="167"/>
      <c r="AN356" s="168"/>
      <c r="AO356" s="168"/>
      <c r="AP356" s="116"/>
      <c r="AQ356" s="117"/>
      <c r="AR356" s="131"/>
      <c r="AS356" s="131"/>
      <c r="AT356" s="131"/>
      <c r="AU356" s="117"/>
      <c r="AW356" s="130"/>
      <c r="BA356" s="130"/>
      <c r="BB356" s="130"/>
      <c r="BC356" s="130"/>
    </row>
    <row r="357" spans="1:55" s="118" customFormat="1" ht="20.100000000000001" customHeight="1">
      <c r="A357" s="167"/>
      <c r="B357" s="167"/>
      <c r="C357" s="167"/>
      <c r="D357" s="167"/>
      <c r="E357" s="167"/>
      <c r="F357" s="167"/>
      <c r="G357" s="167"/>
      <c r="H357" s="167"/>
      <c r="I357" s="167"/>
      <c r="J357" s="167"/>
      <c r="K357" s="167"/>
      <c r="L357" s="167"/>
      <c r="M357" s="167"/>
      <c r="N357" s="167"/>
      <c r="O357" s="167"/>
      <c r="P357" s="167"/>
      <c r="Q357" s="167"/>
      <c r="R357" s="167"/>
      <c r="S357" s="167"/>
      <c r="T357" s="167"/>
      <c r="U357" s="167"/>
      <c r="V357" s="167"/>
      <c r="W357" s="167"/>
      <c r="X357" s="167"/>
      <c r="Y357" s="167"/>
      <c r="Z357" s="167"/>
      <c r="AA357" s="167"/>
      <c r="AB357" s="167"/>
      <c r="AC357" s="167"/>
      <c r="AD357" s="167"/>
      <c r="AE357" s="167"/>
      <c r="AF357" s="167"/>
      <c r="AG357" s="167"/>
      <c r="AH357" s="167"/>
      <c r="AI357" s="167"/>
      <c r="AJ357" s="167"/>
      <c r="AK357" s="167"/>
      <c r="AL357" s="167"/>
      <c r="AM357" s="167"/>
      <c r="AN357" s="168"/>
      <c r="AO357" s="168"/>
      <c r="AP357" s="116"/>
      <c r="AQ357" s="117"/>
      <c r="AR357" s="131"/>
      <c r="AS357" s="131"/>
      <c r="AT357" s="131"/>
      <c r="AU357" s="117"/>
      <c r="AW357" s="130"/>
      <c r="BA357" s="130"/>
      <c r="BB357" s="130"/>
      <c r="BC357" s="130"/>
    </row>
    <row r="358" spans="1:55" s="118" customFormat="1" ht="20.100000000000001" customHeight="1">
      <c r="A358" s="167"/>
      <c r="B358" s="167"/>
      <c r="C358" s="167"/>
      <c r="D358" s="167"/>
      <c r="E358" s="167"/>
      <c r="F358" s="167"/>
      <c r="G358" s="167"/>
      <c r="H358" s="167"/>
      <c r="I358" s="167"/>
      <c r="J358" s="167"/>
      <c r="K358" s="167"/>
      <c r="L358" s="167"/>
      <c r="M358" s="167"/>
      <c r="N358" s="167"/>
      <c r="O358" s="167"/>
      <c r="P358" s="167"/>
      <c r="Q358" s="167"/>
      <c r="R358" s="167"/>
      <c r="S358" s="167"/>
      <c r="T358" s="167"/>
      <c r="U358" s="167"/>
      <c r="V358" s="167"/>
      <c r="W358" s="167"/>
      <c r="X358" s="167"/>
      <c r="Y358" s="167"/>
      <c r="Z358" s="167"/>
      <c r="AA358" s="167"/>
      <c r="AB358" s="167"/>
      <c r="AC358" s="167"/>
      <c r="AD358" s="167"/>
      <c r="AE358" s="167"/>
      <c r="AF358" s="167"/>
      <c r="AG358" s="167"/>
      <c r="AH358" s="167"/>
      <c r="AI358" s="167"/>
      <c r="AJ358" s="167"/>
      <c r="AK358" s="167"/>
      <c r="AL358" s="167"/>
      <c r="AM358" s="167"/>
      <c r="AN358" s="168"/>
      <c r="AO358" s="168"/>
      <c r="AP358" s="116"/>
      <c r="AQ358" s="117"/>
      <c r="AR358" s="131"/>
      <c r="AS358" s="131"/>
      <c r="AT358" s="131"/>
      <c r="AU358" s="117"/>
      <c r="AW358" s="130"/>
      <c r="BA358" s="130"/>
      <c r="BB358" s="130"/>
      <c r="BC358" s="130"/>
    </row>
    <row r="359" spans="1:55" s="118" customFormat="1" ht="20.100000000000001" customHeight="1">
      <c r="A359" s="167"/>
      <c r="B359" s="167"/>
      <c r="C359" s="167"/>
      <c r="D359" s="167"/>
      <c r="E359" s="167"/>
      <c r="F359" s="167"/>
      <c r="G359" s="167"/>
      <c r="H359" s="167"/>
      <c r="I359" s="167"/>
      <c r="J359" s="167"/>
      <c r="K359" s="167"/>
      <c r="L359" s="167"/>
      <c r="M359" s="167"/>
      <c r="N359" s="167"/>
      <c r="O359" s="167"/>
      <c r="P359" s="167"/>
      <c r="Q359" s="167"/>
      <c r="R359" s="167"/>
      <c r="S359" s="167"/>
      <c r="T359" s="167"/>
      <c r="U359" s="167"/>
      <c r="V359" s="167"/>
      <c r="W359" s="167"/>
      <c r="X359" s="167"/>
      <c r="Y359" s="167"/>
      <c r="Z359" s="167"/>
      <c r="AA359" s="167"/>
      <c r="AB359" s="167"/>
      <c r="AC359" s="167"/>
      <c r="AD359" s="167"/>
      <c r="AE359" s="167"/>
      <c r="AF359" s="167"/>
      <c r="AG359" s="167"/>
      <c r="AH359" s="167"/>
      <c r="AI359" s="167"/>
      <c r="AJ359" s="167"/>
      <c r="AK359" s="167"/>
      <c r="AL359" s="167"/>
      <c r="AM359" s="167"/>
      <c r="AN359" s="168"/>
      <c r="AO359" s="168"/>
      <c r="AP359" s="116"/>
      <c r="AQ359" s="117"/>
      <c r="AR359" s="131"/>
      <c r="AS359" s="131"/>
      <c r="AT359" s="131"/>
      <c r="AU359" s="117"/>
      <c r="AW359" s="130"/>
      <c r="BA359" s="130"/>
      <c r="BB359" s="130"/>
      <c r="BC359" s="130"/>
    </row>
    <row r="360" spans="1:55" s="118" customFormat="1" ht="20.100000000000001" customHeight="1">
      <c r="A360" s="167"/>
      <c r="B360" s="167"/>
      <c r="C360" s="167"/>
      <c r="D360" s="167"/>
      <c r="E360" s="167"/>
      <c r="F360" s="167"/>
      <c r="G360" s="167"/>
      <c r="H360" s="167"/>
      <c r="I360" s="167"/>
      <c r="J360" s="167"/>
      <c r="K360" s="167"/>
      <c r="L360" s="167"/>
      <c r="M360" s="167"/>
      <c r="N360" s="167"/>
      <c r="O360" s="167"/>
      <c r="P360" s="167"/>
      <c r="Q360" s="167"/>
      <c r="R360" s="167"/>
      <c r="S360" s="167"/>
      <c r="T360" s="167"/>
      <c r="U360" s="167"/>
      <c r="V360" s="167"/>
      <c r="W360" s="167"/>
      <c r="X360" s="167"/>
      <c r="Y360" s="167"/>
      <c r="Z360" s="167"/>
      <c r="AA360" s="167"/>
      <c r="AB360" s="167"/>
      <c r="AC360" s="167"/>
      <c r="AD360" s="167"/>
      <c r="AE360" s="167"/>
      <c r="AF360" s="167"/>
      <c r="AG360" s="167"/>
      <c r="AH360" s="167"/>
      <c r="AI360" s="167"/>
      <c r="AJ360" s="167"/>
      <c r="AK360" s="167"/>
      <c r="AL360" s="167"/>
      <c r="AM360" s="167"/>
      <c r="AN360" s="168"/>
      <c r="AO360" s="168"/>
      <c r="AP360" s="116"/>
      <c r="AQ360" s="117"/>
      <c r="AR360" s="131"/>
      <c r="AS360" s="131"/>
      <c r="AT360" s="131"/>
      <c r="AU360" s="117"/>
      <c r="AW360" s="130"/>
      <c r="BA360" s="130"/>
      <c r="BB360" s="130"/>
      <c r="BC360" s="130"/>
    </row>
    <row r="361" spans="1:55" s="118" customFormat="1" ht="20.100000000000001" customHeight="1">
      <c r="A361" s="167"/>
      <c r="B361" s="167"/>
      <c r="C361" s="167"/>
      <c r="D361" s="167"/>
      <c r="E361" s="167"/>
      <c r="F361" s="167"/>
      <c r="G361" s="167"/>
      <c r="H361" s="167"/>
      <c r="I361" s="167"/>
      <c r="J361" s="167"/>
      <c r="K361" s="167"/>
      <c r="L361" s="167"/>
      <c r="M361" s="167"/>
      <c r="N361" s="167"/>
      <c r="O361" s="167"/>
      <c r="P361" s="167"/>
      <c r="Q361" s="167"/>
      <c r="R361" s="167"/>
      <c r="S361" s="167"/>
      <c r="T361" s="167"/>
      <c r="U361" s="167"/>
      <c r="V361" s="167"/>
      <c r="W361" s="167"/>
      <c r="X361" s="167"/>
      <c r="Y361" s="167"/>
      <c r="Z361" s="167"/>
      <c r="AA361" s="167"/>
      <c r="AB361" s="167"/>
      <c r="AC361" s="167"/>
      <c r="AD361" s="167"/>
      <c r="AE361" s="167"/>
      <c r="AF361" s="167"/>
      <c r="AG361" s="167"/>
      <c r="AH361" s="167"/>
      <c r="AI361" s="167"/>
      <c r="AJ361" s="167"/>
      <c r="AK361" s="167"/>
      <c r="AL361" s="167"/>
      <c r="AM361" s="167"/>
      <c r="AN361" s="168"/>
      <c r="AO361" s="168"/>
      <c r="AP361" s="116"/>
      <c r="AQ361" s="117"/>
      <c r="AR361" s="131"/>
      <c r="AS361" s="131"/>
      <c r="AT361" s="131"/>
      <c r="AU361" s="117"/>
      <c r="AW361" s="130"/>
      <c r="BA361" s="130"/>
      <c r="BB361" s="130"/>
      <c r="BC361" s="130"/>
    </row>
    <row r="362" spans="1:55" s="118" customFormat="1" ht="20.100000000000001" customHeight="1">
      <c r="A362" s="167"/>
      <c r="B362" s="167"/>
      <c r="C362" s="167"/>
      <c r="D362" s="167"/>
      <c r="E362" s="167"/>
      <c r="F362" s="167"/>
      <c r="G362" s="167"/>
      <c r="H362" s="167"/>
      <c r="I362" s="167"/>
      <c r="J362" s="167"/>
      <c r="K362" s="167"/>
      <c r="L362" s="167"/>
      <c r="M362" s="167"/>
      <c r="N362" s="167"/>
      <c r="O362" s="167"/>
      <c r="P362" s="167"/>
      <c r="Q362" s="167"/>
      <c r="R362" s="167"/>
      <c r="S362" s="167"/>
      <c r="T362" s="167"/>
      <c r="U362" s="167"/>
      <c r="V362" s="167"/>
      <c r="W362" s="167"/>
      <c r="X362" s="167"/>
      <c r="Y362" s="167"/>
      <c r="Z362" s="167"/>
      <c r="AA362" s="167"/>
      <c r="AB362" s="167"/>
      <c r="AC362" s="167"/>
      <c r="AD362" s="167"/>
      <c r="AE362" s="167"/>
      <c r="AF362" s="167"/>
      <c r="AG362" s="167"/>
      <c r="AH362" s="167"/>
      <c r="AI362" s="167"/>
      <c r="AJ362" s="167"/>
      <c r="AK362" s="167"/>
      <c r="AL362" s="167"/>
      <c r="AM362" s="167"/>
      <c r="AN362" s="168"/>
      <c r="AO362" s="168"/>
      <c r="AP362" s="116"/>
      <c r="AQ362" s="117"/>
      <c r="AR362" s="131"/>
      <c r="AS362" s="131"/>
      <c r="AT362" s="131"/>
      <c r="AU362" s="117"/>
      <c r="AW362" s="130"/>
      <c r="BA362" s="130"/>
      <c r="BB362" s="130"/>
      <c r="BC362" s="130"/>
    </row>
    <row r="363" spans="1:55" s="118" customFormat="1" ht="20.100000000000001" customHeight="1">
      <c r="A363" s="167"/>
      <c r="B363" s="167"/>
      <c r="C363" s="167"/>
      <c r="D363" s="167"/>
      <c r="E363" s="167"/>
      <c r="F363" s="167"/>
      <c r="G363" s="167"/>
      <c r="H363" s="167"/>
      <c r="I363" s="167"/>
      <c r="J363" s="167"/>
      <c r="K363" s="167"/>
      <c r="L363" s="167"/>
      <c r="M363" s="167"/>
      <c r="N363" s="167"/>
      <c r="O363" s="167"/>
      <c r="P363" s="167"/>
      <c r="Q363" s="167"/>
      <c r="R363" s="167"/>
      <c r="S363" s="167"/>
      <c r="T363" s="167"/>
      <c r="U363" s="167"/>
      <c r="V363" s="167"/>
      <c r="W363" s="167"/>
      <c r="X363" s="167"/>
      <c r="Y363" s="167"/>
      <c r="Z363" s="167"/>
      <c r="AA363" s="167"/>
      <c r="AB363" s="167"/>
      <c r="AC363" s="167"/>
      <c r="AD363" s="167"/>
      <c r="AE363" s="167"/>
      <c r="AF363" s="167"/>
      <c r="AG363" s="167"/>
      <c r="AH363" s="167"/>
      <c r="AI363" s="167"/>
      <c r="AJ363" s="167"/>
      <c r="AK363" s="167"/>
      <c r="AL363" s="167"/>
      <c r="AM363" s="167"/>
      <c r="AN363" s="168"/>
      <c r="AO363" s="168"/>
      <c r="AP363" s="116"/>
      <c r="AQ363" s="117"/>
      <c r="AR363" s="131"/>
      <c r="AS363" s="131"/>
      <c r="AT363" s="131"/>
      <c r="AU363" s="117"/>
      <c r="AW363" s="130"/>
      <c r="BA363" s="130"/>
      <c r="BB363" s="130"/>
      <c r="BC363" s="130"/>
    </row>
    <row r="364" spans="1:55" s="118" customFormat="1" ht="20.100000000000001" customHeight="1">
      <c r="A364" s="167"/>
      <c r="B364" s="167"/>
      <c r="C364" s="167"/>
      <c r="D364" s="167"/>
      <c r="E364" s="167"/>
      <c r="F364" s="167"/>
      <c r="G364" s="167"/>
      <c r="H364" s="167"/>
      <c r="I364" s="167"/>
      <c r="J364" s="167"/>
      <c r="K364" s="167"/>
      <c r="L364" s="167"/>
      <c r="M364" s="167"/>
      <c r="N364" s="167"/>
      <c r="O364" s="167"/>
      <c r="P364" s="167"/>
      <c r="Q364" s="167"/>
      <c r="R364" s="167"/>
      <c r="S364" s="167"/>
      <c r="T364" s="167"/>
      <c r="U364" s="167"/>
      <c r="V364" s="167"/>
      <c r="W364" s="167"/>
      <c r="X364" s="167"/>
      <c r="Y364" s="167"/>
      <c r="Z364" s="167"/>
      <c r="AA364" s="167"/>
      <c r="AB364" s="167"/>
      <c r="AC364" s="167"/>
      <c r="AD364" s="167"/>
      <c r="AE364" s="167"/>
      <c r="AF364" s="167"/>
      <c r="AG364" s="167"/>
      <c r="AH364" s="167"/>
      <c r="AI364" s="167"/>
      <c r="AJ364" s="167"/>
      <c r="AK364" s="167"/>
      <c r="AL364" s="167"/>
      <c r="AM364" s="167"/>
      <c r="AN364" s="168"/>
      <c r="AO364" s="168"/>
      <c r="AP364" s="116"/>
      <c r="AQ364" s="117"/>
      <c r="AR364" s="131"/>
      <c r="AS364" s="131"/>
      <c r="AT364" s="131"/>
      <c r="AU364" s="117"/>
      <c r="AW364" s="130"/>
      <c r="BA364" s="130"/>
      <c r="BB364" s="130"/>
      <c r="BC364" s="130"/>
    </row>
    <row r="365" spans="1:55" s="118" customFormat="1" ht="20.100000000000001" customHeight="1">
      <c r="A365" s="167"/>
      <c r="B365" s="167"/>
      <c r="C365" s="167"/>
      <c r="D365" s="167"/>
      <c r="E365" s="167"/>
      <c r="F365" s="167"/>
      <c r="G365" s="167"/>
      <c r="H365" s="167"/>
      <c r="I365" s="167"/>
      <c r="J365" s="167"/>
      <c r="K365" s="167"/>
      <c r="L365" s="167"/>
      <c r="M365" s="167"/>
      <c r="N365" s="167"/>
      <c r="O365" s="167"/>
      <c r="P365" s="167"/>
      <c r="Q365" s="167"/>
      <c r="R365" s="167"/>
      <c r="S365" s="167"/>
      <c r="T365" s="167"/>
      <c r="U365" s="167"/>
      <c r="V365" s="167"/>
      <c r="W365" s="167"/>
      <c r="X365" s="167"/>
      <c r="Y365" s="167"/>
      <c r="Z365" s="167"/>
      <c r="AA365" s="167"/>
      <c r="AB365" s="167"/>
      <c r="AC365" s="167"/>
      <c r="AD365" s="167"/>
      <c r="AE365" s="167"/>
      <c r="AF365" s="167"/>
      <c r="AG365" s="167"/>
      <c r="AH365" s="167"/>
      <c r="AI365" s="167"/>
      <c r="AJ365" s="167"/>
      <c r="AK365" s="167"/>
      <c r="AL365" s="167"/>
      <c r="AM365" s="167"/>
      <c r="AN365" s="168"/>
      <c r="AO365" s="168"/>
      <c r="AP365" s="116"/>
      <c r="AQ365" s="117"/>
      <c r="AR365" s="131"/>
      <c r="AS365" s="131"/>
      <c r="AT365" s="131"/>
      <c r="AU365" s="117"/>
      <c r="AW365" s="130"/>
      <c r="BA365" s="130"/>
      <c r="BB365" s="130"/>
      <c r="BC365" s="130"/>
    </row>
    <row r="366" spans="1:55" s="118" customFormat="1" ht="20.100000000000001" customHeight="1">
      <c r="A366" s="167"/>
      <c r="B366" s="167"/>
      <c r="C366" s="167"/>
      <c r="D366" s="167"/>
      <c r="E366" s="167"/>
      <c r="F366" s="167"/>
      <c r="G366" s="167"/>
      <c r="H366" s="167"/>
      <c r="I366" s="167"/>
      <c r="J366" s="167"/>
      <c r="K366" s="167"/>
      <c r="L366" s="167"/>
      <c r="M366" s="167"/>
      <c r="N366" s="167"/>
      <c r="O366" s="167"/>
      <c r="P366" s="167"/>
      <c r="Q366" s="167"/>
      <c r="R366" s="167"/>
      <c r="S366" s="167"/>
      <c r="T366" s="167"/>
      <c r="U366" s="167"/>
      <c r="V366" s="167"/>
      <c r="W366" s="167"/>
      <c r="X366" s="167"/>
      <c r="Y366" s="167"/>
      <c r="Z366" s="167"/>
      <c r="AA366" s="167"/>
      <c r="AB366" s="167"/>
      <c r="AC366" s="167"/>
      <c r="AD366" s="167"/>
      <c r="AE366" s="167"/>
      <c r="AF366" s="167"/>
      <c r="AG366" s="167"/>
      <c r="AH366" s="167"/>
      <c r="AI366" s="167"/>
      <c r="AJ366" s="167"/>
      <c r="AK366" s="167"/>
      <c r="AL366" s="167"/>
      <c r="AM366" s="167"/>
      <c r="AN366" s="168"/>
      <c r="AO366" s="168"/>
      <c r="AP366" s="116"/>
      <c r="AQ366" s="117"/>
      <c r="AR366" s="131"/>
      <c r="AS366" s="131"/>
      <c r="AT366" s="131"/>
      <c r="AU366" s="117"/>
      <c r="AW366" s="130"/>
      <c r="BA366" s="130"/>
      <c r="BB366" s="130"/>
      <c r="BC366" s="130"/>
    </row>
    <row r="367" spans="1:55" s="118" customFormat="1" ht="20.100000000000001" customHeight="1">
      <c r="A367" s="167"/>
      <c r="B367" s="167"/>
      <c r="C367" s="167"/>
      <c r="D367" s="167"/>
      <c r="E367" s="167"/>
      <c r="F367" s="167"/>
      <c r="G367" s="167"/>
      <c r="H367" s="167"/>
      <c r="I367" s="167"/>
      <c r="J367" s="167"/>
      <c r="K367" s="167"/>
      <c r="L367" s="167"/>
      <c r="M367" s="167"/>
      <c r="N367" s="167"/>
      <c r="O367" s="167"/>
      <c r="P367" s="167"/>
      <c r="Q367" s="167"/>
      <c r="R367" s="167"/>
      <c r="S367" s="167"/>
      <c r="T367" s="167"/>
      <c r="U367" s="167"/>
      <c r="V367" s="167"/>
      <c r="W367" s="167"/>
      <c r="X367" s="167"/>
      <c r="Y367" s="167"/>
      <c r="Z367" s="167"/>
      <c r="AA367" s="167"/>
      <c r="AB367" s="167"/>
      <c r="AC367" s="167"/>
      <c r="AD367" s="167"/>
      <c r="AE367" s="167"/>
      <c r="AF367" s="167"/>
      <c r="AG367" s="167"/>
      <c r="AH367" s="167"/>
      <c r="AI367" s="167"/>
      <c r="AJ367" s="167"/>
      <c r="AK367" s="167"/>
      <c r="AL367" s="167"/>
      <c r="AM367" s="167"/>
      <c r="AN367" s="168"/>
      <c r="AO367" s="168"/>
      <c r="AP367" s="116"/>
      <c r="AQ367" s="117"/>
      <c r="AR367" s="131"/>
      <c r="AS367" s="131"/>
      <c r="AT367" s="131"/>
      <c r="AU367" s="117"/>
      <c r="AW367" s="130"/>
      <c r="BA367" s="130"/>
      <c r="BB367" s="130"/>
      <c r="BC367" s="130"/>
    </row>
    <row r="368" spans="1:55" s="118" customFormat="1" ht="20.100000000000001" customHeight="1">
      <c r="A368" s="167"/>
      <c r="B368" s="167"/>
      <c r="C368" s="167"/>
      <c r="D368" s="167"/>
      <c r="E368" s="167"/>
      <c r="F368" s="167"/>
      <c r="G368" s="167"/>
      <c r="H368" s="167"/>
      <c r="I368" s="167"/>
      <c r="J368" s="167"/>
      <c r="K368" s="167"/>
      <c r="L368" s="167"/>
      <c r="M368" s="167"/>
      <c r="N368" s="167"/>
      <c r="O368" s="167"/>
      <c r="P368" s="167"/>
      <c r="Q368" s="167"/>
      <c r="R368" s="167"/>
      <c r="S368" s="167"/>
      <c r="T368" s="167"/>
      <c r="U368" s="167"/>
      <c r="V368" s="167"/>
      <c r="W368" s="167"/>
      <c r="X368" s="167"/>
      <c r="Y368" s="167"/>
      <c r="Z368" s="167"/>
      <c r="AA368" s="167"/>
      <c r="AB368" s="167"/>
      <c r="AC368" s="167"/>
      <c r="AD368" s="167"/>
      <c r="AE368" s="167"/>
      <c r="AF368" s="167"/>
      <c r="AG368" s="167"/>
      <c r="AH368" s="167"/>
      <c r="AI368" s="167"/>
      <c r="AJ368" s="167"/>
      <c r="AK368" s="167"/>
      <c r="AL368" s="167"/>
      <c r="AM368" s="167"/>
      <c r="AN368" s="168"/>
      <c r="AO368" s="168"/>
      <c r="AP368" s="116"/>
      <c r="AQ368" s="117"/>
      <c r="AR368" s="131"/>
      <c r="AS368" s="131"/>
      <c r="AT368" s="131"/>
      <c r="AU368" s="117"/>
      <c r="AW368" s="130"/>
      <c r="BA368" s="130"/>
      <c r="BB368" s="130"/>
      <c r="BC368" s="130"/>
    </row>
    <row r="369" spans="1:55" s="118" customFormat="1" ht="20.100000000000001" customHeight="1">
      <c r="A369" s="167"/>
      <c r="B369" s="167"/>
      <c r="C369" s="167"/>
      <c r="D369" s="167"/>
      <c r="E369" s="167"/>
      <c r="F369" s="167"/>
      <c r="G369" s="167"/>
      <c r="H369" s="167"/>
      <c r="I369" s="167"/>
      <c r="J369" s="167"/>
      <c r="K369" s="167"/>
      <c r="L369" s="167"/>
      <c r="M369" s="167"/>
      <c r="N369" s="167"/>
      <c r="O369" s="167"/>
      <c r="P369" s="167"/>
      <c r="Q369" s="167"/>
      <c r="R369" s="167"/>
      <c r="S369" s="167"/>
      <c r="T369" s="167"/>
      <c r="U369" s="167"/>
      <c r="V369" s="167"/>
      <c r="W369" s="167"/>
      <c r="X369" s="167"/>
      <c r="Y369" s="167"/>
      <c r="Z369" s="167"/>
      <c r="AA369" s="167"/>
      <c r="AB369" s="167"/>
      <c r="AC369" s="167"/>
      <c r="AD369" s="167"/>
      <c r="AE369" s="167"/>
      <c r="AF369" s="167"/>
      <c r="AG369" s="167"/>
      <c r="AH369" s="167"/>
      <c r="AI369" s="167"/>
      <c r="AJ369" s="167"/>
      <c r="AK369" s="167"/>
      <c r="AL369" s="167"/>
      <c r="AM369" s="167"/>
      <c r="AN369" s="168"/>
      <c r="AO369" s="168"/>
      <c r="AP369" s="116"/>
      <c r="AQ369" s="117"/>
      <c r="AR369" s="131"/>
      <c r="AS369" s="131"/>
      <c r="AT369" s="131"/>
      <c r="AU369" s="117"/>
      <c r="AW369" s="130"/>
      <c r="BA369" s="130"/>
      <c r="BB369" s="130"/>
      <c r="BC369" s="130"/>
    </row>
    <row r="370" spans="1:55" s="118" customFormat="1" ht="20.100000000000001" customHeight="1">
      <c r="A370" s="167"/>
      <c r="B370" s="167"/>
      <c r="C370" s="167"/>
      <c r="D370" s="167"/>
      <c r="E370" s="167"/>
      <c r="F370" s="167"/>
      <c r="G370" s="167"/>
      <c r="H370" s="167"/>
      <c r="I370" s="167"/>
      <c r="J370" s="167"/>
      <c r="K370" s="167"/>
      <c r="L370" s="167"/>
      <c r="M370" s="167"/>
      <c r="N370" s="167"/>
      <c r="O370" s="167"/>
      <c r="P370" s="167"/>
      <c r="Q370" s="167"/>
      <c r="R370" s="167"/>
      <c r="S370" s="167"/>
      <c r="T370" s="167"/>
      <c r="U370" s="167"/>
      <c r="V370" s="167"/>
      <c r="W370" s="167"/>
      <c r="X370" s="167"/>
      <c r="Y370" s="167"/>
      <c r="Z370" s="167"/>
      <c r="AA370" s="167"/>
      <c r="AB370" s="167"/>
      <c r="AC370" s="167"/>
      <c r="AD370" s="167"/>
      <c r="AE370" s="167"/>
      <c r="AF370" s="167"/>
      <c r="AG370" s="167"/>
      <c r="AH370" s="167"/>
      <c r="AI370" s="167"/>
      <c r="AJ370" s="167"/>
      <c r="AK370" s="167"/>
      <c r="AL370" s="167"/>
      <c r="AM370" s="167"/>
      <c r="AN370" s="168"/>
      <c r="AO370" s="168"/>
      <c r="AP370" s="116"/>
      <c r="AQ370" s="117"/>
      <c r="AR370" s="131"/>
      <c r="AS370" s="131"/>
      <c r="AT370" s="131"/>
      <c r="AU370" s="117"/>
      <c r="AW370" s="130"/>
      <c r="BA370" s="130"/>
      <c r="BB370" s="130"/>
      <c r="BC370" s="130"/>
    </row>
    <row r="371" spans="1:55" s="118" customFormat="1" ht="20.100000000000001" customHeight="1">
      <c r="A371" s="167"/>
      <c r="B371" s="167"/>
      <c r="C371" s="167"/>
      <c r="D371" s="167"/>
      <c r="E371" s="167"/>
      <c r="F371" s="167"/>
      <c r="G371" s="167"/>
      <c r="H371" s="167"/>
      <c r="I371" s="167"/>
      <c r="J371" s="167"/>
      <c r="K371" s="167"/>
      <c r="L371" s="167"/>
      <c r="M371" s="167"/>
      <c r="N371" s="167"/>
      <c r="O371" s="167"/>
      <c r="P371" s="167"/>
      <c r="Q371" s="167"/>
      <c r="R371" s="167"/>
      <c r="S371" s="167"/>
      <c r="T371" s="167"/>
      <c r="U371" s="167"/>
      <c r="V371" s="167"/>
      <c r="W371" s="167"/>
      <c r="X371" s="167"/>
      <c r="Y371" s="167"/>
      <c r="Z371" s="167"/>
      <c r="AA371" s="167"/>
      <c r="AB371" s="167"/>
      <c r="AC371" s="167"/>
      <c r="AD371" s="167"/>
      <c r="AE371" s="167"/>
      <c r="AF371" s="167"/>
      <c r="AG371" s="167"/>
      <c r="AH371" s="167"/>
      <c r="AI371" s="167"/>
      <c r="AJ371" s="167"/>
      <c r="AK371" s="167"/>
      <c r="AL371" s="167"/>
      <c r="AM371" s="167"/>
      <c r="AN371" s="168"/>
      <c r="AO371" s="168"/>
      <c r="AP371" s="116"/>
      <c r="AQ371" s="117"/>
      <c r="AR371" s="131"/>
      <c r="AS371" s="131"/>
      <c r="AT371" s="131"/>
      <c r="AU371" s="117"/>
      <c r="AW371" s="130"/>
      <c r="BA371" s="130"/>
      <c r="BB371" s="130"/>
      <c r="BC371" s="130"/>
    </row>
    <row r="372" spans="1:55" s="118" customFormat="1" ht="20.100000000000001" customHeight="1">
      <c r="A372" s="167"/>
      <c r="B372" s="167"/>
      <c r="C372" s="167"/>
      <c r="D372" s="167"/>
      <c r="E372" s="167"/>
      <c r="F372" s="167"/>
      <c r="G372" s="167"/>
      <c r="H372" s="167"/>
      <c r="I372" s="167"/>
      <c r="J372" s="167"/>
      <c r="K372" s="167"/>
      <c r="L372" s="167"/>
      <c r="M372" s="167"/>
      <c r="N372" s="167"/>
      <c r="O372" s="167"/>
      <c r="P372" s="167"/>
      <c r="Q372" s="167"/>
      <c r="R372" s="167"/>
      <c r="S372" s="167"/>
      <c r="T372" s="167"/>
      <c r="U372" s="167"/>
      <c r="V372" s="167"/>
      <c r="W372" s="167"/>
      <c r="X372" s="167"/>
      <c r="Y372" s="167"/>
      <c r="Z372" s="167"/>
      <c r="AA372" s="167"/>
      <c r="AB372" s="167"/>
      <c r="AC372" s="167"/>
      <c r="AD372" s="167"/>
      <c r="AE372" s="167"/>
      <c r="AF372" s="167"/>
      <c r="AG372" s="167"/>
      <c r="AH372" s="167"/>
      <c r="AI372" s="167"/>
      <c r="AJ372" s="167"/>
      <c r="AK372" s="167"/>
      <c r="AL372" s="167"/>
      <c r="AM372" s="167"/>
      <c r="AN372" s="168"/>
      <c r="AO372" s="168"/>
      <c r="AP372" s="116"/>
      <c r="AQ372" s="117"/>
      <c r="AR372" s="131"/>
      <c r="AS372" s="131"/>
      <c r="AT372" s="131"/>
      <c r="AU372" s="117"/>
      <c r="AW372" s="130"/>
      <c r="BA372" s="130"/>
      <c r="BB372" s="130"/>
      <c r="BC372" s="130"/>
    </row>
    <row r="373" spans="1:55" s="118" customFormat="1" ht="20.100000000000001" customHeight="1">
      <c r="A373" s="167"/>
      <c r="B373" s="167"/>
      <c r="C373" s="167"/>
      <c r="D373" s="167"/>
      <c r="E373" s="167"/>
      <c r="F373" s="167"/>
      <c r="G373" s="167"/>
      <c r="H373" s="167"/>
      <c r="I373" s="167"/>
      <c r="J373" s="167"/>
      <c r="K373" s="167"/>
      <c r="L373" s="167"/>
      <c r="M373" s="167"/>
      <c r="N373" s="167"/>
      <c r="O373" s="167"/>
      <c r="P373" s="167"/>
      <c r="Q373" s="167"/>
      <c r="R373" s="167"/>
      <c r="S373" s="167"/>
      <c r="T373" s="167"/>
      <c r="U373" s="167"/>
      <c r="V373" s="167"/>
      <c r="W373" s="167"/>
      <c r="X373" s="167"/>
      <c r="Y373" s="167"/>
      <c r="Z373" s="167"/>
      <c r="AA373" s="167"/>
      <c r="AB373" s="167"/>
      <c r="AC373" s="167"/>
      <c r="AD373" s="167"/>
      <c r="AE373" s="167"/>
      <c r="AF373" s="167"/>
      <c r="AG373" s="167"/>
      <c r="AH373" s="167"/>
      <c r="AI373" s="167"/>
      <c r="AJ373" s="167"/>
      <c r="AK373" s="167"/>
      <c r="AL373" s="167"/>
      <c r="AM373" s="167"/>
      <c r="AN373" s="168"/>
      <c r="AO373" s="168"/>
      <c r="AP373" s="116"/>
      <c r="AQ373" s="117"/>
      <c r="AR373" s="131"/>
      <c r="AS373" s="131"/>
      <c r="AT373" s="131"/>
      <c r="AU373" s="117"/>
      <c r="AW373" s="130"/>
      <c r="BA373" s="130"/>
      <c r="BB373" s="130"/>
      <c r="BC373" s="130"/>
    </row>
    <row r="374" spans="1:55" s="118" customFormat="1" ht="20.100000000000001" customHeight="1">
      <c r="A374" s="167"/>
      <c r="B374" s="167"/>
      <c r="C374" s="167"/>
      <c r="D374" s="167"/>
      <c r="E374" s="167"/>
      <c r="F374" s="167"/>
      <c r="G374" s="167"/>
      <c r="H374" s="167"/>
      <c r="I374" s="167"/>
      <c r="J374" s="167"/>
      <c r="K374" s="167"/>
      <c r="L374" s="167"/>
      <c r="M374" s="167"/>
      <c r="N374" s="167"/>
      <c r="O374" s="167"/>
      <c r="P374" s="167"/>
      <c r="Q374" s="167"/>
      <c r="R374" s="167"/>
      <c r="S374" s="167"/>
      <c r="T374" s="167"/>
      <c r="U374" s="167"/>
      <c r="V374" s="167"/>
      <c r="W374" s="167"/>
      <c r="X374" s="167"/>
      <c r="Y374" s="167"/>
      <c r="Z374" s="167"/>
      <c r="AA374" s="167"/>
      <c r="AB374" s="167"/>
      <c r="AC374" s="167"/>
      <c r="AD374" s="167"/>
      <c r="AE374" s="167"/>
      <c r="AF374" s="167"/>
      <c r="AG374" s="167"/>
      <c r="AH374" s="167"/>
      <c r="AI374" s="167"/>
      <c r="AJ374" s="167"/>
      <c r="AK374" s="167"/>
      <c r="AL374" s="167"/>
      <c r="AM374" s="167"/>
      <c r="AN374" s="168"/>
      <c r="AO374" s="168"/>
      <c r="AP374" s="116"/>
      <c r="AQ374" s="117"/>
      <c r="AR374" s="131"/>
      <c r="AS374" s="131"/>
      <c r="AT374" s="131"/>
      <c r="AU374" s="117"/>
      <c r="AW374" s="130"/>
      <c r="BA374" s="130"/>
      <c r="BB374" s="130"/>
      <c r="BC374" s="130"/>
    </row>
    <row r="375" spans="1:55" s="118" customFormat="1" ht="20.100000000000001" customHeight="1">
      <c r="A375" s="167"/>
      <c r="B375" s="167"/>
      <c r="C375" s="167"/>
      <c r="D375" s="167"/>
      <c r="E375" s="167"/>
      <c r="F375" s="167"/>
      <c r="G375" s="167"/>
      <c r="H375" s="167"/>
      <c r="I375" s="167"/>
      <c r="J375" s="167"/>
      <c r="K375" s="167"/>
      <c r="L375" s="167"/>
      <c r="M375" s="167"/>
      <c r="N375" s="167"/>
      <c r="O375" s="167"/>
      <c r="P375" s="167"/>
      <c r="Q375" s="167"/>
      <c r="R375" s="167"/>
      <c r="S375" s="167"/>
      <c r="T375" s="167"/>
      <c r="U375" s="167"/>
      <c r="V375" s="167"/>
      <c r="W375" s="167"/>
      <c r="X375" s="167"/>
      <c r="Y375" s="167"/>
      <c r="Z375" s="167"/>
      <c r="AA375" s="167"/>
      <c r="AB375" s="167"/>
      <c r="AC375" s="167"/>
      <c r="AD375" s="167"/>
      <c r="AE375" s="167"/>
      <c r="AF375" s="167"/>
      <c r="AG375" s="167"/>
      <c r="AH375" s="167"/>
      <c r="AI375" s="167"/>
      <c r="AJ375" s="167"/>
      <c r="AK375" s="167"/>
      <c r="AL375" s="167"/>
      <c r="AM375" s="167"/>
      <c r="AN375" s="168"/>
      <c r="AO375" s="168"/>
      <c r="AP375" s="116"/>
      <c r="AQ375" s="117"/>
      <c r="AR375" s="131"/>
      <c r="AS375" s="131"/>
      <c r="AT375" s="131"/>
      <c r="AU375" s="117"/>
      <c r="AW375" s="130"/>
      <c r="BA375" s="130"/>
      <c r="BB375" s="130"/>
      <c r="BC375" s="130"/>
    </row>
    <row r="376" spans="1:55" s="118" customFormat="1" ht="20.100000000000001" customHeight="1">
      <c r="A376" s="167"/>
      <c r="B376" s="167"/>
      <c r="C376" s="167"/>
      <c r="D376" s="167"/>
      <c r="E376" s="167"/>
      <c r="F376" s="167"/>
      <c r="G376" s="167"/>
      <c r="H376" s="167"/>
      <c r="I376" s="167"/>
      <c r="J376" s="167"/>
      <c r="K376" s="167"/>
      <c r="L376" s="167"/>
      <c r="M376" s="167"/>
      <c r="N376" s="167"/>
      <c r="O376" s="167"/>
      <c r="P376" s="167"/>
      <c r="Q376" s="167"/>
      <c r="R376" s="167"/>
      <c r="S376" s="167"/>
      <c r="T376" s="167"/>
      <c r="U376" s="167"/>
      <c r="V376" s="167"/>
      <c r="W376" s="167"/>
      <c r="X376" s="167"/>
      <c r="Y376" s="167"/>
      <c r="Z376" s="167"/>
      <c r="AA376" s="167"/>
      <c r="AB376" s="167"/>
      <c r="AC376" s="167"/>
      <c r="AD376" s="167"/>
      <c r="AE376" s="167"/>
      <c r="AF376" s="167"/>
      <c r="AG376" s="167"/>
      <c r="AH376" s="167"/>
      <c r="AI376" s="167"/>
      <c r="AJ376" s="167"/>
      <c r="AK376" s="167"/>
      <c r="AL376" s="167"/>
      <c r="AM376" s="167"/>
      <c r="AN376" s="168"/>
      <c r="AO376" s="168"/>
      <c r="AP376" s="116"/>
      <c r="AQ376" s="117"/>
      <c r="AR376" s="131"/>
      <c r="AS376" s="131"/>
      <c r="AT376" s="131"/>
      <c r="AU376" s="117"/>
      <c r="AW376" s="130"/>
      <c r="BA376" s="130"/>
      <c r="BB376" s="130"/>
      <c r="BC376" s="130"/>
    </row>
    <row r="377" spans="1:55" s="118" customFormat="1" ht="20.100000000000001" customHeight="1">
      <c r="A377" s="167"/>
      <c r="B377" s="167"/>
      <c r="C377" s="167"/>
      <c r="D377" s="167"/>
      <c r="E377" s="167"/>
      <c r="F377" s="167"/>
      <c r="G377" s="167"/>
      <c r="H377" s="167"/>
      <c r="I377" s="167"/>
      <c r="J377" s="167"/>
      <c r="K377" s="167"/>
      <c r="L377" s="167"/>
      <c r="M377" s="167"/>
      <c r="N377" s="167"/>
      <c r="O377" s="167"/>
      <c r="P377" s="167"/>
      <c r="Q377" s="167"/>
      <c r="R377" s="167"/>
      <c r="S377" s="167"/>
      <c r="T377" s="167"/>
      <c r="U377" s="167"/>
      <c r="V377" s="167"/>
      <c r="W377" s="167"/>
      <c r="X377" s="167"/>
      <c r="Y377" s="167"/>
      <c r="Z377" s="167"/>
      <c r="AA377" s="167"/>
      <c r="AB377" s="167"/>
      <c r="AC377" s="167"/>
      <c r="AD377" s="167"/>
      <c r="AE377" s="167"/>
      <c r="AF377" s="167"/>
      <c r="AG377" s="167"/>
      <c r="AH377" s="167"/>
      <c r="AI377" s="167"/>
      <c r="AJ377" s="167"/>
      <c r="AK377" s="167"/>
      <c r="AL377" s="167"/>
      <c r="AM377" s="167"/>
      <c r="AN377" s="168"/>
      <c r="AO377" s="168"/>
      <c r="AP377" s="116"/>
      <c r="AQ377" s="117"/>
      <c r="AR377" s="131"/>
      <c r="AS377" s="131"/>
      <c r="AT377" s="131"/>
      <c r="AU377" s="117"/>
      <c r="AW377" s="130"/>
      <c r="BA377" s="130"/>
      <c r="BB377" s="130"/>
      <c r="BC377" s="130"/>
    </row>
    <row r="378" spans="1:55" s="118" customFormat="1" ht="20.100000000000001" customHeight="1">
      <c r="A378" s="167"/>
      <c r="B378" s="167"/>
      <c r="C378" s="167"/>
      <c r="D378" s="167"/>
      <c r="E378" s="167"/>
      <c r="F378" s="167"/>
      <c r="G378" s="167"/>
      <c r="H378" s="167"/>
      <c r="I378" s="167"/>
      <c r="J378" s="167"/>
      <c r="K378" s="167"/>
      <c r="L378" s="167"/>
      <c r="M378" s="167"/>
      <c r="N378" s="167"/>
      <c r="O378" s="167"/>
      <c r="P378" s="167"/>
      <c r="Q378" s="167"/>
      <c r="R378" s="167"/>
      <c r="S378" s="167"/>
      <c r="T378" s="167"/>
      <c r="U378" s="167"/>
      <c r="V378" s="167"/>
      <c r="W378" s="167"/>
      <c r="X378" s="167"/>
      <c r="Y378" s="167"/>
      <c r="Z378" s="167"/>
      <c r="AA378" s="167"/>
      <c r="AB378" s="167"/>
      <c r="AC378" s="167"/>
      <c r="AD378" s="167"/>
      <c r="AE378" s="167"/>
      <c r="AF378" s="167"/>
      <c r="AG378" s="167"/>
      <c r="AH378" s="167"/>
      <c r="AI378" s="167"/>
      <c r="AJ378" s="167"/>
      <c r="AK378" s="167"/>
      <c r="AL378" s="167"/>
      <c r="AM378" s="167"/>
      <c r="AN378" s="168"/>
      <c r="AO378" s="168"/>
      <c r="AP378" s="116"/>
      <c r="AQ378" s="117"/>
      <c r="AR378" s="131"/>
      <c r="AS378" s="131"/>
      <c r="AT378" s="131"/>
      <c r="AU378" s="117"/>
      <c r="AW378" s="130"/>
      <c r="BA378" s="130"/>
      <c r="BB378" s="130"/>
      <c r="BC378" s="130"/>
    </row>
    <row r="379" spans="1:55" s="118" customFormat="1" ht="20.100000000000001" customHeight="1">
      <c r="A379" s="167"/>
      <c r="B379" s="167"/>
      <c r="C379" s="167"/>
      <c r="D379" s="167"/>
      <c r="E379" s="167"/>
      <c r="F379" s="167"/>
      <c r="G379" s="167"/>
      <c r="H379" s="167"/>
      <c r="I379" s="167"/>
      <c r="J379" s="167"/>
      <c r="K379" s="167"/>
      <c r="L379" s="167"/>
      <c r="M379" s="167"/>
      <c r="N379" s="167"/>
      <c r="O379" s="167"/>
      <c r="P379" s="167"/>
      <c r="Q379" s="167"/>
      <c r="R379" s="167"/>
      <c r="S379" s="167"/>
      <c r="T379" s="167"/>
      <c r="U379" s="167"/>
      <c r="V379" s="167"/>
      <c r="W379" s="167"/>
      <c r="X379" s="167"/>
      <c r="Y379" s="167"/>
      <c r="Z379" s="167"/>
      <c r="AA379" s="167"/>
      <c r="AB379" s="167"/>
      <c r="AC379" s="167"/>
      <c r="AD379" s="167"/>
      <c r="AE379" s="167"/>
      <c r="AF379" s="167"/>
      <c r="AG379" s="167"/>
      <c r="AH379" s="167"/>
      <c r="AI379" s="167"/>
      <c r="AJ379" s="167"/>
      <c r="AK379" s="167"/>
      <c r="AL379" s="167"/>
      <c r="AM379" s="167"/>
      <c r="AN379" s="168"/>
      <c r="AO379" s="168"/>
      <c r="AP379" s="116"/>
      <c r="AQ379" s="117"/>
      <c r="AR379" s="131"/>
      <c r="AS379" s="131"/>
      <c r="AT379" s="131"/>
      <c r="AU379" s="117"/>
      <c r="AW379" s="130"/>
      <c r="BA379" s="130"/>
      <c r="BB379" s="130"/>
      <c r="BC379" s="130"/>
    </row>
    <row r="380" spans="1:55" s="118" customFormat="1" ht="20.100000000000001" customHeight="1">
      <c r="A380" s="167"/>
      <c r="B380" s="167"/>
      <c r="C380" s="167"/>
      <c r="D380" s="167"/>
      <c r="E380" s="167"/>
      <c r="F380" s="167"/>
      <c r="G380" s="167"/>
      <c r="H380" s="167"/>
      <c r="I380" s="167"/>
      <c r="J380" s="167"/>
      <c r="K380" s="167"/>
      <c r="L380" s="167"/>
      <c r="M380" s="167"/>
      <c r="N380" s="167"/>
      <c r="O380" s="167"/>
      <c r="P380" s="167"/>
      <c r="Q380" s="167"/>
      <c r="R380" s="167"/>
      <c r="S380" s="167"/>
      <c r="T380" s="167"/>
      <c r="U380" s="167"/>
      <c r="V380" s="167"/>
      <c r="W380" s="167"/>
      <c r="X380" s="167"/>
      <c r="Y380" s="167"/>
      <c r="Z380" s="167"/>
      <c r="AA380" s="167"/>
      <c r="AB380" s="167"/>
      <c r="AC380" s="167"/>
      <c r="AD380" s="167"/>
      <c r="AE380" s="167"/>
      <c r="AF380" s="167"/>
      <c r="AG380" s="167"/>
      <c r="AH380" s="167"/>
      <c r="AI380" s="167"/>
      <c r="AJ380" s="167"/>
      <c r="AK380" s="167"/>
      <c r="AL380" s="167"/>
      <c r="AM380" s="167"/>
      <c r="AN380" s="168"/>
      <c r="AO380" s="168"/>
      <c r="AP380" s="116"/>
      <c r="AQ380" s="117"/>
      <c r="AR380" s="131"/>
      <c r="AS380" s="131"/>
      <c r="AT380" s="131"/>
      <c r="AU380" s="117"/>
      <c r="AW380" s="130"/>
      <c r="BA380" s="130"/>
      <c r="BB380" s="130"/>
      <c r="BC380" s="130"/>
    </row>
    <row r="381" spans="1:55" s="118" customFormat="1" ht="20.100000000000001" customHeight="1">
      <c r="A381" s="167"/>
      <c r="B381" s="167"/>
      <c r="C381" s="167"/>
      <c r="D381" s="167"/>
      <c r="E381" s="167"/>
      <c r="F381" s="167"/>
      <c r="G381" s="167"/>
      <c r="H381" s="167"/>
      <c r="I381" s="167"/>
      <c r="J381" s="167"/>
      <c r="K381" s="167"/>
      <c r="L381" s="167"/>
      <c r="M381" s="167"/>
      <c r="N381" s="167"/>
      <c r="O381" s="167"/>
      <c r="P381" s="167"/>
      <c r="Q381" s="167"/>
      <c r="R381" s="167"/>
      <c r="S381" s="167"/>
      <c r="T381" s="167"/>
      <c r="U381" s="167"/>
      <c r="V381" s="167"/>
      <c r="W381" s="167"/>
      <c r="X381" s="167"/>
      <c r="Y381" s="167"/>
      <c r="Z381" s="167"/>
      <c r="AA381" s="167"/>
      <c r="AB381" s="167"/>
      <c r="AC381" s="167"/>
      <c r="AD381" s="167"/>
      <c r="AE381" s="167"/>
      <c r="AF381" s="167"/>
      <c r="AG381" s="167"/>
      <c r="AH381" s="167"/>
      <c r="AI381" s="167"/>
      <c r="AJ381" s="167"/>
      <c r="AK381" s="167"/>
      <c r="AL381" s="167"/>
      <c r="AM381" s="167"/>
      <c r="AN381" s="168"/>
      <c r="AO381" s="168"/>
      <c r="AP381" s="116"/>
      <c r="AQ381" s="117"/>
      <c r="AR381" s="131"/>
      <c r="AS381" s="131"/>
      <c r="AT381" s="131"/>
      <c r="AU381" s="117"/>
      <c r="AW381" s="130"/>
      <c r="BA381" s="130"/>
      <c r="BB381" s="130"/>
      <c r="BC381" s="130"/>
    </row>
    <row r="382" spans="1:55" s="118" customFormat="1" ht="20.100000000000001" customHeight="1">
      <c r="A382" s="167"/>
      <c r="B382" s="167"/>
      <c r="C382" s="167"/>
      <c r="D382" s="167"/>
      <c r="E382" s="167"/>
      <c r="F382" s="167"/>
      <c r="G382" s="167"/>
      <c r="H382" s="167"/>
      <c r="I382" s="167"/>
      <c r="J382" s="167"/>
      <c r="K382" s="167"/>
      <c r="L382" s="167"/>
      <c r="M382" s="167"/>
      <c r="N382" s="167"/>
      <c r="O382" s="167"/>
      <c r="P382" s="167"/>
      <c r="Q382" s="167"/>
      <c r="R382" s="167"/>
      <c r="S382" s="167"/>
      <c r="T382" s="167"/>
      <c r="U382" s="167"/>
      <c r="V382" s="167"/>
      <c r="W382" s="167"/>
      <c r="X382" s="167"/>
      <c r="Y382" s="167"/>
      <c r="Z382" s="167"/>
      <c r="AA382" s="167"/>
      <c r="AB382" s="167"/>
      <c r="AC382" s="167"/>
      <c r="AD382" s="167"/>
      <c r="AE382" s="167"/>
      <c r="AF382" s="167"/>
      <c r="AG382" s="167"/>
      <c r="AH382" s="167"/>
      <c r="AI382" s="167"/>
      <c r="AJ382" s="167"/>
      <c r="AK382" s="167"/>
      <c r="AL382" s="167"/>
      <c r="AM382" s="167"/>
      <c r="AN382" s="168"/>
      <c r="AO382" s="168"/>
      <c r="AP382" s="116"/>
      <c r="AQ382" s="117"/>
      <c r="AR382" s="131"/>
      <c r="AS382" s="131"/>
      <c r="AT382" s="131"/>
      <c r="AU382" s="117"/>
      <c r="AW382" s="130"/>
      <c r="BA382" s="130"/>
      <c r="BB382" s="130"/>
      <c r="BC382" s="130"/>
    </row>
    <row r="383" spans="1:55" s="118" customFormat="1" ht="20.100000000000001" customHeight="1">
      <c r="A383" s="167"/>
      <c r="B383" s="167"/>
      <c r="C383" s="167"/>
      <c r="D383" s="167"/>
      <c r="E383" s="167"/>
      <c r="F383" s="167"/>
      <c r="G383" s="167"/>
      <c r="H383" s="167"/>
      <c r="I383" s="167"/>
      <c r="J383" s="167"/>
      <c r="K383" s="167"/>
      <c r="L383" s="167"/>
      <c r="M383" s="167"/>
      <c r="N383" s="167"/>
      <c r="O383" s="167"/>
      <c r="P383" s="167"/>
      <c r="Q383" s="167"/>
      <c r="R383" s="167"/>
      <c r="S383" s="167"/>
      <c r="T383" s="167"/>
      <c r="U383" s="167"/>
      <c r="V383" s="167"/>
      <c r="W383" s="167"/>
      <c r="X383" s="167"/>
      <c r="Y383" s="167"/>
      <c r="Z383" s="167"/>
      <c r="AA383" s="167"/>
      <c r="AB383" s="167"/>
      <c r="AC383" s="167"/>
      <c r="AD383" s="167"/>
      <c r="AE383" s="167"/>
      <c r="AF383" s="167"/>
      <c r="AG383" s="167"/>
      <c r="AH383" s="167"/>
      <c r="AI383" s="167"/>
      <c r="AJ383" s="167"/>
      <c r="AK383" s="167"/>
      <c r="AL383" s="167"/>
      <c r="AM383" s="167"/>
      <c r="AN383" s="168"/>
      <c r="AO383" s="168"/>
      <c r="AP383" s="116"/>
      <c r="AQ383" s="117"/>
      <c r="AR383" s="131"/>
      <c r="AS383" s="131"/>
      <c r="AT383" s="131"/>
      <c r="AU383" s="117"/>
      <c r="AW383" s="130"/>
      <c r="BA383" s="130"/>
      <c r="BB383" s="130"/>
      <c r="BC383" s="130"/>
    </row>
    <row r="384" spans="1:55" s="118" customFormat="1" ht="20.100000000000001" customHeight="1">
      <c r="A384" s="167"/>
      <c r="B384" s="167"/>
      <c r="C384" s="167"/>
      <c r="D384" s="167"/>
      <c r="E384" s="167"/>
      <c r="F384" s="167"/>
      <c r="G384" s="167"/>
      <c r="H384" s="167"/>
      <c r="I384" s="167"/>
      <c r="J384" s="167"/>
      <c r="K384" s="167"/>
      <c r="L384" s="167"/>
      <c r="M384" s="167"/>
      <c r="N384" s="167"/>
      <c r="O384" s="167"/>
      <c r="P384" s="167"/>
      <c r="Q384" s="167"/>
      <c r="R384" s="167"/>
      <c r="S384" s="167"/>
      <c r="T384" s="167"/>
      <c r="U384" s="167"/>
      <c r="V384" s="167"/>
      <c r="W384" s="167"/>
      <c r="X384" s="167"/>
      <c r="Y384" s="167"/>
      <c r="Z384" s="167"/>
      <c r="AA384" s="167"/>
      <c r="AB384" s="167"/>
      <c r="AC384" s="167"/>
      <c r="AD384" s="167"/>
      <c r="AE384" s="167"/>
      <c r="AF384" s="167"/>
      <c r="AG384" s="167"/>
      <c r="AH384" s="167"/>
      <c r="AI384" s="167"/>
      <c r="AJ384" s="167"/>
      <c r="AK384" s="167"/>
      <c r="AL384" s="167"/>
      <c r="AM384" s="167"/>
      <c r="AN384" s="168"/>
      <c r="AO384" s="168"/>
      <c r="AP384" s="116"/>
      <c r="AQ384" s="117"/>
      <c r="AR384" s="131"/>
      <c r="AS384" s="131"/>
      <c r="AT384" s="131"/>
      <c r="AU384" s="117"/>
      <c r="AW384" s="130"/>
      <c r="BA384" s="130"/>
      <c r="BB384" s="130"/>
      <c r="BC384" s="130"/>
    </row>
    <row r="385" spans="1:55" s="118" customFormat="1" ht="20.100000000000001" customHeight="1">
      <c r="A385" s="167"/>
      <c r="B385" s="167"/>
      <c r="C385" s="167"/>
      <c r="D385" s="167"/>
      <c r="E385" s="167"/>
      <c r="F385" s="167"/>
      <c r="G385" s="167"/>
      <c r="H385" s="167"/>
      <c r="I385" s="167"/>
      <c r="J385" s="167"/>
      <c r="K385" s="167"/>
      <c r="L385" s="167"/>
      <c r="M385" s="167"/>
      <c r="N385" s="167"/>
      <c r="O385" s="167"/>
      <c r="P385" s="167"/>
      <c r="Q385" s="167"/>
      <c r="R385" s="167"/>
      <c r="S385" s="167"/>
      <c r="T385" s="167"/>
      <c r="U385" s="167"/>
      <c r="V385" s="167"/>
      <c r="W385" s="167"/>
      <c r="X385" s="167"/>
      <c r="Y385" s="167"/>
      <c r="Z385" s="167"/>
      <c r="AA385" s="167"/>
      <c r="AB385" s="167"/>
      <c r="AC385" s="167"/>
      <c r="AD385" s="167"/>
      <c r="AE385" s="167"/>
      <c r="AF385" s="167"/>
      <c r="AG385" s="167"/>
      <c r="AH385" s="167"/>
      <c r="AI385" s="167"/>
      <c r="AJ385" s="167"/>
      <c r="AK385" s="167"/>
      <c r="AL385" s="167"/>
      <c r="AM385" s="167"/>
      <c r="AN385" s="168"/>
      <c r="AO385" s="168"/>
      <c r="AP385" s="116"/>
      <c r="AQ385" s="117"/>
      <c r="AR385" s="131"/>
      <c r="AS385" s="131"/>
      <c r="AT385" s="131"/>
      <c r="AU385" s="117"/>
      <c r="AW385" s="130"/>
      <c r="BA385" s="130"/>
      <c r="BB385" s="130"/>
      <c r="BC385" s="130"/>
    </row>
    <row r="386" spans="1:55" s="118" customFormat="1" ht="20.100000000000001" customHeight="1">
      <c r="A386" s="167"/>
      <c r="B386" s="167"/>
      <c r="C386" s="167"/>
      <c r="D386" s="167"/>
      <c r="E386" s="167"/>
      <c r="F386" s="167"/>
      <c r="G386" s="167"/>
      <c r="H386" s="167"/>
      <c r="I386" s="167"/>
      <c r="J386" s="167"/>
      <c r="K386" s="167"/>
      <c r="L386" s="167"/>
      <c r="M386" s="167"/>
      <c r="N386" s="167"/>
      <c r="O386" s="167"/>
      <c r="P386" s="167"/>
      <c r="Q386" s="167"/>
      <c r="R386" s="167"/>
      <c r="S386" s="167"/>
      <c r="T386" s="167"/>
      <c r="U386" s="167"/>
      <c r="V386" s="167"/>
      <c r="W386" s="167"/>
      <c r="X386" s="167"/>
      <c r="Y386" s="167"/>
      <c r="Z386" s="167"/>
      <c r="AA386" s="167"/>
      <c r="AB386" s="167"/>
      <c r="AC386" s="167"/>
      <c r="AD386" s="167"/>
      <c r="AE386" s="167"/>
      <c r="AF386" s="167"/>
      <c r="AG386" s="167"/>
      <c r="AH386" s="167"/>
      <c r="AI386" s="167"/>
      <c r="AJ386" s="167"/>
      <c r="AK386" s="167"/>
      <c r="AL386" s="167"/>
      <c r="AM386" s="167"/>
      <c r="AN386" s="168"/>
      <c r="AO386" s="168"/>
      <c r="AP386" s="116"/>
      <c r="AQ386" s="117"/>
      <c r="AR386" s="131"/>
      <c r="AS386" s="131"/>
      <c r="AT386" s="131"/>
      <c r="AU386" s="117"/>
      <c r="AW386" s="130"/>
      <c r="BA386" s="130"/>
      <c r="BB386" s="130"/>
      <c r="BC386" s="130"/>
    </row>
    <row r="387" spans="1:55" s="118" customFormat="1" ht="20.100000000000001" customHeight="1">
      <c r="A387" s="167"/>
      <c r="B387" s="167"/>
      <c r="C387" s="167"/>
      <c r="D387" s="167"/>
      <c r="E387" s="167"/>
      <c r="F387" s="167"/>
      <c r="G387" s="167"/>
      <c r="H387" s="167"/>
      <c r="I387" s="167"/>
      <c r="J387" s="167"/>
      <c r="K387" s="167"/>
      <c r="L387" s="167"/>
      <c r="M387" s="167"/>
      <c r="N387" s="167"/>
      <c r="O387" s="167"/>
      <c r="P387" s="167"/>
      <c r="Q387" s="167"/>
      <c r="R387" s="167"/>
      <c r="S387" s="167"/>
      <c r="T387" s="167"/>
      <c r="U387" s="167"/>
      <c r="V387" s="167"/>
      <c r="W387" s="167"/>
      <c r="X387" s="167"/>
      <c r="Y387" s="167"/>
      <c r="Z387" s="167"/>
      <c r="AA387" s="167"/>
      <c r="AB387" s="167"/>
      <c r="AC387" s="167"/>
      <c r="AD387" s="167"/>
      <c r="AE387" s="167"/>
      <c r="AF387" s="167"/>
      <c r="AG387" s="167"/>
      <c r="AH387" s="167"/>
      <c r="AI387" s="167"/>
      <c r="AJ387" s="167"/>
      <c r="AK387" s="167"/>
      <c r="AL387" s="167"/>
      <c r="AM387" s="167"/>
      <c r="AN387" s="168"/>
      <c r="AO387" s="168"/>
      <c r="AP387" s="116"/>
      <c r="AQ387" s="117"/>
      <c r="AR387" s="131"/>
      <c r="AS387" s="131"/>
      <c r="AT387" s="131"/>
      <c r="AU387" s="117"/>
      <c r="AW387" s="130"/>
      <c r="BA387" s="130"/>
      <c r="BB387" s="130"/>
      <c r="BC387" s="130"/>
    </row>
    <row r="388" spans="1:55" s="118" customFormat="1" ht="20.100000000000001" customHeight="1">
      <c r="A388" s="167"/>
      <c r="B388" s="167"/>
      <c r="C388" s="167"/>
      <c r="D388" s="167"/>
      <c r="E388" s="167"/>
      <c r="F388" s="167"/>
      <c r="G388" s="167"/>
      <c r="H388" s="167"/>
      <c r="I388" s="167"/>
      <c r="J388" s="167"/>
      <c r="K388" s="167"/>
      <c r="L388" s="167"/>
      <c r="M388" s="167"/>
      <c r="N388" s="167"/>
      <c r="O388" s="167"/>
      <c r="P388" s="167"/>
      <c r="Q388" s="167"/>
      <c r="R388" s="167"/>
      <c r="S388" s="167"/>
      <c r="T388" s="167"/>
      <c r="U388" s="167"/>
      <c r="V388" s="167"/>
      <c r="W388" s="167"/>
      <c r="X388" s="167"/>
      <c r="Y388" s="167"/>
      <c r="Z388" s="167"/>
      <c r="AA388" s="167"/>
      <c r="AB388" s="167"/>
      <c r="AC388" s="167"/>
      <c r="AD388" s="167"/>
      <c r="AE388" s="167"/>
      <c r="AF388" s="167"/>
      <c r="AG388" s="167"/>
      <c r="AH388" s="167"/>
      <c r="AI388" s="167"/>
      <c r="AJ388" s="167"/>
      <c r="AK388" s="167"/>
      <c r="AL388" s="167"/>
      <c r="AM388" s="167"/>
      <c r="AN388" s="168"/>
      <c r="AO388" s="168"/>
      <c r="AP388" s="116"/>
      <c r="AQ388" s="117"/>
      <c r="AR388" s="131"/>
      <c r="AS388" s="131"/>
      <c r="AT388" s="131"/>
      <c r="AU388" s="117"/>
      <c r="AW388" s="130"/>
      <c r="BA388" s="130"/>
      <c r="BB388" s="130"/>
      <c r="BC388" s="130"/>
    </row>
    <row r="389" spans="1:55" s="118" customFormat="1" ht="20.100000000000001" customHeight="1">
      <c r="A389" s="167"/>
      <c r="B389" s="167"/>
      <c r="C389" s="167"/>
      <c r="D389" s="167"/>
      <c r="E389" s="167"/>
      <c r="F389" s="167"/>
      <c r="G389" s="167"/>
      <c r="H389" s="167"/>
      <c r="I389" s="167"/>
      <c r="J389" s="167"/>
      <c r="K389" s="167"/>
      <c r="L389" s="167"/>
      <c r="M389" s="167"/>
      <c r="N389" s="167"/>
      <c r="O389" s="167"/>
      <c r="P389" s="167"/>
      <c r="Q389" s="167"/>
      <c r="R389" s="167"/>
      <c r="S389" s="167"/>
      <c r="T389" s="167"/>
      <c r="U389" s="167"/>
      <c r="V389" s="167"/>
      <c r="W389" s="167"/>
      <c r="X389" s="167"/>
      <c r="Y389" s="167"/>
      <c r="Z389" s="167"/>
      <c r="AA389" s="167"/>
      <c r="AB389" s="167"/>
      <c r="AC389" s="167"/>
      <c r="AD389" s="167"/>
      <c r="AE389" s="167"/>
      <c r="AF389" s="167"/>
      <c r="AG389" s="167"/>
      <c r="AH389" s="167"/>
      <c r="AI389" s="167"/>
      <c r="AJ389" s="167"/>
      <c r="AK389" s="167"/>
      <c r="AL389" s="167"/>
      <c r="AM389" s="167"/>
      <c r="AN389" s="168"/>
      <c r="AO389" s="168"/>
      <c r="AP389" s="116"/>
      <c r="AQ389" s="117"/>
      <c r="AR389" s="131"/>
      <c r="AS389" s="131"/>
      <c r="AT389" s="131"/>
      <c r="AU389" s="117"/>
      <c r="AW389" s="130"/>
      <c r="BA389" s="130"/>
      <c r="BB389" s="130"/>
      <c r="BC389" s="130"/>
    </row>
    <row r="390" spans="1:55" s="118" customFormat="1" ht="20.100000000000001" customHeight="1">
      <c r="A390" s="167"/>
      <c r="B390" s="167"/>
      <c r="C390" s="167"/>
      <c r="D390" s="167"/>
      <c r="E390" s="167"/>
      <c r="F390" s="167"/>
      <c r="G390" s="167"/>
      <c r="H390" s="167"/>
      <c r="I390" s="167"/>
      <c r="J390" s="167"/>
      <c r="K390" s="167"/>
      <c r="L390" s="167"/>
      <c r="M390" s="167"/>
      <c r="N390" s="167"/>
      <c r="O390" s="167"/>
      <c r="P390" s="167"/>
      <c r="Q390" s="167"/>
      <c r="R390" s="167"/>
      <c r="S390" s="167"/>
      <c r="T390" s="167"/>
      <c r="U390" s="167"/>
      <c r="V390" s="167"/>
      <c r="W390" s="167"/>
      <c r="X390" s="167"/>
      <c r="Y390" s="167"/>
      <c r="Z390" s="167"/>
      <c r="AA390" s="167"/>
      <c r="AB390" s="167"/>
      <c r="AC390" s="167"/>
      <c r="AD390" s="167"/>
      <c r="AE390" s="167"/>
      <c r="AF390" s="167"/>
      <c r="AG390" s="167"/>
      <c r="AH390" s="167"/>
      <c r="AI390" s="167"/>
      <c r="AJ390" s="167"/>
      <c r="AK390" s="167"/>
      <c r="AL390" s="167"/>
      <c r="AM390" s="167"/>
      <c r="AN390" s="168"/>
      <c r="AO390" s="168"/>
      <c r="AP390" s="116"/>
      <c r="AQ390" s="117"/>
      <c r="AR390" s="131"/>
      <c r="AS390" s="131"/>
      <c r="AT390" s="131"/>
      <c r="AU390" s="117"/>
      <c r="AW390" s="130"/>
      <c r="BA390" s="130"/>
      <c r="BB390" s="130"/>
      <c r="BC390" s="130"/>
    </row>
    <row r="391" spans="1:55" s="118" customFormat="1" ht="20.100000000000001" customHeight="1">
      <c r="A391" s="167"/>
      <c r="B391" s="167"/>
      <c r="C391" s="167"/>
      <c r="D391" s="167"/>
      <c r="E391" s="167"/>
      <c r="F391" s="167"/>
      <c r="G391" s="167"/>
      <c r="H391" s="167"/>
      <c r="I391" s="167"/>
      <c r="J391" s="167"/>
      <c r="K391" s="167"/>
      <c r="L391" s="167"/>
      <c r="M391" s="167"/>
      <c r="N391" s="167"/>
      <c r="O391" s="167"/>
      <c r="P391" s="167"/>
      <c r="Q391" s="167"/>
      <c r="R391" s="167"/>
      <c r="S391" s="167"/>
      <c r="T391" s="167"/>
      <c r="U391" s="167"/>
      <c r="V391" s="167"/>
      <c r="W391" s="167"/>
      <c r="X391" s="167"/>
      <c r="Y391" s="167"/>
      <c r="Z391" s="167"/>
      <c r="AA391" s="167"/>
      <c r="AB391" s="167"/>
      <c r="AC391" s="167"/>
      <c r="AD391" s="167"/>
      <c r="AE391" s="167"/>
      <c r="AF391" s="167"/>
      <c r="AG391" s="167"/>
      <c r="AH391" s="167"/>
      <c r="AI391" s="167"/>
      <c r="AJ391" s="167"/>
      <c r="AK391" s="167"/>
      <c r="AL391" s="167"/>
      <c r="AM391" s="167"/>
      <c r="AN391" s="168"/>
      <c r="AO391" s="168"/>
      <c r="AP391" s="116"/>
      <c r="AQ391" s="117"/>
      <c r="AR391" s="131"/>
      <c r="AS391" s="131"/>
      <c r="AT391" s="131"/>
      <c r="AU391" s="117"/>
      <c r="AW391" s="130"/>
      <c r="BA391" s="130"/>
      <c r="BB391" s="130"/>
      <c r="BC391" s="130"/>
    </row>
    <row r="392" spans="1:55" s="118" customFormat="1" ht="20.100000000000001" customHeight="1">
      <c r="A392" s="167"/>
      <c r="B392" s="167"/>
      <c r="C392" s="167"/>
      <c r="D392" s="167"/>
      <c r="E392" s="167"/>
      <c r="F392" s="167"/>
      <c r="G392" s="167"/>
      <c r="H392" s="167"/>
      <c r="I392" s="167"/>
      <c r="J392" s="167"/>
      <c r="K392" s="167"/>
      <c r="L392" s="167"/>
      <c r="M392" s="167"/>
      <c r="N392" s="167"/>
      <c r="O392" s="167"/>
      <c r="P392" s="167"/>
      <c r="Q392" s="167"/>
      <c r="R392" s="167"/>
      <c r="S392" s="167"/>
      <c r="T392" s="167"/>
      <c r="U392" s="167"/>
      <c r="V392" s="167"/>
      <c r="W392" s="167"/>
      <c r="X392" s="167"/>
      <c r="Y392" s="167"/>
      <c r="Z392" s="167"/>
      <c r="AA392" s="167"/>
      <c r="AB392" s="167"/>
      <c r="AC392" s="167"/>
      <c r="AD392" s="167"/>
      <c r="AE392" s="167"/>
      <c r="AF392" s="167"/>
      <c r="AG392" s="167"/>
      <c r="AH392" s="167"/>
      <c r="AI392" s="167"/>
      <c r="AJ392" s="167"/>
      <c r="AK392" s="167"/>
      <c r="AL392" s="167"/>
      <c r="AM392" s="167"/>
      <c r="AN392" s="168"/>
      <c r="AO392" s="168"/>
      <c r="AP392" s="116"/>
      <c r="AQ392" s="117"/>
      <c r="AR392" s="131"/>
      <c r="AS392" s="131"/>
      <c r="AT392" s="131"/>
      <c r="AU392" s="117"/>
      <c r="AW392" s="130"/>
      <c r="BA392" s="130"/>
      <c r="BB392" s="130"/>
      <c r="BC392" s="130"/>
    </row>
    <row r="393" spans="1:55" s="118" customFormat="1" ht="20.100000000000001" customHeight="1">
      <c r="A393" s="167"/>
      <c r="B393" s="167"/>
      <c r="C393" s="167"/>
      <c r="D393" s="167"/>
      <c r="E393" s="167"/>
      <c r="F393" s="167"/>
      <c r="G393" s="167"/>
      <c r="H393" s="167"/>
      <c r="I393" s="167"/>
      <c r="J393" s="167"/>
      <c r="K393" s="167"/>
      <c r="L393" s="167"/>
      <c r="M393" s="167"/>
      <c r="N393" s="167"/>
      <c r="O393" s="167"/>
      <c r="P393" s="167"/>
      <c r="Q393" s="167"/>
      <c r="R393" s="167"/>
      <c r="S393" s="167"/>
      <c r="T393" s="167"/>
      <c r="U393" s="167"/>
      <c r="V393" s="167"/>
      <c r="W393" s="167"/>
      <c r="X393" s="167"/>
      <c r="Y393" s="167"/>
      <c r="Z393" s="167"/>
      <c r="AA393" s="167"/>
      <c r="AB393" s="167"/>
      <c r="AC393" s="167"/>
      <c r="AD393" s="167"/>
      <c r="AE393" s="167"/>
      <c r="AF393" s="167"/>
      <c r="AG393" s="167"/>
      <c r="AH393" s="167"/>
      <c r="AI393" s="167"/>
      <c r="AJ393" s="167"/>
      <c r="AK393" s="167"/>
      <c r="AL393" s="167"/>
      <c r="AM393" s="167"/>
      <c r="AN393" s="168"/>
      <c r="AO393" s="168"/>
      <c r="AP393" s="116"/>
      <c r="AQ393" s="117"/>
      <c r="AR393" s="131"/>
      <c r="AS393" s="131"/>
      <c r="AT393" s="131"/>
      <c r="AU393" s="117"/>
      <c r="AW393" s="130"/>
      <c r="BA393" s="130"/>
      <c r="BB393" s="130"/>
      <c r="BC393" s="130"/>
    </row>
    <row r="394" spans="1:55" s="118" customFormat="1" ht="20.100000000000001" customHeight="1">
      <c r="A394" s="167"/>
      <c r="B394" s="167"/>
      <c r="C394" s="167"/>
      <c r="D394" s="167"/>
      <c r="E394" s="167"/>
      <c r="F394" s="167"/>
      <c r="G394" s="167"/>
      <c r="H394" s="167"/>
      <c r="I394" s="167"/>
      <c r="J394" s="167"/>
      <c r="K394" s="167"/>
      <c r="L394" s="167"/>
      <c r="M394" s="167"/>
      <c r="N394" s="167"/>
      <c r="O394" s="167"/>
      <c r="P394" s="167"/>
      <c r="Q394" s="167"/>
      <c r="R394" s="167"/>
      <c r="S394" s="167"/>
      <c r="T394" s="167"/>
      <c r="U394" s="167"/>
      <c r="V394" s="167"/>
      <c r="W394" s="167"/>
      <c r="X394" s="167"/>
      <c r="Y394" s="167"/>
      <c r="Z394" s="167"/>
      <c r="AA394" s="167"/>
      <c r="AB394" s="167"/>
      <c r="AC394" s="167"/>
      <c r="AD394" s="167"/>
      <c r="AE394" s="167"/>
      <c r="AF394" s="167"/>
      <c r="AG394" s="167"/>
      <c r="AH394" s="167"/>
      <c r="AI394" s="167"/>
      <c r="AJ394" s="167"/>
      <c r="AK394" s="167"/>
      <c r="AL394" s="167"/>
      <c r="AM394" s="167"/>
      <c r="AN394" s="168"/>
      <c r="AO394" s="168"/>
      <c r="AP394" s="116"/>
      <c r="AQ394" s="117"/>
      <c r="AR394" s="131"/>
      <c r="AS394" s="131"/>
      <c r="AT394" s="131"/>
      <c r="AU394" s="117"/>
      <c r="AW394" s="130"/>
      <c r="BA394" s="130"/>
      <c r="BB394" s="130"/>
      <c r="BC394" s="130"/>
    </row>
    <row r="395" spans="1:55" s="118" customFormat="1" ht="20.100000000000001" customHeight="1">
      <c r="A395" s="167"/>
      <c r="B395" s="167"/>
      <c r="C395" s="167"/>
      <c r="D395" s="167"/>
      <c r="E395" s="167"/>
      <c r="F395" s="167"/>
      <c r="G395" s="167"/>
      <c r="H395" s="167"/>
      <c r="I395" s="167"/>
      <c r="J395" s="167"/>
      <c r="K395" s="167"/>
      <c r="L395" s="167"/>
      <c r="M395" s="167"/>
      <c r="N395" s="167"/>
      <c r="O395" s="167"/>
      <c r="P395" s="167"/>
      <c r="Q395" s="167"/>
      <c r="R395" s="167"/>
      <c r="S395" s="167"/>
      <c r="T395" s="167"/>
      <c r="U395" s="167"/>
      <c r="V395" s="167"/>
      <c r="W395" s="167"/>
      <c r="X395" s="167"/>
      <c r="Y395" s="167"/>
      <c r="Z395" s="167"/>
      <c r="AA395" s="167"/>
      <c r="AB395" s="167"/>
      <c r="AC395" s="167"/>
      <c r="AD395" s="167"/>
      <c r="AE395" s="167"/>
      <c r="AF395" s="167"/>
      <c r="AG395" s="167"/>
      <c r="AH395" s="167"/>
      <c r="AI395" s="167"/>
      <c r="AJ395" s="167"/>
      <c r="AK395" s="167"/>
      <c r="AL395" s="167"/>
      <c r="AM395" s="167"/>
      <c r="AN395" s="168"/>
      <c r="AO395" s="168"/>
      <c r="AP395" s="116"/>
      <c r="AQ395" s="117"/>
      <c r="AR395" s="131"/>
      <c r="AS395" s="131"/>
      <c r="AT395" s="131"/>
      <c r="AU395" s="117"/>
      <c r="AW395" s="130"/>
      <c r="BA395" s="130"/>
      <c r="BB395" s="130"/>
      <c r="BC395" s="130"/>
    </row>
    <row r="396" spans="1:55" s="118" customFormat="1" ht="20.100000000000001" customHeight="1">
      <c r="A396" s="167"/>
      <c r="B396" s="167"/>
      <c r="C396" s="167"/>
      <c r="D396" s="167"/>
      <c r="E396" s="167"/>
      <c r="F396" s="167"/>
      <c r="G396" s="167"/>
      <c r="H396" s="167"/>
      <c r="I396" s="167"/>
      <c r="J396" s="167"/>
      <c r="K396" s="167"/>
      <c r="L396" s="167"/>
      <c r="M396" s="167"/>
      <c r="N396" s="167"/>
      <c r="O396" s="167"/>
      <c r="P396" s="167"/>
      <c r="Q396" s="167"/>
      <c r="R396" s="167"/>
      <c r="S396" s="167"/>
      <c r="T396" s="167"/>
      <c r="U396" s="167"/>
      <c r="V396" s="167"/>
      <c r="W396" s="167"/>
      <c r="X396" s="167"/>
      <c r="Y396" s="167"/>
      <c r="Z396" s="167"/>
      <c r="AA396" s="167"/>
      <c r="AB396" s="167"/>
      <c r="AC396" s="167"/>
      <c r="AD396" s="167"/>
      <c r="AE396" s="167"/>
      <c r="AF396" s="167"/>
      <c r="AG396" s="167"/>
      <c r="AH396" s="167"/>
      <c r="AI396" s="167"/>
      <c r="AJ396" s="167"/>
      <c r="AK396" s="167"/>
      <c r="AL396" s="167"/>
      <c r="AM396" s="167"/>
      <c r="AN396" s="168"/>
      <c r="AO396" s="168"/>
      <c r="AP396" s="116"/>
      <c r="AQ396" s="117"/>
      <c r="AR396" s="131"/>
      <c r="AS396" s="131"/>
      <c r="AT396" s="131"/>
      <c r="AU396" s="117"/>
      <c r="AW396" s="130"/>
      <c r="BA396" s="130"/>
      <c r="BB396" s="130"/>
      <c r="BC396" s="130"/>
    </row>
    <row r="397" spans="1:55" s="118" customFormat="1" ht="20.100000000000001" customHeight="1">
      <c r="A397" s="167"/>
      <c r="B397" s="167"/>
      <c r="C397" s="167"/>
      <c r="D397" s="167"/>
      <c r="E397" s="167"/>
      <c r="F397" s="167"/>
      <c r="G397" s="167"/>
      <c r="H397" s="167"/>
      <c r="I397" s="167"/>
      <c r="J397" s="167"/>
      <c r="K397" s="167"/>
      <c r="L397" s="167"/>
      <c r="M397" s="167"/>
      <c r="N397" s="167"/>
      <c r="O397" s="167"/>
      <c r="P397" s="167"/>
      <c r="Q397" s="167"/>
      <c r="R397" s="167"/>
      <c r="S397" s="167"/>
      <c r="T397" s="167"/>
      <c r="U397" s="167"/>
      <c r="V397" s="167"/>
      <c r="W397" s="167"/>
      <c r="X397" s="167"/>
      <c r="Y397" s="167"/>
      <c r="Z397" s="167"/>
      <c r="AA397" s="167"/>
      <c r="AB397" s="167"/>
      <c r="AC397" s="167"/>
      <c r="AD397" s="167"/>
      <c r="AE397" s="167"/>
      <c r="AF397" s="167"/>
      <c r="AG397" s="167"/>
      <c r="AH397" s="167"/>
      <c r="AI397" s="167"/>
      <c r="AJ397" s="167"/>
      <c r="AK397" s="167"/>
      <c r="AL397" s="167"/>
      <c r="AM397" s="167"/>
      <c r="AN397" s="168"/>
      <c r="AO397" s="168"/>
      <c r="AP397" s="116"/>
      <c r="AQ397" s="117"/>
      <c r="AR397" s="131"/>
      <c r="AS397" s="131"/>
      <c r="AT397" s="131"/>
      <c r="AU397" s="117"/>
      <c r="AW397" s="130"/>
      <c r="BA397" s="130"/>
      <c r="BB397" s="130"/>
      <c r="BC397" s="130"/>
    </row>
    <row r="398" spans="1:55" s="118" customFormat="1" ht="20.100000000000001" customHeight="1">
      <c r="A398" s="167"/>
      <c r="B398" s="167"/>
      <c r="C398" s="167"/>
      <c r="D398" s="167"/>
      <c r="E398" s="167"/>
      <c r="F398" s="167"/>
      <c r="G398" s="167"/>
      <c r="H398" s="167"/>
      <c r="I398" s="167"/>
      <c r="J398" s="167"/>
      <c r="K398" s="167"/>
      <c r="L398" s="167"/>
      <c r="M398" s="167"/>
      <c r="N398" s="167"/>
      <c r="O398" s="167"/>
      <c r="P398" s="167"/>
      <c r="Q398" s="167"/>
      <c r="R398" s="167"/>
      <c r="S398" s="167"/>
      <c r="T398" s="167"/>
      <c r="U398" s="167"/>
      <c r="V398" s="167"/>
      <c r="W398" s="167"/>
      <c r="X398" s="167"/>
      <c r="Y398" s="167"/>
      <c r="Z398" s="167"/>
      <c r="AA398" s="167"/>
      <c r="AB398" s="167"/>
      <c r="AC398" s="167"/>
      <c r="AD398" s="167"/>
      <c r="AE398" s="167"/>
      <c r="AF398" s="167"/>
      <c r="AG398" s="167"/>
      <c r="AH398" s="167"/>
      <c r="AI398" s="167"/>
      <c r="AJ398" s="167"/>
      <c r="AK398" s="167"/>
      <c r="AL398" s="167"/>
      <c r="AM398" s="167"/>
      <c r="AN398" s="168"/>
      <c r="AO398" s="168"/>
      <c r="AP398" s="116"/>
      <c r="AQ398" s="117"/>
      <c r="AR398" s="131"/>
      <c r="AS398" s="131"/>
      <c r="AT398" s="131"/>
      <c r="AU398" s="117"/>
      <c r="AW398" s="130"/>
      <c r="BA398" s="130"/>
      <c r="BB398" s="130"/>
      <c r="BC398" s="130"/>
    </row>
    <row r="399" spans="1:55" s="118" customFormat="1" ht="20.100000000000001" customHeight="1">
      <c r="A399" s="167"/>
      <c r="B399" s="167"/>
      <c r="C399" s="167"/>
      <c r="D399" s="167"/>
      <c r="E399" s="167"/>
      <c r="F399" s="167"/>
      <c r="G399" s="167"/>
      <c r="H399" s="167"/>
      <c r="I399" s="167"/>
      <c r="J399" s="167"/>
      <c r="K399" s="167"/>
      <c r="L399" s="167"/>
      <c r="M399" s="167"/>
      <c r="N399" s="167"/>
      <c r="O399" s="167"/>
      <c r="P399" s="167"/>
      <c r="Q399" s="167"/>
      <c r="R399" s="167"/>
      <c r="S399" s="167"/>
      <c r="T399" s="167"/>
      <c r="U399" s="167"/>
      <c r="V399" s="167"/>
      <c r="W399" s="167"/>
      <c r="X399" s="167"/>
      <c r="Y399" s="167"/>
      <c r="Z399" s="167"/>
      <c r="AA399" s="167"/>
      <c r="AB399" s="167"/>
      <c r="AC399" s="167"/>
      <c r="AD399" s="167"/>
      <c r="AE399" s="167"/>
      <c r="AF399" s="167"/>
      <c r="AG399" s="167"/>
      <c r="AH399" s="167"/>
      <c r="AI399" s="167"/>
      <c r="AJ399" s="167"/>
      <c r="AK399" s="167"/>
      <c r="AL399" s="167"/>
      <c r="AM399" s="167"/>
      <c r="AN399" s="168"/>
      <c r="AO399" s="168"/>
      <c r="AP399" s="116"/>
      <c r="AQ399" s="117"/>
      <c r="AR399" s="131"/>
      <c r="AS399" s="131"/>
      <c r="AT399" s="131"/>
      <c r="AU399" s="117"/>
      <c r="AW399" s="130"/>
      <c r="BA399" s="130"/>
      <c r="BB399" s="130"/>
      <c r="BC399" s="130"/>
    </row>
    <row r="400" spans="1:55" s="118" customFormat="1" ht="20.100000000000001" customHeight="1">
      <c r="A400" s="167"/>
      <c r="B400" s="167"/>
      <c r="C400" s="167"/>
      <c r="D400" s="167"/>
      <c r="E400" s="167"/>
      <c r="F400" s="167"/>
      <c r="G400" s="167"/>
      <c r="H400" s="167"/>
      <c r="I400" s="167"/>
      <c r="J400" s="167"/>
      <c r="K400" s="167"/>
      <c r="L400" s="167"/>
      <c r="M400" s="167"/>
      <c r="N400" s="167"/>
      <c r="O400" s="167"/>
      <c r="P400" s="167"/>
      <c r="Q400" s="167"/>
      <c r="R400" s="167"/>
      <c r="S400" s="167"/>
      <c r="T400" s="167"/>
      <c r="U400" s="167"/>
      <c r="V400" s="167"/>
      <c r="W400" s="167"/>
      <c r="X400" s="167"/>
      <c r="Y400" s="167"/>
      <c r="Z400" s="167"/>
      <c r="AA400" s="167"/>
      <c r="AB400" s="167"/>
      <c r="AC400" s="167"/>
      <c r="AD400" s="167"/>
      <c r="AE400" s="167"/>
      <c r="AF400" s="167"/>
      <c r="AG400" s="167"/>
      <c r="AH400" s="167"/>
      <c r="AI400" s="167"/>
      <c r="AJ400" s="167"/>
      <c r="AK400" s="167"/>
      <c r="AL400" s="167"/>
      <c r="AM400" s="167"/>
      <c r="AN400" s="168"/>
      <c r="AO400" s="168"/>
      <c r="AP400" s="116"/>
      <c r="AQ400" s="117"/>
      <c r="AR400" s="131"/>
      <c r="AS400" s="131"/>
      <c r="AT400" s="131"/>
      <c r="AU400" s="117"/>
      <c r="AW400" s="130"/>
      <c r="BA400" s="130"/>
      <c r="BB400" s="130"/>
      <c r="BC400" s="130"/>
    </row>
    <row r="401" spans="1:55" s="118" customFormat="1" ht="20.100000000000001" customHeight="1">
      <c r="A401" s="167"/>
      <c r="B401" s="167"/>
      <c r="C401" s="167"/>
      <c r="D401" s="167"/>
      <c r="E401" s="167"/>
      <c r="F401" s="167"/>
      <c r="G401" s="167"/>
      <c r="H401" s="167"/>
      <c r="I401" s="167"/>
      <c r="J401" s="167"/>
      <c r="K401" s="167"/>
      <c r="L401" s="167"/>
      <c r="M401" s="167"/>
      <c r="N401" s="167"/>
      <c r="O401" s="167"/>
      <c r="P401" s="167"/>
      <c r="Q401" s="167"/>
      <c r="R401" s="167"/>
      <c r="S401" s="167"/>
      <c r="T401" s="167"/>
      <c r="U401" s="167"/>
      <c r="V401" s="167"/>
      <c r="W401" s="167"/>
      <c r="X401" s="167"/>
      <c r="Y401" s="167"/>
      <c r="Z401" s="167"/>
      <c r="AA401" s="167"/>
      <c r="AB401" s="167"/>
      <c r="AC401" s="167"/>
      <c r="AD401" s="167"/>
      <c r="AE401" s="167"/>
      <c r="AF401" s="167"/>
      <c r="AG401" s="167"/>
      <c r="AH401" s="167"/>
      <c r="AI401" s="167"/>
      <c r="AJ401" s="167"/>
      <c r="AK401" s="167"/>
      <c r="AL401" s="167"/>
      <c r="AM401" s="167"/>
      <c r="AN401" s="168"/>
      <c r="AO401" s="168"/>
      <c r="AP401" s="116"/>
      <c r="AQ401" s="117"/>
      <c r="AR401" s="131"/>
      <c r="AS401" s="131"/>
      <c r="AT401" s="131"/>
      <c r="AU401" s="117"/>
      <c r="AW401" s="130"/>
      <c r="BA401" s="130"/>
      <c r="BB401" s="130"/>
      <c r="BC401" s="130"/>
    </row>
    <row r="402" spans="1:55" s="118" customFormat="1" ht="20.100000000000001" customHeight="1">
      <c r="A402" s="167"/>
      <c r="B402" s="167"/>
      <c r="C402" s="167"/>
      <c r="D402" s="167"/>
      <c r="E402" s="167"/>
      <c r="F402" s="167"/>
      <c r="G402" s="167"/>
      <c r="H402" s="167"/>
      <c r="I402" s="167"/>
      <c r="J402" s="167"/>
      <c r="K402" s="167"/>
      <c r="L402" s="167"/>
      <c r="M402" s="167"/>
      <c r="N402" s="167"/>
      <c r="O402" s="167"/>
      <c r="P402" s="167"/>
      <c r="Q402" s="167"/>
      <c r="R402" s="167"/>
      <c r="S402" s="167"/>
      <c r="T402" s="167"/>
      <c r="U402" s="167"/>
      <c r="V402" s="167"/>
      <c r="W402" s="167"/>
      <c r="X402" s="167"/>
      <c r="Y402" s="167"/>
      <c r="Z402" s="167"/>
      <c r="AA402" s="167"/>
      <c r="AB402" s="167"/>
      <c r="AC402" s="167"/>
      <c r="AD402" s="167"/>
      <c r="AE402" s="167"/>
      <c r="AF402" s="167"/>
      <c r="AG402" s="167"/>
      <c r="AH402" s="167"/>
      <c r="AI402" s="167"/>
      <c r="AJ402" s="167"/>
      <c r="AK402" s="167"/>
      <c r="AL402" s="167"/>
      <c r="AM402" s="167"/>
      <c r="AN402" s="168"/>
      <c r="AO402" s="168"/>
      <c r="AP402" s="116"/>
      <c r="AQ402" s="117"/>
      <c r="AR402" s="131"/>
      <c r="AS402" s="131"/>
      <c r="AT402" s="131"/>
      <c r="AU402" s="117"/>
      <c r="AW402" s="130"/>
      <c r="BA402" s="130"/>
      <c r="BB402" s="130"/>
      <c r="BC402" s="130"/>
    </row>
    <row r="403" spans="1:55" s="118" customFormat="1" ht="20.100000000000001" customHeight="1">
      <c r="A403" s="167"/>
      <c r="B403" s="167"/>
      <c r="C403" s="167"/>
      <c r="D403" s="167"/>
      <c r="E403" s="167"/>
      <c r="F403" s="167"/>
      <c r="G403" s="167"/>
      <c r="H403" s="167"/>
      <c r="I403" s="167"/>
      <c r="J403" s="167"/>
      <c r="K403" s="167"/>
      <c r="L403" s="167"/>
      <c r="M403" s="167"/>
      <c r="N403" s="167"/>
      <c r="O403" s="167"/>
      <c r="P403" s="167"/>
      <c r="Q403" s="167"/>
      <c r="R403" s="167"/>
      <c r="S403" s="167"/>
      <c r="T403" s="167"/>
      <c r="U403" s="167"/>
      <c r="V403" s="167"/>
      <c r="W403" s="167"/>
      <c r="X403" s="167"/>
      <c r="Y403" s="167"/>
      <c r="Z403" s="167"/>
      <c r="AA403" s="167"/>
      <c r="AB403" s="167"/>
      <c r="AC403" s="167"/>
      <c r="AD403" s="167"/>
      <c r="AE403" s="167"/>
      <c r="AF403" s="167"/>
      <c r="AG403" s="167"/>
      <c r="AH403" s="167"/>
      <c r="AI403" s="167"/>
      <c r="AJ403" s="167"/>
      <c r="AK403" s="167"/>
      <c r="AL403" s="167"/>
      <c r="AM403" s="167"/>
      <c r="AN403" s="168"/>
      <c r="AO403" s="168"/>
      <c r="AP403" s="116"/>
      <c r="AQ403" s="117"/>
      <c r="AR403" s="131"/>
      <c r="AS403" s="131"/>
      <c r="AT403" s="131"/>
      <c r="AU403" s="117"/>
      <c r="AW403" s="130"/>
      <c r="BA403" s="130"/>
      <c r="BB403" s="130"/>
      <c r="BC403" s="130"/>
    </row>
    <row r="404" spans="1:55" s="118" customFormat="1" ht="20.100000000000001" customHeight="1">
      <c r="A404" s="167"/>
      <c r="B404" s="167"/>
      <c r="C404" s="167"/>
      <c r="D404" s="167"/>
      <c r="E404" s="167"/>
      <c r="F404" s="167"/>
      <c r="G404" s="167"/>
      <c r="H404" s="167"/>
      <c r="I404" s="167"/>
      <c r="J404" s="167"/>
      <c r="K404" s="167"/>
      <c r="L404" s="167"/>
      <c r="M404" s="167"/>
      <c r="N404" s="167"/>
      <c r="O404" s="167"/>
      <c r="P404" s="167"/>
      <c r="Q404" s="167"/>
      <c r="R404" s="167"/>
      <c r="S404" s="167"/>
      <c r="T404" s="167"/>
      <c r="U404" s="167"/>
      <c r="V404" s="167"/>
      <c r="W404" s="167"/>
      <c r="X404" s="167"/>
      <c r="Y404" s="167"/>
      <c r="Z404" s="167"/>
      <c r="AA404" s="167"/>
      <c r="AB404" s="167"/>
      <c r="AC404" s="167"/>
      <c r="AD404" s="167"/>
      <c r="AE404" s="167"/>
      <c r="AF404" s="167"/>
      <c r="AG404" s="167"/>
      <c r="AH404" s="167"/>
      <c r="AI404" s="167"/>
      <c r="AJ404" s="167"/>
      <c r="AK404" s="167"/>
      <c r="AL404" s="167"/>
      <c r="AM404" s="167"/>
      <c r="AN404" s="168"/>
      <c r="AO404" s="168"/>
      <c r="AP404" s="116"/>
      <c r="AQ404" s="117"/>
      <c r="AR404" s="131"/>
      <c r="AS404" s="131"/>
      <c r="AT404" s="131"/>
      <c r="AU404" s="117"/>
      <c r="AW404" s="130"/>
      <c r="BA404" s="130"/>
      <c r="BB404" s="130"/>
      <c r="BC404" s="130"/>
    </row>
    <row r="405" spans="1:55" s="118" customFormat="1" ht="20.100000000000001" customHeight="1">
      <c r="A405" s="167"/>
      <c r="B405" s="167"/>
      <c r="C405" s="167"/>
      <c r="D405" s="167"/>
      <c r="E405" s="167"/>
      <c r="F405" s="167"/>
      <c r="G405" s="167"/>
      <c r="H405" s="167"/>
      <c r="I405" s="167"/>
      <c r="J405" s="167"/>
      <c r="K405" s="167"/>
      <c r="L405" s="167"/>
      <c r="M405" s="167"/>
      <c r="N405" s="167"/>
      <c r="O405" s="167"/>
      <c r="P405" s="167"/>
      <c r="Q405" s="167"/>
      <c r="R405" s="167"/>
      <c r="S405" s="167"/>
      <c r="T405" s="167"/>
      <c r="U405" s="167"/>
      <c r="V405" s="167"/>
      <c r="W405" s="167"/>
      <c r="X405" s="167"/>
      <c r="Y405" s="167"/>
      <c r="Z405" s="167"/>
      <c r="AA405" s="167"/>
      <c r="AB405" s="167"/>
      <c r="AC405" s="167"/>
      <c r="AD405" s="167"/>
      <c r="AE405" s="167"/>
      <c r="AF405" s="167"/>
      <c r="AG405" s="167"/>
      <c r="AH405" s="167"/>
      <c r="AI405" s="167"/>
      <c r="AJ405" s="167"/>
      <c r="AK405" s="167"/>
      <c r="AL405" s="167"/>
      <c r="AM405" s="167"/>
      <c r="AN405" s="168"/>
      <c r="AO405" s="168"/>
      <c r="AP405" s="116"/>
      <c r="AQ405" s="117"/>
      <c r="AR405" s="131"/>
      <c r="AS405" s="131"/>
      <c r="AT405" s="131"/>
      <c r="AU405" s="117"/>
      <c r="AW405" s="130"/>
      <c r="BA405" s="130"/>
      <c r="BB405" s="130"/>
      <c r="BC405" s="130"/>
    </row>
    <row r="406" spans="1:55" s="118" customFormat="1" ht="20.100000000000001" customHeight="1">
      <c r="A406" s="167"/>
      <c r="B406" s="167"/>
      <c r="C406" s="167"/>
      <c r="D406" s="167"/>
      <c r="E406" s="167"/>
      <c r="F406" s="167"/>
      <c r="G406" s="167"/>
      <c r="H406" s="167"/>
      <c r="I406" s="167"/>
      <c r="J406" s="167"/>
      <c r="K406" s="167"/>
      <c r="L406" s="167"/>
      <c r="M406" s="167"/>
      <c r="N406" s="167"/>
      <c r="O406" s="167"/>
      <c r="P406" s="167"/>
      <c r="Q406" s="167"/>
      <c r="R406" s="167"/>
      <c r="S406" s="167"/>
      <c r="T406" s="167"/>
      <c r="U406" s="167"/>
      <c r="V406" s="167"/>
      <c r="W406" s="167"/>
      <c r="X406" s="167"/>
      <c r="Y406" s="167"/>
      <c r="Z406" s="167"/>
      <c r="AA406" s="167"/>
      <c r="AB406" s="167"/>
      <c r="AC406" s="167"/>
      <c r="AD406" s="167"/>
      <c r="AE406" s="167"/>
      <c r="AF406" s="167"/>
      <c r="AG406" s="167"/>
      <c r="AH406" s="167"/>
      <c r="AI406" s="167"/>
      <c r="AJ406" s="167"/>
      <c r="AK406" s="167"/>
      <c r="AL406" s="167"/>
      <c r="AM406" s="167"/>
      <c r="AN406" s="168"/>
      <c r="AO406" s="168"/>
      <c r="AP406" s="116"/>
      <c r="AQ406" s="117"/>
      <c r="AR406" s="131"/>
      <c r="AS406" s="131"/>
      <c r="AT406" s="131"/>
      <c r="AU406" s="117"/>
      <c r="AW406" s="130"/>
      <c r="BA406" s="130"/>
      <c r="BB406" s="130"/>
      <c r="BC406" s="130"/>
    </row>
    <row r="407" spans="1:55" s="118" customFormat="1" ht="20.100000000000001" customHeight="1">
      <c r="A407" s="167"/>
      <c r="B407" s="167"/>
      <c r="C407" s="167"/>
      <c r="D407" s="167"/>
      <c r="E407" s="167"/>
      <c r="F407" s="167"/>
      <c r="G407" s="167"/>
      <c r="H407" s="167"/>
      <c r="I407" s="167"/>
      <c r="J407" s="167"/>
      <c r="K407" s="167"/>
      <c r="L407" s="167"/>
      <c r="M407" s="167"/>
      <c r="N407" s="167"/>
      <c r="O407" s="167"/>
      <c r="P407" s="167"/>
      <c r="Q407" s="167"/>
      <c r="R407" s="167"/>
      <c r="S407" s="167"/>
      <c r="T407" s="167"/>
      <c r="U407" s="167"/>
      <c r="V407" s="167"/>
      <c r="W407" s="167"/>
      <c r="X407" s="167"/>
      <c r="Y407" s="167"/>
      <c r="Z407" s="167"/>
      <c r="AA407" s="167"/>
      <c r="AB407" s="167"/>
      <c r="AC407" s="167"/>
      <c r="AD407" s="167"/>
      <c r="AE407" s="167"/>
      <c r="AF407" s="167"/>
      <c r="AG407" s="167"/>
      <c r="AH407" s="167"/>
      <c r="AI407" s="167"/>
      <c r="AJ407" s="167"/>
      <c r="AK407" s="167"/>
      <c r="AL407" s="167"/>
      <c r="AM407" s="167"/>
      <c r="AN407" s="168"/>
      <c r="AO407" s="168"/>
      <c r="AP407" s="116"/>
      <c r="AQ407" s="117"/>
      <c r="AR407" s="131"/>
      <c r="AS407" s="131"/>
      <c r="AT407" s="131"/>
      <c r="AU407" s="117"/>
      <c r="AW407" s="130"/>
      <c r="BA407" s="130"/>
      <c r="BB407" s="130"/>
      <c r="BC407" s="130"/>
    </row>
    <row r="408" spans="1:55" s="118" customFormat="1" ht="20.100000000000001" customHeight="1">
      <c r="A408" s="167"/>
      <c r="B408" s="167"/>
      <c r="C408" s="167"/>
      <c r="D408" s="167"/>
      <c r="E408" s="167"/>
      <c r="F408" s="167"/>
      <c r="G408" s="167"/>
      <c r="H408" s="167"/>
      <c r="I408" s="167"/>
      <c r="J408" s="167"/>
      <c r="K408" s="167"/>
      <c r="L408" s="167"/>
      <c r="M408" s="167"/>
      <c r="N408" s="167"/>
      <c r="O408" s="167"/>
      <c r="P408" s="167"/>
      <c r="Q408" s="167"/>
      <c r="R408" s="167"/>
      <c r="S408" s="167"/>
      <c r="T408" s="167"/>
      <c r="U408" s="167"/>
      <c r="V408" s="167"/>
      <c r="W408" s="167"/>
      <c r="X408" s="167"/>
      <c r="Y408" s="167"/>
      <c r="Z408" s="167"/>
      <c r="AA408" s="167"/>
      <c r="AB408" s="167"/>
      <c r="AC408" s="167"/>
      <c r="AD408" s="167"/>
      <c r="AE408" s="167"/>
      <c r="AF408" s="167"/>
      <c r="AG408" s="167"/>
      <c r="AH408" s="167"/>
      <c r="AI408" s="167"/>
      <c r="AJ408" s="167"/>
      <c r="AK408" s="167"/>
      <c r="AL408" s="167"/>
      <c r="AM408" s="167"/>
      <c r="AN408" s="168"/>
      <c r="AO408" s="168"/>
      <c r="AP408" s="116"/>
      <c r="AQ408" s="117"/>
      <c r="AR408" s="131"/>
      <c r="AS408" s="131"/>
      <c r="AT408" s="131"/>
      <c r="AU408" s="117"/>
      <c r="AW408" s="130"/>
      <c r="BA408" s="130"/>
      <c r="BB408" s="130"/>
      <c r="BC408" s="130"/>
    </row>
    <row r="409" spans="1:55" s="118" customFormat="1" ht="20.100000000000001" customHeight="1">
      <c r="A409" s="167"/>
      <c r="B409" s="167"/>
      <c r="C409" s="167"/>
      <c r="D409" s="167"/>
      <c r="E409" s="167"/>
      <c r="F409" s="167"/>
      <c r="G409" s="167"/>
      <c r="H409" s="167"/>
      <c r="I409" s="167"/>
      <c r="J409" s="167"/>
      <c r="K409" s="167"/>
      <c r="L409" s="167"/>
      <c r="M409" s="167"/>
      <c r="N409" s="167"/>
      <c r="O409" s="167"/>
      <c r="P409" s="167"/>
      <c r="Q409" s="167"/>
      <c r="R409" s="167"/>
      <c r="S409" s="167"/>
      <c r="T409" s="167"/>
      <c r="U409" s="167"/>
      <c r="V409" s="167"/>
      <c r="W409" s="167"/>
      <c r="X409" s="167"/>
      <c r="Y409" s="167"/>
      <c r="Z409" s="167"/>
      <c r="AA409" s="167"/>
      <c r="AB409" s="167"/>
      <c r="AC409" s="167"/>
      <c r="AD409" s="167"/>
      <c r="AE409" s="167"/>
      <c r="AF409" s="167"/>
      <c r="AG409" s="167"/>
      <c r="AH409" s="167"/>
      <c r="AI409" s="167"/>
      <c r="AJ409" s="167"/>
      <c r="AK409" s="167"/>
      <c r="AL409" s="167"/>
      <c r="AM409" s="167"/>
      <c r="AN409" s="168"/>
      <c r="AO409" s="168"/>
      <c r="AP409" s="116"/>
      <c r="AQ409" s="117"/>
      <c r="AR409" s="131"/>
      <c r="AS409" s="131"/>
      <c r="AT409" s="131"/>
      <c r="AU409" s="117"/>
      <c r="AW409" s="130"/>
      <c r="BA409" s="130"/>
      <c r="BB409" s="130"/>
      <c r="BC409" s="130"/>
    </row>
    <row r="410" spans="1:55" s="118" customFormat="1" ht="20.100000000000001" customHeight="1">
      <c r="A410" s="167"/>
      <c r="B410" s="167"/>
      <c r="C410" s="167"/>
      <c r="D410" s="167"/>
      <c r="E410" s="167"/>
      <c r="F410" s="167"/>
      <c r="G410" s="167"/>
      <c r="H410" s="167"/>
      <c r="I410" s="167"/>
      <c r="J410" s="167"/>
      <c r="K410" s="167"/>
      <c r="L410" s="167"/>
      <c r="M410" s="167"/>
      <c r="N410" s="167"/>
      <c r="O410" s="167"/>
      <c r="P410" s="167"/>
      <c r="Q410" s="167"/>
      <c r="R410" s="167"/>
      <c r="S410" s="167"/>
      <c r="T410" s="167"/>
      <c r="U410" s="167"/>
      <c r="V410" s="167"/>
      <c r="W410" s="167"/>
      <c r="X410" s="167"/>
      <c r="Y410" s="167"/>
      <c r="Z410" s="167"/>
      <c r="AA410" s="167"/>
      <c r="AB410" s="167"/>
      <c r="AC410" s="167"/>
      <c r="AD410" s="167"/>
      <c r="AE410" s="167"/>
      <c r="AF410" s="167"/>
      <c r="AG410" s="167"/>
      <c r="AH410" s="167"/>
      <c r="AI410" s="167"/>
      <c r="AJ410" s="167"/>
      <c r="AK410" s="167"/>
      <c r="AL410" s="167"/>
      <c r="AM410" s="167"/>
      <c r="AN410" s="168"/>
      <c r="AO410" s="168"/>
      <c r="AP410" s="116"/>
      <c r="AQ410" s="117"/>
      <c r="AR410" s="131"/>
      <c r="AS410" s="131"/>
      <c r="AT410" s="131"/>
      <c r="AU410" s="117"/>
      <c r="AW410" s="130"/>
      <c r="BA410" s="130"/>
      <c r="BB410" s="130"/>
      <c r="BC410" s="130"/>
    </row>
    <row r="411" spans="1:55" s="118" customFormat="1" ht="20.100000000000001" customHeight="1">
      <c r="A411" s="167"/>
      <c r="B411" s="167"/>
      <c r="C411" s="167"/>
      <c r="D411" s="167"/>
      <c r="E411" s="167"/>
      <c r="F411" s="167"/>
      <c r="G411" s="167"/>
      <c r="H411" s="167"/>
      <c r="I411" s="167"/>
      <c r="J411" s="167"/>
      <c r="K411" s="167"/>
      <c r="L411" s="167"/>
      <c r="M411" s="167"/>
      <c r="N411" s="167"/>
      <c r="O411" s="167"/>
      <c r="P411" s="167"/>
      <c r="Q411" s="167"/>
      <c r="R411" s="167"/>
      <c r="S411" s="167"/>
      <c r="T411" s="167"/>
      <c r="U411" s="167"/>
      <c r="V411" s="167"/>
      <c r="W411" s="167"/>
      <c r="X411" s="167"/>
      <c r="Y411" s="167"/>
      <c r="Z411" s="167"/>
      <c r="AA411" s="167"/>
      <c r="AB411" s="167"/>
      <c r="AC411" s="167"/>
      <c r="AD411" s="167"/>
      <c r="AE411" s="167"/>
      <c r="AF411" s="167"/>
      <c r="AG411" s="167"/>
      <c r="AH411" s="167"/>
      <c r="AI411" s="167"/>
      <c r="AJ411" s="167"/>
      <c r="AK411" s="167"/>
      <c r="AL411" s="167"/>
      <c r="AM411" s="167"/>
      <c r="AN411" s="168"/>
      <c r="AO411" s="168"/>
      <c r="AP411" s="116"/>
      <c r="AQ411" s="117"/>
      <c r="AR411" s="131"/>
      <c r="AS411" s="131"/>
      <c r="AT411" s="131"/>
      <c r="AU411" s="117"/>
      <c r="AW411" s="130"/>
      <c r="BA411" s="130"/>
      <c r="BB411" s="130"/>
      <c r="BC411" s="130"/>
    </row>
    <row r="412" spans="1:55" s="118" customFormat="1" ht="20.100000000000001" customHeight="1">
      <c r="A412" s="167"/>
      <c r="B412" s="167"/>
      <c r="C412" s="167"/>
      <c r="D412" s="167"/>
      <c r="E412" s="167"/>
      <c r="F412" s="167"/>
      <c r="G412" s="167"/>
      <c r="H412" s="167"/>
      <c r="I412" s="167"/>
      <c r="J412" s="167"/>
      <c r="K412" s="167"/>
      <c r="L412" s="167"/>
      <c r="M412" s="167"/>
      <c r="N412" s="167"/>
      <c r="O412" s="167"/>
      <c r="P412" s="167"/>
      <c r="Q412" s="167"/>
      <c r="R412" s="167"/>
      <c r="S412" s="167"/>
      <c r="T412" s="167"/>
      <c r="U412" s="167"/>
      <c r="V412" s="167"/>
      <c r="W412" s="167"/>
      <c r="X412" s="167"/>
      <c r="Y412" s="167"/>
      <c r="Z412" s="167"/>
      <c r="AA412" s="167"/>
      <c r="AB412" s="167"/>
      <c r="AC412" s="167"/>
      <c r="AD412" s="167"/>
      <c r="AE412" s="167"/>
      <c r="AF412" s="167"/>
      <c r="AG412" s="167"/>
      <c r="AH412" s="167"/>
      <c r="AI412" s="167"/>
      <c r="AJ412" s="167"/>
      <c r="AK412" s="167"/>
      <c r="AL412" s="167"/>
      <c r="AM412" s="167"/>
      <c r="AN412" s="168"/>
      <c r="AO412" s="168"/>
      <c r="AP412" s="116"/>
      <c r="AQ412" s="117"/>
      <c r="AR412" s="131"/>
      <c r="AS412" s="131"/>
      <c r="AT412" s="131"/>
      <c r="AU412" s="117"/>
      <c r="AW412" s="130"/>
      <c r="BA412" s="130"/>
      <c r="BB412" s="130"/>
      <c r="BC412" s="130"/>
    </row>
    <row r="413" spans="1:55" s="118" customFormat="1" ht="20.100000000000001" customHeight="1">
      <c r="A413" s="167"/>
      <c r="B413" s="167"/>
      <c r="C413" s="167"/>
      <c r="D413" s="167"/>
      <c r="E413" s="167"/>
      <c r="F413" s="167"/>
      <c r="G413" s="167"/>
      <c r="H413" s="167"/>
      <c r="I413" s="167"/>
      <c r="J413" s="167"/>
      <c r="K413" s="167"/>
      <c r="L413" s="167"/>
      <c r="M413" s="167"/>
      <c r="N413" s="167"/>
      <c r="O413" s="167"/>
      <c r="P413" s="167"/>
      <c r="Q413" s="167"/>
      <c r="R413" s="167"/>
      <c r="S413" s="167"/>
      <c r="T413" s="167"/>
      <c r="U413" s="167"/>
      <c r="V413" s="167"/>
      <c r="W413" s="167"/>
      <c r="X413" s="167"/>
      <c r="Y413" s="167"/>
      <c r="Z413" s="167"/>
      <c r="AA413" s="167"/>
      <c r="AB413" s="167"/>
      <c r="AC413" s="167"/>
      <c r="AD413" s="167"/>
      <c r="AE413" s="167"/>
      <c r="AF413" s="167"/>
      <c r="AG413" s="167"/>
      <c r="AH413" s="167"/>
      <c r="AI413" s="167"/>
      <c r="AJ413" s="167"/>
      <c r="AK413" s="167"/>
      <c r="AL413" s="167"/>
      <c r="AM413" s="167"/>
      <c r="AN413" s="168"/>
      <c r="AO413" s="168"/>
      <c r="AP413" s="116"/>
      <c r="AQ413" s="117"/>
      <c r="AR413" s="131"/>
      <c r="AS413" s="131"/>
      <c r="AT413" s="131"/>
      <c r="AU413" s="117"/>
      <c r="AW413" s="130"/>
      <c r="BA413" s="130"/>
      <c r="BB413" s="130"/>
      <c r="BC413" s="130"/>
    </row>
    <row r="414" spans="1:55" s="118" customFormat="1" ht="20.100000000000001" customHeight="1">
      <c r="A414" s="167"/>
      <c r="B414" s="167"/>
      <c r="C414" s="167"/>
      <c r="D414" s="167"/>
      <c r="E414" s="167"/>
      <c r="F414" s="167"/>
      <c r="G414" s="167"/>
      <c r="H414" s="167"/>
      <c r="I414" s="167"/>
      <c r="J414" s="167"/>
      <c r="K414" s="167"/>
      <c r="L414" s="167"/>
      <c r="M414" s="167"/>
      <c r="N414" s="167"/>
      <c r="O414" s="167"/>
      <c r="P414" s="167"/>
      <c r="Q414" s="167"/>
      <c r="R414" s="167"/>
      <c r="S414" s="167"/>
      <c r="T414" s="167"/>
      <c r="U414" s="167"/>
      <c r="V414" s="167"/>
      <c r="W414" s="167"/>
      <c r="X414" s="167"/>
      <c r="Y414" s="167"/>
      <c r="Z414" s="167"/>
      <c r="AA414" s="167"/>
      <c r="AB414" s="167"/>
      <c r="AC414" s="167"/>
      <c r="AD414" s="167"/>
      <c r="AE414" s="167"/>
      <c r="AF414" s="167"/>
      <c r="AG414" s="167"/>
      <c r="AH414" s="167"/>
      <c r="AI414" s="167"/>
      <c r="AJ414" s="167"/>
      <c r="AK414" s="167"/>
      <c r="AL414" s="167"/>
      <c r="AM414" s="167"/>
      <c r="AN414" s="168"/>
      <c r="AO414" s="168"/>
      <c r="AP414" s="116"/>
      <c r="AQ414" s="117"/>
      <c r="AR414" s="131"/>
      <c r="AS414" s="131"/>
      <c r="AT414" s="131"/>
      <c r="AU414" s="117"/>
      <c r="AW414" s="130"/>
      <c r="BA414" s="130"/>
      <c r="BB414" s="130"/>
      <c r="BC414" s="130"/>
    </row>
    <row r="415" spans="1:55" s="118" customFormat="1" ht="20.100000000000001" customHeight="1">
      <c r="A415" s="167"/>
      <c r="B415" s="167"/>
      <c r="C415" s="167"/>
      <c r="D415" s="167"/>
      <c r="E415" s="167"/>
      <c r="F415" s="167"/>
      <c r="G415" s="167"/>
      <c r="H415" s="167"/>
      <c r="I415" s="167"/>
      <c r="J415" s="167"/>
      <c r="K415" s="167"/>
      <c r="L415" s="167"/>
      <c r="M415" s="167"/>
      <c r="N415" s="167"/>
      <c r="O415" s="167"/>
      <c r="P415" s="167"/>
      <c r="Q415" s="167"/>
      <c r="R415" s="167"/>
      <c r="S415" s="167"/>
      <c r="T415" s="167"/>
      <c r="U415" s="167"/>
      <c r="V415" s="167"/>
      <c r="W415" s="167"/>
      <c r="X415" s="167"/>
      <c r="Y415" s="167"/>
      <c r="Z415" s="167"/>
      <c r="AA415" s="167"/>
      <c r="AB415" s="167"/>
      <c r="AC415" s="167"/>
      <c r="AD415" s="167"/>
      <c r="AE415" s="167"/>
      <c r="AF415" s="167"/>
      <c r="AG415" s="167"/>
      <c r="AH415" s="167"/>
      <c r="AI415" s="167"/>
      <c r="AJ415" s="167"/>
      <c r="AK415" s="167"/>
      <c r="AL415" s="167"/>
      <c r="AM415" s="167"/>
      <c r="AN415" s="168"/>
      <c r="AO415" s="168"/>
      <c r="AP415" s="116"/>
      <c r="AQ415" s="117"/>
      <c r="AR415" s="131"/>
      <c r="AS415" s="131"/>
      <c r="AT415" s="131"/>
      <c r="AU415" s="117"/>
      <c r="AW415" s="130"/>
      <c r="BA415" s="130"/>
      <c r="BB415" s="130"/>
      <c r="BC415" s="130"/>
    </row>
    <row r="416" spans="1:55" s="118" customFormat="1" ht="20.100000000000001" customHeight="1">
      <c r="A416" s="167"/>
      <c r="B416" s="167"/>
      <c r="C416" s="167"/>
      <c r="D416" s="167"/>
      <c r="E416" s="167"/>
      <c r="F416" s="167"/>
      <c r="G416" s="167"/>
      <c r="H416" s="167"/>
      <c r="I416" s="167"/>
      <c r="J416" s="167"/>
      <c r="K416" s="167"/>
      <c r="L416" s="167"/>
      <c r="M416" s="167"/>
      <c r="N416" s="167"/>
      <c r="O416" s="167"/>
      <c r="P416" s="167"/>
      <c r="Q416" s="167"/>
      <c r="R416" s="167"/>
      <c r="S416" s="167"/>
      <c r="T416" s="167"/>
      <c r="U416" s="167"/>
      <c r="V416" s="167"/>
      <c r="W416" s="167"/>
      <c r="X416" s="167"/>
      <c r="Y416" s="167"/>
      <c r="Z416" s="167"/>
      <c r="AA416" s="167"/>
      <c r="AB416" s="167"/>
      <c r="AC416" s="167"/>
      <c r="AD416" s="167"/>
      <c r="AE416" s="167"/>
      <c r="AF416" s="167"/>
      <c r="AG416" s="167"/>
      <c r="AH416" s="167"/>
      <c r="AI416" s="167"/>
      <c r="AJ416" s="167"/>
      <c r="AK416" s="167"/>
      <c r="AL416" s="167"/>
      <c r="AM416" s="167"/>
      <c r="AN416" s="168"/>
      <c r="AO416" s="168"/>
      <c r="AP416" s="116"/>
      <c r="AQ416" s="117"/>
      <c r="AR416" s="131"/>
      <c r="AS416" s="131"/>
      <c r="AT416" s="131"/>
      <c r="AU416" s="117"/>
      <c r="AW416" s="130"/>
      <c r="BA416" s="130"/>
      <c r="BB416" s="130"/>
      <c r="BC416" s="130"/>
    </row>
    <row r="417" spans="1:55" s="118" customFormat="1" ht="20.100000000000001" customHeight="1">
      <c r="A417" s="167"/>
      <c r="B417" s="167"/>
      <c r="C417" s="167"/>
      <c r="D417" s="167"/>
      <c r="E417" s="167"/>
      <c r="F417" s="167"/>
      <c r="G417" s="167"/>
      <c r="H417" s="167"/>
      <c r="I417" s="167"/>
      <c r="J417" s="167"/>
      <c r="K417" s="167"/>
      <c r="L417" s="167"/>
      <c r="M417" s="167"/>
      <c r="N417" s="167"/>
      <c r="O417" s="167"/>
      <c r="P417" s="167"/>
      <c r="Q417" s="167"/>
      <c r="R417" s="167"/>
      <c r="S417" s="167"/>
      <c r="T417" s="167"/>
      <c r="U417" s="167"/>
      <c r="V417" s="167"/>
      <c r="W417" s="167"/>
      <c r="X417" s="167"/>
      <c r="Y417" s="167"/>
      <c r="Z417" s="167"/>
      <c r="AA417" s="167"/>
      <c r="AB417" s="167"/>
      <c r="AC417" s="167"/>
      <c r="AD417" s="167"/>
      <c r="AE417" s="167"/>
      <c r="AF417" s="167"/>
      <c r="AG417" s="167"/>
      <c r="AH417" s="167"/>
      <c r="AI417" s="167"/>
      <c r="AJ417" s="167"/>
      <c r="AK417" s="167"/>
      <c r="AL417" s="167"/>
      <c r="AM417" s="167"/>
      <c r="AN417" s="168"/>
      <c r="AO417" s="168"/>
      <c r="AP417" s="116"/>
      <c r="AQ417" s="117"/>
      <c r="AR417" s="131"/>
      <c r="AS417" s="131"/>
      <c r="AT417" s="131"/>
      <c r="AU417" s="117"/>
      <c r="AW417" s="130"/>
      <c r="BA417" s="130"/>
      <c r="BB417" s="130"/>
      <c r="BC417" s="130"/>
    </row>
    <row r="418" spans="1:55" s="118" customFormat="1" ht="20.100000000000001" customHeight="1">
      <c r="A418" s="167"/>
      <c r="B418" s="167"/>
      <c r="C418" s="167"/>
      <c r="D418" s="167"/>
      <c r="E418" s="167"/>
      <c r="F418" s="167"/>
      <c r="G418" s="167"/>
      <c r="H418" s="167"/>
      <c r="I418" s="167"/>
      <c r="J418" s="167"/>
      <c r="K418" s="167"/>
      <c r="L418" s="167"/>
      <c r="M418" s="167"/>
      <c r="N418" s="167"/>
      <c r="O418" s="167"/>
      <c r="P418" s="167"/>
      <c r="Q418" s="167"/>
      <c r="R418" s="167"/>
      <c r="S418" s="167"/>
      <c r="T418" s="167"/>
      <c r="U418" s="167"/>
      <c r="V418" s="167"/>
      <c r="W418" s="167"/>
      <c r="X418" s="167"/>
      <c r="Y418" s="167"/>
      <c r="Z418" s="167"/>
      <c r="AA418" s="167"/>
      <c r="AB418" s="167"/>
      <c r="AC418" s="167"/>
      <c r="AD418" s="167"/>
      <c r="AE418" s="167"/>
      <c r="AF418" s="167"/>
      <c r="AG418" s="167"/>
      <c r="AH418" s="167"/>
      <c r="AI418" s="167"/>
      <c r="AJ418" s="167"/>
      <c r="AK418" s="167"/>
      <c r="AL418" s="167"/>
      <c r="AM418" s="167"/>
      <c r="AN418" s="168"/>
      <c r="AO418" s="168"/>
      <c r="AP418" s="116"/>
      <c r="AQ418" s="117"/>
      <c r="AR418" s="131"/>
      <c r="AS418" s="131"/>
      <c r="AT418" s="131"/>
      <c r="AU418" s="117"/>
      <c r="AW418" s="130"/>
      <c r="BA418" s="130"/>
      <c r="BB418" s="130"/>
      <c r="BC418" s="130"/>
    </row>
    <row r="419" spans="1:55" s="118" customFormat="1" ht="20.100000000000001" customHeight="1">
      <c r="A419" s="167"/>
      <c r="B419" s="167"/>
      <c r="C419" s="167"/>
      <c r="D419" s="167"/>
      <c r="E419" s="167"/>
      <c r="F419" s="167"/>
      <c r="G419" s="167"/>
      <c r="H419" s="167"/>
      <c r="I419" s="167"/>
      <c r="J419" s="167"/>
      <c r="K419" s="167"/>
      <c r="L419" s="167"/>
      <c r="M419" s="167"/>
      <c r="N419" s="167"/>
      <c r="O419" s="167"/>
      <c r="P419" s="167"/>
      <c r="Q419" s="167"/>
      <c r="R419" s="167"/>
      <c r="S419" s="167"/>
      <c r="T419" s="167"/>
      <c r="U419" s="167"/>
      <c r="V419" s="167"/>
      <c r="W419" s="167"/>
      <c r="X419" s="167"/>
      <c r="Y419" s="167"/>
      <c r="Z419" s="167"/>
      <c r="AA419" s="167"/>
      <c r="AB419" s="167"/>
      <c r="AC419" s="167"/>
      <c r="AD419" s="167"/>
      <c r="AE419" s="167"/>
      <c r="AF419" s="167"/>
      <c r="AG419" s="167"/>
      <c r="AH419" s="167"/>
      <c r="AI419" s="167"/>
      <c r="AJ419" s="167"/>
      <c r="AK419" s="167"/>
      <c r="AL419" s="167"/>
      <c r="AM419" s="167"/>
      <c r="AN419" s="168"/>
      <c r="AO419" s="168"/>
      <c r="AP419" s="116"/>
      <c r="AQ419" s="117"/>
      <c r="AR419" s="131"/>
      <c r="AS419" s="131"/>
      <c r="AT419" s="131"/>
      <c r="AU419" s="117"/>
      <c r="AW419" s="130"/>
      <c r="BA419" s="130"/>
      <c r="BB419" s="130"/>
      <c r="BC419" s="130"/>
    </row>
    <row r="420" spans="1:55" s="118" customFormat="1" ht="20.100000000000001" customHeight="1">
      <c r="A420" s="167"/>
      <c r="B420" s="167"/>
      <c r="C420" s="167"/>
      <c r="D420" s="167"/>
      <c r="E420" s="167"/>
      <c r="F420" s="167"/>
      <c r="G420" s="167"/>
      <c r="H420" s="167"/>
      <c r="I420" s="167"/>
      <c r="J420" s="167"/>
      <c r="K420" s="167"/>
      <c r="L420" s="167"/>
      <c r="M420" s="167"/>
      <c r="N420" s="167"/>
      <c r="O420" s="167"/>
      <c r="P420" s="167"/>
      <c r="Q420" s="167"/>
      <c r="R420" s="167"/>
      <c r="S420" s="167"/>
      <c r="T420" s="167"/>
      <c r="U420" s="167"/>
      <c r="V420" s="167"/>
      <c r="W420" s="167"/>
      <c r="X420" s="167"/>
      <c r="Y420" s="167"/>
      <c r="Z420" s="167"/>
      <c r="AA420" s="167"/>
      <c r="AB420" s="167"/>
      <c r="AC420" s="167"/>
      <c r="AD420" s="167"/>
      <c r="AE420" s="167"/>
      <c r="AF420" s="167"/>
      <c r="AG420" s="167"/>
      <c r="AH420" s="167"/>
      <c r="AI420" s="167"/>
      <c r="AJ420" s="167"/>
      <c r="AK420" s="167"/>
      <c r="AL420" s="167"/>
      <c r="AM420" s="167"/>
      <c r="AN420" s="168"/>
      <c r="AO420" s="168"/>
      <c r="AP420" s="116"/>
      <c r="AQ420" s="117"/>
      <c r="AR420" s="131"/>
      <c r="AS420" s="131"/>
      <c r="AT420" s="131"/>
      <c r="AU420" s="117"/>
      <c r="AW420" s="241"/>
      <c r="BA420" s="130"/>
      <c r="BB420" s="130"/>
      <c r="BC420" s="130"/>
    </row>
    <row r="421" spans="1:55" s="118" customFormat="1" ht="20.100000000000001" customHeight="1">
      <c r="A421" s="167"/>
      <c r="B421" s="167"/>
      <c r="C421" s="167"/>
      <c r="D421" s="167"/>
      <c r="E421" s="167"/>
      <c r="F421" s="167"/>
      <c r="G421" s="167"/>
      <c r="H421" s="167"/>
      <c r="I421" s="167"/>
      <c r="J421" s="167"/>
      <c r="K421" s="167"/>
      <c r="L421" s="167"/>
      <c r="M421" s="167"/>
      <c r="N421" s="167"/>
      <c r="O421" s="167"/>
      <c r="P421" s="167"/>
      <c r="Q421" s="167"/>
      <c r="R421" s="167"/>
      <c r="S421" s="167"/>
      <c r="T421" s="167"/>
      <c r="U421" s="167"/>
      <c r="V421" s="167"/>
      <c r="W421" s="167"/>
      <c r="X421" s="167"/>
      <c r="Y421" s="167"/>
      <c r="Z421" s="167"/>
      <c r="AA421" s="167"/>
      <c r="AB421" s="167"/>
      <c r="AC421" s="167"/>
      <c r="AD421" s="167"/>
      <c r="AE421" s="167"/>
      <c r="AF421" s="167"/>
      <c r="AG421" s="167"/>
      <c r="AH421" s="167"/>
      <c r="AI421" s="167"/>
      <c r="AJ421" s="167"/>
      <c r="AK421" s="167"/>
      <c r="AL421" s="167"/>
      <c r="AM421" s="167"/>
      <c r="AN421" s="168"/>
      <c r="AO421" s="168"/>
      <c r="AP421" s="116"/>
      <c r="AQ421" s="117"/>
      <c r="AR421" s="131"/>
      <c r="AS421" s="131"/>
      <c r="AT421" s="131"/>
      <c r="AU421" s="117"/>
      <c r="AW421" s="241"/>
      <c r="BA421" s="130"/>
      <c r="BB421" s="130"/>
      <c r="BC421" s="130"/>
    </row>
    <row r="422" spans="1:55" s="118" customFormat="1" ht="20.100000000000001" customHeight="1">
      <c r="A422" s="167"/>
      <c r="B422" s="167"/>
      <c r="C422" s="167"/>
      <c r="D422" s="167"/>
      <c r="E422" s="167"/>
      <c r="F422" s="167"/>
      <c r="G422" s="167"/>
      <c r="H422" s="167"/>
      <c r="I422" s="167"/>
      <c r="J422" s="167"/>
      <c r="K422" s="167"/>
      <c r="L422" s="167"/>
      <c r="M422" s="167"/>
      <c r="N422" s="167"/>
      <c r="O422" s="167"/>
      <c r="P422" s="167"/>
      <c r="Q422" s="167"/>
      <c r="R422" s="167"/>
      <c r="S422" s="167"/>
      <c r="T422" s="167"/>
      <c r="U422" s="167"/>
      <c r="V422" s="167"/>
      <c r="W422" s="167"/>
      <c r="X422" s="167"/>
      <c r="Y422" s="167"/>
      <c r="Z422" s="167"/>
      <c r="AA422" s="167"/>
      <c r="AB422" s="167"/>
      <c r="AC422" s="167"/>
      <c r="AD422" s="167"/>
      <c r="AE422" s="167"/>
      <c r="AF422" s="167"/>
      <c r="AG422" s="167"/>
      <c r="AH422" s="167"/>
      <c r="AI422" s="167"/>
      <c r="AJ422" s="167"/>
      <c r="AK422" s="167"/>
      <c r="AL422" s="167"/>
      <c r="AM422" s="167"/>
      <c r="AN422" s="168"/>
      <c r="AO422" s="168"/>
      <c r="AP422" s="116"/>
      <c r="AQ422" s="117"/>
      <c r="AR422" s="131"/>
      <c r="AS422" s="131"/>
      <c r="AT422" s="131"/>
      <c r="AU422" s="117"/>
      <c r="AW422" s="241"/>
      <c r="BA422" s="130"/>
      <c r="BB422" s="130"/>
      <c r="BC422" s="130"/>
    </row>
    <row r="423" spans="1:55" s="118" customFormat="1" ht="20.100000000000001" customHeight="1">
      <c r="A423" s="167"/>
      <c r="B423" s="167"/>
      <c r="C423" s="167"/>
      <c r="D423" s="167"/>
      <c r="E423" s="167"/>
      <c r="F423" s="167"/>
      <c r="G423" s="167"/>
      <c r="H423" s="167"/>
      <c r="I423" s="167"/>
      <c r="J423" s="167"/>
      <c r="K423" s="167"/>
      <c r="L423" s="167"/>
      <c r="M423" s="167"/>
      <c r="N423" s="167"/>
      <c r="O423" s="167"/>
      <c r="P423" s="167"/>
      <c r="Q423" s="167"/>
      <c r="R423" s="167"/>
      <c r="S423" s="167"/>
      <c r="T423" s="167"/>
      <c r="U423" s="167"/>
      <c r="V423" s="167"/>
      <c r="W423" s="167"/>
      <c r="X423" s="167"/>
      <c r="Y423" s="167"/>
      <c r="Z423" s="167"/>
      <c r="AA423" s="167"/>
      <c r="AB423" s="167"/>
      <c r="AC423" s="167"/>
      <c r="AD423" s="167"/>
      <c r="AE423" s="167"/>
      <c r="AF423" s="167"/>
      <c r="AG423" s="167"/>
      <c r="AH423" s="167"/>
      <c r="AI423" s="167"/>
      <c r="AJ423" s="167"/>
      <c r="AK423" s="167"/>
      <c r="AL423" s="167"/>
      <c r="AM423" s="167"/>
      <c r="AN423" s="168"/>
      <c r="AO423" s="168"/>
      <c r="AP423" s="116"/>
      <c r="AQ423" s="117"/>
      <c r="AR423" s="131"/>
      <c r="AS423" s="131"/>
      <c r="AT423" s="131"/>
      <c r="AU423" s="117"/>
      <c r="AW423" s="241"/>
      <c r="BA423" s="130"/>
      <c r="BB423" s="130"/>
      <c r="BC423" s="130"/>
    </row>
    <row r="424" spans="1:55" s="118" customFormat="1" ht="20.100000000000001" customHeight="1">
      <c r="A424" s="167"/>
      <c r="B424" s="167"/>
      <c r="C424" s="167"/>
      <c r="D424" s="167"/>
      <c r="E424" s="167"/>
      <c r="F424" s="167"/>
      <c r="G424" s="167"/>
      <c r="H424" s="167"/>
      <c r="I424" s="167"/>
      <c r="J424" s="167"/>
      <c r="K424" s="167"/>
      <c r="L424" s="167"/>
      <c r="M424" s="167"/>
      <c r="N424" s="167"/>
      <c r="O424" s="167"/>
      <c r="P424" s="167"/>
      <c r="Q424" s="167"/>
      <c r="R424" s="167"/>
      <c r="S424" s="167"/>
      <c r="T424" s="167"/>
      <c r="U424" s="167"/>
      <c r="V424" s="167"/>
      <c r="W424" s="167"/>
      <c r="X424" s="167"/>
      <c r="Y424" s="167"/>
      <c r="Z424" s="167"/>
      <c r="AA424" s="167"/>
      <c r="AB424" s="167"/>
      <c r="AC424" s="167"/>
      <c r="AD424" s="167"/>
      <c r="AE424" s="167"/>
      <c r="AF424" s="167"/>
      <c r="AG424" s="167"/>
      <c r="AH424" s="167"/>
      <c r="AI424" s="167"/>
      <c r="AJ424" s="167"/>
      <c r="AK424" s="167"/>
      <c r="AL424" s="167"/>
      <c r="AM424" s="167"/>
      <c r="AN424" s="168"/>
      <c r="AO424" s="168"/>
      <c r="AP424" s="116"/>
      <c r="AQ424" s="117"/>
      <c r="AR424" s="131"/>
      <c r="AS424" s="131"/>
      <c r="AT424" s="131"/>
      <c r="AU424" s="117"/>
      <c r="AW424" s="241"/>
      <c r="BA424" s="130"/>
      <c r="BB424" s="130"/>
      <c r="BC424" s="130"/>
    </row>
    <row r="425" spans="1:55" s="118" customFormat="1" ht="20.100000000000001" customHeight="1">
      <c r="A425" s="167"/>
      <c r="B425" s="167"/>
      <c r="C425" s="167"/>
      <c r="D425" s="167"/>
      <c r="E425" s="167"/>
      <c r="F425" s="167"/>
      <c r="G425" s="167"/>
      <c r="H425" s="167"/>
      <c r="I425" s="167"/>
      <c r="J425" s="167"/>
      <c r="K425" s="167"/>
      <c r="L425" s="167"/>
      <c r="M425" s="167"/>
      <c r="N425" s="167"/>
      <c r="O425" s="167"/>
      <c r="P425" s="167"/>
      <c r="Q425" s="167"/>
      <c r="R425" s="167"/>
      <c r="S425" s="167"/>
      <c r="T425" s="167"/>
      <c r="U425" s="167"/>
      <c r="V425" s="167"/>
      <c r="W425" s="167"/>
      <c r="X425" s="167"/>
      <c r="Y425" s="167"/>
      <c r="Z425" s="167"/>
      <c r="AA425" s="167"/>
      <c r="AB425" s="167"/>
      <c r="AC425" s="167"/>
      <c r="AD425" s="167"/>
      <c r="AE425" s="167"/>
      <c r="AF425" s="167"/>
      <c r="AG425" s="167"/>
      <c r="AH425" s="167"/>
      <c r="AI425" s="167"/>
      <c r="AJ425" s="167"/>
      <c r="AK425" s="167"/>
      <c r="AL425" s="167"/>
      <c r="AM425" s="167"/>
      <c r="AN425" s="168"/>
      <c r="AO425" s="168"/>
      <c r="AP425" s="116"/>
      <c r="AQ425" s="117"/>
      <c r="AR425" s="131"/>
      <c r="AS425" s="131"/>
      <c r="AT425" s="131"/>
      <c r="AU425" s="117"/>
      <c r="AW425" s="241"/>
      <c r="BA425" s="130"/>
      <c r="BB425" s="130"/>
      <c r="BC425" s="130"/>
    </row>
    <row r="426" spans="1:55" s="118" customFormat="1" ht="20.100000000000001" customHeight="1">
      <c r="A426" s="167"/>
      <c r="B426" s="167"/>
      <c r="C426" s="167"/>
      <c r="D426" s="167"/>
      <c r="E426" s="167"/>
      <c r="F426" s="167"/>
      <c r="G426" s="167"/>
      <c r="H426" s="167"/>
      <c r="I426" s="167"/>
      <c r="J426" s="167"/>
      <c r="K426" s="167"/>
      <c r="L426" s="167"/>
      <c r="M426" s="167"/>
      <c r="N426" s="167"/>
      <c r="O426" s="167"/>
      <c r="P426" s="167"/>
      <c r="Q426" s="167"/>
      <c r="R426" s="167"/>
      <c r="S426" s="167"/>
      <c r="T426" s="167"/>
      <c r="U426" s="167"/>
      <c r="V426" s="167"/>
      <c r="W426" s="167"/>
      <c r="X426" s="167"/>
      <c r="Y426" s="167"/>
      <c r="Z426" s="167"/>
      <c r="AA426" s="167"/>
      <c r="AB426" s="167"/>
      <c r="AC426" s="167"/>
      <c r="AD426" s="167"/>
      <c r="AE426" s="167"/>
      <c r="AF426" s="167"/>
      <c r="AG426" s="167"/>
      <c r="AH426" s="167"/>
      <c r="AI426" s="167"/>
      <c r="AJ426" s="167"/>
      <c r="AK426" s="167"/>
      <c r="AL426" s="167"/>
      <c r="AM426" s="167"/>
      <c r="AN426" s="168"/>
      <c r="AO426" s="168"/>
      <c r="AP426" s="116"/>
      <c r="AQ426" s="117"/>
      <c r="AR426" s="131"/>
      <c r="AS426" s="131"/>
      <c r="AT426" s="131"/>
      <c r="AU426" s="117"/>
      <c r="AW426" s="241"/>
      <c r="BA426" s="130"/>
      <c r="BB426" s="130"/>
      <c r="BC426" s="130"/>
    </row>
    <row r="427" spans="1:55" s="118" customFormat="1" ht="20.100000000000001" customHeight="1">
      <c r="A427" s="167"/>
      <c r="B427" s="167"/>
      <c r="C427" s="167"/>
      <c r="D427" s="167"/>
      <c r="E427" s="167"/>
      <c r="F427" s="167"/>
      <c r="G427" s="167"/>
      <c r="H427" s="167"/>
      <c r="I427" s="167"/>
      <c r="J427" s="167"/>
      <c r="K427" s="167"/>
      <c r="L427" s="167"/>
      <c r="M427" s="167"/>
      <c r="N427" s="167"/>
      <c r="O427" s="167"/>
      <c r="P427" s="167"/>
      <c r="Q427" s="167"/>
      <c r="R427" s="167"/>
      <c r="S427" s="167"/>
      <c r="T427" s="167"/>
      <c r="U427" s="167"/>
      <c r="V427" s="167"/>
      <c r="W427" s="167"/>
      <c r="X427" s="167"/>
      <c r="Y427" s="167"/>
      <c r="Z427" s="167"/>
      <c r="AA427" s="167"/>
      <c r="AB427" s="167"/>
      <c r="AC427" s="167"/>
      <c r="AD427" s="167"/>
      <c r="AE427" s="167"/>
      <c r="AF427" s="167"/>
      <c r="AG427" s="167"/>
      <c r="AH427" s="167"/>
      <c r="AI427" s="167"/>
      <c r="AJ427" s="167"/>
      <c r="AK427" s="167"/>
      <c r="AL427" s="167"/>
      <c r="AM427" s="167"/>
      <c r="AN427" s="168"/>
      <c r="AO427" s="168"/>
      <c r="AP427" s="116"/>
      <c r="AQ427" s="117"/>
      <c r="AR427" s="131"/>
      <c r="AS427" s="131"/>
      <c r="AT427" s="131"/>
      <c r="AU427" s="117"/>
      <c r="AW427" s="241"/>
      <c r="BA427" s="130"/>
      <c r="BB427" s="130"/>
      <c r="BC427" s="130"/>
    </row>
    <row r="428" spans="1:55" s="118" customFormat="1" ht="20.100000000000001" customHeight="1">
      <c r="A428" s="167"/>
      <c r="B428" s="167"/>
      <c r="C428" s="167"/>
      <c r="D428" s="167"/>
      <c r="E428" s="167"/>
      <c r="F428" s="167"/>
      <c r="G428" s="167"/>
      <c r="H428" s="167"/>
      <c r="I428" s="167"/>
      <c r="J428" s="167"/>
      <c r="K428" s="167"/>
      <c r="L428" s="167"/>
      <c r="M428" s="167"/>
      <c r="N428" s="167"/>
      <c r="O428" s="167"/>
      <c r="P428" s="167"/>
      <c r="Q428" s="167"/>
      <c r="R428" s="167"/>
      <c r="S428" s="167"/>
      <c r="T428" s="167"/>
      <c r="U428" s="167"/>
      <c r="V428" s="167"/>
      <c r="W428" s="167"/>
      <c r="X428" s="167"/>
      <c r="Y428" s="167"/>
      <c r="Z428" s="167"/>
      <c r="AA428" s="167"/>
      <c r="AB428" s="167"/>
      <c r="AC428" s="167"/>
      <c r="AD428" s="167"/>
      <c r="AE428" s="167"/>
      <c r="AF428" s="167"/>
      <c r="AG428" s="167"/>
      <c r="AH428" s="167"/>
      <c r="AI428" s="167"/>
      <c r="AJ428" s="167"/>
      <c r="AK428" s="167"/>
      <c r="AL428" s="167"/>
      <c r="AM428" s="167"/>
      <c r="AN428" s="168"/>
      <c r="AO428" s="168"/>
      <c r="AP428" s="116"/>
      <c r="AQ428" s="117"/>
      <c r="AR428" s="131"/>
      <c r="AS428" s="131"/>
      <c r="AT428" s="131"/>
      <c r="AU428" s="117"/>
      <c r="AW428" s="241"/>
      <c r="BA428" s="130"/>
      <c r="BB428" s="130"/>
      <c r="BC428" s="130"/>
    </row>
    <row r="429" spans="1:55" s="118" customFormat="1" ht="20.100000000000001" customHeight="1">
      <c r="A429" s="167"/>
      <c r="B429" s="167"/>
      <c r="C429" s="167"/>
      <c r="D429" s="167"/>
      <c r="E429" s="167"/>
      <c r="F429" s="167"/>
      <c r="G429" s="167"/>
      <c r="H429" s="167"/>
      <c r="I429" s="167"/>
      <c r="J429" s="167"/>
      <c r="K429" s="167"/>
      <c r="L429" s="167"/>
      <c r="M429" s="167"/>
      <c r="N429" s="167"/>
      <c r="O429" s="167"/>
      <c r="P429" s="167"/>
      <c r="Q429" s="167"/>
      <c r="R429" s="167"/>
      <c r="S429" s="167"/>
      <c r="T429" s="167"/>
      <c r="U429" s="167"/>
      <c r="V429" s="167"/>
      <c r="W429" s="167"/>
      <c r="X429" s="167"/>
      <c r="Y429" s="167"/>
      <c r="Z429" s="167"/>
      <c r="AA429" s="167"/>
      <c r="AB429" s="167"/>
      <c r="AC429" s="167"/>
      <c r="AD429" s="167"/>
      <c r="AE429" s="167"/>
      <c r="AF429" s="167"/>
      <c r="AG429" s="167"/>
      <c r="AH429" s="167"/>
      <c r="AI429" s="167"/>
      <c r="AJ429" s="167"/>
      <c r="AK429" s="167"/>
      <c r="AL429" s="167"/>
      <c r="AM429" s="167"/>
      <c r="AN429" s="168"/>
      <c r="AO429" s="168"/>
      <c r="AP429" s="116"/>
      <c r="AQ429" s="117"/>
      <c r="AR429" s="131"/>
      <c r="AS429" s="131"/>
      <c r="AT429" s="131"/>
      <c r="AU429" s="117"/>
      <c r="AW429" s="241"/>
      <c r="BA429" s="130"/>
      <c r="BB429" s="130"/>
      <c r="BC429" s="130"/>
    </row>
    <row r="430" spans="1:55" s="118" customFormat="1" ht="20.100000000000001" customHeight="1">
      <c r="A430" s="167"/>
      <c r="B430" s="167"/>
      <c r="C430" s="167"/>
      <c r="D430" s="167"/>
      <c r="E430" s="167"/>
      <c r="F430" s="167"/>
      <c r="G430" s="167"/>
      <c r="H430" s="167"/>
      <c r="I430" s="167"/>
      <c r="J430" s="167"/>
      <c r="K430" s="167"/>
      <c r="L430" s="167"/>
      <c r="M430" s="167"/>
      <c r="N430" s="167"/>
      <c r="O430" s="167"/>
      <c r="P430" s="167"/>
      <c r="Q430" s="167"/>
      <c r="R430" s="167"/>
      <c r="S430" s="167"/>
      <c r="T430" s="167"/>
      <c r="U430" s="167"/>
      <c r="V430" s="167"/>
      <c r="W430" s="167"/>
      <c r="X430" s="167"/>
      <c r="Y430" s="167"/>
      <c r="Z430" s="167"/>
      <c r="AA430" s="167"/>
      <c r="AB430" s="167"/>
      <c r="AC430" s="167"/>
      <c r="AD430" s="167"/>
      <c r="AE430" s="167"/>
      <c r="AF430" s="167"/>
      <c r="AG430" s="167"/>
      <c r="AH430" s="167"/>
      <c r="AI430" s="167"/>
      <c r="AJ430" s="167"/>
      <c r="AK430" s="167"/>
      <c r="AL430" s="167"/>
      <c r="AM430" s="167"/>
      <c r="AN430" s="168"/>
      <c r="AO430" s="168"/>
      <c r="AP430" s="116"/>
      <c r="AQ430" s="117"/>
      <c r="AR430" s="131"/>
      <c r="AS430" s="131"/>
      <c r="AT430" s="131"/>
      <c r="AU430" s="117"/>
      <c r="AW430" s="241"/>
      <c r="BA430" s="130"/>
      <c r="BB430" s="130"/>
      <c r="BC430" s="130"/>
    </row>
    <row r="431" spans="1:55" s="118" customFormat="1" ht="20.100000000000001" customHeight="1">
      <c r="A431" s="167"/>
      <c r="B431" s="167"/>
      <c r="C431" s="167"/>
      <c r="D431" s="167"/>
      <c r="E431" s="167"/>
      <c r="F431" s="167"/>
      <c r="G431" s="167"/>
      <c r="H431" s="167"/>
      <c r="I431" s="167"/>
      <c r="J431" s="167"/>
      <c r="K431" s="167"/>
      <c r="L431" s="167"/>
      <c r="M431" s="167"/>
      <c r="N431" s="167"/>
      <c r="O431" s="167"/>
      <c r="P431" s="167"/>
      <c r="Q431" s="167"/>
      <c r="R431" s="167"/>
      <c r="S431" s="167"/>
      <c r="T431" s="167"/>
      <c r="U431" s="167"/>
      <c r="V431" s="167"/>
      <c r="W431" s="167"/>
      <c r="X431" s="167"/>
      <c r="Y431" s="167"/>
      <c r="Z431" s="167"/>
      <c r="AA431" s="167"/>
      <c r="AB431" s="167"/>
      <c r="AC431" s="167"/>
      <c r="AD431" s="167"/>
      <c r="AE431" s="167"/>
      <c r="AF431" s="167"/>
      <c r="AG431" s="167"/>
      <c r="AH431" s="167"/>
      <c r="AI431" s="167"/>
      <c r="AJ431" s="167"/>
      <c r="AK431" s="167"/>
      <c r="AL431" s="167"/>
      <c r="AM431" s="167"/>
      <c r="AN431" s="168"/>
      <c r="AO431" s="168"/>
      <c r="AP431" s="116"/>
      <c r="AQ431" s="117"/>
      <c r="AR431" s="131"/>
      <c r="AS431" s="131"/>
      <c r="AT431" s="131"/>
      <c r="AU431" s="117"/>
      <c r="AW431" s="241"/>
      <c r="BA431" s="130"/>
      <c r="BB431" s="130"/>
      <c r="BC431" s="130"/>
    </row>
    <row r="432" spans="1:55" s="118" customFormat="1" ht="20.100000000000001" customHeight="1">
      <c r="A432" s="167"/>
      <c r="B432" s="167"/>
      <c r="C432" s="167"/>
      <c r="D432" s="167"/>
      <c r="E432" s="167"/>
      <c r="F432" s="167"/>
      <c r="G432" s="167"/>
      <c r="H432" s="167"/>
      <c r="I432" s="167"/>
      <c r="J432" s="167"/>
      <c r="K432" s="167"/>
      <c r="L432" s="167"/>
      <c r="M432" s="167"/>
      <c r="N432" s="167"/>
      <c r="O432" s="167"/>
      <c r="P432" s="167"/>
      <c r="Q432" s="167"/>
      <c r="R432" s="167"/>
      <c r="S432" s="167"/>
      <c r="T432" s="167"/>
      <c r="U432" s="167"/>
      <c r="V432" s="167"/>
      <c r="W432" s="167"/>
      <c r="X432" s="167"/>
      <c r="Y432" s="167"/>
      <c r="Z432" s="167"/>
      <c r="AA432" s="167"/>
      <c r="AB432" s="167"/>
      <c r="AC432" s="167"/>
      <c r="AD432" s="167"/>
      <c r="AE432" s="167"/>
      <c r="AF432" s="167"/>
      <c r="AG432" s="167"/>
      <c r="AH432" s="167"/>
      <c r="AI432" s="167"/>
      <c r="AJ432" s="167"/>
      <c r="AK432" s="167"/>
      <c r="AL432" s="167"/>
      <c r="AM432" s="167"/>
      <c r="AN432" s="168"/>
      <c r="AO432" s="168"/>
      <c r="AP432" s="116"/>
      <c r="AQ432" s="117"/>
      <c r="AR432" s="131"/>
      <c r="AS432" s="131"/>
      <c r="AT432" s="131"/>
      <c r="AU432" s="117"/>
      <c r="AW432" s="241"/>
      <c r="BA432" s="130"/>
      <c r="BB432" s="130"/>
      <c r="BC432" s="130"/>
    </row>
    <row r="433" spans="1:55" s="118" customFormat="1" ht="20.100000000000001" customHeight="1">
      <c r="A433" s="167"/>
      <c r="B433" s="167"/>
      <c r="C433" s="167"/>
      <c r="D433" s="167"/>
      <c r="E433" s="167"/>
      <c r="F433" s="167"/>
      <c r="G433" s="167"/>
      <c r="H433" s="167"/>
      <c r="I433" s="167"/>
      <c r="J433" s="167"/>
      <c r="K433" s="167"/>
      <c r="L433" s="167"/>
      <c r="M433" s="167"/>
      <c r="N433" s="167"/>
      <c r="O433" s="167"/>
      <c r="P433" s="167"/>
      <c r="Q433" s="167"/>
      <c r="R433" s="167"/>
      <c r="S433" s="167"/>
      <c r="T433" s="167"/>
      <c r="U433" s="167"/>
      <c r="V433" s="167"/>
      <c r="W433" s="167"/>
      <c r="X433" s="167"/>
      <c r="Y433" s="167"/>
      <c r="Z433" s="167"/>
      <c r="AA433" s="167"/>
      <c r="AB433" s="167"/>
      <c r="AC433" s="167"/>
      <c r="AD433" s="167"/>
      <c r="AE433" s="167"/>
      <c r="AF433" s="167"/>
      <c r="AG433" s="167"/>
      <c r="AH433" s="167"/>
      <c r="AI433" s="167"/>
      <c r="AJ433" s="167"/>
      <c r="AK433" s="167"/>
      <c r="AL433" s="167"/>
      <c r="AM433" s="167"/>
      <c r="AN433" s="168"/>
      <c r="AO433" s="168"/>
      <c r="AP433" s="116"/>
      <c r="AQ433" s="117"/>
      <c r="AR433" s="131"/>
      <c r="AS433" s="131"/>
      <c r="AT433" s="131"/>
      <c r="AU433" s="117"/>
      <c r="AW433" s="241"/>
      <c r="BA433" s="130"/>
      <c r="BB433" s="130"/>
      <c r="BC433" s="130"/>
    </row>
    <row r="434" spans="1:55" s="118" customFormat="1" ht="20.100000000000001" customHeight="1">
      <c r="A434" s="167"/>
      <c r="B434" s="167"/>
      <c r="C434" s="167"/>
      <c r="D434" s="167"/>
      <c r="E434" s="167"/>
      <c r="F434" s="167"/>
      <c r="G434" s="167"/>
      <c r="H434" s="167"/>
      <c r="I434" s="167"/>
      <c r="J434" s="167"/>
      <c r="K434" s="167"/>
      <c r="L434" s="167"/>
      <c r="M434" s="167"/>
      <c r="N434" s="167"/>
      <c r="O434" s="167"/>
      <c r="P434" s="167"/>
      <c r="Q434" s="167"/>
      <c r="R434" s="167"/>
      <c r="S434" s="167"/>
      <c r="T434" s="167"/>
      <c r="U434" s="167"/>
      <c r="V434" s="167"/>
      <c r="W434" s="167"/>
      <c r="X434" s="167"/>
      <c r="Y434" s="167"/>
      <c r="Z434" s="167"/>
      <c r="AA434" s="167"/>
      <c r="AB434" s="167"/>
      <c r="AC434" s="167"/>
      <c r="AD434" s="167"/>
      <c r="AE434" s="167"/>
      <c r="AF434" s="167"/>
      <c r="AG434" s="167"/>
      <c r="AH434" s="167"/>
      <c r="AI434" s="167"/>
      <c r="AJ434" s="167"/>
      <c r="AK434" s="167"/>
      <c r="AL434" s="167"/>
      <c r="AM434" s="167"/>
      <c r="AN434" s="168"/>
      <c r="AO434" s="168"/>
      <c r="AP434" s="116"/>
      <c r="AQ434" s="117"/>
      <c r="AR434" s="131"/>
      <c r="AS434" s="131"/>
      <c r="AT434" s="131"/>
      <c r="AU434" s="117"/>
      <c r="AW434" s="241"/>
      <c r="BA434" s="130"/>
      <c r="BB434" s="130"/>
      <c r="BC434" s="130"/>
    </row>
    <row r="435" spans="1:55" s="118" customFormat="1" ht="20.100000000000001" customHeight="1">
      <c r="A435" s="167"/>
      <c r="B435" s="167"/>
      <c r="C435" s="167"/>
      <c r="D435" s="167"/>
      <c r="E435" s="167"/>
      <c r="F435" s="167"/>
      <c r="G435" s="167"/>
      <c r="H435" s="167"/>
      <c r="I435" s="167"/>
      <c r="J435" s="167"/>
      <c r="K435" s="167"/>
      <c r="L435" s="167"/>
      <c r="M435" s="167"/>
      <c r="N435" s="167"/>
      <c r="O435" s="167"/>
      <c r="P435" s="167"/>
      <c r="Q435" s="167"/>
      <c r="R435" s="167"/>
      <c r="S435" s="167"/>
      <c r="T435" s="167"/>
      <c r="U435" s="167"/>
      <c r="V435" s="167"/>
      <c r="W435" s="167"/>
      <c r="X435" s="167"/>
      <c r="Y435" s="167"/>
      <c r="Z435" s="167"/>
      <c r="AA435" s="167"/>
      <c r="AB435" s="167"/>
      <c r="AC435" s="167"/>
      <c r="AD435" s="167"/>
      <c r="AE435" s="167"/>
      <c r="AF435" s="167"/>
      <c r="AG435" s="167"/>
      <c r="AH435" s="167"/>
      <c r="AI435" s="167"/>
      <c r="AJ435" s="167"/>
      <c r="AK435" s="167"/>
      <c r="AL435" s="167"/>
      <c r="AM435" s="167"/>
      <c r="AN435" s="168"/>
      <c r="AO435" s="168"/>
      <c r="AP435" s="116"/>
      <c r="AQ435" s="117"/>
      <c r="AR435" s="131"/>
      <c r="AS435" s="131"/>
      <c r="AT435" s="131"/>
      <c r="AU435" s="117"/>
      <c r="AW435" s="241"/>
      <c r="BA435" s="130"/>
      <c r="BB435" s="130"/>
      <c r="BC435" s="130"/>
    </row>
    <row r="436" spans="1:55" s="118" customFormat="1" ht="20.100000000000001" customHeight="1">
      <c r="A436" s="167"/>
      <c r="B436" s="167"/>
      <c r="C436" s="167"/>
      <c r="D436" s="167"/>
      <c r="E436" s="167"/>
      <c r="F436" s="167"/>
      <c r="G436" s="167"/>
      <c r="H436" s="167"/>
      <c r="I436" s="167"/>
      <c r="J436" s="167"/>
      <c r="K436" s="167"/>
      <c r="L436" s="167"/>
      <c r="M436" s="167"/>
      <c r="N436" s="167"/>
      <c r="O436" s="167"/>
      <c r="P436" s="167"/>
      <c r="Q436" s="167"/>
      <c r="R436" s="167"/>
      <c r="S436" s="167"/>
      <c r="T436" s="167"/>
      <c r="U436" s="167"/>
      <c r="V436" s="167"/>
      <c r="W436" s="167"/>
      <c r="X436" s="167"/>
      <c r="Y436" s="167"/>
      <c r="Z436" s="167"/>
      <c r="AA436" s="167"/>
      <c r="AB436" s="167"/>
      <c r="AC436" s="167"/>
      <c r="AD436" s="167"/>
      <c r="AE436" s="167"/>
      <c r="AF436" s="167"/>
      <c r="AG436" s="167"/>
      <c r="AH436" s="167"/>
      <c r="AI436" s="167"/>
      <c r="AJ436" s="167"/>
      <c r="AK436" s="167"/>
      <c r="AL436" s="167"/>
      <c r="AM436" s="167"/>
      <c r="AN436" s="168"/>
      <c r="AO436" s="168"/>
      <c r="AP436" s="116"/>
      <c r="AQ436" s="117"/>
      <c r="AR436" s="131"/>
      <c r="AS436" s="131"/>
      <c r="AT436" s="131"/>
      <c r="AU436" s="117"/>
      <c r="AW436" s="241"/>
      <c r="AX436" s="119"/>
      <c r="BA436" s="130"/>
      <c r="BB436" s="130"/>
      <c r="BC436" s="130"/>
    </row>
    <row r="437" spans="1:55" s="118" customFormat="1" ht="20.100000000000001" customHeight="1">
      <c r="A437" s="167"/>
      <c r="B437" s="167"/>
      <c r="C437" s="167"/>
      <c r="D437" s="167"/>
      <c r="E437" s="167"/>
      <c r="F437" s="167"/>
      <c r="G437" s="167"/>
      <c r="H437" s="167"/>
      <c r="I437" s="167"/>
      <c r="J437" s="167"/>
      <c r="K437" s="167"/>
      <c r="L437" s="167"/>
      <c r="M437" s="167"/>
      <c r="N437" s="167"/>
      <c r="O437" s="167"/>
      <c r="P437" s="167"/>
      <c r="Q437" s="167"/>
      <c r="R437" s="167"/>
      <c r="S437" s="167"/>
      <c r="T437" s="167"/>
      <c r="U437" s="167"/>
      <c r="V437" s="167"/>
      <c r="W437" s="167"/>
      <c r="X437" s="167"/>
      <c r="Y437" s="167"/>
      <c r="Z437" s="167"/>
      <c r="AA437" s="167"/>
      <c r="AB437" s="167"/>
      <c r="AC437" s="167"/>
      <c r="AD437" s="167"/>
      <c r="AE437" s="167"/>
      <c r="AF437" s="167"/>
      <c r="AG437" s="167"/>
      <c r="AH437" s="167"/>
      <c r="AI437" s="167"/>
      <c r="AJ437" s="167"/>
      <c r="AK437" s="167"/>
      <c r="AL437" s="167"/>
      <c r="AM437" s="167"/>
      <c r="AN437" s="168"/>
      <c r="AO437" s="168"/>
      <c r="AP437" s="116"/>
      <c r="AQ437" s="117"/>
      <c r="AR437" s="131"/>
      <c r="AS437" s="131"/>
      <c r="AT437" s="131"/>
      <c r="AU437" s="117"/>
      <c r="AW437" s="241"/>
      <c r="AX437" s="119"/>
      <c r="BA437" s="130"/>
      <c r="BB437" s="130"/>
      <c r="BC437" s="130"/>
    </row>
    <row r="438" spans="1:55" ht="20.100000000000001" customHeight="1">
      <c r="A438" s="167"/>
    </row>
    <row r="439" spans="1:55" ht="20.100000000000001" customHeight="1">
      <c r="A439" s="167"/>
    </row>
    <row r="440" spans="1:55" ht="20.100000000000001" customHeight="1">
      <c r="A440" s="167"/>
    </row>
    <row r="441" spans="1:55" ht="20.100000000000001" customHeight="1">
      <c r="A441" s="167"/>
    </row>
    <row r="442" spans="1:55" ht="20.100000000000001" customHeight="1">
      <c r="A442" s="167"/>
    </row>
    <row r="443" spans="1:55" ht="20.100000000000001" customHeight="1">
      <c r="A443" s="167"/>
    </row>
    <row r="444" spans="1:55" ht="20.100000000000001" customHeight="1">
      <c r="A444" s="167"/>
    </row>
    <row r="445" spans="1:55" ht="20.100000000000001" customHeight="1">
      <c r="A445" s="167"/>
    </row>
    <row r="446" spans="1:55" ht="20.100000000000001" customHeight="1">
      <c r="A446" s="167"/>
    </row>
    <row r="447" spans="1:55" ht="20.100000000000001" customHeight="1">
      <c r="A447" s="167"/>
    </row>
    <row r="448" spans="1:55" ht="20.100000000000001" customHeight="1">
      <c r="A448" s="167"/>
    </row>
    <row r="449" spans="1:1" ht="20.100000000000001" customHeight="1">
      <c r="A449" s="167"/>
    </row>
    <row r="450" spans="1:1" ht="20.100000000000001" customHeight="1">
      <c r="A450" s="167"/>
    </row>
    <row r="451" spans="1:1" ht="20.100000000000001" customHeight="1">
      <c r="A451" s="167"/>
    </row>
    <row r="452" spans="1:1" ht="20.100000000000001" customHeight="1">
      <c r="A452" s="167"/>
    </row>
    <row r="453" spans="1:1" ht="20.100000000000001" customHeight="1">
      <c r="A453" s="167"/>
    </row>
    <row r="454" spans="1:1" ht="20.100000000000001" customHeight="1">
      <c r="A454" s="167"/>
    </row>
    <row r="455" spans="1:1" ht="20.100000000000001" customHeight="1">
      <c r="A455" s="167"/>
    </row>
    <row r="456" spans="1:1" ht="20.100000000000001" customHeight="1">
      <c r="A456" s="167"/>
    </row>
    <row r="457" spans="1:1" ht="20.100000000000001" customHeight="1">
      <c r="A457" s="167"/>
    </row>
    <row r="458" spans="1:1" ht="20.100000000000001" customHeight="1">
      <c r="A458" s="167"/>
    </row>
    <row r="459" spans="1:1" ht="20.100000000000001" customHeight="1">
      <c r="A459" s="167"/>
    </row>
    <row r="460" spans="1:1" ht="20.100000000000001" customHeight="1">
      <c r="A460" s="167"/>
    </row>
    <row r="461" spans="1:1" ht="20.100000000000001" customHeight="1">
      <c r="A461" s="167"/>
    </row>
    <row r="462" spans="1:1" ht="20.100000000000001" customHeight="1">
      <c r="A462" s="167"/>
    </row>
    <row r="463" spans="1:1" ht="20.100000000000001" customHeight="1">
      <c r="A463" s="167"/>
    </row>
    <row r="464" spans="1:1" ht="20.100000000000001" customHeight="1">
      <c r="A464" s="167"/>
    </row>
    <row r="465" spans="1:1" ht="20.100000000000001" customHeight="1">
      <c r="A465" s="167"/>
    </row>
    <row r="466" spans="1:1" ht="20.100000000000001" customHeight="1">
      <c r="A466" s="167"/>
    </row>
    <row r="467" spans="1:1" ht="20.100000000000001" customHeight="1">
      <c r="A467" s="167"/>
    </row>
    <row r="468" spans="1:1" ht="20.100000000000001" customHeight="1">
      <c r="A468" s="167"/>
    </row>
    <row r="469" spans="1:1" ht="20.100000000000001" customHeight="1">
      <c r="A469" s="167"/>
    </row>
    <row r="470" spans="1:1" ht="20.100000000000001" customHeight="1">
      <c r="A470" s="167"/>
    </row>
    <row r="471" spans="1:1" ht="20.100000000000001" customHeight="1">
      <c r="A471" s="167"/>
    </row>
    <row r="472" spans="1:1" ht="20.100000000000001" customHeight="1">
      <c r="A472" s="167"/>
    </row>
    <row r="473" spans="1:1" ht="20.100000000000001" customHeight="1">
      <c r="A473" s="167"/>
    </row>
    <row r="474" spans="1:1" ht="20.100000000000001" customHeight="1">
      <c r="A474" s="167"/>
    </row>
    <row r="475" spans="1:1" ht="20.100000000000001" customHeight="1">
      <c r="A475" s="167"/>
    </row>
    <row r="476" spans="1:1" ht="20.100000000000001" customHeight="1">
      <c r="A476" s="167"/>
    </row>
    <row r="477" spans="1:1" ht="20.100000000000001" customHeight="1">
      <c r="A477" s="167"/>
    </row>
    <row r="478" spans="1:1" ht="20.100000000000001" customHeight="1">
      <c r="A478" s="167"/>
    </row>
    <row r="479" spans="1:1" ht="20.100000000000001" customHeight="1">
      <c r="A479" s="167"/>
    </row>
    <row r="480" spans="1:1" ht="20.100000000000001" customHeight="1">
      <c r="A480" s="167"/>
    </row>
    <row r="481" spans="1:1" ht="20.100000000000001" customHeight="1">
      <c r="A481" s="167"/>
    </row>
    <row r="482" spans="1:1" ht="20.100000000000001" customHeight="1">
      <c r="A482" s="167"/>
    </row>
    <row r="483" spans="1:1" ht="20.100000000000001" customHeight="1">
      <c r="A483" s="167"/>
    </row>
    <row r="484" spans="1:1" ht="20.100000000000001" customHeight="1">
      <c r="A484" s="167"/>
    </row>
    <row r="485" spans="1:1" ht="20.100000000000001" customHeight="1">
      <c r="A485" s="167"/>
    </row>
    <row r="486" spans="1:1" ht="20.100000000000001" customHeight="1">
      <c r="A486" s="167"/>
    </row>
    <row r="487" spans="1:1" ht="20.100000000000001" customHeight="1">
      <c r="A487" s="167"/>
    </row>
    <row r="488" spans="1:1" ht="20.100000000000001" customHeight="1">
      <c r="A488" s="167"/>
    </row>
    <row r="489" spans="1:1" ht="20.100000000000001" customHeight="1">
      <c r="A489" s="167"/>
    </row>
    <row r="490" spans="1:1" ht="20.100000000000001" customHeight="1">
      <c r="A490" s="167"/>
    </row>
    <row r="491" spans="1:1" ht="20.100000000000001" customHeight="1">
      <c r="A491" s="167"/>
    </row>
    <row r="492" spans="1:1" ht="20.100000000000001" customHeight="1">
      <c r="A492" s="167"/>
    </row>
    <row r="493" spans="1:1" ht="20.100000000000001" customHeight="1">
      <c r="A493" s="167"/>
    </row>
    <row r="494" spans="1:1" ht="20.100000000000001" customHeight="1">
      <c r="A494" s="167"/>
    </row>
    <row r="495" spans="1:1" ht="20.100000000000001" customHeight="1">
      <c r="A495" s="167"/>
    </row>
    <row r="496" spans="1:1" ht="20.100000000000001" customHeight="1">
      <c r="A496" s="167"/>
    </row>
    <row r="497" spans="1:1" ht="20.100000000000001" customHeight="1">
      <c r="A497" s="167"/>
    </row>
    <row r="498" spans="1:1" ht="20.100000000000001" customHeight="1">
      <c r="A498" s="167"/>
    </row>
    <row r="499" spans="1:1" ht="20.100000000000001" customHeight="1">
      <c r="A499" s="167"/>
    </row>
    <row r="500" spans="1:1" ht="20.100000000000001" customHeight="1">
      <c r="A500" s="167"/>
    </row>
    <row r="501" spans="1:1" ht="20.100000000000001" customHeight="1">
      <c r="A501" s="167"/>
    </row>
    <row r="502" spans="1:1" ht="20.100000000000001" customHeight="1">
      <c r="A502" s="167"/>
    </row>
    <row r="503" spans="1:1" ht="20.100000000000001" customHeight="1">
      <c r="A503" s="167"/>
    </row>
    <row r="504" spans="1:1" ht="20.100000000000001" customHeight="1">
      <c r="A504" s="167"/>
    </row>
    <row r="505" spans="1:1" ht="20.100000000000001" customHeight="1">
      <c r="A505" s="167"/>
    </row>
    <row r="506" spans="1:1" ht="20.100000000000001" customHeight="1">
      <c r="A506" s="167"/>
    </row>
    <row r="507" spans="1:1" ht="20.100000000000001" customHeight="1">
      <c r="A507" s="167"/>
    </row>
    <row r="508" spans="1:1" ht="20.100000000000001" customHeight="1">
      <c r="A508" s="167"/>
    </row>
    <row r="509" spans="1:1" ht="20.100000000000001" customHeight="1">
      <c r="A509" s="167"/>
    </row>
    <row r="510" spans="1:1" ht="20.100000000000001" customHeight="1">
      <c r="A510" s="167"/>
    </row>
    <row r="511" spans="1:1" ht="20.100000000000001" customHeight="1">
      <c r="A511" s="167"/>
    </row>
    <row r="512" spans="1:1" ht="20.100000000000001" customHeight="1">
      <c r="A512" s="167"/>
    </row>
    <row r="513" spans="1:1" ht="20.100000000000001" customHeight="1">
      <c r="A513" s="167"/>
    </row>
    <row r="514" spans="1:1" ht="20.100000000000001" customHeight="1">
      <c r="A514" s="167"/>
    </row>
    <row r="515" spans="1:1" ht="20.100000000000001" customHeight="1">
      <c r="A515" s="167"/>
    </row>
    <row r="516" spans="1:1" ht="20.100000000000001" customHeight="1">
      <c r="A516" s="167"/>
    </row>
    <row r="517" spans="1:1" ht="20.100000000000001" customHeight="1">
      <c r="A517" s="167"/>
    </row>
    <row r="518" spans="1:1" ht="20.100000000000001" customHeight="1">
      <c r="A518" s="167"/>
    </row>
    <row r="519" spans="1:1" ht="20.100000000000001" customHeight="1">
      <c r="A519" s="167"/>
    </row>
    <row r="520" spans="1:1" ht="20.100000000000001" customHeight="1">
      <c r="A520" s="167"/>
    </row>
    <row r="521" spans="1:1" ht="20.100000000000001" customHeight="1">
      <c r="A521" s="167"/>
    </row>
    <row r="522" spans="1:1" ht="20.100000000000001" customHeight="1">
      <c r="A522" s="167"/>
    </row>
    <row r="523" spans="1:1" ht="20.100000000000001" customHeight="1">
      <c r="A523" s="167"/>
    </row>
    <row r="524" spans="1:1" ht="20.100000000000001" customHeight="1">
      <c r="A524" s="167"/>
    </row>
    <row r="525" spans="1:1" ht="20.100000000000001" customHeight="1">
      <c r="A525" s="167"/>
    </row>
    <row r="526" spans="1:1" ht="20.100000000000001" customHeight="1">
      <c r="A526" s="167"/>
    </row>
    <row r="527" spans="1:1" ht="20.100000000000001" customHeight="1">
      <c r="A527" s="167"/>
    </row>
    <row r="528" spans="1:1" ht="20.100000000000001" customHeight="1">
      <c r="A528" s="167"/>
    </row>
    <row r="529" spans="1:1" ht="20.100000000000001" customHeight="1">
      <c r="A529" s="167"/>
    </row>
    <row r="530" spans="1:1" ht="20.100000000000001" customHeight="1">
      <c r="A530" s="167"/>
    </row>
    <row r="531" spans="1:1" ht="20.100000000000001" customHeight="1">
      <c r="A531" s="167"/>
    </row>
    <row r="532" spans="1:1" ht="20.100000000000001" customHeight="1">
      <c r="A532" s="167"/>
    </row>
    <row r="533" spans="1:1" ht="20.100000000000001" customHeight="1">
      <c r="A533" s="167"/>
    </row>
    <row r="534" spans="1:1" ht="20.100000000000001" customHeight="1">
      <c r="A534" s="167"/>
    </row>
    <row r="535" spans="1:1" ht="20.100000000000001" customHeight="1">
      <c r="A535" s="167"/>
    </row>
    <row r="536" spans="1:1" ht="20.100000000000001" customHeight="1">
      <c r="A536" s="167"/>
    </row>
    <row r="537" spans="1:1" ht="20.100000000000001" customHeight="1">
      <c r="A537" s="167"/>
    </row>
    <row r="538" spans="1:1" ht="20.100000000000001" customHeight="1">
      <c r="A538" s="167"/>
    </row>
    <row r="539" spans="1:1" ht="20.100000000000001" customHeight="1">
      <c r="A539" s="167"/>
    </row>
    <row r="540" spans="1:1" ht="20.100000000000001" customHeight="1">
      <c r="A540" s="167"/>
    </row>
    <row r="541" spans="1:1" ht="20.100000000000001" customHeight="1">
      <c r="A541" s="167"/>
    </row>
    <row r="542" spans="1:1" ht="20.100000000000001" customHeight="1">
      <c r="A542" s="167"/>
    </row>
    <row r="543" spans="1:1" ht="20.100000000000001" customHeight="1">
      <c r="A543" s="167"/>
    </row>
    <row r="544" spans="1:1" ht="20.100000000000001" customHeight="1">
      <c r="A544" s="167"/>
    </row>
    <row r="545" spans="1:1" ht="20.100000000000001" customHeight="1">
      <c r="A545" s="167"/>
    </row>
    <row r="546" spans="1:1" ht="20.100000000000001" customHeight="1">
      <c r="A546" s="167"/>
    </row>
    <row r="547" spans="1:1" ht="20.100000000000001" customHeight="1">
      <c r="A547" s="167"/>
    </row>
    <row r="548" spans="1:1" ht="20.100000000000001" customHeight="1">
      <c r="A548" s="167"/>
    </row>
    <row r="549" spans="1:1" ht="20.100000000000001" customHeight="1">
      <c r="A549" s="167"/>
    </row>
    <row r="550" spans="1:1" ht="20.100000000000001" customHeight="1">
      <c r="A550" s="167"/>
    </row>
    <row r="551" spans="1:1" ht="20.100000000000001" customHeight="1">
      <c r="A551" s="167"/>
    </row>
    <row r="552" spans="1:1" ht="20.100000000000001" customHeight="1">
      <c r="A552" s="167"/>
    </row>
    <row r="553" spans="1:1" ht="20.100000000000001" customHeight="1">
      <c r="A553" s="167"/>
    </row>
    <row r="554" spans="1:1" ht="20.100000000000001" customHeight="1">
      <c r="A554" s="167"/>
    </row>
    <row r="555" spans="1:1" ht="20.100000000000001" customHeight="1">
      <c r="A555" s="167"/>
    </row>
    <row r="556" spans="1:1" ht="20.100000000000001" customHeight="1">
      <c r="A556" s="167"/>
    </row>
    <row r="557" spans="1:1" ht="20.100000000000001" customHeight="1">
      <c r="A557" s="167"/>
    </row>
    <row r="558" spans="1:1" ht="20.100000000000001" customHeight="1">
      <c r="A558" s="167"/>
    </row>
    <row r="559" spans="1:1" ht="20.100000000000001" customHeight="1">
      <c r="A559" s="167"/>
    </row>
    <row r="560" spans="1:1" ht="20.100000000000001" customHeight="1">
      <c r="A560" s="167"/>
    </row>
    <row r="561" spans="1:1" ht="20.100000000000001" customHeight="1">
      <c r="A561" s="167"/>
    </row>
    <row r="562" spans="1:1" ht="20.100000000000001" customHeight="1">
      <c r="A562" s="167"/>
    </row>
    <row r="563" spans="1:1" ht="20.100000000000001" customHeight="1">
      <c r="A563" s="167"/>
    </row>
    <row r="564" spans="1:1" ht="20.100000000000001" customHeight="1">
      <c r="A564" s="167"/>
    </row>
    <row r="565" spans="1:1" ht="20.100000000000001" customHeight="1">
      <c r="A565" s="167"/>
    </row>
    <row r="566" spans="1:1" ht="20.100000000000001" customHeight="1">
      <c r="A566" s="167"/>
    </row>
    <row r="567" spans="1:1" ht="20.100000000000001" customHeight="1">
      <c r="A567" s="167"/>
    </row>
    <row r="568" spans="1:1" ht="20.100000000000001" customHeight="1">
      <c r="A568" s="167"/>
    </row>
    <row r="569" spans="1:1" ht="20.100000000000001" customHeight="1">
      <c r="A569" s="167"/>
    </row>
    <row r="570" spans="1:1" ht="20.100000000000001" customHeight="1">
      <c r="A570" s="167"/>
    </row>
    <row r="571" spans="1:1" ht="20.100000000000001" customHeight="1">
      <c r="A571" s="167"/>
    </row>
    <row r="572" spans="1:1" ht="20.100000000000001" customHeight="1">
      <c r="A572" s="167"/>
    </row>
    <row r="573" spans="1:1" ht="20.100000000000001" customHeight="1">
      <c r="A573" s="167"/>
    </row>
    <row r="574" spans="1:1" ht="20.100000000000001" customHeight="1">
      <c r="A574" s="167"/>
    </row>
    <row r="575" spans="1:1" ht="20.100000000000001" customHeight="1">
      <c r="A575" s="167"/>
    </row>
    <row r="576" spans="1:1" ht="20.100000000000001" customHeight="1">
      <c r="A576" s="167"/>
    </row>
    <row r="577" spans="1:1" ht="20.100000000000001" customHeight="1">
      <c r="A577" s="167"/>
    </row>
    <row r="578" spans="1:1" ht="20.100000000000001" customHeight="1">
      <c r="A578" s="167"/>
    </row>
    <row r="579" spans="1:1" ht="20.100000000000001" customHeight="1">
      <c r="A579" s="167"/>
    </row>
    <row r="580" spans="1:1" ht="20.100000000000001" customHeight="1">
      <c r="A580" s="167"/>
    </row>
    <row r="581" spans="1:1" ht="20.100000000000001" customHeight="1">
      <c r="A581" s="167"/>
    </row>
    <row r="582" spans="1:1" ht="20.100000000000001" customHeight="1">
      <c r="A582" s="167"/>
    </row>
    <row r="583" spans="1:1" ht="20.100000000000001" customHeight="1">
      <c r="A583" s="167"/>
    </row>
    <row r="584" spans="1:1" ht="20.100000000000001" customHeight="1">
      <c r="A584" s="167"/>
    </row>
    <row r="585" spans="1:1" ht="20.100000000000001" customHeight="1">
      <c r="A585" s="167"/>
    </row>
    <row r="586" spans="1:1" ht="20.100000000000001" customHeight="1">
      <c r="A586" s="167"/>
    </row>
    <row r="587" spans="1:1" ht="20.100000000000001" customHeight="1">
      <c r="A587" s="167"/>
    </row>
    <row r="588" spans="1:1" ht="20.100000000000001" customHeight="1">
      <c r="A588" s="167"/>
    </row>
    <row r="589" spans="1:1" ht="20.100000000000001" customHeight="1">
      <c r="A589" s="167"/>
    </row>
    <row r="590" spans="1:1" ht="20.100000000000001" customHeight="1">
      <c r="A590" s="167"/>
    </row>
    <row r="591" spans="1:1" ht="20.100000000000001" customHeight="1">
      <c r="A591" s="167"/>
    </row>
    <row r="592" spans="1:1" ht="20.100000000000001" customHeight="1">
      <c r="A592" s="167"/>
    </row>
    <row r="593" spans="1:1" ht="20.100000000000001" customHeight="1">
      <c r="A593" s="167"/>
    </row>
    <row r="594" spans="1:1" ht="20.100000000000001" customHeight="1">
      <c r="A594" s="167"/>
    </row>
    <row r="595" spans="1:1" ht="20.100000000000001" customHeight="1">
      <c r="A595" s="167"/>
    </row>
    <row r="596" spans="1:1" ht="20.100000000000001" customHeight="1">
      <c r="A596" s="167"/>
    </row>
    <row r="597" spans="1:1" ht="20.100000000000001" customHeight="1">
      <c r="A597" s="167"/>
    </row>
    <row r="598" spans="1:1" ht="20.100000000000001" customHeight="1">
      <c r="A598" s="167"/>
    </row>
    <row r="599" spans="1:1" ht="20.100000000000001" customHeight="1">
      <c r="A599" s="167"/>
    </row>
    <row r="600" spans="1:1" ht="20.100000000000001" customHeight="1">
      <c r="A600" s="167"/>
    </row>
    <row r="601" spans="1:1" ht="20.100000000000001" customHeight="1">
      <c r="A601" s="167"/>
    </row>
    <row r="602" spans="1:1" ht="20.100000000000001" customHeight="1">
      <c r="A602" s="167"/>
    </row>
    <row r="603" spans="1:1" ht="20.100000000000001" customHeight="1">
      <c r="A603" s="167"/>
    </row>
    <row r="604" spans="1:1" ht="20.100000000000001" customHeight="1">
      <c r="A604" s="167"/>
    </row>
    <row r="605" spans="1:1" ht="20.100000000000001" customHeight="1">
      <c r="A605" s="167"/>
    </row>
    <row r="606" spans="1:1" ht="20.100000000000001" customHeight="1">
      <c r="A606" s="167"/>
    </row>
    <row r="607" spans="1:1" ht="20.100000000000001" customHeight="1">
      <c r="A607" s="167"/>
    </row>
    <row r="608" spans="1:1" ht="20.100000000000001" customHeight="1">
      <c r="A608" s="167"/>
    </row>
    <row r="609" spans="1:1" ht="20.100000000000001" customHeight="1">
      <c r="A609" s="167"/>
    </row>
    <row r="610" spans="1:1" ht="20.100000000000001" customHeight="1">
      <c r="A610" s="167"/>
    </row>
    <row r="611" spans="1:1" ht="20.100000000000001" customHeight="1">
      <c r="A611" s="167"/>
    </row>
    <row r="612" spans="1:1" ht="20.100000000000001" customHeight="1">
      <c r="A612" s="167"/>
    </row>
    <row r="613" spans="1:1" ht="20.100000000000001" customHeight="1">
      <c r="A613" s="167"/>
    </row>
    <row r="614" spans="1:1" ht="20.100000000000001" customHeight="1">
      <c r="A614" s="167"/>
    </row>
    <row r="615" spans="1:1" ht="20.100000000000001" customHeight="1">
      <c r="A615" s="167"/>
    </row>
    <row r="616" spans="1:1" ht="20.100000000000001" customHeight="1">
      <c r="A616" s="167"/>
    </row>
    <row r="617" spans="1:1" ht="20.100000000000001" customHeight="1">
      <c r="A617" s="167"/>
    </row>
    <row r="618" spans="1:1" ht="20.100000000000001" customHeight="1">
      <c r="A618" s="167"/>
    </row>
    <row r="619" spans="1:1" ht="20.100000000000001" customHeight="1">
      <c r="A619" s="167"/>
    </row>
    <row r="620" spans="1:1" ht="20.100000000000001" customHeight="1">
      <c r="A620" s="167"/>
    </row>
    <row r="621" spans="1:1" ht="20.100000000000001" customHeight="1">
      <c r="A621" s="167"/>
    </row>
    <row r="622" spans="1:1" ht="20.100000000000001" customHeight="1">
      <c r="A622" s="167"/>
    </row>
    <row r="623" spans="1:1" ht="20.100000000000001" customHeight="1">
      <c r="A623" s="167"/>
    </row>
    <row r="624" spans="1:1" ht="20.100000000000001" customHeight="1">
      <c r="A624" s="167"/>
    </row>
    <row r="625" spans="1:1" ht="20.100000000000001" customHeight="1">
      <c r="A625" s="167"/>
    </row>
    <row r="626" spans="1:1" ht="20.100000000000001" customHeight="1">
      <c r="A626" s="167"/>
    </row>
    <row r="627" spans="1:1" ht="20.100000000000001" customHeight="1">
      <c r="A627" s="167"/>
    </row>
    <row r="628" spans="1:1" ht="20.100000000000001" customHeight="1">
      <c r="A628" s="167"/>
    </row>
    <row r="629" spans="1:1" ht="20.100000000000001" customHeight="1">
      <c r="A629" s="167"/>
    </row>
    <row r="630" spans="1:1" ht="20.100000000000001" customHeight="1">
      <c r="A630" s="167"/>
    </row>
    <row r="631" spans="1:1" ht="20.100000000000001" customHeight="1">
      <c r="A631" s="167"/>
    </row>
    <row r="632" spans="1:1" ht="20.100000000000001" customHeight="1">
      <c r="A632" s="167"/>
    </row>
    <row r="633" spans="1:1" ht="20.100000000000001" customHeight="1">
      <c r="A633" s="167"/>
    </row>
    <row r="634" spans="1:1" ht="20.100000000000001" customHeight="1">
      <c r="A634" s="167"/>
    </row>
    <row r="635" spans="1:1" ht="20.100000000000001" customHeight="1">
      <c r="A635" s="167"/>
    </row>
    <row r="636" spans="1:1" ht="20.100000000000001" customHeight="1">
      <c r="A636" s="167"/>
    </row>
    <row r="637" spans="1:1" ht="20.100000000000001" customHeight="1">
      <c r="A637" s="167"/>
    </row>
    <row r="638" spans="1:1" ht="20.100000000000001" customHeight="1">
      <c r="A638" s="167"/>
    </row>
    <row r="639" spans="1:1" ht="20.100000000000001" customHeight="1">
      <c r="A639" s="167"/>
    </row>
    <row r="640" spans="1:1" ht="20.100000000000001" customHeight="1">
      <c r="A640" s="167"/>
    </row>
    <row r="641" spans="1:1" ht="20.100000000000001" customHeight="1">
      <c r="A641" s="167"/>
    </row>
    <row r="642" spans="1:1" ht="20.100000000000001" customHeight="1">
      <c r="A642" s="167"/>
    </row>
    <row r="643" spans="1:1" ht="20.100000000000001" customHeight="1">
      <c r="A643" s="167"/>
    </row>
    <row r="644" spans="1:1" ht="20.100000000000001" customHeight="1">
      <c r="A644" s="167"/>
    </row>
    <row r="645" spans="1:1" ht="20.100000000000001" customHeight="1">
      <c r="A645" s="167"/>
    </row>
    <row r="646" spans="1:1" ht="20.100000000000001" customHeight="1">
      <c r="A646" s="167"/>
    </row>
    <row r="647" spans="1:1" ht="20.100000000000001" customHeight="1">
      <c r="A647" s="167"/>
    </row>
    <row r="648" spans="1:1" ht="20.100000000000001" customHeight="1">
      <c r="A648" s="167"/>
    </row>
    <row r="649" spans="1:1" ht="20.100000000000001" customHeight="1">
      <c r="A649" s="167"/>
    </row>
    <row r="650" spans="1:1" ht="20.100000000000001" customHeight="1">
      <c r="A650" s="167"/>
    </row>
    <row r="651" spans="1:1" ht="20.100000000000001" customHeight="1">
      <c r="A651" s="167"/>
    </row>
    <row r="652" spans="1:1" ht="20.100000000000001" customHeight="1">
      <c r="A652" s="167"/>
    </row>
    <row r="653" spans="1:1" ht="20.100000000000001" customHeight="1">
      <c r="A653" s="167"/>
    </row>
    <row r="654" spans="1:1" ht="20.100000000000001" customHeight="1">
      <c r="A654" s="167"/>
    </row>
    <row r="655" spans="1:1" ht="20.100000000000001" customHeight="1">
      <c r="A655" s="167"/>
    </row>
    <row r="656" spans="1:1" ht="20.100000000000001" customHeight="1">
      <c r="A656" s="167"/>
    </row>
    <row r="657" spans="1:1" ht="20.100000000000001" customHeight="1">
      <c r="A657" s="167"/>
    </row>
    <row r="658" spans="1:1" ht="20.100000000000001" customHeight="1">
      <c r="A658" s="167"/>
    </row>
    <row r="659" spans="1:1" ht="20.100000000000001" customHeight="1">
      <c r="A659" s="167"/>
    </row>
    <row r="660" spans="1:1" ht="20.100000000000001" customHeight="1">
      <c r="A660" s="167"/>
    </row>
    <row r="661" spans="1:1" ht="20.100000000000001" customHeight="1">
      <c r="A661" s="167"/>
    </row>
    <row r="662" spans="1:1" ht="20.100000000000001" customHeight="1">
      <c r="A662" s="167"/>
    </row>
    <row r="663" spans="1:1" ht="20.100000000000001" customHeight="1">
      <c r="A663" s="167"/>
    </row>
    <row r="664" spans="1:1" ht="20.100000000000001" customHeight="1">
      <c r="A664" s="167"/>
    </row>
    <row r="665" spans="1:1" ht="20.100000000000001" customHeight="1">
      <c r="A665" s="167"/>
    </row>
    <row r="666" spans="1:1" ht="20.100000000000001" customHeight="1">
      <c r="A666" s="167"/>
    </row>
    <row r="667" spans="1:1" ht="20.100000000000001" customHeight="1">
      <c r="A667" s="167"/>
    </row>
    <row r="668" spans="1:1" ht="20.100000000000001" customHeight="1">
      <c r="A668" s="167"/>
    </row>
    <row r="669" spans="1:1" ht="20.100000000000001" customHeight="1">
      <c r="A669" s="167"/>
    </row>
    <row r="670" spans="1:1" ht="20.100000000000001" customHeight="1">
      <c r="A670" s="167"/>
    </row>
    <row r="671" spans="1:1" ht="20.100000000000001" customHeight="1">
      <c r="A671" s="167"/>
    </row>
    <row r="672" spans="1:1" ht="20.100000000000001" customHeight="1">
      <c r="A672" s="167"/>
    </row>
    <row r="673" spans="1:1" ht="20.100000000000001" customHeight="1">
      <c r="A673" s="167"/>
    </row>
    <row r="674" spans="1:1" ht="20.100000000000001" customHeight="1">
      <c r="A674" s="167"/>
    </row>
    <row r="675" spans="1:1" ht="20.100000000000001" customHeight="1">
      <c r="A675" s="167"/>
    </row>
    <row r="676" spans="1:1" ht="20.100000000000001" customHeight="1">
      <c r="A676" s="167"/>
    </row>
    <row r="677" spans="1:1" ht="20.100000000000001" customHeight="1">
      <c r="A677" s="167"/>
    </row>
    <row r="678" spans="1:1" ht="20.100000000000001" customHeight="1">
      <c r="A678" s="167"/>
    </row>
    <row r="679" spans="1:1" ht="20.100000000000001" customHeight="1">
      <c r="A679" s="167"/>
    </row>
    <row r="680" spans="1:1" ht="20.100000000000001" customHeight="1">
      <c r="A680" s="167"/>
    </row>
    <row r="681" spans="1:1" ht="20.100000000000001" customHeight="1">
      <c r="A681" s="167"/>
    </row>
    <row r="682" spans="1:1" ht="20.100000000000001" customHeight="1">
      <c r="A682" s="167"/>
    </row>
    <row r="683" spans="1:1" ht="20.100000000000001" customHeight="1">
      <c r="A683" s="167"/>
    </row>
    <row r="684" spans="1:1" ht="20.100000000000001" customHeight="1">
      <c r="A684" s="167"/>
    </row>
    <row r="685" spans="1:1" ht="20.100000000000001" customHeight="1">
      <c r="A685" s="167"/>
    </row>
    <row r="686" spans="1:1" ht="20.100000000000001" customHeight="1">
      <c r="A686" s="167"/>
    </row>
    <row r="687" spans="1:1" ht="20.100000000000001" customHeight="1">
      <c r="A687" s="167"/>
    </row>
    <row r="688" spans="1:1" ht="20.100000000000001" customHeight="1">
      <c r="A688" s="167"/>
    </row>
    <row r="689" spans="1:1" ht="20.100000000000001" customHeight="1">
      <c r="A689" s="167"/>
    </row>
    <row r="690" spans="1:1" ht="20.100000000000001" customHeight="1">
      <c r="A690" s="167"/>
    </row>
    <row r="691" spans="1:1" ht="20.100000000000001" customHeight="1">
      <c r="A691" s="167"/>
    </row>
    <row r="692" spans="1:1" ht="20.100000000000001" customHeight="1">
      <c r="A692" s="167"/>
    </row>
    <row r="693" spans="1:1" ht="20.100000000000001" customHeight="1">
      <c r="A693" s="167"/>
    </row>
    <row r="694" spans="1:1" ht="20.100000000000001" customHeight="1">
      <c r="A694" s="167"/>
    </row>
    <row r="695" spans="1:1" ht="20.100000000000001" customHeight="1">
      <c r="A695" s="167"/>
    </row>
    <row r="696" spans="1:1" ht="20.100000000000001" customHeight="1">
      <c r="A696" s="167"/>
    </row>
    <row r="697" spans="1:1" ht="20.100000000000001" customHeight="1">
      <c r="A697" s="167"/>
    </row>
    <row r="698" spans="1:1" ht="20.100000000000001" customHeight="1">
      <c r="A698" s="167"/>
    </row>
    <row r="699" spans="1:1" ht="20.100000000000001" customHeight="1">
      <c r="A699" s="167"/>
    </row>
    <row r="700" spans="1:1" ht="20.100000000000001" customHeight="1">
      <c r="A700" s="167"/>
    </row>
    <row r="701" spans="1:1" ht="20.100000000000001" customHeight="1">
      <c r="A701" s="167"/>
    </row>
    <row r="702" spans="1:1" ht="20.100000000000001" customHeight="1">
      <c r="A702" s="167"/>
    </row>
    <row r="703" spans="1:1" ht="20.100000000000001" customHeight="1">
      <c r="A703" s="167"/>
    </row>
    <row r="704" spans="1:1" ht="20.100000000000001" customHeight="1">
      <c r="A704" s="167"/>
    </row>
    <row r="705" spans="1:1" ht="20.100000000000001" customHeight="1">
      <c r="A705" s="167"/>
    </row>
    <row r="706" spans="1:1" ht="20.100000000000001" customHeight="1">
      <c r="A706" s="167"/>
    </row>
    <row r="707" spans="1:1" ht="20.100000000000001" customHeight="1">
      <c r="A707" s="167"/>
    </row>
    <row r="708" spans="1:1" ht="20.100000000000001" customHeight="1">
      <c r="A708" s="167"/>
    </row>
    <row r="709" spans="1:1" ht="20.100000000000001" customHeight="1">
      <c r="A709" s="167"/>
    </row>
    <row r="710" spans="1:1" ht="20.100000000000001" customHeight="1">
      <c r="A710" s="167"/>
    </row>
    <row r="711" spans="1:1" ht="20.100000000000001" customHeight="1">
      <c r="A711" s="167"/>
    </row>
    <row r="712" spans="1:1" ht="20.100000000000001" customHeight="1">
      <c r="A712" s="167"/>
    </row>
    <row r="713" spans="1:1" ht="20.100000000000001" customHeight="1">
      <c r="A713" s="167"/>
    </row>
    <row r="714" spans="1:1" ht="20.100000000000001" customHeight="1">
      <c r="A714" s="167"/>
    </row>
    <row r="715" spans="1:1" ht="20.100000000000001" customHeight="1">
      <c r="A715" s="167"/>
    </row>
    <row r="716" spans="1:1" ht="20.100000000000001" customHeight="1">
      <c r="A716" s="167"/>
    </row>
    <row r="717" spans="1:1" ht="20.100000000000001" customHeight="1">
      <c r="A717" s="167"/>
    </row>
    <row r="718" spans="1:1" ht="20.100000000000001" customHeight="1">
      <c r="A718" s="167"/>
    </row>
    <row r="719" spans="1:1" ht="20.100000000000001" customHeight="1">
      <c r="A719" s="167"/>
    </row>
    <row r="720" spans="1:1" ht="20.100000000000001" customHeight="1">
      <c r="A720" s="167"/>
    </row>
    <row r="721" spans="1:1" ht="20.100000000000001" customHeight="1">
      <c r="A721" s="167"/>
    </row>
    <row r="722" spans="1:1" ht="20.100000000000001" customHeight="1">
      <c r="A722" s="167"/>
    </row>
    <row r="723" spans="1:1" ht="20.100000000000001" customHeight="1">
      <c r="A723" s="167"/>
    </row>
    <row r="724" spans="1:1" ht="20.100000000000001" customHeight="1">
      <c r="A724" s="167"/>
    </row>
    <row r="725" spans="1:1" ht="20.100000000000001" customHeight="1">
      <c r="A725" s="167"/>
    </row>
    <row r="726" spans="1:1" ht="20.100000000000001" customHeight="1">
      <c r="A726" s="167"/>
    </row>
    <row r="727" spans="1:1" ht="20.100000000000001" customHeight="1">
      <c r="A727" s="167"/>
    </row>
    <row r="728" spans="1:1" ht="20.100000000000001" customHeight="1">
      <c r="A728" s="167"/>
    </row>
    <row r="729" spans="1:1" ht="20.100000000000001" customHeight="1">
      <c r="A729" s="167"/>
    </row>
    <row r="730" spans="1:1" ht="20.100000000000001" customHeight="1">
      <c r="A730" s="167"/>
    </row>
    <row r="731" spans="1:1" ht="20.100000000000001" customHeight="1">
      <c r="A731" s="167"/>
    </row>
    <row r="732" spans="1:1" ht="20.100000000000001" customHeight="1">
      <c r="A732" s="167"/>
    </row>
    <row r="733" spans="1:1" ht="20.100000000000001" customHeight="1">
      <c r="A733" s="167"/>
    </row>
    <row r="734" spans="1:1" ht="20.100000000000001" customHeight="1">
      <c r="A734" s="167"/>
    </row>
    <row r="735" spans="1:1" ht="20.100000000000001" customHeight="1">
      <c r="A735" s="167"/>
    </row>
    <row r="736" spans="1:1" ht="20.100000000000001" customHeight="1">
      <c r="A736" s="167"/>
    </row>
    <row r="737" spans="1:1" ht="20.100000000000001" customHeight="1">
      <c r="A737" s="167"/>
    </row>
    <row r="738" spans="1:1" ht="20.100000000000001" customHeight="1">
      <c r="A738" s="167"/>
    </row>
    <row r="739" spans="1:1" ht="20.100000000000001" customHeight="1">
      <c r="A739" s="167"/>
    </row>
    <row r="740" spans="1:1" ht="20.100000000000001" customHeight="1">
      <c r="A740" s="167"/>
    </row>
    <row r="741" spans="1:1" ht="20.100000000000001" customHeight="1">
      <c r="A741" s="167"/>
    </row>
    <row r="742" spans="1:1" ht="20.100000000000001" customHeight="1">
      <c r="A742" s="167"/>
    </row>
    <row r="743" spans="1:1" ht="20.100000000000001" customHeight="1">
      <c r="A743" s="167"/>
    </row>
    <row r="744" spans="1:1" ht="20.100000000000001" customHeight="1">
      <c r="A744" s="167"/>
    </row>
    <row r="745" spans="1:1" ht="20.100000000000001" customHeight="1">
      <c r="A745" s="167"/>
    </row>
    <row r="746" spans="1:1" ht="20.100000000000001" customHeight="1">
      <c r="A746" s="167"/>
    </row>
    <row r="747" spans="1:1" ht="20.100000000000001" customHeight="1">
      <c r="A747" s="167"/>
    </row>
    <row r="748" spans="1:1" ht="20.100000000000001" customHeight="1">
      <c r="A748" s="167"/>
    </row>
    <row r="749" spans="1:1" ht="20.100000000000001" customHeight="1">
      <c r="A749" s="167"/>
    </row>
    <row r="750" spans="1:1" ht="20.100000000000001" customHeight="1">
      <c r="A750" s="167"/>
    </row>
    <row r="751" spans="1:1" ht="20.100000000000001" customHeight="1">
      <c r="A751" s="167"/>
    </row>
    <row r="752" spans="1:1" ht="20.100000000000001" customHeight="1">
      <c r="A752" s="167"/>
    </row>
    <row r="753" spans="1:1" ht="20.100000000000001" customHeight="1">
      <c r="A753" s="167"/>
    </row>
    <row r="754" spans="1:1" ht="20.100000000000001" customHeight="1">
      <c r="A754" s="167"/>
    </row>
    <row r="755" spans="1:1" ht="20.100000000000001" customHeight="1">
      <c r="A755" s="167"/>
    </row>
    <row r="756" spans="1:1" ht="20.100000000000001" customHeight="1">
      <c r="A756" s="167"/>
    </row>
    <row r="757" spans="1:1" ht="20.100000000000001" customHeight="1">
      <c r="A757" s="167"/>
    </row>
    <row r="758" spans="1:1" ht="20.100000000000001" customHeight="1">
      <c r="A758" s="167"/>
    </row>
    <row r="759" spans="1:1" ht="20.100000000000001" customHeight="1">
      <c r="A759" s="167"/>
    </row>
    <row r="760" spans="1:1" ht="20.100000000000001" customHeight="1">
      <c r="A760" s="167"/>
    </row>
    <row r="761" spans="1:1" ht="20.100000000000001" customHeight="1">
      <c r="A761" s="167"/>
    </row>
    <row r="762" spans="1:1" ht="20.100000000000001" customHeight="1">
      <c r="A762" s="167"/>
    </row>
    <row r="763" spans="1:1" ht="20.100000000000001" customHeight="1">
      <c r="A763" s="167"/>
    </row>
    <row r="764" spans="1:1" ht="20.100000000000001" customHeight="1">
      <c r="A764" s="167"/>
    </row>
    <row r="765" spans="1:1" ht="20.100000000000001" customHeight="1">
      <c r="A765" s="167"/>
    </row>
    <row r="766" spans="1:1" ht="20.100000000000001" customHeight="1">
      <c r="A766" s="167"/>
    </row>
    <row r="767" spans="1:1" ht="20.100000000000001" customHeight="1">
      <c r="A767" s="167"/>
    </row>
    <row r="768" spans="1:1" ht="20.100000000000001" customHeight="1">
      <c r="A768" s="167"/>
    </row>
    <row r="769" spans="1:1" ht="20.100000000000001" customHeight="1">
      <c r="A769" s="167"/>
    </row>
    <row r="770" spans="1:1" ht="20.100000000000001" customHeight="1">
      <c r="A770" s="167"/>
    </row>
    <row r="771" spans="1:1" ht="20.100000000000001" customHeight="1">
      <c r="A771" s="167"/>
    </row>
    <row r="772" spans="1:1" ht="20.100000000000001" customHeight="1">
      <c r="A772" s="167"/>
    </row>
    <row r="773" spans="1:1" ht="20.100000000000001" customHeight="1">
      <c r="A773" s="167"/>
    </row>
    <row r="774" spans="1:1" ht="20.100000000000001" customHeight="1">
      <c r="A774" s="167"/>
    </row>
    <row r="775" spans="1:1" ht="20.100000000000001" customHeight="1">
      <c r="A775" s="167"/>
    </row>
    <row r="776" spans="1:1" ht="20.100000000000001" customHeight="1">
      <c r="A776" s="167"/>
    </row>
    <row r="777" spans="1:1" ht="20.100000000000001" customHeight="1">
      <c r="A777" s="167"/>
    </row>
    <row r="778" spans="1:1" ht="20.100000000000001" customHeight="1">
      <c r="A778" s="167"/>
    </row>
    <row r="779" spans="1:1" ht="20.100000000000001" customHeight="1">
      <c r="A779" s="167"/>
    </row>
    <row r="780" spans="1:1" ht="20.100000000000001" customHeight="1">
      <c r="A780" s="167"/>
    </row>
    <row r="781" spans="1:1" ht="20.100000000000001" customHeight="1">
      <c r="A781" s="167"/>
    </row>
    <row r="782" spans="1:1" ht="20.100000000000001" customHeight="1">
      <c r="A782" s="167"/>
    </row>
    <row r="783" spans="1:1" ht="20.100000000000001" customHeight="1">
      <c r="A783" s="167"/>
    </row>
    <row r="784" spans="1:1" ht="20.100000000000001" customHeight="1">
      <c r="A784" s="167"/>
    </row>
    <row r="785" spans="1:1" ht="20.100000000000001" customHeight="1">
      <c r="A785" s="167"/>
    </row>
    <row r="786" spans="1:1" ht="20.100000000000001" customHeight="1">
      <c r="A786" s="167"/>
    </row>
    <row r="787" spans="1:1" ht="20.100000000000001" customHeight="1">
      <c r="A787" s="167"/>
    </row>
    <row r="788" spans="1:1" ht="20.100000000000001" customHeight="1">
      <c r="A788" s="167"/>
    </row>
    <row r="789" spans="1:1" ht="20.100000000000001" customHeight="1">
      <c r="A789" s="167"/>
    </row>
    <row r="790" spans="1:1" ht="20.100000000000001" customHeight="1">
      <c r="A790" s="167"/>
    </row>
    <row r="791" spans="1:1" ht="20.100000000000001" customHeight="1">
      <c r="A791" s="167"/>
    </row>
    <row r="792" spans="1:1" ht="20.100000000000001" customHeight="1">
      <c r="A792" s="167"/>
    </row>
    <row r="793" spans="1:1" ht="20.100000000000001" customHeight="1">
      <c r="A793" s="167"/>
    </row>
    <row r="794" spans="1:1" ht="20.100000000000001" customHeight="1">
      <c r="A794" s="167"/>
    </row>
    <row r="795" spans="1:1" ht="20.100000000000001" customHeight="1">
      <c r="A795" s="167"/>
    </row>
    <row r="796" spans="1:1" ht="20.100000000000001" customHeight="1">
      <c r="A796" s="167"/>
    </row>
    <row r="797" spans="1:1" ht="20.100000000000001" customHeight="1">
      <c r="A797" s="167"/>
    </row>
    <row r="798" spans="1:1" ht="20.100000000000001" customHeight="1">
      <c r="A798" s="167"/>
    </row>
    <row r="799" spans="1:1" ht="20.100000000000001" customHeight="1">
      <c r="A799" s="167"/>
    </row>
    <row r="800" spans="1:1" ht="20.100000000000001" customHeight="1">
      <c r="A800" s="167"/>
    </row>
    <row r="801" spans="1:1" ht="20.100000000000001" customHeight="1">
      <c r="A801" s="167"/>
    </row>
    <row r="802" spans="1:1" ht="20.100000000000001" customHeight="1">
      <c r="A802" s="167"/>
    </row>
    <row r="803" spans="1:1" ht="20.100000000000001" customHeight="1">
      <c r="A803" s="167"/>
    </row>
    <row r="804" spans="1:1" ht="20.100000000000001" customHeight="1">
      <c r="A804" s="167"/>
    </row>
    <row r="805" spans="1:1" ht="20.100000000000001" customHeight="1">
      <c r="A805" s="167"/>
    </row>
    <row r="806" spans="1:1" ht="20.100000000000001" customHeight="1">
      <c r="A806" s="167"/>
    </row>
    <row r="807" spans="1:1" ht="20.100000000000001" customHeight="1">
      <c r="A807" s="167"/>
    </row>
    <row r="808" spans="1:1" ht="20.100000000000001" customHeight="1">
      <c r="A808" s="167"/>
    </row>
    <row r="809" spans="1:1" ht="20.100000000000001" customHeight="1">
      <c r="A809" s="167"/>
    </row>
    <row r="810" spans="1:1" ht="20.100000000000001" customHeight="1">
      <c r="A810" s="167"/>
    </row>
    <row r="811" spans="1:1" ht="20.100000000000001" customHeight="1">
      <c r="A811" s="167"/>
    </row>
    <row r="812" spans="1:1" ht="20.100000000000001" customHeight="1">
      <c r="A812" s="167"/>
    </row>
    <row r="813" spans="1:1" ht="20.100000000000001" customHeight="1">
      <c r="A813" s="167"/>
    </row>
    <row r="814" spans="1:1" ht="20.100000000000001" customHeight="1">
      <c r="A814" s="167"/>
    </row>
    <row r="815" spans="1:1" ht="20.100000000000001" customHeight="1">
      <c r="A815" s="167"/>
    </row>
    <row r="816" spans="1:1" ht="20.100000000000001" customHeight="1">
      <c r="A816" s="167"/>
    </row>
    <row r="817" spans="1:1" ht="20.100000000000001" customHeight="1">
      <c r="A817" s="167"/>
    </row>
    <row r="818" spans="1:1" ht="20.100000000000001" customHeight="1">
      <c r="A818" s="167"/>
    </row>
    <row r="819" spans="1:1" ht="20.100000000000001" customHeight="1">
      <c r="A819" s="167"/>
    </row>
    <row r="820" spans="1:1" ht="20.100000000000001" customHeight="1">
      <c r="A820" s="167"/>
    </row>
    <row r="821" spans="1:1" ht="20.100000000000001" customHeight="1">
      <c r="A821" s="167"/>
    </row>
    <row r="822" spans="1:1" ht="20.100000000000001" customHeight="1">
      <c r="A822" s="167"/>
    </row>
    <row r="823" spans="1:1" ht="20.100000000000001" customHeight="1">
      <c r="A823" s="167"/>
    </row>
    <row r="824" spans="1:1" ht="20.100000000000001" customHeight="1">
      <c r="A824" s="167"/>
    </row>
    <row r="825" spans="1:1" ht="20.100000000000001" customHeight="1">
      <c r="A825" s="167"/>
    </row>
    <row r="826" spans="1:1" ht="20.100000000000001" customHeight="1">
      <c r="A826" s="167"/>
    </row>
    <row r="827" spans="1:1" ht="20.100000000000001" customHeight="1">
      <c r="A827" s="167"/>
    </row>
    <row r="828" spans="1:1" ht="20.100000000000001" customHeight="1">
      <c r="A828" s="167"/>
    </row>
    <row r="829" spans="1:1" ht="20.100000000000001" customHeight="1">
      <c r="A829" s="167"/>
    </row>
    <row r="830" spans="1:1" ht="20.100000000000001" customHeight="1">
      <c r="A830" s="167"/>
    </row>
    <row r="831" spans="1:1" ht="20.100000000000001" customHeight="1">
      <c r="A831" s="167"/>
    </row>
    <row r="832" spans="1:1" ht="20.100000000000001" customHeight="1">
      <c r="A832" s="167"/>
    </row>
    <row r="833" spans="1:1" ht="20.100000000000001" customHeight="1">
      <c r="A833" s="167"/>
    </row>
    <row r="834" spans="1:1" ht="20.100000000000001" customHeight="1">
      <c r="A834" s="167"/>
    </row>
    <row r="835" spans="1:1" ht="20.100000000000001" customHeight="1">
      <c r="A835" s="167"/>
    </row>
    <row r="836" spans="1:1" ht="20.100000000000001" customHeight="1">
      <c r="A836" s="167"/>
    </row>
    <row r="837" spans="1:1" ht="20.100000000000001" customHeight="1">
      <c r="A837" s="167"/>
    </row>
    <row r="838" spans="1:1" ht="20.100000000000001" customHeight="1">
      <c r="A838" s="167"/>
    </row>
    <row r="839" spans="1:1" ht="20.100000000000001" customHeight="1">
      <c r="A839" s="167"/>
    </row>
    <row r="840" spans="1:1" ht="20.100000000000001" customHeight="1">
      <c r="A840" s="167"/>
    </row>
    <row r="841" spans="1:1" ht="20.100000000000001" customHeight="1">
      <c r="A841" s="167"/>
    </row>
    <row r="842" spans="1:1" ht="20.100000000000001" customHeight="1">
      <c r="A842" s="167"/>
    </row>
    <row r="843" spans="1:1" ht="20.100000000000001" customHeight="1">
      <c r="A843" s="167"/>
    </row>
    <row r="844" spans="1:1" ht="20.100000000000001" customHeight="1">
      <c r="A844" s="167"/>
    </row>
    <row r="845" spans="1:1" ht="20.100000000000001" customHeight="1">
      <c r="A845" s="167"/>
    </row>
    <row r="846" spans="1:1" ht="20.100000000000001" customHeight="1">
      <c r="A846" s="167"/>
    </row>
    <row r="847" spans="1:1" ht="20.100000000000001" customHeight="1">
      <c r="A847" s="167"/>
    </row>
    <row r="848" spans="1:1" ht="20.100000000000001" customHeight="1">
      <c r="A848" s="167"/>
    </row>
    <row r="849" spans="1:1" ht="20.100000000000001" customHeight="1">
      <c r="A849" s="167"/>
    </row>
    <row r="850" spans="1:1" ht="20.100000000000001" customHeight="1">
      <c r="A850" s="167"/>
    </row>
    <row r="851" spans="1:1" ht="20.100000000000001" customHeight="1">
      <c r="A851" s="167"/>
    </row>
    <row r="852" spans="1:1" ht="20.100000000000001" customHeight="1">
      <c r="A852" s="167"/>
    </row>
    <row r="853" spans="1:1" ht="20.100000000000001" customHeight="1">
      <c r="A853" s="167"/>
    </row>
    <row r="854" spans="1:1" ht="20.100000000000001" customHeight="1">
      <c r="A854" s="167"/>
    </row>
    <row r="855" spans="1:1" ht="20.100000000000001" customHeight="1">
      <c r="A855" s="167"/>
    </row>
    <row r="856" spans="1:1" ht="20.100000000000001" customHeight="1">
      <c r="A856" s="167"/>
    </row>
    <row r="857" spans="1:1" ht="20.100000000000001" customHeight="1">
      <c r="A857" s="167"/>
    </row>
    <row r="858" spans="1:1" ht="20.100000000000001" customHeight="1">
      <c r="A858" s="167"/>
    </row>
    <row r="859" spans="1:1" ht="20.100000000000001" customHeight="1">
      <c r="A859" s="167"/>
    </row>
    <row r="860" spans="1:1" ht="20.100000000000001" customHeight="1">
      <c r="A860" s="167"/>
    </row>
    <row r="861" spans="1:1" ht="20.100000000000001" customHeight="1">
      <c r="A861" s="167"/>
    </row>
    <row r="862" spans="1:1" ht="20.100000000000001" customHeight="1">
      <c r="A862" s="167"/>
    </row>
    <row r="863" spans="1:1" ht="20.100000000000001" customHeight="1">
      <c r="A863" s="167"/>
    </row>
    <row r="864" spans="1:1" ht="20.100000000000001" customHeight="1">
      <c r="A864" s="167"/>
    </row>
    <row r="865" spans="1:1" ht="20.100000000000001" customHeight="1">
      <c r="A865" s="167"/>
    </row>
    <row r="866" spans="1:1" ht="20.100000000000001" customHeight="1">
      <c r="A866" s="167"/>
    </row>
    <row r="867" spans="1:1" ht="20.100000000000001" customHeight="1">
      <c r="A867" s="167"/>
    </row>
    <row r="868" spans="1:1" ht="20.100000000000001" customHeight="1">
      <c r="A868" s="167"/>
    </row>
    <row r="869" spans="1:1" ht="20.100000000000001" customHeight="1">
      <c r="A869" s="167"/>
    </row>
    <row r="870" spans="1:1" ht="20.100000000000001" customHeight="1">
      <c r="A870" s="167"/>
    </row>
    <row r="871" spans="1:1" ht="20.100000000000001" customHeight="1">
      <c r="A871" s="167"/>
    </row>
    <row r="872" spans="1:1" ht="20.100000000000001" customHeight="1">
      <c r="A872" s="167"/>
    </row>
    <row r="873" spans="1:1" ht="20.100000000000001" customHeight="1">
      <c r="A873" s="167"/>
    </row>
    <row r="874" spans="1:1" ht="20.100000000000001" customHeight="1">
      <c r="A874" s="167"/>
    </row>
    <row r="875" spans="1:1" ht="20.100000000000001" customHeight="1">
      <c r="A875" s="167"/>
    </row>
    <row r="876" spans="1:1" ht="20.100000000000001" customHeight="1">
      <c r="A876" s="167"/>
    </row>
    <row r="877" spans="1:1" ht="20.100000000000001" customHeight="1">
      <c r="A877" s="167"/>
    </row>
    <row r="878" spans="1:1" ht="20.100000000000001" customHeight="1">
      <c r="A878" s="167"/>
    </row>
    <row r="879" spans="1:1" ht="20.100000000000001" customHeight="1">
      <c r="A879" s="167"/>
    </row>
    <row r="880" spans="1:1" ht="20.100000000000001" customHeight="1">
      <c r="A880" s="167"/>
    </row>
    <row r="881" spans="1:1" ht="20.100000000000001" customHeight="1">
      <c r="A881" s="167"/>
    </row>
    <row r="882" spans="1:1" ht="20.100000000000001" customHeight="1">
      <c r="A882" s="167"/>
    </row>
    <row r="883" spans="1:1" ht="20.100000000000001" customHeight="1">
      <c r="A883" s="167"/>
    </row>
    <row r="884" spans="1:1" ht="20.100000000000001" customHeight="1">
      <c r="A884" s="167"/>
    </row>
    <row r="885" spans="1:1" ht="20.100000000000001" customHeight="1">
      <c r="A885" s="167"/>
    </row>
    <row r="886" spans="1:1" ht="20.100000000000001" customHeight="1">
      <c r="A886" s="167"/>
    </row>
    <row r="887" spans="1:1" ht="20.100000000000001" customHeight="1">
      <c r="A887" s="167"/>
    </row>
    <row r="888" spans="1:1" ht="20.100000000000001" customHeight="1">
      <c r="A888" s="167"/>
    </row>
    <row r="889" spans="1:1" ht="20.100000000000001" customHeight="1">
      <c r="A889" s="167"/>
    </row>
    <row r="890" spans="1:1" ht="20.100000000000001" customHeight="1">
      <c r="A890" s="167"/>
    </row>
    <row r="891" spans="1:1" ht="20.100000000000001" customHeight="1">
      <c r="A891" s="167"/>
    </row>
    <row r="892" spans="1:1" ht="20.100000000000001" customHeight="1">
      <c r="A892" s="167"/>
    </row>
    <row r="893" spans="1:1" ht="20.100000000000001" customHeight="1">
      <c r="A893" s="167"/>
    </row>
    <row r="894" spans="1:1" ht="20.100000000000001" customHeight="1">
      <c r="A894" s="167"/>
    </row>
    <row r="895" spans="1:1" ht="20.100000000000001" customHeight="1">
      <c r="A895" s="167"/>
    </row>
    <row r="896" spans="1:1" ht="20.100000000000001" customHeight="1">
      <c r="A896" s="167"/>
    </row>
    <row r="897" spans="1:1" ht="20.100000000000001" customHeight="1">
      <c r="A897" s="167"/>
    </row>
    <row r="898" spans="1:1" ht="20.100000000000001" customHeight="1">
      <c r="A898" s="167"/>
    </row>
    <row r="899" spans="1:1" ht="20.100000000000001" customHeight="1">
      <c r="A899" s="167"/>
    </row>
    <row r="900" spans="1:1" ht="20.100000000000001" customHeight="1">
      <c r="A900" s="167"/>
    </row>
    <row r="901" spans="1:1" ht="20.100000000000001" customHeight="1">
      <c r="A901" s="167"/>
    </row>
    <row r="902" spans="1:1" ht="20.100000000000001" customHeight="1">
      <c r="A902" s="167"/>
    </row>
    <row r="903" spans="1:1" ht="20.100000000000001" customHeight="1">
      <c r="A903" s="167"/>
    </row>
    <row r="904" spans="1:1" ht="20.100000000000001" customHeight="1">
      <c r="A904" s="167"/>
    </row>
    <row r="905" spans="1:1" ht="20.100000000000001" customHeight="1">
      <c r="A905" s="167"/>
    </row>
    <row r="906" spans="1:1" ht="20.100000000000001" customHeight="1">
      <c r="A906" s="167"/>
    </row>
    <row r="907" spans="1:1" ht="20.100000000000001" customHeight="1">
      <c r="A907" s="167"/>
    </row>
    <row r="908" spans="1:1" ht="20.100000000000001" customHeight="1">
      <c r="A908" s="167"/>
    </row>
    <row r="909" spans="1:1" ht="20.100000000000001" customHeight="1">
      <c r="A909" s="167"/>
    </row>
    <row r="910" spans="1:1" ht="20.100000000000001" customHeight="1">
      <c r="A910" s="167"/>
    </row>
    <row r="911" spans="1:1" ht="20.100000000000001" customHeight="1">
      <c r="A911" s="167"/>
    </row>
    <row r="912" spans="1:1" ht="20.100000000000001" customHeight="1">
      <c r="A912" s="167"/>
    </row>
    <row r="913" spans="1:1" ht="20.100000000000001" customHeight="1">
      <c r="A913" s="167"/>
    </row>
    <row r="914" spans="1:1" ht="20.100000000000001" customHeight="1">
      <c r="A914" s="167"/>
    </row>
    <row r="915" spans="1:1" ht="20.100000000000001" customHeight="1">
      <c r="A915" s="167"/>
    </row>
    <row r="916" spans="1:1" ht="20.100000000000001" customHeight="1">
      <c r="A916" s="167"/>
    </row>
    <row r="917" spans="1:1" ht="20.100000000000001" customHeight="1">
      <c r="A917" s="167"/>
    </row>
    <row r="918" spans="1:1" ht="20.100000000000001" customHeight="1">
      <c r="A918" s="167"/>
    </row>
    <row r="919" spans="1:1" ht="20.100000000000001" customHeight="1">
      <c r="A919" s="167"/>
    </row>
    <row r="920" spans="1:1" ht="20.100000000000001" customHeight="1">
      <c r="A920" s="167"/>
    </row>
    <row r="921" spans="1:1" ht="20.100000000000001" customHeight="1">
      <c r="A921" s="167"/>
    </row>
    <row r="922" spans="1:1" ht="20.100000000000001" customHeight="1">
      <c r="A922" s="167"/>
    </row>
    <row r="923" spans="1:1" ht="20.100000000000001" customHeight="1">
      <c r="A923" s="167"/>
    </row>
    <row r="924" spans="1:1" ht="20.100000000000001" customHeight="1">
      <c r="A924" s="167"/>
    </row>
    <row r="925" spans="1:1" ht="20.100000000000001" customHeight="1">
      <c r="A925" s="167"/>
    </row>
    <row r="926" spans="1:1" ht="20.100000000000001" customHeight="1">
      <c r="A926" s="167"/>
    </row>
    <row r="927" spans="1:1" ht="20.100000000000001" customHeight="1">
      <c r="A927" s="167"/>
    </row>
    <row r="928" spans="1:1" ht="20.100000000000001" customHeight="1">
      <c r="A928" s="167"/>
    </row>
    <row r="929" spans="1:1" ht="20.100000000000001" customHeight="1">
      <c r="A929" s="167"/>
    </row>
    <row r="930" spans="1:1" ht="20.100000000000001" customHeight="1">
      <c r="A930" s="167"/>
    </row>
    <row r="931" spans="1:1" ht="20.100000000000001" customHeight="1">
      <c r="A931" s="167"/>
    </row>
    <row r="932" spans="1:1" ht="20.100000000000001" customHeight="1">
      <c r="A932" s="167"/>
    </row>
    <row r="933" spans="1:1" ht="20.100000000000001" customHeight="1">
      <c r="A933" s="167"/>
    </row>
    <row r="934" spans="1:1" ht="20.100000000000001" customHeight="1">
      <c r="A934" s="167"/>
    </row>
    <row r="935" spans="1:1" ht="20.100000000000001" customHeight="1">
      <c r="A935" s="167"/>
    </row>
    <row r="936" spans="1:1" ht="20.100000000000001" customHeight="1">
      <c r="A936" s="167"/>
    </row>
    <row r="937" spans="1:1" ht="20.100000000000001" customHeight="1">
      <c r="A937" s="167"/>
    </row>
    <row r="938" spans="1:1" ht="20.100000000000001" customHeight="1">
      <c r="A938" s="167"/>
    </row>
    <row r="939" spans="1:1" ht="20.100000000000001" customHeight="1">
      <c r="A939" s="167"/>
    </row>
    <row r="940" spans="1:1" ht="20.100000000000001" customHeight="1">
      <c r="A940" s="167"/>
    </row>
    <row r="941" spans="1:1" ht="20.100000000000001" customHeight="1">
      <c r="A941" s="167"/>
    </row>
    <row r="942" spans="1:1" ht="20.100000000000001" customHeight="1">
      <c r="A942" s="167"/>
    </row>
    <row r="943" spans="1:1" ht="20.100000000000001" customHeight="1">
      <c r="A943" s="167"/>
    </row>
    <row r="944" spans="1:1" ht="20.100000000000001" customHeight="1">
      <c r="A944" s="167"/>
    </row>
    <row r="945" spans="1:1" ht="20.100000000000001" customHeight="1">
      <c r="A945" s="167"/>
    </row>
    <row r="946" spans="1:1" ht="20.100000000000001" customHeight="1">
      <c r="A946" s="167"/>
    </row>
    <row r="947" spans="1:1" ht="20.100000000000001" customHeight="1">
      <c r="A947" s="167"/>
    </row>
    <row r="948" spans="1:1" ht="20.100000000000001" customHeight="1">
      <c r="A948" s="167"/>
    </row>
    <row r="949" spans="1:1" ht="20.100000000000001" customHeight="1">
      <c r="A949" s="167"/>
    </row>
    <row r="950" spans="1:1" ht="20.100000000000001" customHeight="1">
      <c r="A950" s="167"/>
    </row>
    <row r="951" spans="1:1" ht="20.100000000000001" customHeight="1">
      <c r="A951" s="167"/>
    </row>
    <row r="952" spans="1:1" ht="20.100000000000001" customHeight="1">
      <c r="A952" s="167"/>
    </row>
    <row r="953" spans="1:1" ht="20.100000000000001" customHeight="1">
      <c r="A953" s="167"/>
    </row>
    <row r="954" spans="1:1" ht="20.100000000000001" customHeight="1">
      <c r="A954" s="167"/>
    </row>
    <row r="955" spans="1:1" ht="20.100000000000001" customHeight="1">
      <c r="A955" s="167"/>
    </row>
    <row r="956" spans="1:1" ht="20.100000000000001" customHeight="1">
      <c r="A956" s="167"/>
    </row>
    <row r="957" spans="1:1" ht="20.100000000000001" customHeight="1">
      <c r="A957" s="167"/>
    </row>
    <row r="958" spans="1:1" ht="20.100000000000001" customHeight="1">
      <c r="A958" s="167"/>
    </row>
    <row r="959" spans="1:1" ht="20.100000000000001" customHeight="1">
      <c r="A959" s="167"/>
    </row>
    <row r="960" spans="1:1" ht="20.100000000000001" customHeight="1">
      <c r="A960" s="167"/>
    </row>
    <row r="961" spans="1:1" ht="20.100000000000001" customHeight="1">
      <c r="A961" s="167"/>
    </row>
    <row r="962" spans="1:1" ht="20.100000000000001" customHeight="1">
      <c r="A962" s="167"/>
    </row>
    <row r="963" spans="1:1" ht="20.100000000000001" customHeight="1">
      <c r="A963" s="167"/>
    </row>
    <row r="964" spans="1:1" ht="20.100000000000001" customHeight="1">
      <c r="A964" s="167"/>
    </row>
    <row r="965" spans="1:1" ht="20.100000000000001" customHeight="1">
      <c r="A965" s="167"/>
    </row>
    <row r="966" spans="1:1" ht="20.100000000000001" customHeight="1">
      <c r="A966" s="167"/>
    </row>
    <row r="967" spans="1:1" ht="20.100000000000001" customHeight="1">
      <c r="A967" s="167"/>
    </row>
    <row r="968" spans="1:1" ht="20.100000000000001" customHeight="1">
      <c r="A968" s="167"/>
    </row>
    <row r="969" spans="1:1" ht="20.100000000000001" customHeight="1">
      <c r="A969" s="167"/>
    </row>
    <row r="970" spans="1:1" ht="20.100000000000001" customHeight="1">
      <c r="A970" s="167"/>
    </row>
    <row r="971" spans="1:1" ht="20.100000000000001" customHeight="1">
      <c r="A971" s="167"/>
    </row>
    <row r="972" spans="1:1" ht="20.100000000000001" customHeight="1">
      <c r="A972" s="167"/>
    </row>
    <row r="973" spans="1:1" ht="20.100000000000001" customHeight="1">
      <c r="A973" s="167"/>
    </row>
    <row r="974" spans="1:1" ht="20.100000000000001" customHeight="1">
      <c r="A974" s="167"/>
    </row>
    <row r="975" spans="1:1" ht="20.100000000000001" customHeight="1">
      <c r="A975" s="167"/>
    </row>
    <row r="976" spans="1:1" ht="20.100000000000001" customHeight="1">
      <c r="A976" s="167"/>
    </row>
    <row r="977" spans="1:1" ht="20.100000000000001" customHeight="1">
      <c r="A977" s="167"/>
    </row>
    <row r="978" spans="1:1" ht="20.100000000000001" customHeight="1">
      <c r="A978" s="167"/>
    </row>
    <row r="979" spans="1:1" ht="20.100000000000001" customHeight="1">
      <c r="A979" s="167"/>
    </row>
    <row r="980" spans="1:1" ht="20.100000000000001" customHeight="1">
      <c r="A980" s="167"/>
    </row>
    <row r="981" spans="1:1" ht="20.100000000000001" customHeight="1">
      <c r="A981" s="167"/>
    </row>
    <row r="982" spans="1:1" ht="20.100000000000001" customHeight="1">
      <c r="A982" s="167"/>
    </row>
    <row r="983" spans="1:1" ht="20.100000000000001" customHeight="1">
      <c r="A983" s="167"/>
    </row>
    <row r="984" spans="1:1" ht="20.100000000000001" customHeight="1">
      <c r="A984" s="167"/>
    </row>
    <row r="985" spans="1:1" ht="20.100000000000001" customHeight="1">
      <c r="A985" s="167"/>
    </row>
    <row r="986" spans="1:1" ht="20.100000000000001" customHeight="1">
      <c r="A986" s="167"/>
    </row>
    <row r="987" spans="1:1" ht="20.100000000000001" customHeight="1">
      <c r="A987" s="167"/>
    </row>
    <row r="988" spans="1:1" ht="20.100000000000001" customHeight="1">
      <c r="A988" s="167"/>
    </row>
    <row r="989" spans="1:1" ht="20.100000000000001" customHeight="1">
      <c r="A989" s="167"/>
    </row>
    <row r="990" spans="1:1" ht="20.100000000000001" customHeight="1">
      <c r="A990" s="167"/>
    </row>
    <row r="991" spans="1:1" ht="20.100000000000001" customHeight="1">
      <c r="A991" s="167"/>
    </row>
    <row r="992" spans="1:1" ht="20.100000000000001" customHeight="1">
      <c r="A992" s="167"/>
    </row>
    <row r="993" spans="1:1" ht="20.100000000000001" customHeight="1">
      <c r="A993" s="167"/>
    </row>
    <row r="994" spans="1:1" ht="20.100000000000001" customHeight="1">
      <c r="A994" s="167"/>
    </row>
    <row r="995" spans="1:1" ht="20.100000000000001" customHeight="1">
      <c r="A995" s="167"/>
    </row>
    <row r="996" spans="1:1" ht="20.100000000000001" customHeight="1">
      <c r="A996" s="167"/>
    </row>
    <row r="997" spans="1:1" ht="20.100000000000001" customHeight="1">
      <c r="A997" s="167"/>
    </row>
    <row r="998" spans="1:1" ht="20.100000000000001" customHeight="1">
      <c r="A998" s="167"/>
    </row>
    <row r="999" spans="1:1" ht="20.100000000000001" customHeight="1">
      <c r="A999" s="167"/>
    </row>
    <row r="1000" spans="1:1" ht="20.100000000000001" customHeight="1">
      <c r="A1000" s="167"/>
    </row>
    <row r="1001" spans="1:1" ht="20.100000000000001" customHeight="1">
      <c r="A1001" s="167"/>
    </row>
    <row r="1002" spans="1:1" ht="20.100000000000001" customHeight="1">
      <c r="A1002" s="167"/>
    </row>
    <row r="1003" spans="1:1" ht="20.100000000000001" customHeight="1">
      <c r="A1003" s="167"/>
    </row>
    <row r="1004" spans="1:1" ht="20.100000000000001" customHeight="1">
      <c r="A1004" s="167"/>
    </row>
    <row r="1005" spans="1:1" ht="20.100000000000001" customHeight="1">
      <c r="A1005" s="167"/>
    </row>
    <row r="1006" spans="1:1" ht="20.100000000000001" customHeight="1">
      <c r="A1006" s="167"/>
    </row>
    <row r="1007" spans="1:1" ht="20.100000000000001" customHeight="1">
      <c r="A1007" s="167"/>
    </row>
    <row r="1008" spans="1:1" ht="20.100000000000001" customHeight="1">
      <c r="A1008" s="167"/>
    </row>
    <row r="1009" spans="1:1" ht="20.100000000000001" customHeight="1">
      <c r="A1009" s="167"/>
    </row>
    <row r="1010" spans="1:1" ht="20.100000000000001" customHeight="1">
      <c r="A1010" s="167"/>
    </row>
    <row r="1011" spans="1:1" ht="20.100000000000001" customHeight="1">
      <c r="A1011" s="167"/>
    </row>
    <row r="1012" spans="1:1" ht="20.100000000000001" customHeight="1">
      <c r="A1012" s="167"/>
    </row>
    <row r="1013" spans="1:1" ht="20.100000000000001" customHeight="1">
      <c r="A1013" s="167"/>
    </row>
    <row r="1014" spans="1:1" ht="20.100000000000001" customHeight="1">
      <c r="A1014" s="167"/>
    </row>
    <row r="1015" spans="1:1" ht="20.100000000000001" customHeight="1">
      <c r="A1015" s="167"/>
    </row>
    <row r="1016" spans="1:1" ht="20.100000000000001" customHeight="1">
      <c r="A1016" s="167"/>
    </row>
    <row r="1017" spans="1:1" ht="20.100000000000001" customHeight="1">
      <c r="A1017" s="167"/>
    </row>
    <row r="1018" spans="1:1" ht="20.100000000000001" customHeight="1">
      <c r="A1018" s="167"/>
    </row>
    <row r="1019" spans="1:1" ht="20.100000000000001" customHeight="1">
      <c r="A1019" s="167"/>
    </row>
    <row r="1020" spans="1:1" ht="20.100000000000001" customHeight="1">
      <c r="A1020" s="167"/>
    </row>
    <row r="1021" spans="1:1" ht="20.100000000000001" customHeight="1">
      <c r="A1021" s="167"/>
    </row>
    <row r="1022" spans="1:1" ht="20.100000000000001" customHeight="1">
      <c r="A1022" s="167"/>
    </row>
    <row r="1023" spans="1:1" ht="20.100000000000001" customHeight="1">
      <c r="A1023" s="167"/>
    </row>
    <row r="1024" spans="1:1" ht="20.100000000000001" customHeight="1">
      <c r="A1024" s="167"/>
    </row>
    <row r="1025" spans="1:1" ht="20.100000000000001" customHeight="1">
      <c r="A1025" s="167"/>
    </row>
    <row r="1026" spans="1:1" ht="20.100000000000001" customHeight="1">
      <c r="A1026" s="167"/>
    </row>
    <row r="1027" spans="1:1" ht="20.100000000000001" customHeight="1">
      <c r="A1027" s="167"/>
    </row>
    <row r="1028" spans="1:1" ht="20.100000000000001" customHeight="1">
      <c r="A1028" s="167"/>
    </row>
    <row r="1029" spans="1:1" ht="20.100000000000001" customHeight="1">
      <c r="A1029" s="167"/>
    </row>
    <row r="1030" spans="1:1" ht="20.100000000000001" customHeight="1">
      <c r="A1030" s="167"/>
    </row>
    <row r="1031" spans="1:1" ht="20.100000000000001" customHeight="1">
      <c r="A1031" s="167"/>
    </row>
    <row r="1032" spans="1:1" ht="20.100000000000001" customHeight="1">
      <c r="A1032" s="167"/>
    </row>
    <row r="1033" spans="1:1" ht="20.100000000000001" customHeight="1">
      <c r="A1033" s="167"/>
    </row>
    <row r="1034" spans="1:1" ht="20.100000000000001" customHeight="1">
      <c r="A1034" s="167"/>
    </row>
    <row r="1035" spans="1:1" ht="20.100000000000001" customHeight="1">
      <c r="A1035" s="167"/>
    </row>
    <row r="1036" spans="1:1" ht="20.100000000000001" customHeight="1">
      <c r="A1036" s="167"/>
    </row>
    <row r="1037" spans="1:1" ht="20.100000000000001" customHeight="1">
      <c r="A1037" s="167"/>
    </row>
    <row r="1038" spans="1:1" ht="20.100000000000001" customHeight="1">
      <c r="A1038" s="167"/>
    </row>
    <row r="1039" spans="1:1" ht="20.100000000000001" customHeight="1">
      <c r="A1039" s="167"/>
    </row>
    <row r="1040" spans="1:1" ht="20.100000000000001" customHeight="1">
      <c r="A1040" s="167"/>
    </row>
    <row r="1041" spans="1:1" ht="20.100000000000001" customHeight="1">
      <c r="A1041" s="167"/>
    </row>
    <row r="1042" spans="1:1" ht="20.100000000000001" customHeight="1">
      <c r="A1042" s="167"/>
    </row>
    <row r="1043" spans="1:1" ht="20.100000000000001" customHeight="1">
      <c r="A1043" s="167"/>
    </row>
    <row r="1044" spans="1:1" ht="20.100000000000001" customHeight="1">
      <c r="A1044" s="167"/>
    </row>
    <row r="1045" spans="1:1" ht="20.100000000000001" customHeight="1">
      <c r="A1045" s="167"/>
    </row>
    <row r="1046" spans="1:1" ht="20.100000000000001" customHeight="1">
      <c r="A1046" s="167"/>
    </row>
    <row r="1047" spans="1:1" ht="20.100000000000001" customHeight="1">
      <c r="A1047" s="167"/>
    </row>
    <row r="1048" spans="1:1" ht="20.100000000000001" customHeight="1">
      <c r="A1048" s="167"/>
    </row>
    <row r="1049" spans="1:1" ht="20.100000000000001" customHeight="1">
      <c r="A1049" s="167"/>
    </row>
    <row r="1050" spans="1:1" ht="20.100000000000001" customHeight="1">
      <c r="A1050" s="167"/>
    </row>
    <row r="1051" spans="1:1" ht="20.100000000000001" customHeight="1">
      <c r="A1051" s="167"/>
    </row>
    <row r="1052" spans="1:1" ht="20.100000000000001" customHeight="1">
      <c r="A1052" s="167"/>
    </row>
    <row r="1053" spans="1:1" ht="20.100000000000001" customHeight="1">
      <c r="A1053" s="167"/>
    </row>
    <row r="1054" spans="1:1" ht="20.100000000000001" customHeight="1">
      <c r="A1054" s="167"/>
    </row>
    <row r="1055" spans="1:1" ht="20.100000000000001" customHeight="1">
      <c r="A1055" s="167"/>
    </row>
    <row r="1056" spans="1:1" ht="20.100000000000001" customHeight="1">
      <c r="A1056" s="167"/>
    </row>
    <row r="1057" spans="1:1" ht="20.100000000000001" customHeight="1">
      <c r="A1057" s="167"/>
    </row>
    <row r="1058" spans="1:1" ht="20.100000000000001" customHeight="1">
      <c r="A1058" s="167"/>
    </row>
    <row r="1059" spans="1:1" ht="20.100000000000001" customHeight="1">
      <c r="A1059" s="167"/>
    </row>
    <row r="1060" spans="1:1" ht="20.100000000000001" customHeight="1">
      <c r="A1060" s="167"/>
    </row>
    <row r="1061" spans="1:1" ht="20.100000000000001" customHeight="1">
      <c r="A1061" s="167"/>
    </row>
    <row r="1062" spans="1:1" ht="20.100000000000001" customHeight="1">
      <c r="A1062" s="167"/>
    </row>
    <row r="1063" spans="1:1" ht="20.100000000000001" customHeight="1">
      <c r="A1063" s="167"/>
    </row>
    <row r="1064" spans="1:1" ht="20.100000000000001" customHeight="1">
      <c r="A1064" s="167"/>
    </row>
    <row r="1065" spans="1:1" ht="20.100000000000001" customHeight="1">
      <c r="A1065" s="167"/>
    </row>
    <row r="1066" spans="1:1" ht="20.100000000000001" customHeight="1">
      <c r="A1066" s="167"/>
    </row>
    <row r="1067" spans="1:1" ht="20.100000000000001" customHeight="1">
      <c r="A1067" s="167"/>
    </row>
    <row r="1068" spans="1:1" ht="20.100000000000001" customHeight="1">
      <c r="A1068" s="167"/>
    </row>
    <row r="1069" spans="1:1" ht="20.100000000000001" customHeight="1">
      <c r="A1069" s="167"/>
    </row>
    <row r="1070" spans="1:1" ht="20.100000000000001" customHeight="1">
      <c r="A1070" s="167"/>
    </row>
    <row r="1071" spans="1:1" ht="20.100000000000001" customHeight="1">
      <c r="A1071" s="167"/>
    </row>
    <row r="1072" spans="1:1" ht="20.100000000000001" customHeight="1">
      <c r="A1072" s="167"/>
    </row>
    <row r="1073" spans="1:1" ht="20.100000000000001" customHeight="1">
      <c r="A1073" s="167"/>
    </row>
    <row r="1074" spans="1:1" ht="20.100000000000001" customHeight="1">
      <c r="A1074" s="167"/>
    </row>
    <row r="1075" spans="1:1" ht="20.100000000000001" customHeight="1">
      <c r="A1075" s="167"/>
    </row>
    <row r="1076" spans="1:1" ht="20.100000000000001" customHeight="1">
      <c r="A1076" s="167"/>
    </row>
    <row r="1077" spans="1:1" ht="20.100000000000001" customHeight="1">
      <c r="A1077" s="167"/>
    </row>
    <row r="1078" spans="1:1" ht="20.100000000000001" customHeight="1">
      <c r="A1078" s="167"/>
    </row>
    <row r="1079" spans="1:1" ht="20.100000000000001" customHeight="1">
      <c r="A1079" s="167"/>
    </row>
    <row r="1080" spans="1:1" ht="20.100000000000001" customHeight="1">
      <c r="A1080" s="167"/>
    </row>
    <row r="1081" spans="1:1" ht="20.100000000000001" customHeight="1">
      <c r="A1081" s="167"/>
    </row>
    <row r="1082" spans="1:1" ht="20.100000000000001" customHeight="1">
      <c r="A1082" s="167"/>
    </row>
    <row r="1083" spans="1:1" ht="20.100000000000001" customHeight="1">
      <c r="A1083" s="167"/>
    </row>
    <row r="1084" spans="1:1" ht="20.100000000000001" customHeight="1">
      <c r="A1084" s="167"/>
    </row>
    <row r="1085" spans="1:1" ht="20.100000000000001" customHeight="1">
      <c r="A1085" s="167"/>
    </row>
    <row r="1086" spans="1:1" ht="20.100000000000001" customHeight="1">
      <c r="A1086" s="167"/>
    </row>
    <row r="1087" spans="1:1" ht="20.100000000000001" customHeight="1">
      <c r="A1087" s="167"/>
    </row>
    <row r="1088" spans="1:1" ht="20.100000000000001" customHeight="1">
      <c r="A1088" s="167"/>
    </row>
    <row r="1089" spans="1:1" ht="20.100000000000001" customHeight="1">
      <c r="A1089" s="167"/>
    </row>
    <row r="1090" spans="1:1" ht="20.100000000000001" customHeight="1">
      <c r="A1090" s="167"/>
    </row>
    <row r="1091" spans="1:1" ht="20.100000000000001" customHeight="1">
      <c r="A1091" s="167"/>
    </row>
    <row r="1092" spans="1:1" ht="20.100000000000001" customHeight="1">
      <c r="A1092" s="167"/>
    </row>
    <row r="1093" spans="1:1" ht="20.100000000000001" customHeight="1">
      <c r="A1093" s="167"/>
    </row>
    <row r="1094" spans="1:1" ht="20.100000000000001" customHeight="1">
      <c r="A1094" s="167"/>
    </row>
    <row r="1095" spans="1:1" ht="20.100000000000001" customHeight="1">
      <c r="A1095" s="167"/>
    </row>
    <row r="1096" spans="1:1" ht="20.100000000000001" customHeight="1">
      <c r="A1096" s="167"/>
    </row>
    <row r="1097" spans="1:1" ht="20.100000000000001" customHeight="1">
      <c r="A1097" s="167"/>
    </row>
    <row r="1098" spans="1:1" ht="20.100000000000001" customHeight="1">
      <c r="A1098" s="167"/>
    </row>
    <row r="1099" spans="1:1" ht="20.100000000000001" customHeight="1">
      <c r="A1099" s="167"/>
    </row>
    <row r="1100" spans="1:1" ht="20.100000000000001" customHeight="1">
      <c r="A1100" s="167"/>
    </row>
    <row r="1101" spans="1:1" ht="20.100000000000001" customHeight="1">
      <c r="A1101" s="167"/>
    </row>
    <row r="1102" spans="1:1" ht="20.100000000000001" customHeight="1">
      <c r="A1102" s="167"/>
    </row>
    <row r="1103" spans="1:1" ht="20.100000000000001" customHeight="1">
      <c r="A1103" s="167"/>
    </row>
    <row r="1104" spans="1:1" ht="20.100000000000001" customHeight="1">
      <c r="A1104" s="167"/>
    </row>
    <row r="1105" spans="1:1" ht="20.100000000000001" customHeight="1">
      <c r="A1105" s="167"/>
    </row>
    <row r="1106" spans="1:1" ht="20.100000000000001" customHeight="1">
      <c r="A1106" s="167"/>
    </row>
    <row r="1107" spans="1:1" ht="20.100000000000001" customHeight="1">
      <c r="A1107" s="167"/>
    </row>
    <row r="1108" spans="1:1" ht="20.100000000000001" customHeight="1">
      <c r="A1108" s="167"/>
    </row>
    <row r="1109" spans="1:1" ht="20.100000000000001" customHeight="1">
      <c r="A1109" s="167"/>
    </row>
    <row r="1110" spans="1:1" ht="20.100000000000001" customHeight="1">
      <c r="A1110" s="167"/>
    </row>
    <row r="1111" spans="1:1" ht="20.100000000000001" customHeight="1">
      <c r="A1111" s="167"/>
    </row>
    <row r="1112" spans="1:1" ht="20.100000000000001" customHeight="1">
      <c r="A1112" s="167"/>
    </row>
    <row r="1113" spans="1:1" ht="20.100000000000001" customHeight="1">
      <c r="A1113" s="167"/>
    </row>
    <row r="1114" spans="1:1" ht="20.100000000000001" customHeight="1">
      <c r="A1114" s="167"/>
    </row>
    <row r="1115" spans="1:1" ht="20.100000000000001" customHeight="1">
      <c r="A1115" s="167"/>
    </row>
    <row r="1116" spans="1:1" ht="20.100000000000001" customHeight="1">
      <c r="A1116" s="167"/>
    </row>
    <row r="1117" spans="1:1" ht="20.100000000000001" customHeight="1">
      <c r="A1117" s="167"/>
    </row>
    <row r="1118" spans="1:1" ht="20.100000000000001" customHeight="1">
      <c r="A1118" s="167"/>
    </row>
    <row r="1119" spans="1:1" ht="20.100000000000001" customHeight="1">
      <c r="A1119" s="167"/>
    </row>
    <row r="1120" spans="1:1" ht="20.100000000000001" customHeight="1">
      <c r="A1120" s="167"/>
    </row>
    <row r="1121" spans="1:1" ht="20.100000000000001" customHeight="1">
      <c r="A1121" s="167"/>
    </row>
    <row r="1122" spans="1:1" ht="20.100000000000001" customHeight="1">
      <c r="A1122" s="167"/>
    </row>
    <row r="1123" spans="1:1" ht="20.100000000000001" customHeight="1">
      <c r="A1123" s="167"/>
    </row>
    <row r="1124" spans="1:1" ht="20.100000000000001" customHeight="1">
      <c r="A1124" s="167"/>
    </row>
    <row r="1125" spans="1:1" ht="20.100000000000001" customHeight="1">
      <c r="A1125" s="167"/>
    </row>
    <row r="1126" spans="1:1" ht="20.100000000000001" customHeight="1">
      <c r="A1126" s="167"/>
    </row>
    <row r="1127" spans="1:1" ht="20.100000000000001" customHeight="1">
      <c r="A1127" s="167"/>
    </row>
    <row r="1128" spans="1:1" ht="20.100000000000001" customHeight="1">
      <c r="A1128" s="167"/>
    </row>
    <row r="1129" spans="1:1" ht="20.100000000000001" customHeight="1">
      <c r="A1129" s="167"/>
    </row>
    <row r="1130" spans="1:1" ht="20.100000000000001" customHeight="1">
      <c r="A1130" s="167"/>
    </row>
    <row r="1131" spans="1:1" ht="20.100000000000001" customHeight="1">
      <c r="A1131" s="167"/>
    </row>
    <row r="1132" spans="1:1" ht="20.100000000000001" customHeight="1">
      <c r="A1132" s="167"/>
    </row>
    <row r="1133" spans="1:1" ht="20.100000000000001" customHeight="1">
      <c r="A1133" s="167"/>
    </row>
    <row r="1134" spans="1:1" ht="20.100000000000001" customHeight="1">
      <c r="A1134" s="167"/>
    </row>
    <row r="1135" spans="1:1" ht="20.100000000000001" customHeight="1">
      <c r="A1135" s="167"/>
    </row>
    <row r="1136" spans="1:1" ht="20.100000000000001" customHeight="1">
      <c r="A1136" s="167"/>
    </row>
    <row r="1137" spans="1:1" ht="20.100000000000001" customHeight="1">
      <c r="A1137" s="167"/>
    </row>
    <row r="1138" spans="1:1" ht="20.100000000000001" customHeight="1">
      <c r="A1138" s="167"/>
    </row>
    <row r="1139" spans="1:1" ht="20.100000000000001" customHeight="1">
      <c r="A1139" s="167"/>
    </row>
    <row r="1140" spans="1:1" ht="20.100000000000001" customHeight="1">
      <c r="A1140" s="167"/>
    </row>
    <row r="1141" spans="1:1" ht="20.100000000000001" customHeight="1">
      <c r="A1141" s="167"/>
    </row>
    <row r="1142" spans="1:1" ht="20.100000000000001" customHeight="1">
      <c r="A1142" s="167"/>
    </row>
    <row r="1143" spans="1:1" ht="20.100000000000001" customHeight="1">
      <c r="A1143" s="167"/>
    </row>
    <row r="1144" spans="1:1" ht="20.100000000000001" customHeight="1">
      <c r="A1144" s="167"/>
    </row>
    <row r="1145" spans="1:1" ht="20.100000000000001" customHeight="1">
      <c r="A1145" s="167"/>
    </row>
    <row r="1146" spans="1:1" ht="20.100000000000001" customHeight="1">
      <c r="A1146" s="167"/>
    </row>
    <row r="1147" spans="1:1" ht="20.100000000000001" customHeight="1">
      <c r="A1147" s="167"/>
    </row>
    <row r="1148" spans="1:1" ht="20.100000000000001" customHeight="1">
      <c r="A1148" s="167"/>
    </row>
    <row r="1149" spans="1:1" ht="20.100000000000001" customHeight="1">
      <c r="A1149" s="167"/>
    </row>
    <row r="1150" spans="1:1" ht="20.100000000000001" customHeight="1">
      <c r="A1150" s="167"/>
    </row>
    <row r="1151" spans="1:1" ht="20.100000000000001" customHeight="1">
      <c r="A1151" s="167"/>
    </row>
    <row r="1152" spans="1:1" ht="20.100000000000001" customHeight="1">
      <c r="A1152" s="167"/>
    </row>
    <row r="1153" spans="1:1" ht="20.100000000000001" customHeight="1">
      <c r="A1153" s="167"/>
    </row>
    <row r="1154" spans="1:1" ht="20.100000000000001" customHeight="1">
      <c r="A1154" s="167"/>
    </row>
    <row r="1155" spans="1:1" ht="20.100000000000001" customHeight="1">
      <c r="A1155" s="167"/>
    </row>
    <row r="1156" spans="1:1" ht="20.100000000000001" customHeight="1">
      <c r="A1156" s="167"/>
    </row>
    <row r="1157" spans="1:1" ht="20.100000000000001" customHeight="1">
      <c r="A1157" s="167"/>
    </row>
    <row r="1158" spans="1:1" ht="20.100000000000001" customHeight="1">
      <c r="A1158" s="167"/>
    </row>
    <row r="1159" spans="1:1" ht="20.100000000000001" customHeight="1">
      <c r="A1159" s="167"/>
    </row>
    <row r="1160" spans="1:1" ht="20.100000000000001" customHeight="1">
      <c r="A1160" s="167"/>
    </row>
    <row r="1161" spans="1:1" ht="20.100000000000001" customHeight="1">
      <c r="A1161" s="167"/>
    </row>
    <row r="1162" spans="1:1" ht="20.100000000000001" customHeight="1">
      <c r="A1162" s="167"/>
    </row>
    <row r="1163" spans="1:1" ht="20.100000000000001" customHeight="1">
      <c r="A1163" s="167"/>
    </row>
    <row r="1164" spans="1:1" ht="20.100000000000001" customHeight="1">
      <c r="A1164" s="167"/>
    </row>
    <row r="1165" spans="1:1" ht="20.100000000000001" customHeight="1">
      <c r="A1165" s="167"/>
    </row>
    <row r="1166" spans="1:1" ht="20.100000000000001" customHeight="1">
      <c r="A1166" s="167"/>
    </row>
    <row r="1167" spans="1:1" ht="20.100000000000001" customHeight="1">
      <c r="A1167" s="167"/>
    </row>
    <row r="1168" spans="1:1" ht="20.100000000000001" customHeight="1">
      <c r="A1168" s="167"/>
    </row>
    <row r="1169" spans="1:1" ht="20.100000000000001" customHeight="1">
      <c r="A1169" s="167"/>
    </row>
    <row r="1170" spans="1:1" ht="20.100000000000001" customHeight="1">
      <c r="A1170" s="167"/>
    </row>
    <row r="1171" spans="1:1" ht="20.100000000000001" customHeight="1">
      <c r="A1171" s="167"/>
    </row>
    <row r="1172" spans="1:1" ht="20.100000000000001" customHeight="1">
      <c r="A1172" s="167"/>
    </row>
    <row r="1173" spans="1:1" ht="20.100000000000001" customHeight="1">
      <c r="A1173" s="167"/>
    </row>
    <row r="1174" spans="1:1" ht="20.100000000000001" customHeight="1">
      <c r="A1174" s="167"/>
    </row>
    <row r="1175" spans="1:1" ht="20.100000000000001" customHeight="1">
      <c r="A1175" s="167"/>
    </row>
    <row r="1176" spans="1:1" ht="20.100000000000001" customHeight="1">
      <c r="A1176" s="167"/>
    </row>
    <row r="1177" spans="1:1" ht="20.100000000000001" customHeight="1">
      <c r="A1177" s="167"/>
    </row>
    <row r="1178" spans="1:1" ht="20.100000000000001" customHeight="1">
      <c r="A1178" s="167"/>
    </row>
    <row r="1179" spans="1:1" ht="20.100000000000001" customHeight="1">
      <c r="A1179" s="167"/>
    </row>
    <row r="1180" spans="1:1" ht="20.100000000000001" customHeight="1">
      <c r="A1180" s="167"/>
    </row>
    <row r="1181" spans="1:1" ht="20.100000000000001" customHeight="1">
      <c r="A1181" s="167"/>
    </row>
    <row r="1182" spans="1:1" ht="20.100000000000001" customHeight="1">
      <c r="A1182" s="167"/>
    </row>
    <row r="1183" spans="1:1" ht="20.100000000000001" customHeight="1">
      <c r="A1183" s="167"/>
    </row>
    <row r="1184" spans="1:1" ht="20.100000000000001" customHeight="1">
      <c r="A1184" s="167"/>
    </row>
    <row r="1185" spans="1:1" ht="20.100000000000001" customHeight="1">
      <c r="A1185" s="167"/>
    </row>
    <row r="1186" spans="1:1" ht="20.100000000000001" customHeight="1">
      <c r="A1186" s="167"/>
    </row>
    <row r="1187" spans="1:1" ht="20.100000000000001" customHeight="1">
      <c r="A1187" s="167"/>
    </row>
    <row r="1188" spans="1:1" ht="20.100000000000001" customHeight="1">
      <c r="A1188" s="167"/>
    </row>
    <row r="1189" spans="1:1" ht="20.100000000000001" customHeight="1">
      <c r="A1189" s="167"/>
    </row>
    <row r="1190" spans="1:1" ht="20.100000000000001" customHeight="1">
      <c r="A1190" s="167"/>
    </row>
    <row r="1191" spans="1:1" ht="20.100000000000001" customHeight="1">
      <c r="A1191" s="167"/>
    </row>
    <row r="1192" spans="1:1" ht="20.100000000000001" customHeight="1">
      <c r="A1192" s="167"/>
    </row>
    <row r="1193" spans="1:1" ht="20.100000000000001" customHeight="1">
      <c r="A1193" s="167"/>
    </row>
    <row r="1194" spans="1:1" ht="20.100000000000001" customHeight="1">
      <c r="A1194" s="167"/>
    </row>
    <row r="1195" spans="1:1" ht="20.100000000000001" customHeight="1">
      <c r="A1195" s="167"/>
    </row>
    <row r="1196" spans="1:1" ht="20.100000000000001" customHeight="1">
      <c r="A1196" s="167"/>
    </row>
    <row r="1197" spans="1:1" ht="20.100000000000001" customHeight="1">
      <c r="A1197" s="167"/>
    </row>
    <row r="1198" spans="1:1" ht="20.100000000000001" customHeight="1">
      <c r="A1198" s="167"/>
    </row>
    <row r="1199" spans="1:1" ht="20.100000000000001" customHeight="1">
      <c r="A1199" s="167"/>
    </row>
    <row r="1200" spans="1:1" ht="20.100000000000001" customHeight="1">
      <c r="A1200" s="167"/>
    </row>
    <row r="1201" spans="1:1" ht="20.100000000000001" customHeight="1">
      <c r="A1201" s="167"/>
    </row>
    <row r="1202" spans="1:1" ht="20.100000000000001" customHeight="1">
      <c r="A1202" s="167"/>
    </row>
    <row r="1203" spans="1:1" ht="20.100000000000001" customHeight="1">
      <c r="A1203" s="167"/>
    </row>
    <row r="1204" spans="1:1" ht="20.100000000000001" customHeight="1">
      <c r="A1204" s="167"/>
    </row>
    <row r="1205" spans="1:1" ht="20.100000000000001" customHeight="1">
      <c r="A1205" s="167"/>
    </row>
    <row r="1206" spans="1:1" ht="20.100000000000001" customHeight="1">
      <c r="A1206" s="167"/>
    </row>
    <row r="1207" spans="1:1" ht="20.100000000000001" customHeight="1">
      <c r="A1207" s="167"/>
    </row>
    <row r="1208" spans="1:1" ht="20.100000000000001" customHeight="1">
      <c r="A1208" s="167"/>
    </row>
    <row r="1209" spans="1:1" ht="20.100000000000001" customHeight="1">
      <c r="A1209" s="167"/>
    </row>
    <row r="1210" spans="1:1" ht="20.100000000000001" customHeight="1">
      <c r="A1210" s="167"/>
    </row>
    <row r="1211" spans="1:1" ht="20.100000000000001" customHeight="1">
      <c r="A1211" s="167"/>
    </row>
    <row r="1212" spans="1:1" ht="20.100000000000001" customHeight="1">
      <c r="A1212" s="167"/>
    </row>
    <row r="1213" spans="1:1" ht="20.100000000000001" customHeight="1">
      <c r="A1213" s="167"/>
    </row>
    <row r="1214" spans="1:1" ht="20.100000000000001" customHeight="1">
      <c r="A1214" s="167"/>
    </row>
    <row r="1215" spans="1:1" ht="20.100000000000001" customHeight="1">
      <c r="A1215" s="167"/>
    </row>
    <row r="1216" spans="1:1" ht="20.100000000000001" customHeight="1">
      <c r="A1216" s="167"/>
    </row>
    <row r="1217" spans="1:1" ht="20.100000000000001" customHeight="1">
      <c r="A1217" s="167"/>
    </row>
    <row r="1218" spans="1:1" ht="20.100000000000001" customHeight="1">
      <c r="A1218" s="167"/>
    </row>
    <row r="1219" spans="1:1" ht="20.100000000000001" customHeight="1">
      <c r="A1219" s="167"/>
    </row>
    <row r="1220" spans="1:1" ht="20.100000000000001" customHeight="1">
      <c r="A1220" s="167"/>
    </row>
    <row r="1221" spans="1:1" ht="20.100000000000001" customHeight="1">
      <c r="A1221" s="167"/>
    </row>
    <row r="1222" spans="1:1" ht="20.100000000000001" customHeight="1">
      <c r="A1222" s="167"/>
    </row>
    <row r="1223" spans="1:1" ht="20.100000000000001" customHeight="1">
      <c r="A1223" s="167"/>
    </row>
    <row r="1224" spans="1:1" ht="20.100000000000001" customHeight="1">
      <c r="A1224" s="167"/>
    </row>
    <row r="1225" spans="1:1" ht="20.100000000000001" customHeight="1">
      <c r="A1225" s="167"/>
    </row>
    <row r="1226" spans="1:1" ht="20.100000000000001" customHeight="1">
      <c r="A1226" s="167"/>
    </row>
    <row r="1227" spans="1:1" ht="20.100000000000001" customHeight="1">
      <c r="A1227" s="167"/>
    </row>
    <row r="1228" spans="1:1" ht="20.100000000000001" customHeight="1">
      <c r="A1228" s="167"/>
    </row>
    <row r="1229" spans="1:1" ht="20.100000000000001" customHeight="1">
      <c r="A1229" s="167"/>
    </row>
    <row r="1230" spans="1:1" ht="20.100000000000001" customHeight="1">
      <c r="A1230" s="167"/>
    </row>
    <row r="1231" spans="1:1" ht="20.100000000000001" customHeight="1">
      <c r="A1231" s="167"/>
    </row>
    <row r="1232" spans="1:1" ht="20.100000000000001" customHeight="1">
      <c r="A1232" s="167"/>
    </row>
    <row r="1233" spans="1:1" ht="20.100000000000001" customHeight="1">
      <c r="A1233" s="167"/>
    </row>
    <row r="1234" spans="1:1" ht="20.100000000000001" customHeight="1">
      <c r="A1234" s="167"/>
    </row>
    <row r="1235" spans="1:1" ht="20.100000000000001" customHeight="1">
      <c r="A1235" s="167"/>
    </row>
    <row r="1236" spans="1:1" ht="20.100000000000001" customHeight="1">
      <c r="A1236" s="167"/>
    </row>
    <row r="1237" spans="1:1" ht="20.100000000000001" customHeight="1">
      <c r="A1237" s="167"/>
    </row>
    <row r="1238" spans="1:1" ht="20.100000000000001" customHeight="1">
      <c r="A1238" s="167"/>
    </row>
    <row r="1239" spans="1:1" ht="20.100000000000001" customHeight="1">
      <c r="A1239" s="167"/>
    </row>
    <row r="1240" spans="1:1" ht="20.100000000000001" customHeight="1">
      <c r="A1240" s="167"/>
    </row>
    <row r="1241" spans="1:1" ht="20.100000000000001" customHeight="1">
      <c r="A1241" s="167"/>
    </row>
    <row r="1242" spans="1:1" ht="20.100000000000001" customHeight="1">
      <c r="A1242" s="167"/>
    </row>
    <row r="1243" spans="1:1" ht="20.100000000000001" customHeight="1">
      <c r="A1243" s="167"/>
    </row>
    <row r="1244" spans="1:1" ht="20.100000000000001" customHeight="1">
      <c r="A1244" s="167"/>
    </row>
    <row r="1245" spans="1:1" ht="20.100000000000001" customHeight="1">
      <c r="A1245" s="167"/>
    </row>
    <row r="1246" spans="1:1" ht="20.100000000000001" customHeight="1">
      <c r="A1246" s="167"/>
    </row>
    <row r="1247" spans="1:1" ht="20.100000000000001" customHeight="1">
      <c r="A1247" s="167"/>
    </row>
    <row r="1248" spans="1:1" ht="20.100000000000001" customHeight="1">
      <c r="A1248" s="167"/>
    </row>
    <row r="1249" spans="1:1" ht="20.100000000000001" customHeight="1">
      <c r="A1249" s="167"/>
    </row>
    <row r="1250" spans="1:1" ht="20.100000000000001" customHeight="1">
      <c r="A1250" s="167"/>
    </row>
    <row r="1251" spans="1:1" ht="20.100000000000001" customHeight="1">
      <c r="A1251" s="167"/>
    </row>
    <row r="1252" spans="1:1" ht="20.100000000000001" customHeight="1">
      <c r="A1252" s="167"/>
    </row>
    <row r="1253" spans="1:1" ht="20.100000000000001" customHeight="1">
      <c r="A1253" s="167"/>
    </row>
    <row r="1254" spans="1:1" ht="20.100000000000001" customHeight="1">
      <c r="A1254" s="167"/>
    </row>
    <row r="1255" spans="1:1" ht="20.100000000000001" customHeight="1">
      <c r="A1255" s="167"/>
    </row>
    <row r="1256" spans="1:1" ht="20.100000000000001" customHeight="1">
      <c r="A1256" s="167"/>
    </row>
    <row r="1257" spans="1:1" ht="20.100000000000001" customHeight="1">
      <c r="A1257" s="167"/>
    </row>
    <row r="1258" spans="1:1" ht="20.100000000000001" customHeight="1">
      <c r="A1258" s="167"/>
    </row>
    <row r="1259" spans="1:1" ht="20.100000000000001" customHeight="1">
      <c r="A1259" s="167"/>
    </row>
    <row r="1260" spans="1:1" ht="20.100000000000001" customHeight="1">
      <c r="A1260" s="167"/>
    </row>
    <row r="1261" spans="1:1" ht="20.100000000000001" customHeight="1">
      <c r="A1261" s="167"/>
    </row>
    <row r="1262" spans="1:1" ht="20.100000000000001" customHeight="1">
      <c r="A1262" s="167"/>
    </row>
    <row r="1263" spans="1:1" ht="20.100000000000001" customHeight="1">
      <c r="A1263" s="167"/>
    </row>
    <row r="1264" spans="1:1" ht="20.100000000000001" customHeight="1">
      <c r="A1264" s="167"/>
    </row>
    <row r="1265" spans="1:1" ht="20.100000000000001" customHeight="1">
      <c r="A1265" s="167"/>
    </row>
    <row r="1266" spans="1:1" ht="20.100000000000001" customHeight="1">
      <c r="A1266" s="167"/>
    </row>
    <row r="1267" spans="1:1" ht="20.100000000000001" customHeight="1">
      <c r="A1267" s="167"/>
    </row>
    <row r="1268" spans="1:1" ht="20.100000000000001" customHeight="1">
      <c r="A1268" s="167"/>
    </row>
    <row r="1269" spans="1:1" ht="20.100000000000001" customHeight="1">
      <c r="A1269" s="167"/>
    </row>
    <row r="1270" spans="1:1" ht="20.100000000000001" customHeight="1">
      <c r="A1270" s="167"/>
    </row>
    <row r="1271" spans="1:1" ht="20.100000000000001" customHeight="1">
      <c r="A1271" s="167"/>
    </row>
    <row r="1272" spans="1:1" ht="20.100000000000001" customHeight="1">
      <c r="A1272" s="167"/>
    </row>
    <row r="1273" spans="1:1" ht="20.100000000000001" customHeight="1">
      <c r="A1273" s="167"/>
    </row>
    <row r="1274" spans="1:1" ht="20.100000000000001" customHeight="1">
      <c r="A1274" s="167"/>
    </row>
    <row r="1275" spans="1:1" ht="20.100000000000001" customHeight="1">
      <c r="A1275" s="167"/>
    </row>
    <row r="1276" spans="1:1" ht="20.100000000000001" customHeight="1">
      <c r="A1276" s="167"/>
    </row>
    <row r="1277" spans="1:1" ht="20.100000000000001" customHeight="1">
      <c r="A1277" s="167"/>
    </row>
    <row r="1278" spans="1:1" ht="20.100000000000001" customHeight="1">
      <c r="A1278" s="167"/>
    </row>
    <row r="1279" spans="1:1" ht="20.100000000000001" customHeight="1">
      <c r="A1279" s="167"/>
    </row>
    <row r="1280" spans="1:1" ht="20.100000000000001" customHeight="1">
      <c r="A1280" s="167"/>
    </row>
    <row r="1281" spans="1:1" ht="20.100000000000001" customHeight="1">
      <c r="A1281" s="167"/>
    </row>
    <row r="1282" spans="1:1" ht="20.100000000000001" customHeight="1">
      <c r="A1282" s="167"/>
    </row>
    <row r="1283" spans="1:1" ht="20.100000000000001" customHeight="1">
      <c r="A1283" s="167"/>
    </row>
    <row r="1284" spans="1:1" ht="20.100000000000001" customHeight="1">
      <c r="A1284" s="167"/>
    </row>
    <row r="1285" spans="1:1" ht="20.100000000000001" customHeight="1">
      <c r="A1285" s="167"/>
    </row>
    <row r="1286" spans="1:1" ht="20.100000000000001" customHeight="1">
      <c r="A1286" s="167"/>
    </row>
    <row r="1287" spans="1:1" ht="20.100000000000001" customHeight="1">
      <c r="A1287" s="167"/>
    </row>
    <row r="1288" spans="1:1" ht="20.100000000000001" customHeight="1">
      <c r="A1288" s="167"/>
    </row>
    <row r="1289" spans="1:1" ht="20.100000000000001" customHeight="1">
      <c r="A1289" s="167"/>
    </row>
    <row r="1290" spans="1:1" ht="20.100000000000001" customHeight="1">
      <c r="A1290" s="167"/>
    </row>
    <row r="1291" spans="1:1" ht="20.100000000000001" customHeight="1">
      <c r="A1291" s="167"/>
    </row>
    <row r="1292" spans="1:1" ht="20.100000000000001" customHeight="1">
      <c r="A1292" s="167"/>
    </row>
    <row r="1293" spans="1:1" ht="20.100000000000001" customHeight="1">
      <c r="A1293" s="167"/>
    </row>
    <row r="1294" spans="1:1" ht="20.100000000000001" customHeight="1">
      <c r="A1294" s="167"/>
    </row>
    <row r="1295" spans="1:1" ht="20.100000000000001" customHeight="1">
      <c r="A1295" s="167"/>
    </row>
    <row r="1296" spans="1:1" ht="20.100000000000001" customHeight="1">
      <c r="A1296" s="167"/>
    </row>
    <row r="1297" spans="1:1" ht="20.100000000000001" customHeight="1">
      <c r="A1297" s="167"/>
    </row>
    <row r="1298" spans="1:1" ht="20.100000000000001" customHeight="1">
      <c r="A1298" s="167"/>
    </row>
    <row r="1299" spans="1:1" ht="20.100000000000001" customHeight="1">
      <c r="A1299" s="167"/>
    </row>
    <row r="1300" spans="1:1" ht="20.100000000000001" customHeight="1">
      <c r="A1300" s="167"/>
    </row>
    <row r="1301" spans="1:1" ht="20.100000000000001" customHeight="1">
      <c r="A1301" s="167"/>
    </row>
    <row r="1302" spans="1:1" ht="20.100000000000001" customHeight="1">
      <c r="A1302" s="167"/>
    </row>
    <row r="1303" spans="1:1" ht="20.100000000000001" customHeight="1">
      <c r="A1303" s="167"/>
    </row>
    <row r="1304" spans="1:1" ht="20.100000000000001" customHeight="1">
      <c r="A1304" s="167"/>
    </row>
    <row r="1305" spans="1:1" ht="20.100000000000001" customHeight="1">
      <c r="A1305" s="167"/>
    </row>
    <row r="1306" spans="1:1" ht="20.100000000000001" customHeight="1">
      <c r="A1306" s="167"/>
    </row>
    <row r="1307" spans="1:1" ht="20.100000000000001" customHeight="1">
      <c r="A1307" s="167"/>
    </row>
    <row r="1308" spans="1:1" ht="20.100000000000001" customHeight="1">
      <c r="A1308" s="167"/>
    </row>
    <row r="1309" spans="1:1" ht="20.100000000000001" customHeight="1">
      <c r="A1309" s="167"/>
    </row>
    <row r="1310" spans="1:1" ht="20.100000000000001" customHeight="1">
      <c r="A1310" s="167"/>
    </row>
    <row r="1311" spans="1:1" ht="20.100000000000001" customHeight="1">
      <c r="A1311" s="167"/>
    </row>
    <row r="1312" spans="1:1" ht="20.100000000000001" customHeight="1">
      <c r="A1312" s="167"/>
    </row>
    <row r="1313" spans="1:1" ht="20.100000000000001" customHeight="1">
      <c r="A1313" s="167"/>
    </row>
    <row r="1314" spans="1:1" ht="20.100000000000001" customHeight="1">
      <c r="A1314" s="167"/>
    </row>
    <row r="1315" spans="1:1" ht="20.100000000000001" customHeight="1">
      <c r="A1315" s="167"/>
    </row>
    <row r="1316" spans="1:1" ht="20.100000000000001" customHeight="1">
      <c r="A1316" s="167"/>
    </row>
    <row r="1317" spans="1:1" ht="20.100000000000001" customHeight="1">
      <c r="A1317" s="167"/>
    </row>
    <row r="1318" spans="1:1" ht="20.100000000000001" customHeight="1">
      <c r="A1318" s="167"/>
    </row>
    <row r="1319" spans="1:1" ht="20.100000000000001" customHeight="1">
      <c r="A1319" s="167"/>
    </row>
    <row r="1320" spans="1:1" ht="20.100000000000001" customHeight="1">
      <c r="A1320" s="167"/>
    </row>
    <row r="1321" spans="1:1" ht="20.100000000000001" customHeight="1">
      <c r="A1321" s="167"/>
    </row>
    <row r="1322" spans="1:1" ht="20.100000000000001" customHeight="1">
      <c r="A1322" s="167"/>
    </row>
    <row r="1323" spans="1:1" ht="20.100000000000001" customHeight="1">
      <c r="A1323" s="167"/>
    </row>
    <row r="1324" spans="1:1" ht="20.100000000000001" customHeight="1">
      <c r="A1324" s="167"/>
    </row>
    <row r="1325" spans="1:1" ht="20.100000000000001" customHeight="1">
      <c r="A1325" s="167"/>
    </row>
    <row r="1326" spans="1:1" ht="20.100000000000001" customHeight="1">
      <c r="A1326" s="167"/>
    </row>
    <row r="1327" spans="1:1" ht="20.100000000000001" customHeight="1">
      <c r="A1327" s="167"/>
    </row>
    <row r="1328" spans="1:1" ht="20.100000000000001" customHeight="1">
      <c r="A1328" s="167"/>
    </row>
    <row r="1329" spans="1:1" ht="20.100000000000001" customHeight="1">
      <c r="A1329" s="167"/>
    </row>
    <row r="1330" spans="1:1" ht="20.100000000000001" customHeight="1">
      <c r="A1330" s="167"/>
    </row>
    <row r="1331" spans="1:1" ht="20.100000000000001" customHeight="1">
      <c r="A1331" s="167"/>
    </row>
    <row r="1332" spans="1:1" ht="20.100000000000001" customHeight="1">
      <c r="A1332" s="167"/>
    </row>
    <row r="1333" spans="1:1" ht="20.100000000000001" customHeight="1">
      <c r="A1333" s="167"/>
    </row>
    <row r="1334" spans="1:1" ht="20.100000000000001" customHeight="1">
      <c r="A1334" s="167"/>
    </row>
    <row r="1335" spans="1:1" ht="20.100000000000001" customHeight="1">
      <c r="A1335" s="167"/>
    </row>
    <row r="1336" spans="1:1" ht="20.100000000000001" customHeight="1">
      <c r="A1336" s="167"/>
    </row>
    <row r="1337" spans="1:1" ht="20.100000000000001" customHeight="1">
      <c r="A1337" s="167"/>
    </row>
    <row r="1338" spans="1:1" ht="20.100000000000001" customHeight="1">
      <c r="A1338" s="167"/>
    </row>
    <row r="1339" spans="1:1" ht="20.100000000000001" customHeight="1">
      <c r="A1339" s="167"/>
    </row>
    <row r="1340" spans="1:1" ht="20.100000000000001" customHeight="1">
      <c r="A1340" s="167"/>
    </row>
    <row r="1341" spans="1:1" ht="20.100000000000001" customHeight="1">
      <c r="A1341" s="167"/>
    </row>
    <row r="1342" spans="1:1" ht="20.100000000000001" customHeight="1">
      <c r="A1342" s="167"/>
    </row>
    <row r="1343" spans="1:1" ht="20.100000000000001" customHeight="1">
      <c r="A1343" s="167"/>
    </row>
    <row r="1344" spans="1:1" ht="20.100000000000001" customHeight="1">
      <c r="A1344" s="167"/>
    </row>
    <row r="1345" spans="1:1" ht="20.100000000000001" customHeight="1">
      <c r="A1345" s="167"/>
    </row>
    <row r="1346" spans="1:1" ht="20.100000000000001" customHeight="1">
      <c r="A1346" s="167"/>
    </row>
    <row r="1347" spans="1:1" ht="20.100000000000001" customHeight="1">
      <c r="A1347" s="167"/>
    </row>
    <row r="1348" spans="1:1" ht="20.100000000000001" customHeight="1">
      <c r="A1348" s="167"/>
    </row>
    <row r="1349" spans="1:1" ht="20.100000000000001" customHeight="1">
      <c r="A1349" s="167"/>
    </row>
    <row r="1350" spans="1:1" ht="20.100000000000001" customHeight="1">
      <c r="A1350" s="167"/>
    </row>
    <row r="1351" spans="1:1" ht="20.100000000000001" customHeight="1">
      <c r="A1351" s="167"/>
    </row>
    <row r="1352" spans="1:1" ht="20.100000000000001" customHeight="1">
      <c r="A1352" s="167"/>
    </row>
    <row r="1353" spans="1:1" ht="20.100000000000001" customHeight="1">
      <c r="A1353" s="167"/>
    </row>
    <row r="1354" spans="1:1" ht="20.100000000000001" customHeight="1">
      <c r="A1354" s="167"/>
    </row>
    <row r="1355" spans="1:1" ht="20.100000000000001" customHeight="1">
      <c r="A1355" s="167"/>
    </row>
    <row r="1356" spans="1:1" ht="20.100000000000001" customHeight="1">
      <c r="A1356" s="167"/>
    </row>
    <row r="1357" spans="1:1" ht="20.100000000000001" customHeight="1">
      <c r="A1357" s="167"/>
    </row>
    <row r="1358" spans="1:1" ht="20.100000000000001" customHeight="1">
      <c r="A1358" s="167"/>
    </row>
    <row r="1359" spans="1:1" ht="20.100000000000001" customHeight="1">
      <c r="A1359" s="167"/>
    </row>
    <row r="1360" spans="1:1" ht="20.100000000000001" customHeight="1">
      <c r="A1360" s="167"/>
    </row>
    <row r="1361" spans="1:1" ht="20.100000000000001" customHeight="1">
      <c r="A1361" s="167"/>
    </row>
    <row r="1362" spans="1:1" ht="20.100000000000001" customHeight="1">
      <c r="A1362" s="167"/>
    </row>
    <row r="1363" spans="1:1" ht="20.100000000000001" customHeight="1">
      <c r="A1363" s="167"/>
    </row>
    <row r="1364" spans="1:1" ht="20.100000000000001" customHeight="1">
      <c r="A1364" s="167"/>
    </row>
    <row r="1365" spans="1:1" ht="20.100000000000001" customHeight="1">
      <c r="A1365" s="167"/>
    </row>
    <row r="1366" spans="1:1" ht="20.100000000000001" customHeight="1">
      <c r="A1366" s="167"/>
    </row>
    <row r="1367" spans="1:1" ht="20.100000000000001" customHeight="1">
      <c r="A1367" s="167"/>
    </row>
    <row r="1368" spans="1:1" ht="20.100000000000001" customHeight="1">
      <c r="A1368" s="167"/>
    </row>
    <row r="1369" spans="1:1" ht="20.100000000000001" customHeight="1">
      <c r="A1369" s="167"/>
    </row>
    <row r="1370" spans="1:1" ht="20.100000000000001" customHeight="1">
      <c r="A1370" s="167"/>
    </row>
    <row r="1371" spans="1:1" ht="20.100000000000001" customHeight="1">
      <c r="A1371" s="167"/>
    </row>
    <row r="1372" spans="1:1" ht="20.100000000000001" customHeight="1">
      <c r="A1372" s="167"/>
    </row>
    <row r="1373" spans="1:1" ht="20.100000000000001" customHeight="1">
      <c r="A1373" s="167"/>
    </row>
    <row r="1374" spans="1:1" ht="20.100000000000001" customHeight="1">
      <c r="A1374" s="167"/>
    </row>
    <row r="1375" spans="1:1" ht="20.100000000000001" customHeight="1">
      <c r="A1375" s="167"/>
    </row>
    <row r="1376" spans="1:1" ht="20.100000000000001" customHeight="1">
      <c r="A1376" s="167"/>
    </row>
    <row r="1377" spans="1:1" ht="20.100000000000001" customHeight="1">
      <c r="A1377" s="167"/>
    </row>
    <row r="1378" spans="1:1" ht="20.100000000000001" customHeight="1">
      <c r="A1378" s="167"/>
    </row>
    <row r="1379" spans="1:1" ht="20.100000000000001" customHeight="1">
      <c r="A1379" s="167"/>
    </row>
    <row r="1380" spans="1:1" ht="20.100000000000001" customHeight="1">
      <c r="A1380" s="167"/>
    </row>
    <row r="1381" spans="1:1" ht="20.100000000000001" customHeight="1">
      <c r="A1381" s="167"/>
    </row>
    <row r="1382" spans="1:1" ht="20.100000000000001" customHeight="1">
      <c r="A1382" s="167"/>
    </row>
    <row r="1383" spans="1:1" ht="20.100000000000001" customHeight="1">
      <c r="A1383" s="167"/>
    </row>
    <row r="1384" spans="1:1" ht="20.100000000000001" customHeight="1">
      <c r="A1384" s="167"/>
    </row>
    <row r="1385" spans="1:1" ht="20.100000000000001" customHeight="1">
      <c r="A1385" s="167"/>
    </row>
    <row r="1386" spans="1:1" ht="20.100000000000001" customHeight="1">
      <c r="A1386" s="167"/>
    </row>
    <row r="1387" spans="1:1" ht="20.100000000000001" customHeight="1">
      <c r="A1387" s="167"/>
    </row>
    <row r="1388" spans="1:1" ht="20.100000000000001" customHeight="1">
      <c r="A1388" s="167"/>
    </row>
    <row r="1389" spans="1:1" ht="20.100000000000001" customHeight="1">
      <c r="A1389" s="167"/>
    </row>
    <row r="1390" spans="1:1" ht="20.100000000000001" customHeight="1">
      <c r="A1390" s="167"/>
    </row>
    <row r="1391" spans="1:1" ht="20.100000000000001" customHeight="1">
      <c r="A1391" s="167"/>
    </row>
    <row r="1392" spans="1:1" ht="20.100000000000001" customHeight="1">
      <c r="A1392" s="167"/>
    </row>
    <row r="1393" spans="1:1" ht="20.100000000000001" customHeight="1">
      <c r="A1393" s="167"/>
    </row>
    <row r="1394" spans="1:1" ht="20.100000000000001" customHeight="1">
      <c r="A1394" s="167"/>
    </row>
    <row r="1395" spans="1:1" ht="20.100000000000001" customHeight="1">
      <c r="A1395" s="167"/>
    </row>
    <row r="1396" spans="1:1" ht="20.100000000000001" customHeight="1">
      <c r="A1396" s="167"/>
    </row>
    <row r="1397" spans="1:1" ht="20.100000000000001" customHeight="1">
      <c r="A1397" s="167"/>
    </row>
    <row r="1398" spans="1:1" ht="20.100000000000001" customHeight="1">
      <c r="A1398" s="167"/>
    </row>
    <row r="1399" spans="1:1" ht="20.100000000000001" customHeight="1">
      <c r="A1399" s="167"/>
    </row>
    <row r="1400" spans="1:1" ht="20.100000000000001" customHeight="1">
      <c r="A1400" s="167"/>
    </row>
    <row r="1401" spans="1:1" ht="20.100000000000001" customHeight="1">
      <c r="A1401" s="167"/>
    </row>
    <row r="1402" spans="1:1" ht="20.100000000000001" customHeight="1">
      <c r="A1402" s="167"/>
    </row>
    <row r="1403" spans="1:1" ht="20.100000000000001" customHeight="1">
      <c r="A1403" s="167"/>
    </row>
    <row r="1404" spans="1:1" ht="20.100000000000001" customHeight="1">
      <c r="A1404" s="167"/>
    </row>
    <row r="1405" spans="1:1" ht="20.100000000000001" customHeight="1">
      <c r="A1405" s="167"/>
    </row>
    <row r="1406" spans="1:1" ht="20.100000000000001" customHeight="1">
      <c r="A1406" s="167"/>
    </row>
    <row r="1407" spans="1:1" ht="20.100000000000001" customHeight="1">
      <c r="A1407" s="167"/>
    </row>
    <row r="1408" spans="1:1" ht="20.100000000000001" customHeight="1">
      <c r="A1408" s="167"/>
    </row>
    <row r="1409" spans="1:1" ht="20.100000000000001" customHeight="1">
      <c r="A1409" s="167"/>
    </row>
    <row r="1410" spans="1:1" ht="20.100000000000001" customHeight="1">
      <c r="A1410" s="167"/>
    </row>
    <row r="1411" spans="1:1" ht="20.100000000000001" customHeight="1">
      <c r="A1411" s="167"/>
    </row>
    <row r="1412" spans="1:1" ht="20.100000000000001" customHeight="1">
      <c r="A1412" s="167"/>
    </row>
    <row r="1413" spans="1:1" ht="20.100000000000001" customHeight="1">
      <c r="A1413" s="167"/>
    </row>
    <row r="1414" spans="1:1" ht="20.100000000000001" customHeight="1">
      <c r="A1414" s="167"/>
    </row>
    <row r="1415" spans="1:1" ht="20.100000000000001" customHeight="1">
      <c r="A1415" s="167"/>
    </row>
    <row r="1416" spans="1:1" ht="20.100000000000001" customHeight="1">
      <c r="A1416" s="167"/>
    </row>
    <row r="1417" spans="1:1" ht="20.100000000000001" customHeight="1">
      <c r="A1417" s="167"/>
    </row>
    <row r="1418" spans="1:1" ht="20.100000000000001" customHeight="1">
      <c r="A1418" s="167"/>
    </row>
    <row r="1419" spans="1:1" ht="20.100000000000001" customHeight="1">
      <c r="A1419" s="167"/>
    </row>
    <row r="1420" spans="1:1" ht="20.100000000000001" customHeight="1">
      <c r="A1420" s="167"/>
    </row>
    <row r="1421" spans="1:1" ht="20.100000000000001" customHeight="1">
      <c r="A1421" s="167"/>
    </row>
    <row r="1422" spans="1:1" ht="20.100000000000001" customHeight="1">
      <c r="A1422" s="167"/>
    </row>
    <row r="1423" spans="1:1" ht="20.100000000000001" customHeight="1">
      <c r="A1423" s="167"/>
    </row>
    <row r="1424" spans="1:1" ht="20.100000000000001" customHeight="1">
      <c r="A1424" s="167"/>
    </row>
    <row r="1425" spans="1:1" ht="20.100000000000001" customHeight="1">
      <c r="A1425" s="167"/>
    </row>
    <row r="1426" spans="1:1" ht="20.100000000000001" customHeight="1">
      <c r="A1426" s="167"/>
    </row>
    <row r="1427" spans="1:1" ht="20.100000000000001" customHeight="1">
      <c r="A1427" s="167"/>
    </row>
    <row r="1428" spans="1:1" ht="20.100000000000001" customHeight="1">
      <c r="A1428" s="167"/>
    </row>
    <row r="1429" spans="1:1" ht="20.100000000000001" customHeight="1">
      <c r="A1429" s="167"/>
    </row>
    <row r="1430" spans="1:1" ht="20.100000000000001" customHeight="1">
      <c r="A1430" s="167"/>
    </row>
    <row r="1431" spans="1:1" ht="20.100000000000001" customHeight="1">
      <c r="A1431" s="167"/>
    </row>
    <row r="1432" spans="1:1" ht="20.100000000000001" customHeight="1">
      <c r="A1432" s="167"/>
    </row>
    <row r="1433" spans="1:1" ht="20.100000000000001" customHeight="1">
      <c r="A1433" s="167"/>
    </row>
    <row r="1434" spans="1:1" ht="20.100000000000001" customHeight="1">
      <c r="A1434" s="167"/>
    </row>
    <row r="1435" spans="1:1" ht="20.100000000000001" customHeight="1">
      <c r="A1435" s="167"/>
    </row>
    <row r="1436" spans="1:1" ht="20.100000000000001" customHeight="1">
      <c r="A1436" s="167"/>
    </row>
    <row r="1437" spans="1:1" ht="20.100000000000001" customHeight="1">
      <c r="A1437" s="167"/>
    </row>
    <row r="1438" spans="1:1" ht="20.100000000000001" customHeight="1">
      <c r="A1438" s="167"/>
    </row>
    <row r="1439" spans="1:1" ht="20.100000000000001" customHeight="1">
      <c r="A1439" s="167"/>
    </row>
    <row r="1440" spans="1:1" ht="20.100000000000001" customHeight="1">
      <c r="A1440" s="167"/>
    </row>
    <row r="1441" spans="1:1" ht="20.100000000000001" customHeight="1">
      <c r="A1441" s="167"/>
    </row>
    <row r="1442" spans="1:1" ht="20.100000000000001" customHeight="1">
      <c r="A1442" s="167"/>
    </row>
    <row r="1443" spans="1:1" ht="20.100000000000001" customHeight="1">
      <c r="A1443" s="167"/>
    </row>
    <row r="1444" spans="1:1" ht="20.100000000000001" customHeight="1">
      <c r="A1444" s="167"/>
    </row>
    <row r="1445" spans="1:1" ht="20.100000000000001" customHeight="1">
      <c r="A1445" s="167"/>
    </row>
    <row r="1446" spans="1:1" ht="20.100000000000001" customHeight="1">
      <c r="A1446" s="167"/>
    </row>
    <row r="1447" spans="1:1" ht="20.100000000000001" customHeight="1">
      <c r="A1447" s="167"/>
    </row>
    <row r="1448" spans="1:1" ht="20.100000000000001" customHeight="1">
      <c r="A1448" s="167"/>
    </row>
    <row r="1449" spans="1:1" ht="20.100000000000001" customHeight="1">
      <c r="A1449" s="167"/>
    </row>
    <row r="1450" spans="1:1" ht="20.100000000000001" customHeight="1">
      <c r="A1450" s="167"/>
    </row>
    <row r="1451" spans="1:1" ht="20.100000000000001" customHeight="1">
      <c r="A1451" s="167"/>
    </row>
    <row r="1452" spans="1:1" ht="20.100000000000001" customHeight="1">
      <c r="A1452" s="167"/>
    </row>
    <row r="1453" spans="1:1" ht="20.100000000000001" customHeight="1">
      <c r="A1453" s="167"/>
    </row>
    <row r="1454" spans="1:1" ht="20.100000000000001" customHeight="1">
      <c r="A1454" s="167"/>
    </row>
    <row r="1455" spans="1:1" ht="20.100000000000001" customHeight="1">
      <c r="A1455" s="167"/>
    </row>
    <row r="1456" spans="1:1" ht="20.100000000000001" customHeight="1">
      <c r="A1456" s="167"/>
    </row>
    <row r="1457" spans="1:1" ht="20.100000000000001" customHeight="1">
      <c r="A1457" s="167"/>
    </row>
    <row r="1458" spans="1:1" ht="20.100000000000001" customHeight="1">
      <c r="A1458" s="167"/>
    </row>
    <row r="1459" spans="1:1" ht="20.100000000000001" customHeight="1">
      <c r="A1459" s="167"/>
    </row>
    <row r="1460" spans="1:1" ht="20.100000000000001" customHeight="1">
      <c r="A1460" s="167"/>
    </row>
    <row r="1461" spans="1:1" ht="20.100000000000001" customHeight="1">
      <c r="A1461" s="167"/>
    </row>
    <row r="1462" spans="1:1" ht="20.100000000000001" customHeight="1">
      <c r="A1462" s="167"/>
    </row>
    <row r="1463" spans="1:1" ht="20.100000000000001" customHeight="1">
      <c r="A1463" s="167"/>
    </row>
    <row r="1464" spans="1:1" ht="20.100000000000001" customHeight="1">
      <c r="A1464" s="167"/>
    </row>
    <row r="1465" spans="1:1" ht="20.100000000000001" customHeight="1">
      <c r="A1465" s="167"/>
    </row>
    <row r="1466" spans="1:1" ht="20.100000000000001" customHeight="1">
      <c r="A1466" s="167"/>
    </row>
    <row r="1467" spans="1:1" ht="20.100000000000001" customHeight="1">
      <c r="A1467" s="167"/>
    </row>
    <row r="1468" spans="1:1" ht="20.100000000000001" customHeight="1">
      <c r="A1468" s="167"/>
    </row>
    <row r="1469" spans="1:1" ht="20.100000000000001" customHeight="1">
      <c r="A1469" s="167"/>
    </row>
    <row r="1470" spans="1:1" ht="20.100000000000001" customHeight="1">
      <c r="A1470" s="167"/>
    </row>
    <row r="1471" spans="1:1" ht="20.100000000000001" customHeight="1">
      <c r="A1471" s="167"/>
    </row>
    <row r="1472" spans="1:1" ht="20.100000000000001" customHeight="1">
      <c r="A1472" s="167"/>
    </row>
    <row r="1473" spans="1:1" ht="20.100000000000001" customHeight="1">
      <c r="A1473" s="167"/>
    </row>
    <row r="1474" spans="1:1" ht="20.100000000000001" customHeight="1">
      <c r="A1474" s="167"/>
    </row>
    <row r="1475" spans="1:1" ht="20.100000000000001" customHeight="1">
      <c r="A1475" s="167"/>
    </row>
    <row r="1476" spans="1:1" ht="20.100000000000001" customHeight="1">
      <c r="A1476" s="167"/>
    </row>
    <row r="1477" spans="1:1" ht="20.100000000000001" customHeight="1">
      <c r="A1477" s="167"/>
    </row>
    <row r="1478" spans="1:1" ht="20.100000000000001" customHeight="1">
      <c r="A1478" s="167"/>
    </row>
    <row r="1479" spans="1:1" ht="20.100000000000001" customHeight="1">
      <c r="A1479" s="167"/>
    </row>
    <row r="1480" spans="1:1" ht="20.100000000000001" customHeight="1">
      <c r="A1480" s="167"/>
    </row>
    <row r="1481" spans="1:1" ht="20.100000000000001" customHeight="1">
      <c r="A1481" s="167"/>
    </row>
    <row r="1482" spans="1:1" ht="20.100000000000001" customHeight="1">
      <c r="A1482" s="167"/>
    </row>
    <row r="1483" spans="1:1" ht="20.100000000000001" customHeight="1">
      <c r="A1483" s="167"/>
    </row>
    <row r="1484" spans="1:1" ht="20.100000000000001" customHeight="1">
      <c r="A1484" s="167"/>
    </row>
    <row r="1485" spans="1:1" ht="20.100000000000001" customHeight="1">
      <c r="A1485" s="167"/>
    </row>
    <row r="1486" spans="1:1" ht="20.100000000000001" customHeight="1">
      <c r="A1486" s="167"/>
    </row>
    <row r="1487" spans="1:1" ht="20.100000000000001" customHeight="1">
      <c r="A1487" s="167"/>
    </row>
    <row r="1488" spans="1:1" ht="20.100000000000001" customHeight="1">
      <c r="A1488" s="167"/>
    </row>
    <row r="1489" spans="1:1" ht="20.100000000000001" customHeight="1">
      <c r="A1489" s="167"/>
    </row>
    <row r="1490" spans="1:1" ht="20.100000000000001" customHeight="1">
      <c r="A1490" s="167"/>
    </row>
    <row r="1491" spans="1:1" ht="20.100000000000001" customHeight="1">
      <c r="A1491" s="167"/>
    </row>
    <row r="1492" spans="1:1" ht="20.100000000000001" customHeight="1">
      <c r="A1492" s="167"/>
    </row>
    <row r="1493" spans="1:1" ht="20.100000000000001" customHeight="1">
      <c r="A1493" s="167"/>
    </row>
    <row r="1494" spans="1:1" ht="20.100000000000001" customHeight="1">
      <c r="A1494" s="167"/>
    </row>
    <row r="1495" spans="1:1" ht="20.100000000000001" customHeight="1">
      <c r="A1495" s="167"/>
    </row>
    <row r="1496" spans="1:1" ht="20.100000000000001" customHeight="1">
      <c r="A1496" s="167"/>
    </row>
    <row r="1497" spans="1:1" ht="20.100000000000001" customHeight="1">
      <c r="A1497" s="167"/>
    </row>
    <row r="1498" spans="1:1" ht="20.100000000000001" customHeight="1">
      <c r="A1498" s="167"/>
    </row>
    <row r="1499" spans="1:1" ht="20.100000000000001" customHeight="1">
      <c r="A1499" s="167"/>
    </row>
    <row r="1500" spans="1:1" ht="20.100000000000001" customHeight="1">
      <c r="A1500" s="167"/>
    </row>
    <row r="1501" spans="1:1" ht="20.100000000000001" customHeight="1">
      <c r="A1501" s="167"/>
    </row>
    <row r="1502" spans="1:1" ht="20.100000000000001" customHeight="1">
      <c r="A1502" s="167"/>
    </row>
    <row r="1503" spans="1:1" ht="20.100000000000001" customHeight="1">
      <c r="A1503" s="167"/>
    </row>
    <row r="1504" spans="1:1" ht="20.100000000000001" customHeight="1">
      <c r="A1504" s="167"/>
    </row>
    <row r="1505" spans="1:1" ht="20.100000000000001" customHeight="1">
      <c r="A1505" s="167"/>
    </row>
    <row r="1506" spans="1:1" ht="20.100000000000001" customHeight="1">
      <c r="A1506" s="167"/>
    </row>
    <row r="1507" spans="1:1" ht="20.100000000000001" customHeight="1">
      <c r="A1507" s="167"/>
    </row>
    <row r="1508" spans="1:1" ht="20.100000000000001" customHeight="1">
      <c r="A1508" s="167"/>
    </row>
    <row r="1509" spans="1:1" ht="20.100000000000001" customHeight="1">
      <c r="A1509" s="167"/>
    </row>
    <row r="1510" spans="1:1" ht="20.100000000000001" customHeight="1">
      <c r="A1510" s="167"/>
    </row>
    <row r="1511" spans="1:1" ht="20.100000000000001" customHeight="1">
      <c r="A1511" s="167"/>
    </row>
    <row r="1512" spans="1:1" ht="20.100000000000001" customHeight="1">
      <c r="A1512" s="167"/>
    </row>
    <row r="1513" spans="1:1" ht="20.100000000000001" customHeight="1">
      <c r="A1513" s="167"/>
    </row>
    <row r="1514" spans="1:1" ht="20.100000000000001" customHeight="1">
      <c r="A1514" s="167"/>
    </row>
    <row r="1515" spans="1:1" ht="20.100000000000001" customHeight="1">
      <c r="A1515" s="167"/>
    </row>
    <row r="1516" spans="1:1" ht="20.100000000000001" customHeight="1">
      <c r="A1516" s="167"/>
    </row>
    <row r="1517" spans="1:1" ht="20.100000000000001" customHeight="1">
      <c r="A1517" s="167"/>
    </row>
    <row r="1518" spans="1:1" ht="20.100000000000001" customHeight="1">
      <c r="A1518" s="167"/>
    </row>
    <row r="1519" spans="1:1" ht="20.100000000000001" customHeight="1">
      <c r="A1519" s="167"/>
    </row>
    <row r="1520" spans="1:1" ht="20.100000000000001" customHeight="1">
      <c r="A1520" s="167"/>
    </row>
    <row r="1521" spans="1:1" ht="20.100000000000001" customHeight="1">
      <c r="A1521" s="167"/>
    </row>
    <row r="1522" spans="1:1" ht="20.100000000000001" customHeight="1">
      <c r="A1522" s="167"/>
    </row>
    <row r="1523" spans="1:1" ht="20.100000000000001" customHeight="1">
      <c r="A1523" s="167"/>
    </row>
    <row r="1524" spans="1:1" ht="20.100000000000001" customHeight="1">
      <c r="A1524" s="167"/>
    </row>
    <row r="1525" spans="1:1" ht="20.100000000000001" customHeight="1">
      <c r="A1525" s="167"/>
    </row>
    <row r="1526" spans="1:1" ht="20.100000000000001" customHeight="1">
      <c r="A1526" s="167"/>
    </row>
    <row r="1527" spans="1:1" ht="20.100000000000001" customHeight="1">
      <c r="A1527" s="167"/>
    </row>
    <row r="1528" spans="1:1" ht="20.100000000000001" customHeight="1">
      <c r="A1528" s="167"/>
    </row>
    <row r="1529" spans="1:1" ht="20.100000000000001" customHeight="1">
      <c r="A1529" s="167"/>
    </row>
    <row r="1530" spans="1:1" ht="20.100000000000001" customHeight="1">
      <c r="A1530" s="167"/>
    </row>
    <row r="1531" spans="1:1" ht="20.100000000000001" customHeight="1">
      <c r="A1531" s="167"/>
    </row>
    <row r="1532" spans="1:1" ht="20.100000000000001" customHeight="1">
      <c r="A1532" s="167"/>
    </row>
    <row r="1533" spans="1:1" ht="20.100000000000001" customHeight="1">
      <c r="A1533" s="167"/>
    </row>
    <row r="1534" spans="1:1" ht="20.100000000000001" customHeight="1">
      <c r="A1534" s="167"/>
    </row>
    <row r="1535" spans="1:1" ht="20.100000000000001" customHeight="1">
      <c r="A1535" s="167"/>
    </row>
    <row r="1536" spans="1:1" ht="20.100000000000001" customHeight="1">
      <c r="A1536" s="167"/>
    </row>
    <row r="1537" spans="1:1" ht="20.100000000000001" customHeight="1">
      <c r="A1537" s="167"/>
    </row>
    <row r="1538" spans="1:1" ht="20.100000000000001" customHeight="1">
      <c r="A1538" s="167"/>
    </row>
    <row r="1539" spans="1:1" ht="20.100000000000001" customHeight="1">
      <c r="A1539" s="167"/>
    </row>
    <row r="1540" spans="1:1" ht="20.100000000000001" customHeight="1">
      <c r="A1540" s="167"/>
    </row>
    <row r="1541" spans="1:1" ht="20.100000000000001" customHeight="1">
      <c r="A1541" s="167"/>
    </row>
    <row r="1542" spans="1:1" ht="20.100000000000001" customHeight="1">
      <c r="A1542" s="167"/>
    </row>
    <row r="1543" spans="1:1" ht="20.100000000000001" customHeight="1">
      <c r="A1543" s="167"/>
    </row>
    <row r="1544" spans="1:1" ht="20.100000000000001" customHeight="1">
      <c r="A1544" s="167"/>
    </row>
    <row r="1545" spans="1:1" ht="20.100000000000001" customHeight="1">
      <c r="A1545" s="167"/>
    </row>
    <row r="1546" spans="1:1" ht="20.100000000000001" customHeight="1">
      <c r="A1546" s="167"/>
    </row>
    <row r="1547" spans="1:1" ht="20.100000000000001" customHeight="1">
      <c r="A1547" s="167"/>
    </row>
    <row r="1548" spans="1:1" ht="20.100000000000001" customHeight="1">
      <c r="A1548" s="167"/>
    </row>
    <row r="1549" spans="1:1" ht="20.100000000000001" customHeight="1">
      <c r="A1549" s="167"/>
    </row>
    <row r="1550" spans="1:1" ht="20.100000000000001" customHeight="1">
      <c r="A1550" s="167"/>
    </row>
    <row r="1551" spans="1:1" ht="20.100000000000001" customHeight="1">
      <c r="A1551" s="167"/>
    </row>
    <row r="1552" spans="1:1" ht="20.100000000000001" customHeight="1">
      <c r="A1552" s="167"/>
    </row>
    <row r="1553" spans="1:1" ht="20.100000000000001" customHeight="1">
      <c r="A1553" s="167"/>
    </row>
    <row r="1554" spans="1:1" ht="20.100000000000001" customHeight="1">
      <c r="A1554" s="167"/>
    </row>
    <row r="1555" spans="1:1" ht="20.100000000000001" customHeight="1">
      <c r="A1555" s="167"/>
    </row>
    <row r="1556" spans="1:1" ht="20.100000000000001" customHeight="1">
      <c r="A1556" s="167"/>
    </row>
    <row r="1557" spans="1:1" ht="20.100000000000001" customHeight="1">
      <c r="A1557" s="167"/>
    </row>
    <row r="1558" spans="1:1" ht="20.100000000000001" customHeight="1">
      <c r="A1558" s="167"/>
    </row>
    <row r="1559" spans="1:1" ht="20.100000000000001" customHeight="1">
      <c r="A1559" s="167"/>
    </row>
    <row r="1560" spans="1:1" ht="20.100000000000001" customHeight="1">
      <c r="A1560" s="167"/>
    </row>
    <row r="1561" spans="1:1" ht="20.100000000000001" customHeight="1">
      <c r="A1561" s="167"/>
    </row>
    <row r="1562" spans="1:1" ht="20.100000000000001" customHeight="1">
      <c r="A1562" s="167"/>
    </row>
    <row r="1563" spans="1:1" ht="20.100000000000001" customHeight="1">
      <c r="A1563" s="167"/>
    </row>
    <row r="1564" spans="1:1" ht="20.100000000000001" customHeight="1">
      <c r="A1564" s="167"/>
    </row>
    <row r="1565" spans="1:1" ht="20.100000000000001" customHeight="1">
      <c r="A1565" s="167"/>
    </row>
    <row r="1566" spans="1:1" ht="20.100000000000001" customHeight="1">
      <c r="A1566" s="167"/>
    </row>
    <row r="1567" spans="1:1" ht="20.100000000000001" customHeight="1">
      <c r="A1567" s="167"/>
    </row>
    <row r="1568" spans="1:1" ht="20.100000000000001" customHeight="1">
      <c r="A1568" s="167"/>
    </row>
    <row r="1569" spans="1:1" ht="20.100000000000001" customHeight="1">
      <c r="A1569" s="167"/>
    </row>
    <row r="1570" spans="1:1" ht="20.100000000000001" customHeight="1">
      <c r="A1570" s="167"/>
    </row>
    <row r="1571" spans="1:1" ht="20.100000000000001" customHeight="1">
      <c r="A1571" s="167"/>
    </row>
    <row r="1572" spans="1:1" ht="20.100000000000001" customHeight="1">
      <c r="A1572" s="167"/>
    </row>
    <row r="1573" spans="1:1" ht="20.100000000000001" customHeight="1">
      <c r="A1573" s="167"/>
    </row>
    <row r="1574" spans="1:1" ht="20.100000000000001" customHeight="1">
      <c r="A1574" s="167"/>
    </row>
    <row r="1575" spans="1:1" ht="20.100000000000001" customHeight="1">
      <c r="A1575" s="167"/>
    </row>
    <row r="1576" spans="1:1" ht="20.100000000000001" customHeight="1">
      <c r="A1576" s="167"/>
    </row>
    <row r="1577" spans="1:1" ht="20.100000000000001" customHeight="1">
      <c r="A1577" s="167"/>
    </row>
    <row r="1578" spans="1:1" ht="20.100000000000001" customHeight="1">
      <c r="A1578" s="167"/>
    </row>
    <row r="1579" spans="1:1" ht="20.100000000000001" customHeight="1">
      <c r="A1579" s="167"/>
    </row>
    <row r="1580" spans="1:1" ht="20.100000000000001" customHeight="1">
      <c r="A1580" s="167"/>
    </row>
    <row r="1581" spans="1:1" ht="20.100000000000001" customHeight="1">
      <c r="A1581" s="167"/>
    </row>
    <row r="1582" spans="1:1" ht="20.100000000000001" customHeight="1">
      <c r="A1582" s="167"/>
    </row>
    <row r="1583" spans="1:1" ht="20.100000000000001" customHeight="1">
      <c r="A1583" s="167"/>
    </row>
    <row r="1584" spans="1:1" ht="20.100000000000001" customHeight="1">
      <c r="A1584" s="167"/>
    </row>
    <row r="1585" spans="1:1" ht="20.100000000000001" customHeight="1">
      <c r="A1585" s="167"/>
    </row>
    <row r="1586" spans="1:1" ht="20.100000000000001" customHeight="1">
      <c r="A1586" s="167"/>
    </row>
    <row r="1587" spans="1:1" ht="20.100000000000001" customHeight="1">
      <c r="A1587" s="167"/>
    </row>
    <row r="1588" spans="1:1" ht="20.100000000000001" customHeight="1">
      <c r="A1588" s="167"/>
    </row>
    <row r="1589" spans="1:1" ht="20.100000000000001" customHeight="1">
      <c r="A1589" s="167"/>
    </row>
    <row r="1590" spans="1:1" ht="20.100000000000001" customHeight="1">
      <c r="A1590" s="167"/>
    </row>
    <row r="1591" spans="1:1" ht="20.100000000000001" customHeight="1">
      <c r="A1591" s="167"/>
    </row>
    <row r="1592" spans="1:1" ht="20.100000000000001" customHeight="1">
      <c r="A1592" s="167"/>
    </row>
    <row r="1593" spans="1:1" ht="20.100000000000001" customHeight="1">
      <c r="A1593" s="167"/>
    </row>
    <row r="1594" spans="1:1" ht="20.100000000000001" customHeight="1">
      <c r="A1594" s="167"/>
    </row>
    <row r="1595" spans="1:1" ht="20.100000000000001" customHeight="1">
      <c r="A1595" s="167"/>
    </row>
    <row r="1596" spans="1:1" ht="20.100000000000001" customHeight="1">
      <c r="A1596" s="167"/>
    </row>
    <row r="1597" spans="1:1" ht="20.100000000000001" customHeight="1">
      <c r="A1597" s="167"/>
    </row>
    <row r="1598" spans="1:1" ht="20.100000000000001" customHeight="1">
      <c r="A1598" s="167"/>
    </row>
    <row r="1599" spans="1:1" ht="20.100000000000001" customHeight="1">
      <c r="A1599" s="167"/>
    </row>
    <row r="1600" spans="1:1" ht="20.100000000000001" customHeight="1">
      <c r="A1600" s="167"/>
    </row>
    <row r="1601" spans="1:1" ht="20.100000000000001" customHeight="1">
      <c r="A1601" s="167"/>
    </row>
    <row r="1602" spans="1:1" ht="20.100000000000001" customHeight="1">
      <c r="A1602" s="167"/>
    </row>
    <row r="1603" spans="1:1" ht="20.100000000000001" customHeight="1">
      <c r="A1603" s="167"/>
    </row>
    <row r="1604" spans="1:1" ht="20.100000000000001" customHeight="1">
      <c r="A1604" s="167"/>
    </row>
    <row r="1605" spans="1:1" ht="20.100000000000001" customHeight="1">
      <c r="A1605" s="167"/>
    </row>
    <row r="1606" spans="1:1" ht="20.100000000000001" customHeight="1">
      <c r="A1606" s="167"/>
    </row>
    <row r="1607" spans="1:1" ht="20.100000000000001" customHeight="1">
      <c r="A1607" s="167"/>
    </row>
    <row r="1608" spans="1:1" ht="20.100000000000001" customHeight="1">
      <c r="A1608" s="167"/>
    </row>
    <row r="1609" spans="1:1" ht="20.100000000000001" customHeight="1">
      <c r="A1609" s="167"/>
    </row>
    <row r="1610" spans="1:1" ht="20.100000000000001" customHeight="1">
      <c r="A1610" s="167"/>
    </row>
    <row r="1611" spans="1:1" ht="20.100000000000001" customHeight="1">
      <c r="A1611" s="167"/>
    </row>
    <row r="1612" spans="1:1" ht="20.100000000000001" customHeight="1">
      <c r="A1612" s="167"/>
    </row>
    <row r="1613" spans="1:1" ht="20.100000000000001" customHeight="1">
      <c r="A1613" s="167"/>
    </row>
    <row r="1614" spans="1:1" ht="20.100000000000001" customHeight="1">
      <c r="A1614" s="167"/>
    </row>
    <row r="1615" spans="1:1" ht="20.100000000000001" customHeight="1">
      <c r="A1615" s="167"/>
    </row>
    <row r="1616" spans="1:1" ht="20.100000000000001" customHeight="1">
      <c r="A1616" s="167"/>
    </row>
    <row r="1617" spans="1:1" ht="20.100000000000001" customHeight="1">
      <c r="A1617" s="167"/>
    </row>
    <row r="1618" spans="1:1" ht="20.100000000000001" customHeight="1">
      <c r="A1618" s="167"/>
    </row>
    <row r="1619" spans="1:1" ht="20.100000000000001" customHeight="1">
      <c r="A1619" s="167"/>
    </row>
    <row r="1620" spans="1:1" ht="20.100000000000001" customHeight="1">
      <c r="A1620" s="167"/>
    </row>
    <row r="1621" spans="1:1" ht="20.100000000000001" customHeight="1">
      <c r="A1621" s="167"/>
    </row>
    <row r="1622" spans="1:1" ht="20.100000000000001" customHeight="1">
      <c r="A1622" s="167"/>
    </row>
    <row r="1623" spans="1:1" ht="20.100000000000001" customHeight="1">
      <c r="A1623" s="167"/>
    </row>
    <row r="1624" spans="1:1" ht="20.100000000000001" customHeight="1">
      <c r="A1624" s="167"/>
    </row>
    <row r="1625" spans="1:1" ht="20.100000000000001" customHeight="1">
      <c r="A1625" s="167"/>
    </row>
    <row r="1626" spans="1:1" ht="20.100000000000001" customHeight="1">
      <c r="A1626" s="167"/>
    </row>
    <row r="1627" spans="1:1" ht="20.100000000000001" customHeight="1">
      <c r="A1627" s="167"/>
    </row>
    <row r="1628" spans="1:1" ht="20.100000000000001" customHeight="1">
      <c r="A1628" s="167"/>
    </row>
    <row r="1629" spans="1:1" ht="20.100000000000001" customHeight="1">
      <c r="A1629" s="167"/>
    </row>
    <row r="1630" spans="1:1" ht="20.100000000000001" customHeight="1">
      <c r="A1630" s="167"/>
    </row>
    <row r="1631" spans="1:1" ht="20.100000000000001" customHeight="1">
      <c r="A1631" s="167"/>
    </row>
    <row r="1632" spans="1:1" ht="20.100000000000001" customHeight="1">
      <c r="A1632" s="167"/>
    </row>
    <row r="1633" spans="1:1" ht="20.100000000000001" customHeight="1">
      <c r="A1633" s="167"/>
    </row>
    <row r="1634" spans="1:1" ht="20.100000000000001" customHeight="1">
      <c r="A1634" s="167"/>
    </row>
    <row r="1635" spans="1:1" ht="20.100000000000001" customHeight="1">
      <c r="A1635" s="167"/>
    </row>
    <row r="1636" spans="1:1" ht="20.100000000000001" customHeight="1">
      <c r="A1636" s="167"/>
    </row>
    <row r="1637" spans="1:1" ht="20.100000000000001" customHeight="1">
      <c r="A1637" s="167"/>
    </row>
    <row r="1638" spans="1:1" ht="20.100000000000001" customHeight="1">
      <c r="A1638" s="167"/>
    </row>
    <row r="1639" spans="1:1" ht="20.100000000000001" customHeight="1">
      <c r="A1639" s="167"/>
    </row>
    <row r="1640" spans="1:1" ht="20.100000000000001" customHeight="1">
      <c r="A1640" s="167"/>
    </row>
    <row r="1641" spans="1:1" ht="20.100000000000001" customHeight="1">
      <c r="A1641" s="167"/>
    </row>
    <row r="1642" spans="1:1" ht="20.100000000000001" customHeight="1">
      <c r="A1642" s="167"/>
    </row>
    <row r="1643" spans="1:1" ht="20.100000000000001" customHeight="1">
      <c r="A1643" s="167"/>
    </row>
    <row r="1644" spans="1:1" ht="20.100000000000001" customHeight="1">
      <c r="A1644" s="167"/>
    </row>
    <row r="1645" spans="1:1" ht="20.100000000000001" customHeight="1">
      <c r="A1645" s="167"/>
    </row>
    <row r="1646" spans="1:1" ht="20.100000000000001" customHeight="1">
      <c r="A1646" s="167"/>
    </row>
    <row r="1647" spans="1:1" ht="20.100000000000001" customHeight="1">
      <c r="A1647" s="167"/>
    </row>
    <row r="1648" spans="1:1" ht="20.100000000000001" customHeight="1">
      <c r="A1648" s="167"/>
    </row>
    <row r="1649" spans="1:1" ht="20.100000000000001" customHeight="1">
      <c r="A1649" s="167"/>
    </row>
    <row r="1650" spans="1:1" ht="20.100000000000001" customHeight="1">
      <c r="A1650" s="167"/>
    </row>
    <row r="1651" spans="1:1" ht="20.100000000000001" customHeight="1">
      <c r="A1651" s="167"/>
    </row>
    <row r="1652" spans="1:1" ht="20.100000000000001" customHeight="1">
      <c r="A1652" s="167"/>
    </row>
    <row r="1653" spans="1:1" ht="20.100000000000001" customHeight="1">
      <c r="A1653" s="167"/>
    </row>
    <row r="1654" spans="1:1" ht="20.100000000000001" customHeight="1">
      <c r="A1654" s="167"/>
    </row>
    <row r="1655" spans="1:1" ht="20.100000000000001" customHeight="1">
      <c r="A1655" s="167"/>
    </row>
    <row r="1656" spans="1:1" ht="20.100000000000001" customHeight="1">
      <c r="A1656" s="167"/>
    </row>
    <row r="1657" spans="1:1" ht="20.100000000000001" customHeight="1">
      <c r="A1657" s="167"/>
    </row>
    <row r="1658" spans="1:1" ht="20.100000000000001" customHeight="1">
      <c r="A1658" s="167"/>
    </row>
    <row r="1659" spans="1:1" ht="20.100000000000001" customHeight="1">
      <c r="A1659" s="167"/>
    </row>
    <row r="1660" spans="1:1" ht="20.100000000000001" customHeight="1">
      <c r="A1660" s="167"/>
    </row>
    <row r="1661" spans="1:1" ht="20.100000000000001" customHeight="1">
      <c r="A1661" s="167"/>
    </row>
    <row r="1662" spans="1:1" ht="20.100000000000001" customHeight="1">
      <c r="A1662" s="167"/>
    </row>
    <row r="1663" spans="1:1" ht="20.100000000000001" customHeight="1">
      <c r="A1663" s="167"/>
    </row>
    <row r="1664" spans="1:1" ht="20.100000000000001" customHeight="1">
      <c r="A1664" s="167"/>
    </row>
    <row r="1665" spans="1:1" ht="20.100000000000001" customHeight="1">
      <c r="A1665" s="167"/>
    </row>
    <row r="1666" spans="1:1" ht="20.100000000000001" customHeight="1">
      <c r="A1666" s="167"/>
    </row>
    <row r="1667" spans="1:1" ht="20.100000000000001" customHeight="1">
      <c r="A1667" s="167"/>
    </row>
    <row r="1668" spans="1:1" ht="20.100000000000001" customHeight="1">
      <c r="A1668" s="167"/>
    </row>
    <row r="1669" spans="1:1" ht="20.100000000000001" customHeight="1">
      <c r="A1669" s="167"/>
    </row>
    <row r="1670" spans="1:1" ht="20.100000000000001" customHeight="1">
      <c r="A1670" s="167"/>
    </row>
    <row r="1671" spans="1:1" ht="20.100000000000001" customHeight="1">
      <c r="A1671" s="167"/>
    </row>
    <row r="1672" spans="1:1" ht="20.100000000000001" customHeight="1">
      <c r="A1672" s="167"/>
    </row>
    <row r="1673" spans="1:1" ht="20.100000000000001" customHeight="1">
      <c r="A1673" s="167"/>
    </row>
    <row r="1674" spans="1:1" ht="20.100000000000001" customHeight="1">
      <c r="A1674" s="167"/>
    </row>
    <row r="1675" spans="1:1" ht="20.100000000000001" customHeight="1">
      <c r="A1675" s="167"/>
    </row>
    <row r="1676" spans="1:1" ht="20.100000000000001" customHeight="1">
      <c r="A1676" s="167"/>
    </row>
    <row r="1677" spans="1:1" ht="20.100000000000001" customHeight="1">
      <c r="A1677" s="167"/>
    </row>
    <row r="1678" spans="1:1" ht="20.100000000000001" customHeight="1">
      <c r="A1678" s="167"/>
    </row>
    <row r="1679" spans="1:1" ht="20.100000000000001" customHeight="1">
      <c r="A1679" s="167"/>
    </row>
    <row r="1680" spans="1:1" ht="20.100000000000001" customHeight="1">
      <c r="A1680" s="167"/>
    </row>
    <row r="1681" spans="1:1" ht="20.100000000000001" customHeight="1">
      <c r="A1681" s="167"/>
    </row>
    <row r="1682" spans="1:1" ht="20.100000000000001" customHeight="1">
      <c r="A1682" s="167"/>
    </row>
    <row r="1683" spans="1:1" ht="20.100000000000001" customHeight="1">
      <c r="A1683" s="167"/>
    </row>
    <row r="1684" spans="1:1" ht="20.100000000000001" customHeight="1">
      <c r="A1684" s="167"/>
    </row>
    <row r="1685" spans="1:1" ht="20.100000000000001" customHeight="1">
      <c r="A1685" s="167"/>
    </row>
    <row r="1686" spans="1:1" ht="20.100000000000001" customHeight="1">
      <c r="A1686" s="167"/>
    </row>
    <row r="1687" spans="1:1" ht="20.100000000000001" customHeight="1">
      <c r="A1687" s="167"/>
    </row>
    <row r="1688" spans="1:1" ht="20.100000000000001" customHeight="1">
      <c r="A1688" s="167"/>
    </row>
    <row r="1689" spans="1:1" ht="20.100000000000001" customHeight="1">
      <c r="A1689" s="167"/>
    </row>
    <row r="1690" spans="1:1" ht="20.100000000000001" customHeight="1">
      <c r="A1690" s="167"/>
    </row>
    <row r="1691" spans="1:1" ht="20.100000000000001" customHeight="1">
      <c r="A1691" s="167"/>
    </row>
    <row r="1692" spans="1:1" ht="20.100000000000001" customHeight="1">
      <c r="A1692" s="167"/>
    </row>
    <row r="1693" spans="1:1" ht="20.100000000000001" customHeight="1">
      <c r="A1693" s="167"/>
    </row>
    <row r="1694" spans="1:1" ht="20.100000000000001" customHeight="1">
      <c r="A1694" s="167"/>
    </row>
    <row r="1695" spans="1:1" ht="20.100000000000001" customHeight="1">
      <c r="A1695" s="167"/>
    </row>
    <row r="1696" spans="1:1" ht="20.100000000000001" customHeight="1">
      <c r="A1696" s="167"/>
    </row>
    <row r="1697" spans="1:1" ht="20.100000000000001" customHeight="1">
      <c r="A1697" s="167"/>
    </row>
    <row r="1698" spans="1:1" ht="20.100000000000001" customHeight="1">
      <c r="A1698" s="167"/>
    </row>
    <row r="1699" spans="1:1" ht="20.100000000000001" customHeight="1">
      <c r="A1699" s="167"/>
    </row>
    <row r="1700" spans="1:1" ht="20.100000000000001" customHeight="1">
      <c r="A1700" s="167"/>
    </row>
    <row r="1701" spans="1:1" ht="20.100000000000001" customHeight="1">
      <c r="A1701" s="167"/>
    </row>
    <row r="1702" spans="1:1" ht="20.100000000000001" customHeight="1">
      <c r="A1702" s="167"/>
    </row>
    <row r="1703" spans="1:1" ht="20.100000000000001" customHeight="1">
      <c r="A1703" s="167"/>
    </row>
    <row r="1704" spans="1:1" ht="20.100000000000001" customHeight="1">
      <c r="A1704" s="167"/>
    </row>
    <row r="1705" spans="1:1" ht="20.100000000000001" customHeight="1">
      <c r="A1705" s="167"/>
    </row>
    <row r="1706" spans="1:1" ht="20.100000000000001" customHeight="1">
      <c r="A1706" s="167"/>
    </row>
    <row r="1707" spans="1:1" ht="20.100000000000001" customHeight="1">
      <c r="A1707" s="167"/>
    </row>
    <row r="1708" spans="1:1" ht="20.100000000000001" customHeight="1">
      <c r="A1708" s="167"/>
    </row>
    <row r="1709" spans="1:1" ht="20.100000000000001" customHeight="1">
      <c r="A1709" s="167"/>
    </row>
    <row r="1710" spans="1:1" ht="20.100000000000001" customHeight="1">
      <c r="A1710" s="167"/>
    </row>
    <row r="1711" spans="1:1" ht="20.100000000000001" customHeight="1">
      <c r="A1711" s="167"/>
    </row>
    <row r="1712" spans="1:1" ht="20.100000000000001" customHeight="1">
      <c r="A1712" s="167"/>
    </row>
    <row r="1713" spans="1:1" ht="20.100000000000001" customHeight="1">
      <c r="A1713" s="167"/>
    </row>
    <row r="1714" spans="1:1" ht="20.100000000000001" customHeight="1">
      <c r="A1714" s="167"/>
    </row>
    <row r="1715" spans="1:1" ht="20.100000000000001" customHeight="1">
      <c r="A1715" s="167"/>
    </row>
    <row r="1716" spans="1:1" ht="20.100000000000001" customHeight="1">
      <c r="A1716" s="167"/>
    </row>
    <row r="1717" spans="1:1" ht="20.100000000000001" customHeight="1">
      <c r="A1717" s="167"/>
    </row>
    <row r="1718" spans="1:1" ht="20.100000000000001" customHeight="1">
      <c r="A1718" s="167"/>
    </row>
    <row r="1719" spans="1:1" ht="20.100000000000001" customHeight="1">
      <c r="A1719" s="167"/>
    </row>
    <row r="1720" spans="1:1" ht="20.100000000000001" customHeight="1">
      <c r="A1720" s="167"/>
    </row>
    <row r="1721" spans="1:1" ht="20.100000000000001" customHeight="1">
      <c r="A1721" s="167"/>
    </row>
    <row r="1722" spans="1:1" ht="20.100000000000001" customHeight="1">
      <c r="A1722" s="167"/>
    </row>
    <row r="1723" spans="1:1" ht="20.100000000000001" customHeight="1">
      <c r="A1723" s="167"/>
    </row>
    <row r="1724" spans="1:1" ht="20.100000000000001" customHeight="1">
      <c r="A1724" s="167"/>
    </row>
    <row r="1725" spans="1:1" ht="20.100000000000001" customHeight="1">
      <c r="A1725" s="167"/>
    </row>
    <row r="1726" spans="1:1" ht="20.100000000000001" customHeight="1">
      <c r="A1726" s="167"/>
    </row>
    <row r="1727" spans="1:1" ht="20.100000000000001" customHeight="1">
      <c r="A1727" s="167"/>
    </row>
    <row r="1728" spans="1:1" ht="20.100000000000001" customHeight="1">
      <c r="A1728" s="167"/>
    </row>
    <row r="1729" spans="1:1" ht="20.100000000000001" customHeight="1">
      <c r="A1729" s="167"/>
    </row>
    <row r="1730" spans="1:1" ht="20.100000000000001" customHeight="1">
      <c r="A1730" s="167"/>
    </row>
    <row r="1731" spans="1:1" ht="20.100000000000001" customHeight="1">
      <c r="A1731" s="167"/>
    </row>
    <row r="1732" spans="1:1" ht="20.100000000000001" customHeight="1">
      <c r="A1732" s="167"/>
    </row>
    <row r="1733" spans="1:1" ht="20.100000000000001" customHeight="1">
      <c r="A1733" s="167"/>
    </row>
    <row r="1734" spans="1:1" ht="20.100000000000001" customHeight="1">
      <c r="A1734" s="167"/>
    </row>
    <row r="1735" spans="1:1" ht="20.100000000000001" customHeight="1">
      <c r="A1735" s="167"/>
    </row>
    <row r="1736" spans="1:1" ht="20.100000000000001" customHeight="1">
      <c r="A1736" s="167"/>
    </row>
    <row r="1737" spans="1:1" ht="20.100000000000001" customHeight="1">
      <c r="A1737" s="167"/>
    </row>
    <row r="1738" spans="1:1" ht="20.100000000000001" customHeight="1">
      <c r="A1738" s="167"/>
    </row>
    <row r="1739" spans="1:1" ht="20.100000000000001" customHeight="1">
      <c r="A1739" s="167"/>
    </row>
    <row r="1740" spans="1:1" ht="20.100000000000001" customHeight="1">
      <c r="A1740" s="167"/>
    </row>
    <row r="1741" spans="1:1" ht="20.100000000000001" customHeight="1">
      <c r="A1741" s="167"/>
    </row>
    <row r="1742" spans="1:1" ht="20.100000000000001" customHeight="1">
      <c r="A1742" s="167"/>
    </row>
    <row r="1743" spans="1:1" ht="20.100000000000001" customHeight="1">
      <c r="A1743" s="167"/>
    </row>
    <row r="1744" spans="1:1" ht="20.100000000000001" customHeight="1">
      <c r="A1744" s="167"/>
    </row>
    <row r="1745" spans="1:1" ht="20.100000000000001" customHeight="1">
      <c r="A1745" s="167"/>
    </row>
    <row r="1746" spans="1:1" ht="20.100000000000001" customHeight="1">
      <c r="A1746" s="167"/>
    </row>
    <row r="1747" spans="1:1" ht="20.100000000000001" customHeight="1">
      <c r="A1747" s="167"/>
    </row>
    <row r="1748" spans="1:1" ht="20.100000000000001" customHeight="1">
      <c r="A1748" s="167"/>
    </row>
    <row r="1749" spans="1:1" ht="20.100000000000001" customHeight="1">
      <c r="A1749" s="167"/>
    </row>
    <row r="1750" spans="1:1" ht="20.100000000000001" customHeight="1">
      <c r="A1750" s="167"/>
    </row>
    <row r="1751" spans="1:1" ht="20.100000000000001" customHeight="1">
      <c r="A1751" s="167"/>
    </row>
    <row r="1752" spans="1:1" ht="20.100000000000001" customHeight="1">
      <c r="A1752" s="167"/>
    </row>
    <row r="1753" spans="1:1" ht="20.100000000000001" customHeight="1">
      <c r="A1753" s="167"/>
    </row>
    <row r="1754" spans="1:1" ht="20.100000000000001" customHeight="1">
      <c r="A1754" s="167"/>
    </row>
    <row r="1755" spans="1:1" ht="20.100000000000001" customHeight="1">
      <c r="A1755" s="167"/>
    </row>
    <row r="1756" spans="1:1" ht="20.100000000000001" customHeight="1">
      <c r="A1756" s="167"/>
    </row>
    <row r="1757" spans="1:1" ht="20.100000000000001" customHeight="1">
      <c r="A1757" s="167"/>
    </row>
    <row r="1758" spans="1:1" ht="20.100000000000001" customHeight="1">
      <c r="A1758" s="167"/>
    </row>
    <row r="1759" spans="1:1" ht="20.100000000000001" customHeight="1">
      <c r="A1759" s="167"/>
    </row>
    <row r="1760" spans="1:1" ht="20.100000000000001" customHeight="1">
      <c r="A1760" s="167"/>
    </row>
    <row r="1761" spans="1:1" ht="20.100000000000001" customHeight="1">
      <c r="A1761" s="167"/>
    </row>
    <row r="1762" spans="1:1" ht="20.100000000000001" customHeight="1">
      <c r="A1762" s="167"/>
    </row>
    <row r="1763" spans="1:1" ht="20.100000000000001" customHeight="1">
      <c r="A1763" s="167"/>
    </row>
    <row r="1764" spans="1:1" ht="20.100000000000001" customHeight="1">
      <c r="A1764" s="167"/>
    </row>
    <row r="1765" spans="1:1" ht="20.100000000000001" customHeight="1">
      <c r="A1765" s="167"/>
    </row>
    <row r="1766" spans="1:1" ht="20.100000000000001" customHeight="1">
      <c r="A1766" s="167"/>
    </row>
    <row r="1767" spans="1:1" ht="20.100000000000001" customHeight="1">
      <c r="A1767" s="167"/>
    </row>
    <row r="1768" spans="1:1" ht="20.100000000000001" customHeight="1">
      <c r="A1768" s="167"/>
    </row>
    <row r="1769" spans="1:1" ht="20.100000000000001" customHeight="1">
      <c r="A1769" s="167"/>
    </row>
    <row r="1770" spans="1:1" ht="20.100000000000001" customHeight="1">
      <c r="A1770" s="167"/>
    </row>
    <row r="1771" spans="1:1" ht="20.100000000000001" customHeight="1">
      <c r="A1771" s="167"/>
    </row>
    <row r="1772" spans="1:1" ht="20.100000000000001" customHeight="1">
      <c r="A1772" s="167"/>
    </row>
    <row r="1773" spans="1:1" ht="20.100000000000001" customHeight="1">
      <c r="A1773" s="167"/>
    </row>
    <row r="1774" spans="1:1" ht="20.100000000000001" customHeight="1">
      <c r="A1774" s="167"/>
    </row>
    <row r="1775" spans="1:1" ht="20.100000000000001" customHeight="1">
      <c r="A1775" s="167"/>
    </row>
    <row r="1776" spans="1:1" ht="20.100000000000001" customHeight="1">
      <c r="A1776" s="167"/>
    </row>
    <row r="1777" spans="1:1" ht="20.100000000000001" customHeight="1">
      <c r="A1777" s="167"/>
    </row>
    <row r="1778" spans="1:1" ht="20.100000000000001" customHeight="1">
      <c r="A1778" s="167"/>
    </row>
    <row r="1779" spans="1:1" ht="20.100000000000001" customHeight="1">
      <c r="A1779" s="167"/>
    </row>
    <row r="1780" spans="1:1" ht="20.100000000000001" customHeight="1">
      <c r="A1780" s="167"/>
    </row>
    <row r="1781" spans="1:1" ht="20.100000000000001" customHeight="1">
      <c r="A1781" s="167"/>
    </row>
    <row r="1782" spans="1:1" ht="20.100000000000001" customHeight="1">
      <c r="A1782" s="167"/>
    </row>
    <row r="1783" spans="1:1" ht="20.100000000000001" customHeight="1">
      <c r="A1783" s="167"/>
    </row>
    <row r="1784" spans="1:1" ht="20.100000000000001" customHeight="1">
      <c r="A1784" s="167"/>
    </row>
    <row r="1785" spans="1:1" ht="20.100000000000001" customHeight="1">
      <c r="A1785" s="167"/>
    </row>
    <row r="1786" spans="1:1" ht="20.100000000000001" customHeight="1">
      <c r="A1786" s="167"/>
    </row>
    <row r="1787" spans="1:1" ht="20.100000000000001" customHeight="1">
      <c r="A1787" s="167"/>
    </row>
    <row r="1788" spans="1:1" ht="20.100000000000001" customHeight="1">
      <c r="A1788" s="167"/>
    </row>
    <row r="1789" spans="1:1" ht="20.100000000000001" customHeight="1">
      <c r="A1789" s="167"/>
    </row>
    <row r="1790" spans="1:1" ht="20.100000000000001" customHeight="1">
      <c r="A1790" s="167"/>
    </row>
    <row r="1791" spans="1:1" ht="20.100000000000001" customHeight="1">
      <c r="A1791" s="167"/>
    </row>
    <row r="1792" spans="1:1" ht="20.100000000000001" customHeight="1">
      <c r="A1792" s="167"/>
    </row>
    <row r="1793" spans="1:1" ht="20.100000000000001" customHeight="1">
      <c r="A1793" s="167"/>
    </row>
    <row r="1794" spans="1:1" ht="20.100000000000001" customHeight="1">
      <c r="A1794" s="167"/>
    </row>
    <row r="1795" spans="1:1" ht="20.100000000000001" customHeight="1">
      <c r="A1795" s="167"/>
    </row>
    <row r="1796" spans="1:1" ht="20.100000000000001" customHeight="1">
      <c r="A1796" s="167"/>
    </row>
    <row r="1797" spans="1:1" ht="20.100000000000001" customHeight="1">
      <c r="A1797" s="167"/>
    </row>
    <row r="1798" spans="1:1" ht="20.100000000000001" customHeight="1">
      <c r="A1798" s="167"/>
    </row>
    <row r="1799" spans="1:1" ht="20.100000000000001" customHeight="1">
      <c r="A1799" s="167"/>
    </row>
    <row r="1800" spans="1:1" ht="20.100000000000001" customHeight="1">
      <c r="A1800" s="167"/>
    </row>
    <row r="1801" spans="1:1" ht="20.100000000000001" customHeight="1">
      <c r="A1801" s="167"/>
    </row>
    <row r="1802" spans="1:1" ht="20.100000000000001" customHeight="1">
      <c r="A1802" s="167"/>
    </row>
    <row r="1803" spans="1:1" ht="20.100000000000001" customHeight="1">
      <c r="A1803" s="167"/>
    </row>
    <row r="1804" spans="1:1" ht="20.100000000000001" customHeight="1">
      <c r="A1804" s="167"/>
    </row>
    <row r="1805" spans="1:1" ht="20.100000000000001" customHeight="1">
      <c r="A1805" s="167"/>
    </row>
    <row r="1806" spans="1:1" ht="20.100000000000001" customHeight="1">
      <c r="A1806" s="167"/>
    </row>
    <row r="1807" spans="1:1" ht="20.100000000000001" customHeight="1">
      <c r="A1807" s="167"/>
    </row>
    <row r="1808" spans="1:1" ht="20.100000000000001" customHeight="1">
      <c r="A1808" s="167"/>
    </row>
    <row r="1809" spans="1:1" ht="20.100000000000001" customHeight="1">
      <c r="A1809" s="167"/>
    </row>
    <row r="1810" spans="1:1" ht="20.100000000000001" customHeight="1">
      <c r="A1810" s="167"/>
    </row>
    <row r="1811" spans="1:1" ht="20.100000000000001" customHeight="1">
      <c r="A1811" s="167"/>
    </row>
    <row r="1812" spans="1:1" ht="20.100000000000001" customHeight="1">
      <c r="A1812" s="167"/>
    </row>
    <row r="1813" spans="1:1" ht="20.100000000000001" customHeight="1">
      <c r="A1813" s="167"/>
    </row>
    <row r="1814" spans="1:1" ht="20.100000000000001" customHeight="1">
      <c r="A1814" s="167"/>
    </row>
    <row r="1815" spans="1:1" ht="20.100000000000001" customHeight="1">
      <c r="A1815" s="167"/>
    </row>
    <row r="1816" spans="1:1" ht="20.100000000000001" customHeight="1">
      <c r="A1816" s="167"/>
    </row>
    <row r="1817" spans="1:1" ht="20.100000000000001" customHeight="1">
      <c r="A1817" s="167"/>
    </row>
    <row r="1818" spans="1:1" ht="20.100000000000001" customHeight="1">
      <c r="A1818" s="167"/>
    </row>
    <row r="1819" spans="1:1" ht="20.100000000000001" customHeight="1">
      <c r="A1819" s="167"/>
    </row>
    <row r="1820" spans="1:1" ht="20.100000000000001" customHeight="1">
      <c r="A1820" s="167"/>
    </row>
    <row r="1821" spans="1:1" ht="20.100000000000001" customHeight="1">
      <c r="A1821" s="167"/>
    </row>
    <row r="1822" spans="1:1" ht="20.100000000000001" customHeight="1">
      <c r="A1822" s="167"/>
    </row>
    <row r="1823" spans="1:1" ht="20.100000000000001" customHeight="1">
      <c r="A1823" s="167"/>
    </row>
    <row r="1824" spans="1:1" ht="20.100000000000001" customHeight="1">
      <c r="A1824" s="167"/>
    </row>
    <row r="1825" spans="1:1" ht="20.100000000000001" customHeight="1">
      <c r="A1825" s="167"/>
    </row>
    <row r="1826" spans="1:1" ht="20.100000000000001" customHeight="1">
      <c r="A1826" s="167"/>
    </row>
    <row r="1827" spans="1:1" ht="20.100000000000001" customHeight="1">
      <c r="A1827" s="167"/>
    </row>
    <row r="1828" spans="1:1" ht="20.100000000000001" customHeight="1">
      <c r="A1828" s="167"/>
    </row>
    <row r="1829" spans="1:1" ht="20.100000000000001" customHeight="1">
      <c r="A1829" s="167"/>
    </row>
    <row r="1830" spans="1:1" ht="20.100000000000001" customHeight="1">
      <c r="A1830" s="167"/>
    </row>
    <row r="1831" spans="1:1" ht="20.100000000000001" customHeight="1">
      <c r="A1831" s="167"/>
    </row>
    <row r="1832" spans="1:1" ht="20.100000000000001" customHeight="1">
      <c r="A1832" s="167"/>
    </row>
    <row r="1833" spans="1:1" ht="20.100000000000001" customHeight="1">
      <c r="A1833" s="167"/>
    </row>
    <row r="1834" spans="1:1" ht="20.100000000000001" customHeight="1">
      <c r="A1834" s="167"/>
    </row>
    <row r="1835" spans="1:1" ht="20.100000000000001" customHeight="1">
      <c r="A1835" s="167"/>
    </row>
    <row r="1836" spans="1:1" ht="20.100000000000001" customHeight="1">
      <c r="A1836" s="167"/>
    </row>
    <row r="1837" spans="1:1" ht="20.100000000000001" customHeight="1">
      <c r="A1837" s="167"/>
    </row>
    <row r="1838" spans="1:1" ht="20.100000000000001" customHeight="1">
      <c r="A1838" s="167"/>
    </row>
    <row r="1839" spans="1:1" ht="20.100000000000001" customHeight="1">
      <c r="A1839" s="167"/>
    </row>
    <row r="1840" spans="1:1" ht="20.100000000000001" customHeight="1">
      <c r="A1840" s="167"/>
    </row>
    <row r="1841" spans="1:1" ht="20.100000000000001" customHeight="1">
      <c r="A1841" s="167"/>
    </row>
    <row r="1842" spans="1:1" ht="20.100000000000001" customHeight="1">
      <c r="A1842" s="167"/>
    </row>
    <row r="1843" spans="1:1" ht="20.100000000000001" customHeight="1">
      <c r="A1843" s="167"/>
    </row>
    <row r="1844" spans="1:1" ht="20.100000000000001" customHeight="1">
      <c r="A1844" s="167"/>
    </row>
    <row r="1845" spans="1:1" ht="20.100000000000001" customHeight="1">
      <c r="A1845" s="167"/>
    </row>
    <row r="1846" spans="1:1" ht="20.100000000000001" customHeight="1">
      <c r="A1846" s="167"/>
    </row>
    <row r="1847" spans="1:1" ht="20.100000000000001" customHeight="1">
      <c r="A1847" s="167"/>
    </row>
    <row r="1848" spans="1:1" ht="20.100000000000001" customHeight="1">
      <c r="A1848" s="167"/>
    </row>
    <row r="1849" spans="1:1" ht="20.100000000000001" customHeight="1">
      <c r="A1849" s="167"/>
    </row>
    <row r="1850" spans="1:1" ht="20.100000000000001" customHeight="1">
      <c r="A1850" s="167"/>
    </row>
    <row r="1851" spans="1:1" ht="20.100000000000001" customHeight="1">
      <c r="A1851" s="167"/>
    </row>
    <row r="1852" spans="1:1" ht="20.100000000000001" customHeight="1">
      <c r="A1852" s="167"/>
    </row>
    <row r="1853" spans="1:1" ht="20.100000000000001" customHeight="1">
      <c r="A1853" s="167"/>
    </row>
    <row r="1854" spans="1:1" ht="20.100000000000001" customHeight="1">
      <c r="A1854" s="167"/>
    </row>
    <row r="1855" spans="1:1" ht="20.100000000000001" customHeight="1">
      <c r="A1855" s="167"/>
    </row>
    <row r="1856" spans="1:1" ht="20.100000000000001" customHeight="1">
      <c r="A1856" s="167"/>
    </row>
    <row r="1857" spans="1:1" ht="20.100000000000001" customHeight="1">
      <c r="A1857" s="167"/>
    </row>
    <row r="1858" spans="1:1" ht="20.100000000000001" customHeight="1">
      <c r="A1858" s="167"/>
    </row>
    <row r="1859" spans="1:1" ht="20.100000000000001" customHeight="1">
      <c r="A1859" s="167"/>
    </row>
    <row r="1860" spans="1:1" ht="20.100000000000001" customHeight="1">
      <c r="A1860" s="167"/>
    </row>
    <row r="1861" spans="1:1" ht="20.100000000000001" customHeight="1">
      <c r="A1861" s="167"/>
    </row>
    <row r="1862" spans="1:1" ht="20.100000000000001" customHeight="1">
      <c r="A1862" s="167"/>
    </row>
    <row r="1863" spans="1:1" ht="20.100000000000001" customHeight="1">
      <c r="A1863" s="167"/>
    </row>
    <row r="1864" spans="1:1" ht="20.100000000000001" customHeight="1">
      <c r="A1864" s="167"/>
    </row>
    <row r="1865" spans="1:1" ht="20.100000000000001" customHeight="1">
      <c r="A1865" s="167"/>
    </row>
    <row r="1866" spans="1:1" ht="20.100000000000001" customHeight="1">
      <c r="A1866" s="167"/>
    </row>
    <row r="1867" spans="1:1" ht="20.100000000000001" customHeight="1">
      <c r="A1867" s="167"/>
    </row>
    <row r="1868" spans="1:1" ht="20.100000000000001" customHeight="1">
      <c r="A1868" s="167"/>
    </row>
    <row r="1869" spans="1:1" ht="20.100000000000001" customHeight="1">
      <c r="A1869" s="167"/>
    </row>
    <row r="1870" spans="1:1" ht="20.100000000000001" customHeight="1">
      <c r="A1870" s="167"/>
    </row>
    <row r="1871" spans="1:1" ht="20.100000000000001" customHeight="1">
      <c r="A1871" s="167"/>
    </row>
    <row r="1872" spans="1:1" ht="20.100000000000001" customHeight="1">
      <c r="A1872" s="167"/>
    </row>
    <row r="1873" spans="1:1" ht="20.100000000000001" customHeight="1">
      <c r="A1873" s="167"/>
    </row>
    <row r="1874" spans="1:1" ht="20.100000000000001" customHeight="1">
      <c r="A1874" s="167"/>
    </row>
    <row r="1875" spans="1:1" ht="20.100000000000001" customHeight="1">
      <c r="A1875" s="167"/>
    </row>
    <row r="1876" spans="1:1" ht="20.100000000000001" customHeight="1">
      <c r="A1876" s="167"/>
    </row>
    <row r="1877" spans="1:1" ht="20.100000000000001" customHeight="1">
      <c r="A1877" s="167"/>
    </row>
    <row r="1878" spans="1:1" ht="20.100000000000001" customHeight="1">
      <c r="A1878" s="167"/>
    </row>
    <row r="1879" spans="1:1" ht="20.100000000000001" customHeight="1">
      <c r="A1879" s="167"/>
    </row>
    <row r="1880" spans="1:1" ht="20.100000000000001" customHeight="1">
      <c r="A1880" s="167"/>
    </row>
    <row r="1881" spans="1:1" ht="20.100000000000001" customHeight="1">
      <c r="A1881" s="167"/>
    </row>
    <row r="1882" spans="1:1" ht="20.100000000000001" customHeight="1">
      <c r="A1882" s="167"/>
    </row>
    <row r="1883" spans="1:1" ht="20.100000000000001" customHeight="1">
      <c r="A1883" s="167"/>
    </row>
    <row r="1884" spans="1:1" ht="20.100000000000001" customHeight="1">
      <c r="A1884" s="167"/>
    </row>
    <row r="1885" spans="1:1" ht="20.100000000000001" customHeight="1">
      <c r="A1885" s="167"/>
    </row>
    <row r="1886" spans="1:1" ht="20.100000000000001" customHeight="1">
      <c r="A1886" s="167"/>
    </row>
    <row r="1887" spans="1:1" ht="20.100000000000001" customHeight="1">
      <c r="A1887" s="167"/>
    </row>
    <row r="1888" spans="1:1" ht="20.100000000000001" customHeight="1">
      <c r="A1888" s="167"/>
    </row>
    <row r="1889" spans="1:1" ht="20.100000000000001" customHeight="1">
      <c r="A1889" s="167"/>
    </row>
    <row r="1890" spans="1:1" ht="20.100000000000001" customHeight="1">
      <c r="A1890" s="167"/>
    </row>
    <row r="1891" spans="1:1" ht="20.100000000000001" customHeight="1">
      <c r="A1891" s="167"/>
    </row>
    <row r="1892" spans="1:1" ht="20.100000000000001" customHeight="1">
      <c r="A1892" s="167"/>
    </row>
    <row r="1893" spans="1:1" ht="20.100000000000001" customHeight="1">
      <c r="A1893" s="167"/>
    </row>
    <row r="1894" spans="1:1" ht="20.100000000000001" customHeight="1">
      <c r="A1894" s="167"/>
    </row>
    <row r="1895" spans="1:1" ht="20.100000000000001" customHeight="1">
      <c r="A1895" s="167"/>
    </row>
    <row r="1896" spans="1:1" ht="20.100000000000001" customHeight="1">
      <c r="A1896" s="167"/>
    </row>
    <row r="1897" spans="1:1" ht="20.100000000000001" customHeight="1">
      <c r="A1897" s="167"/>
    </row>
    <row r="1898" spans="1:1" ht="20.100000000000001" customHeight="1">
      <c r="A1898" s="167"/>
    </row>
    <row r="1899" spans="1:1" ht="20.100000000000001" customHeight="1">
      <c r="A1899" s="167"/>
    </row>
    <row r="1900" spans="1:1" ht="20.100000000000001" customHeight="1">
      <c r="A1900" s="167"/>
    </row>
    <row r="1901" spans="1:1" ht="20.100000000000001" customHeight="1">
      <c r="A1901" s="167"/>
    </row>
    <row r="1902" spans="1:1" ht="20.100000000000001" customHeight="1">
      <c r="A1902" s="167"/>
    </row>
    <row r="1903" spans="1:1" ht="20.100000000000001" customHeight="1">
      <c r="A1903" s="167"/>
    </row>
    <row r="1904" spans="1:1" ht="20.100000000000001" customHeight="1">
      <c r="A1904" s="167"/>
    </row>
    <row r="1905" spans="1:1" ht="20.100000000000001" customHeight="1">
      <c r="A1905" s="167"/>
    </row>
    <row r="1906" spans="1:1" ht="20.100000000000001" customHeight="1">
      <c r="A1906" s="167"/>
    </row>
    <row r="1907" spans="1:1" ht="20.100000000000001" customHeight="1">
      <c r="A1907" s="167"/>
    </row>
    <row r="1908" spans="1:1" ht="20.100000000000001" customHeight="1">
      <c r="A1908" s="167"/>
    </row>
    <row r="1909" spans="1:1" ht="20.100000000000001" customHeight="1">
      <c r="A1909" s="167"/>
    </row>
    <row r="1910" spans="1:1" ht="20.100000000000001" customHeight="1">
      <c r="A1910" s="167"/>
    </row>
    <row r="1911" spans="1:1" ht="20.100000000000001" customHeight="1">
      <c r="A1911" s="167"/>
    </row>
    <row r="1912" spans="1:1" ht="20.100000000000001" customHeight="1">
      <c r="A1912" s="167"/>
    </row>
    <row r="1913" spans="1:1" ht="20.100000000000001" customHeight="1">
      <c r="A1913" s="167"/>
    </row>
    <row r="1914" spans="1:1" ht="20.100000000000001" customHeight="1">
      <c r="A1914" s="167"/>
    </row>
    <row r="1915" spans="1:1" ht="20.100000000000001" customHeight="1">
      <c r="A1915" s="167"/>
    </row>
    <row r="1916" spans="1:1" ht="20.100000000000001" customHeight="1">
      <c r="A1916" s="167"/>
    </row>
    <row r="1917" spans="1:1" ht="20.100000000000001" customHeight="1">
      <c r="A1917" s="167"/>
    </row>
    <row r="1918" spans="1:1" ht="20.100000000000001" customHeight="1">
      <c r="A1918" s="167"/>
    </row>
    <row r="1919" spans="1:1" ht="20.100000000000001" customHeight="1">
      <c r="A1919" s="167"/>
    </row>
    <row r="1920" spans="1:1" ht="20.100000000000001" customHeight="1">
      <c r="A1920" s="167"/>
    </row>
    <row r="1921" spans="1:1" ht="20.100000000000001" customHeight="1">
      <c r="A1921" s="167"/>
    </row>
    <row r="1922" spans="1:1" ht="20.100000000000001" customHeight="1">
      <c r="A1922" s="167"/>
    </row>
    <row r="1923" spans="1:1" ht="20.100000000000001" customHeight="1">
      <c r="A1923" s="167"/>
    </row>
    <row r="1924" spans="1:1" ht="20.100000000000001" customHeight="1">
      <c r="A1924" s="167"/>
    </row>
    <row r="1925" spans="1:1" ht="20.100000000000001" customHeight="1">
      <c r="A1925" s="167"/>
    </row>
    <row r="1926" spans="1:1" ht="20.100000000000001" customHeight="1">
      <c r="A1926" s="167"/>
    </row>
    <row r="1927" spans="1:1" ht="20.100000000000001" customHeight="1">
      <c r="A1927" s="167"/>
    </row>
    <row r="1928" spans="1:1" ht="20.100000000000001" customHeight="1">
      <c r="A1928" s="167"/>
    </row>
    <row r="1929" spans="1:1" ht="20.100000000000001" customHeight="1">
      <c r="A1929" s="167"/>
    </row>
    <row r="1930" spans="1:1" ht="20.100000000000001" customHeight="1">
      <c r="A1930" s="167"/>
    </row>
    <row r="1931" spans="1:1" ht="20.100000000000001" customHeight="1">
      <c r="A1931" s="167"/>
    </row>
    <row r="1932" spans="1:1" ht="20.100000000000001" customHeight="1">
      <c r="A1932" s="167"/>
    </row>
    <row r="1933" spans="1:1" ht="20.100000000000001" customHeight="1">
      <c r="A1933" s="167"/>
    </row>
    <row r="1934" spans="1:1" ht="20.100000000000001" customHeight="1">
      <c r="A1934" s="167"/>
    </row>
    <row r="1935" spans="1:1" ht="20.100000000000001" customHeight="1">
      <c r="A1935" s="167"/>
    </row>
    <row r="1936" spans="1:1" ht="20.100000000000001" customHeight="1">
      <c r="A1936" s="167"/>
    </row>
    <row r="1937" spans="1:1" ht="20.100000000000001" customHeight="1">
      <c r="A1937" s="167"/>
    </row>
    <row r="1938" spans="1:1" ht="20.100000000000001" customHeight="1">
      <c r="A1938" s="167"/>
    </row>
    <row r="1939" spans="1:1" ht="20.100000000000001" customHeight="1">
      <c r="A1939" s="167"/>
    </row>
    <row r="1940" spans="1:1" ht="20.100000000000001" customHeight="1">
      <c r="A1940" s="167"/>
    </row>
    <row r="1941" spans="1:1" ht="20.100000000000001" customHeight="1">
      <c r="A1941" s="167"/>
    </row>
    <row r="1942" spans="1:1" ht="20.100000000000001" customHeight="1">
      <c r="A1942" s="167"/>
    </row>
    <row r="1943" spans="1:1" ht="20.100000000000001" customHeight="1">
      <c r="A1943" s="167"/>
    </row>
    <row r="1944" spans="1:1" ht="20.100000000000001" customHeight="1">
      <c r="A1944" s="167"/>
    </row>
    <row r="1945" spans="1:1" ht="20.100000000000001" customHeight="1">
      <c r="A1945" s="167"/>
    </row>
    <row r="1946" spans="1:1" ht="20.100000000000001" customHeight="1">
      <c r="A1946" s="167"/>
    </row>
    <row r="1947" spans="1:1" ht="20.100000000000001" customHeight="1">
      <c r="A1947" s="167"/>
    </row>
    <row r="1948" spans="1:1" ht="20.100000000000001" customHeight="1">
      <c r="A1948" s="167"/>
    </row>
    <row r="1949" spans="1:1" ht="20.100000000000001" customHeight="1">
      <c r="A1949" s="167"/>
    </row>
    <row r="1950" spans="1:1" ht="20.100000000000001" customHeight="1">
      <c r="A1950" s="167"/>
    </row>
    <row r="1951" spans="1:1" ht="20.100000000000001" customHeight="1">
      <c r="A1951" s="167"/>
    </row>
    <row r="1952" spans="1:1" ht="20.100000000000001" customHeight="1">
      <c r="A1952" s="167"/>
    </row>
    <row r="1953" spans="1:1" ht="20.100000000000001" customHeight="1">
      <c r="A1953" s="167"/>
    </row>
    <row r="1954" spans="1:1" ht="20.100000000000001" customHeight="1">
      <c r="A1954" s="167"/>
    </row>
    <row r="1955" spans="1:1" ht="20.100000000000001" customHeight="1">
      <c r="A1955" s="167"/>
    </row>
    <row r="1956" spans="1:1" ht="20.100000000000001" customHeight="1">
      <c r="A1956" s="167"/>
    </row>
    <row r="1957" spans="1:1" ht="20.100000000000001" customHeight="1">
      <c r="A1957" s="167"/>
    </row>
    <row r="1958" spans="1:1" ht="20.100000000000001" customHeight="1">
      <c r="A1958" s="167"/>
    </row>
    <row r="1959" spans="1:1" ht="20.100000000000001" customHeight="1">
      <c r="A1959" s="167"/>
    </row>
    <row r="1960" spans="1:1" ht="20.100000000000001" customHeight="1">
      <c r="A1960" s="167"/>
    </row>
    <row r="1961" spans="1:1" ht="20.100000000000001" customHeight="1">
      <c r="A1961" s="167"/>
    </row>
    <row r="1962" spans="1:1" ht="20.100000000000001" customHeight="1">
      <c r="A1962" s="167"/>
    </row>
    <row r="1963" spans="1:1" ht="20.100000000000001" customHeight="1">
      <c r="A1963" s="167"/>
    </row>
    <row r="1964" spans="1:1" ht="20.100000000000001" customHeight="1">
      <c r="A1964" s="167"/>
    </row>
    <row r="1965" spans="1:1" ht="20.100000000000001" customHeight="1">
      <c r="A1965" s="167"/>
    </row>
    <row r="1966" spans="1:1" ht="20.100000000000001" customHeight="1">
      <c r="A1966" s="167"/>
    </row>
    <row r="1967" spans="1:1" ht="20.100000000000001" customHeight="1">
      <c r="A1967" s="167"/>
    </row>
    <row r="1968" spans="1:1" ht="20.100000000000001" customHeight="1">
      <c r="A1968" s="167"/>
    </row>
    <row r="1969" spans="1:1" ht="20.100000000000001" customHeight="1">
      <c r="A1969" s="167"/>
    </row>
    <row r="1970" spans="1:1" ht="20.100000000000001" customHeight="1">
      <c r="A1970" s="167"/>
    </row>
    <row r="1971" spans="1:1" ht="20.100000000000001" customHeight="1">
      <c r="A1971" s="167"/>
    </row>
    <row r="1972" spans="1:1" ht="20.100000000000001" customHeight="1">
      <c r="A1972" s="167"/>
    </row>
    <row r="1973" spans="1:1" ht="20.100000000000001" customHeight="1">
      <c r="A1973" s="167"/>
    </row>
    <row r="1974" spans="1:1" ht="20.100000000000001" customHeight="1">
      <c r="A1974" s="167"/>
    </row>
    <row r="1975" spans="1:1" ht="20.100000000000001" customHeight="1">
      <c r="A1975" s="167"/>
    </row>
    <row r="1976" spans="1:1" ht="20.100000000000001" customHeight="1">
      <c r="A1976" s="167"/>
    </row>
    <row r="1977" spans="1:1" ht="20.100000000000001" customHeight="1">
      <c r="A1977" s="167"/>
    </row>
    <row r="1978" spans="1:1" ht="20.100000000000001" customHeight="1">
      <c r="A1978" s="167"/>
    </row>
    <row r="1979" spans="1:1" ht="20.100000000000001" customHeight="1">
      <c r="A1979" s="167"/>
    </row>
    <row r="1980" spans="1:1" ht="20.100000000000001" customHeight="1">
      <c r="A1980" s="167"/>
    </row>
    <row r="1981" spans="1:1" ht="20.100000000000001" customHeight="1">
      <c r="A1981" s="167"/>
    </row>
    <row r="1982" spans="1:1" ht="20.100000000000001" customHeight="1">
      <c r="A1982" s="167"/>
    </row>
    <row r="1983" spans="1:1" ht="20.100000000000001" customHeight="1">
      <c r="A1983" s="167"/>
    </row>
    <row r="1984" spans="1:1" ht="20.100000000000001" customHeight="1">
      <c r="A1984" s="167"/>
    </row>
    <row r="1985" spans="1:1" ht="20.100000000000001" customHeight="1">
      <c r="A1985" s="167"/>
    </row>
    <row r="1986" spans="1:1" ht="20.100000000000001" customHeight="1">
      <c r="A1986" s="167"/>
    </row>
    <row r="1987" spans="1:1" ht="20.100000000000001" customHeight="1">
      <c r="A1987" s="167"/>
    </row>
    <row r="1988" spans="1:1" ht="20.100000000000001" customHeight="1">
      <c r="A1988" s="167"/>
    </row>
    <row r="1989" spans="1:1" ht="20.100000000000001" customHeight="1">
      <c r="A1989" s="167"/>
    </row>
    <row r="1990" spans="1:1" ht="20.100000000000001" customHeight="1">
      <c r="A1990" s="167"/>
    </row>
    <row r="1991" spans="1:1" ht="20.100000000000001" customHeight="1">
      <c r="A1991" s="167"/>
    </row>
    <row r="1992" spans="1:1" ht="20.100000000000001" customHeight="1">
      <c r="A1992" s="167"/>
    </row>
    <row r="1993" spans="1:1" ht="20.100000000000001" customHeight="1">
      <c r="A1993" s="167"/>
    </row>
    <row r="1994" spans="1:1" ht="20.100000000000001" customHeight="1">
      <c r="A1994" s="167"/>
    </row>
    <row r="1995" spans="1:1" ht="20.100000000000001" customHeight="1">
      <c r="A1995" s="167"/>
    </row>
    <row r="1996" spans="1:1" ht="20.100000000000001" customHeight="1">
      <c r="A1996" s="167"/>
    </row>
    <row r="1997" spans="1:1" ht="20.100000000000001" customHeight="1">
      <c r="A1997" s="167"/>
    </row>
    <row r="1998" spans="1:1" ht="20.100000000000001" customHeight="1">
      <c r="A1998" s="167"/>
    </row>
    <row r="1999" spans="1:1" ht="20.100000000000001" customHeight="1">
      <c r="A1999" s="167"/>
    </row>
    <row r="2000" spans="1:1" ht="20.100000000000001" customHeight="1">
      <c r="A2000" s="167"/>
    </row>
    <row r="2001" spans="1:1" ht="20.100000000000001" customHeight="1">
      <c r="A2001" s="167"/>
    </row>
    <row r="2002" spans="1:1" ht="20.100000000000001" customHeight="1">
      <c r="A2002" s="167"/>
    </row>
    <row r="2003" spans="1:1" ht="20.100000000000001" customHeight="1">
      <c r="A2003" s="167"/>
    </row>
    <row r="2004" spans="1:1" ht="20.100000000000001" customHeight="1">
      <c r="A2004" s="167"/>
    </row>
    <row r="2005" spans="1:1" ht="20.100000000000001" customHeight="1">
      <c r="A2005" s="167"/>
    </row>
    <row r="2006" spans="1:1" ht="20.100000000000001" customHeight="1">
      <c r="A2006" s="167"/>
    </row>
    <row r="2007" spans="1:1" ht="20.100000000000001" customHeight="1">
      <c r="A2007" s="167"/>
    </row>
    <row r="2008" spans="1:1" ht="20.100000000000001" customHeight="1">
      <c r="A2008" s="167"/>
    </row>
    <row r="2009" spans="1:1" ht="20.100000000000001" customHeight="1">
      <c r="A2009" s="167"/>
    </row>
    <row r="2010" spans="1:1" ht="20.100000000000001" customHeight="1">
      <c r="A2010" s="167"/>
    </row>
    <row r="2011" spans="1:1" ht="20.100000000000001" customHeight="1">
      <c r="A2011" s="167"/>
    </row>
    <row r="2012" spans="1:1" ht="20.100000000000001" customHeight="1">
      <c r="A2012" s="167"/>
    </row>
    <row r="2013" spans="1:1" ht="20.100000000000001" customHeight="1">
      <c r="A2013" s="167"/>
    </row>
    <row r="2014" spans="1:1" ht="20.100000000000001" customHeight="1">
      <c r="A2014" s="167"/>
    </row>
    <row r="2015" spans="1:1" ht="20.100000000000001" customHeight="1">
      <c r="A2015" s="167"/>
    </row>
    <row r="2016" spans="1:1" ht="20.100000000000001" customHeight="1">
      <c r="A2016" s="167"/>
    </row>
    <row r="2017" spans="1:1" ht="20.100000000000001" customHeight="1">
      <c r="A2017" s="167"/>
    </row>
    <row r="2018" spans="1:1" ht="20.100000000000001" customHeight="1">
      <c r="A2018" s="167"/>
    </row>
    <row r="2019" spans="1:1" ht="20.100000000000001" customHeight="1">
      <c r="A2019" s="167"/>
    </row>
    <row r="2020" spans="1:1" ht="20.100000000000001" customHeight="1">
      <c r="A2020" s="167"/>
    </row>
    <row r="2021" spans="1:1" ht="20.100000000000001" customHeight="1">
      <c r="A2021" s="167"/>
    </row>
    <row r="2022" spans="1:1" ht="20.100000000000001" customHeight="1">
      <c r="A2022" s="167"/>
    </row>
    <row r="2023" spans="1:1" ht="20.100000000000001" customHeight="1">
      <c r="A2023" s="167"/>
    </row>
    <row r="2024" spans="1:1" ht="20.100000000000001" customHeight="1">
      <c r="A2024" s="167"/>
    </row>
    <row r="2025" spans="1:1" ht="20.100000000000001" customHeight="1">
      <c r="A2025" s="167"/>
    </row>
    <row r="2026" spans="1:1" ht="20.100000000000001" customHeight="1">
      <c r="A2026" s="167"/>
    </row>
    <row r="2027" spans="1:1" ht="20.100000000000001" customHeight="1">
      <c r="A2027" s="167"/>
    </row>
    <row r="2028" spans="1:1" ht="20.100000000000001" customHeight="1">
      <c r="A2028" s="167"/>
    </row>
    <row r="2029" spans="1:1" ht="20.100000000000001" customHeight="1">
      <c r="A2029" s="167"/>
    </row>
    <row r="2030" spans="1:1" ht="20.100000000000001" customHeight="1">
      <c r="A2030" s="167"/>
    </row>
    <row r="2031" spans="1:1" ht="20.100000000000001" customHeight="1">
      <c r="A2031" s="167"/>
    </row>
    <row r="2032" spans="1:1" ht="20.100000000000001" customHeight="1">
      <c r="A2032" s="167"/>
    </row>
    <row r="2033" spans="1:1" ht="20.100000000000001" customHeight="1">
      <c r="A2033" s="167"/>
    </row>
    <row r="2034" spans="1:1" ht="20.100000000000001" customHeight="1">
      <c r="A2034" s="167"/>
    </row>
    <row r="2035" spans="1:1" ht="20.100000000000001" customHeight="1">
      <c r="A2035" s="167"/>
    </row>
    <row r="2036" spans="1:1" ht="20.100000000000001" customHeight="1">
      <c r="A2036" s="167"/>
    </row>
    <row r="2037" spans="1:1" ht="20.100000000000001" customHeight="1">
      <c r="A2037" s="167"/>
    </row>
    <row r="2038" spans="1:1" ht="20.100000000000001" customHeight="1">
      <c r="A2038" s="167"/>
    </row>
    <row r="2039" spans="1:1" ht="20.100000000000001" customHeight="1">
      <c r="A2039" s="167"/>
    </row>
    <row r="2040" spans="1:1" ht="20.100000000000001" customHeight="1">
      <c r="A2040" s="167"/>
    </row>
    <row r="2041" spans="1:1" ht="20.100000000000001" customHeight="1">
      <c r="A2041" s="167"/>
    </row>
    <row r="2042" spans="1:1" ht="20.100000000000001" customHeight="1">
      <c r="A2042" s="167"/>
    </row>
    <row r="2043" spans="1:1" ht="20.100000000000001" customHeight="1">
      <c r="A2043" s="167"/>
    </row>
    <row r="2044" spans="1:1" ht="20.100000000000001" customHeight="1">
      <c r="A2044" s="167"/>
    </row>
    <row r="2045" spans="1:1" ht="20.100000000000001" customHeight="1">
      <c r="A2045" s="167"/>
    </row>
    <row r="2046" spans="1:1" ht="20.100000000000001" customHeight="1">
      <c r="A2046" s="167"/>
    </row>
    <row r="2047" spans="1:1" ht="20.100000000000001" customHeight="1">
      <c r="A2047" s="167"/>
    </row>
    <row r="2048" spans="1:1" ht="20.100000000000001" customHeight="1">
      <c r="A2048" s="167"/>
    </row>
    <row r="2049" spans="1:1" ht="20.100000000000001" customHeight="1">
      <c r="A2049" s="167"/>
    </row>
    <row r="2050" spans="1:1" ht="20.100000000000001" customHeight="1">
      <c r="A2050" s="167"/>
    </row>
    <row r="2051" spans="1:1" ht="20.100000000000001" customHeight="1">
      <c r="A2051" s="167"/>
    </row>
    <row r="2052" spans="1:1" ht="20.100000000000001" customHeight="1">
      <c r="A2052" s="167"/>
    </row>
    <row r="2053" spans="1:1" ht="20.100000000000001" customHeight="1">
      <c r="A2053" s="167"/>
    </row>
    <row r="2054" spans="1:1" ht="20.100000000000001" customHeight="1">
      <c r="A2054" s="167"/>
    </row>
    <row r="2055" spans="1:1" ht="20.100000000000001" customHeight="1">
      <c r="A2055" s="167"/>
    </row>
    <row r="2056" spans="1:1" ht="20.100000000000001" customHeight="1">
      <c r="A2056" s="167"/>
    </row>
    <row r="2057" spans="1:1" ht="20.100000000000001" customHeight="1">
      <c r="A2057" s="167"/>
    </row>
    <row r="2058" spans="1:1" ht="20.100000000000001" customHeight="1">
      <c r="A2058" s="167"/>
    </row>
    <row r="2059" spans="1:1" ht="20.100000000000001" customHeight="1">
      <c r="A2059" s="167"/>
    </row>
    <row r="2060" spans="1:1" ht="20.100000000000001" customHeight="1">
      <c r="A2060" s="167"/>
    </row>
    <row r="2061" spans="1:1" ht="20.100000000000001" customHeight="1">
      <c r="A2061" s="167"/>
    </row>
    <row r="2062" spans="1:1" ht="20.100000000000001" customHeight="1">
      <c r="A2062" s="167"/>
    </row>
    <row r="2063" spans="1:1" ht="20.100000000000001" customHeight="1">
      <c r="A2063" s="167"/>
    </row>
    <row r="2064" spans="1:1" ht="20.100000000000001" customHeight="1">
      <c r="A2064" s="167"/>
    </row>
    <row r="2065" spans="1:1" ht="20.100000000000001" customHeight="1">
      <c r="A2065" s="167"/>
    </row>
    <row r="2066" spans="1:1" ht="20.100000000000001" customHeight="1">
      <c r="A2066" s="167"/>
    </row>
    <row r="2067" spans="1:1" ht="20.100000000000001" customHeight="1">
      <c r="A2067" s="167"/>
    </row>
    <row r="2068" spans="1:1" ht="20.100000000000001" customHeight="1">
      <c r="A2068" s="167"/>
    </row>
    <row r="2069" spans="1:1" ht="20.100000000000001" customHeight="1">
      <c r="A2069" s="167"/>
    </row>
    <row r="2070" spans="1:1" ht="20.100000000000001" customHeight="1">
      <c r="A2070" s="167"/>
    </row>
    <row r="2071" spans="1:1" ht="20.100000000000001" customHeight="1">
      <c r="A2071" s="167"/>
    </row>
    <row r="2072" spans="1:1" ht="20.100000000000001" customHeight="1">
      <c r="A2072" s="167"/>
    </row>
    <row r="2073" spans="1:1" ht="20.100000000000001" customHeight="1">
      <c r="A2073" s="167"/>
    </row>
    <row r="2074" spans="1:1" ht="20.100000000000001" customHeight="1">
      <c r="A2074" s="167"/>
    </row>
    <row r="2075" spans="1:1" ht="20.100000000000001" customHeight="1">
      <c r="A2075" s="167"/>
    </row>
    <row r="2076" spans="1:1" ht="20.100000000000001" customHeight="1">
      <c r="A2076" s="167"/>
    </row>
    <row r="2077" spans="1:1" ht="20.100000000000001" customHeight="1">
      <c r="A2077" s="167"/>
    </row>
    <row r="2078" spans="1:1" ht="20.100000000000001" customHeight="1">
      <c r="A2078" s="167"/>
    </row>
    <row r="2079" spans="1:1" ht="20.100000000000001" customHeight="1">
      <c r="A2079" s="167"/>
    </row>
    <row r="2080" spans="1:1" ht="20.100000000000001" customHeight="1">
      <c r="A2080" s="167"/>
    </row>
    <row r="2081" spans="1:1" ht="20.100000000000001" customHeight="1">
      <c r="A2081" s="167"/>
    </row>
    <row r="2082" spans="1:1" ht="20.100000000000001" customHeight="1">
      <c r="A2082" s="167"/>
    </row>
    <row r="2083" spans="1:1" ht="20.100000000000001" customHeight="1">
      <c r="A2083" s="167"/>
    </row>
    <row r="2084" spans="1:1" ht="20.100000000000001" customHeight="1">
      <c r="A2084" s="167"/>
    </row>
    <row r="2085" spans="1:1" ht="20.100000000000001" customHeight="1">
      <c r="A2085" s="167"/>
    </row>
    <row r="2086" spans="1:1" ht="20.100000000000001" customHeight="1">
      <c r="A2086" s="167"/>
    </row>
    <row r="2087" spans="1:1" ht="20.100000000000001" customHeight="1">
      <c r="A2087" s="167"/>
    </row>
    <row r="2088" spans="1:1" ht="20.100000000000001" customHeight="1">
      <c r="A2088" s="167"/>
    </row>
    <row r="2089" spans="1:1" ht="20.100000000000001" customHeight="1">
      <c r="A2089" s="167"/>
    </row>
    <row r="2090" spans="1:1" ht="20.100000000000001" customHeight="1">
      <c r="A2090" s="167"/>
    </row>
    <row r="2091" spans="1:1" ht="20.100000000000001" customHeight="1">
      <c r="A2091" s="167"/>
    </row>
    <row r="2092" spans="1:1" ht="20.100000000000001" customHeight="1">
      <c r="A2092" s="167"/>
    </row>
    <row r="2093" spans="1:1" ht="20.100000000000001" customHeight="1">
      <c r="A2093" s="167"/>
    </row>
    <row r="2094" spans="1:1" ht="20.100000000000001" customHeight="1">
      <c r="A2094" s="167"/>
    </row>
    <row r="2095" spans="1:1" ht="20.100000000000001" customHeight="1">
      <c r="A2095" s="167"/>
    </row>
    <row r="2096" spans="1:1" ht="20.100000000000001" customHeight="1">
      <c r="A2096" s="167"/>
    </row>
    <row r="2097" spans="1:1" ht="20.100000000000001" customHeight="1">
      <c r="A2097" s="167"/>
    </row>
    <row r="2098" spans="1:1" ht="20.100000000000001" customHeight="1">
      <c r="A2098" s="167"/>
    </row>
    <row r="2099" spans="1:1" ht="20.100000000000001" customHeight="1">
      <c r="A2099" s="167"/>
    </row>
    <row r="2100" spans="1:1" ht="20.100000000000001" customHeight="1">
      <c r="A2100" s="167"/>
    </row>
    <row r="2101" spans="1:1" ht="20.100000000000001" customHeight="1">
      <c r="A2101" s="167"/>
    </row>
    <row r="2102" spans="1:1" ht="20.100000000000001" customHeight="1">
      <c r="A2102" s="167"/>
    </row>
    <row r="2103" spans="1:1" ht="20.100000000000001" customHeight="1">
      <c r="A2103" s="167"/>
    </row>
    <row r="2104" spans="1:1" ht="20.100000000000001" customHeight="1">
      <c r="A2104" s="167"/>
    </row>
    <row r="2105" spans="1:1" ht="20.100000000000001" customHeight="1">
      <c r="A2105" s="167"/>
    </row>
    <row r="2106" spans="1:1" ht="20.100000000000001" customHeight="1">
      <c r="A2106" s="167"/>
    </row>
    <row r="2107" spans="1:1" ht="20.100000000000001" customHeight="1">
      <c r="A2107" s="167"/>
    </row>
    <row r="2108" spans="1:1" ht="20.100000000000001" customHeight="1">
      <c r="A2108" s="167"/>
    </row>
    <row r="2109" spans="1:1" ht="20.100000000000001" customHeight="1">
      <c r="A2109" s="167"/>
    </row>
    <row r="2110" spans="1:1" ht="20.100000000000001" customHeight="1">
      <c r="A2110" s="167"/>
    </row>
    <row r="2111" spans="1:1" ht="20.100000000000001" customHeight="1">
      <c r="A2111" s="167"/>
    </row>
    <row r="2112" spans="1:1" ht="20.100000000000001" customHeight="1">
      <c r="A2112" s="167"/>
    </row>
    <row r="2113" spans="1:1" ht="20.100000000000001" customHeight="1">
      <c r="A2113" s="167"/>
    </row>
    <row r="2114" spans="1:1" ht="20.100000000000001" customHeight="1">
      <c r="A2114" s="167"/>
    </row>
    <row r="2115" spans="1:1" ht="20.100000000000001" customHeight="1">
      <c r="A2115" s="167"/>
    </row>
    <row r="2116" spans="1:1" ht="20.100000000000001" customHeight="1">
      <c r="A2116" s="167"/>
    </row>
    <row r="2117" spans="1:1" ht="20.100000000000001" customHeight="1">
      <c r="A2117" s="167"/>
    </row>
    <row r="2118" spans="1:1" ht="20.100000000000001" customHeight="1">
      <c r="A2118" s="167"/>
    </row>
    <row r="2119" spans="1:1" ht="20.100000000000001" customHeight="1">
      <c r="A2119" s="167"/>
    </row>
    <row r="2120" spans="1:1" ht="20.100000000000001" customHeight="1">
      <c r="A2120" s="167"/>
    </row>
    <row r="2121" spans="1:1" ht="20.100000000000001" customHeight="1">
      <c r="A2121" s="167"/>
    </row>
    <row r="2122" spans="1:1" ht="20.100000000000001" customHeight="1">
      <c r="A2122" s="167"/>
    </row>
    <row r="2123" spans="1:1" ht="20.100000000000001" customHeight="1">
      <c r="A2123" s="167"/>
    </row>
    <row r="2124" spans="1:1" ht="20.100000000000001" customHeight="1">
      <c r="A2124" s="167"/>
    </row>
    <row r="2125" spans="1:1" ht="20.100000000000001" customHeight="1">
      <c r="A2125" s="167"/>
    </row>
    <row r="2126" spans="1:1" ht="20.100000000000001" customHeight="1">
      <c r="A2126" s="167"/>
    </row>
    <row r="2127" spans="1:1" ht="20.100000000000001" customHeight="1">
      <c r="A2127" s="167"/>
    </row>
    <row r="2128" spans="1:1" ht="20.100000000000001" customHeight="1">
      <c r="A2128" s="167"/>
    </row>
    <row r="2129" spans="1:1" ht="20.100000000000001" customHeight="1">
      <c r="A2129" s="167"/>
    </row>
    <row r="2130" spans="1:1" ht="20.100000000000001" customHeight="1">
      <c r="A2130" s="167"/>
    </row>
    <row r="2131" spans="1:1" ht="20.100000000000001" customHeight="1">
      <c r="A2131" s="167"/>
    </row>
    <row r="2132" spans="1:1" ht="20.100000000000001" customHeight="1">
      <c r="A2132" s="167"/>
    </row>
    <row r="2133" spans="1:1" ht="20.100000000000001" customHeight="1">
      <c r="A2133" s="167"/>
    </row>
    <row r="2134" spans="1:1" ht="20.100000000000001" customHeight="1">
      <c r="A2134" s="167"/>
    </row>
    <row r="2135" spans="1:1" ht="20.100000000000001" customHeight="1">
      <c r="A2135" s="167"/>
    </row>
    <row r="2136" spans="1:1" ht="20.100000000000001" customHeight="1">
      <c r="A2136" s="167"/>
    </row>
    <row r="2137" spans="1:1" ht="20.100000000000001" customHeight="1">
      <c r="A2137" s="167"/>
    </row>
    <row r="2138" spans="1:1" ht="20.100000000000001" customHeight="1">
      <c r="A2138" s="167"/>
    </row>
    <row r="2139" spans="1:1" ht="20.100000000000001" customHeight="1">
      <c r="A2139" s="167"/>
    </row>
    <row r="2140" spans="1:1" ht="20.100000000000001" customHeight="1">
      <c r="A2140" s="167"/>
    </row>
    <row r="2141" spans="1:1" ht="20.100000000000001" customHeight="1">
      <c r="A2141" s="167"/>
    </row>
    <row r="2142" spans="1:1" ht="20.100000000000001" customHeight="1">
      <c r="A2142" s="167"/>
    </row>
    <row r="2143" spans="1:1" ht="20.100000000000001" customHeight="1">
      <c r="A2143" s="167"/>
    </row>
    <row r="2144" spans="1:1" ht="20.100000000000001" customHeight="1">
      <c r="A2144" s="167"/>
    </row>
    <row r="2145" spans="1:1" ht="20.100000000000001" customHeight="1">
      <c r="A2145" s="167"/>
    </row>
    <row r="2146" spans="1:1" ht="20.100000000000001" customHeight="1">
      <c r="A2146" s="167"/>
    </row>
    <row r="2147" spans="1:1" ht="20.100000000000001" customHeight="1">
      <c r="A2147" s="167"/>
    </row>
    <row r="2148" spans="1:1" ht="20.100000000000001" customHeight="1">
      <c r="A2148" s="167"/>
    </row>
    <row r="2149" spans="1:1" ht="20.100000000000001" customHeight="1">
      <c r="A2149" s="167"/>
    </row>
    <row r="2150" spans="1:1" ht="20.100000000000001" customHeight="1">
      <c r="A2150" s="167"/>
    </row>
    <row r="2151" spans="1:1" ht="20.100000000000001" customHeight="1">
      <c r="A2151" s="167"/>
    </row>
    <row r="2152" spans="1:1" ht="20.100000000000001" customHeight="1">
      <c r="A2152" s="167"/>
    </row>
    <row r="2153" spans="1:1" ht="20.100000000000001" customHeight="1">
      <c r="A2153" s="167"/>
    </row>
    <row r="2154" spans="1:1" ht="20.100000000000001" customHeight="1">
      <c r="A2154" s="167"/>
    </row>
    <row r="2155" spans="1:1" ht="20.100000000000001" customHeight="1">
      <c r="A2155" s="167"/>
    </row>
    <row r="2156" spans="1:1" ht="20.100000000000001" customHeight="1">
      <c r="A2156" s="167"/>
    </row>
    <row r="2157" spans="1:1" ht="20.100000000000001" customHeight="1">
      <c r="A2157" s="167"/>
    </row>
    <row r="2158" spans="1:1" ht="20.100000000000001" customHeight="1">
      <c r="A2158" s="167"/>
    </row>
    <row r="2159" spans="1:1" ht="20.100000000000001" customHeight="1">
      <c r="A2159" s="167"/>
    </row>
    <row r="2160" spans="1:1" ht="20.100000000000001" customHeight="1">
      <c r="A2160" s="167"/>
    </row>
    <row r="2161" spans="1:1" ht="20.100000000000001" customHeight="1">
      <c r="A2161" s="167"/>
    </row>
    <row r="2162" spans="1:1" ht="20.100000000000001" customHeight="1">
      <c r="A2162" s="167"/>
    </row>
    <row r="2163" spans="1:1" ht="20.100000000000001" customHeight="1">
      <c r="A2163" s="167"/>
    </row>
    <row r="2164" spans="1:1" ht="20.100000000000001" customHeight="1">
      <c r="A2164" s="167"/>
    </row>
    <row r="2165" spans="1:1" ht="20.100000000000001" customHeight="1">
      <c r="A2165" s="167"/>
    </row>
    <row r="2166" spans="1:1" ht="20.100000000000001" customHeight="1">
      <c r="A2166" s="167"/>
    </row>
    <row r="2167" spans="1:1" ht="20.100000000000001" customHeight="1">
      <c r="A2167" s="167"/>
    </row>
    <row r="2168" spans="1:1" ht="20.100000000000001" customHeight="1">
      <c r="A2168" s="167"/>
    </row>
    <row r="2169" spans="1:1" ht="20.100000000000001" customHeight="1">
      <c r="A2169" s="167"/>
    </row>
    <row r="2170" spans="1:1" ht="20.100000000000001" customHeight="1">
      <c r="A2170" s="167"/>
    </row>
    <row r="2171" spans="1:1" ht="20.100000000000001" customHeight="1">
      <c r="A2171" s="167"/>
    </row>
    <row r="2172" spans="1:1" ht="20.100000000000001" customHeight="1">
      <c r="A2172" s="167"/>
    </row>
    <row r="2173" spans="1:1" ht="20.100000000000001" customHeight="1">
      <c r="A2173" s="167"/>
    </row>
    <row r="2174" spans="1:1" ht="20.100000000000001" customHeight="1">
      <c r="A2174" s="167"/>
    </row>
    <row r="2175" spans="1:1" ht="20.100000000000001" customHeight="1">
      <c r="A2175" s="167"/>
    </row>
    <row r="2176" spans="1:1" ht="20.100000000000001" customHeight="1">
      <c r="A2176" s="167"/>
    </row>
    <row r="2177" spans="1:1" ht="20.100000000000001" customHeight="1">
      <c r="A2177" s="167"/>
    </row>
    <row r="2178" spans="1:1" ht="20.100000000000001" customHeight="1">
      <c r="A2178" s="167"/>
    </row>
    <row r="2179" spans="1:1" ht="20.100000000000001" customHeight="1">
      <c r="A2179" s="167"/>
    </row>
    <row r="2180" spans="1:1" ht="20.100000000000001" customHeight="1">
      <c r="A2180" s="167"/>
    </row>
    <row r="2181" spans="1:1" ht="20.100000000000001" customHeight="1">
      <c r="A2181" s="167"/>
    </row>
    <row r="2182" spans="1:1" ht="20.100000000000001" customHeight="1">
      <c r="A2182" s="167"/>
    </row>
    <row r="2183" spans="1:1" ht="20.100000000000001" customHeight="1">
      <c r="A2183" s="167"/>
    </row>
    <row r="2184" spans="1:1" ht="20.100000000000001" customHeight="1">
      <c r="A2184" s="167"/>
    </row>
    <row r="2185" spans="1:1" ht="20.100000000000001" customHeight="1">
      <c r="A2185" s="167"/>
    </row>
    <row r="2186" spans="1:1" ht="20.100000000000001" customHeight="1">
      <c r="A2186" s="167"/>
    </row>
    <row r="2187" spans="1:1" ht="20.100000000000001" customHeight="1">
      <c r="A2187" s="167"/>
    </row>
    <row r="2188" spans="1:1" ht="20.100000000000001" customHeight="1">
      <c r="A2188" s="167"/>
    </row>
    <row r="2189" spans="1:1" ht="20.100000000000001" customHeight="1">
      <c r="A2189" s="167"/>
    </row>
    <row r="2190" spans="1:1" ht="20.100000000000001" customHeight="1">
      <c r="A2190" s="167"/>
    </row>
    <row r="2191" spans="1:1" ht="20.100000000000001" customHeight="1">
      <c r="A2191" s="167"/>
    </row>
    <row r="2192" spans="1:1" ht="20.100000000000001" customHeight="1">
      <c r="A2192" s="167"/>
    </row>
    <row r="2193" spans="1:1" ht="20.100000000000001" customHeight="1">
      <c r="A2193" s="167"/>
    </row>
    <row r="2194" spans="1:1" ht="20.100000000000001" customHeight="1">
      <c r="A2194" s="167"/>
    </row>
    <row r="2195" spans="1:1" ht="20.100000000000001" customHeight="1">
      <c r="A2195" s="167"/>
    </row>
    <row r="2196" spans="1:1" ht="20.100000000000001" customHeight="1">
      <c r="A2196" s="167"/>
    </row>
    <row r="2197" spans="1:1" ht="20.100000000000001" customHeight="1">
      <c r="A2197" s="167"/>
    </row>
    <row r="2198" spans="1:1" ht="20.100000000000001" customHeight="1">
      <c r="A2198" s="167"/>
    </row>
    <row r="2199" spans="1:1" ht="20.100000000000001" customHeight="1">
      <c r="A2199" s="167"/>
    </row>
    <row r="2200" spans="1:1" ht="20.100000000000001" customHeight="1">
      <c r="A2200" s="167"/>
    </row>
    <row r="2201" spans="1:1" ht="20.100000000000001" customHeight="1">
      <c r="A2201" s="167"/>
    </row>
    <row r="2202" spans="1:1" ht="20.100000000000001" customHeight="1">
      <c r="A2202" s="167"/>
    </row>
    <row r="2203" spans="1:1" ht="20.100000000000001" customHeight="1">
      <c r="A2203" s="167"/>
    </row>
    <row r="2204" spans="1:1" ht="20.100000000000001" customHeight="1">
      <c r="A2204" s="167"/>
    </row>
    <row r="2205" spans="1:1" ht="20.100000000000001" customHeight="1">
      <c r="A2205" s="167"/>
    </row>
    <row r="2206" spans="1:1" ht="20.100000000000001" customHeight="1">
      <c r="A2206" s="167"/>
    </row>
    <row r="2207" spans="1:1" ht="20.100000000000001" customHeight="1">
      <c r="A2207" s="167"/>
    </row>
    <row r="2208" spans="1:1" ht="20.100000000000001" customHeight="1">
      <c r="A2208" s="167"/>
    </row>
    <row r="2209" spans="1:1" ht="20.100000000000001" customHeight="1">
      <c r="A2209" s="167"/>
    </row>
    <row r="2210" spans="1:1" ht="20.100000000000001" customHeight="1">
      <c r="A2210" s="167"/>
    </row>
    <row r="2211" spans="1:1" ht="20.100000000000001" customHeight="1">
      <c r="A2211" s="167"/>
    </row>
    <row r="2212" spans="1:1" ht="20.100000000000001" customHeight="1">
      <c r="A2212" s="167"/>
    </row>
    <row r="2213" spans="1:1" ht="20.100000000000001" customHeight="1">
      <c r="A2213" s="167"/>
    </row>
    <row r="2214" spans="1:1" ht="20.100000000000001" customHeight="1">
      <c r="A2214" s="167"/>
    </row>
    <row r="2215" spans="1:1" ht="20.100000000000001" customHeight="1">
      <c r="A2215" s="167"/>
    </row>
    <row r="2216" spans="1:1" ht="20.100000000000001" customHeight="1">
      <c r="A2216" s="167"/>
    </row>
    <row r="2217" spans="1:1" ht="20.100000000000001" customHeight="1">
      <c r="A2217" s="167"/>
    </row>
    <row r="2218" spans="1:1" ht="20.100000000000001" customHeight="1">
      <c r="A2218" s="167"/>
    </row>
    <row r="2219" spans="1:1" ht="20.100000000000001" customHeight="1">
      <c r="A2219" s="167"/>
    </row>
    <row r="2220" spans="1:1" ht="20.100000000000001" customHeight="1">
      <c r="A2220" s="167"/>
    </row>
    <row r="2221" spans="1:1" ht="20.100000000000001" customHeight="1">
      <c r="A2221" s="167"/>
    </row>
    <row r="2222" spans="1:1" ht="20.100000000000001" customHeight="1">
      <c r="A2222" s="167"/>
    </row>
    <row r="2223" spans="1:1" ht="20.100000000000001" customHeight="1">
      <c r="A2223" s="167"/>
    </row>
    <row r="2224" spans="1:1" ht="20.100000000000001" customHeight="1">
      <c r="A2224" s="167"/>
    </row>
    <row r="2225" spans="1:1" ht="20.100000000000001" customHeight="1">
      <c r="A2225" s="167"/>
    </row>
    <row r="2226" spans="1:1" ht="20.100000000000001" customHeight="1">
      <c r="A2226" s="167"/>
    </row>
    <row r="2227" spans="1:1" ht="20.100000000000001" customHeight="1">
      <c r="A2227" s="167"/>
    </row>
    <row r="2228" spans="1:1" ht="20.100000000000001" customHeight="1">
      <c r="A2228" s="167"/>
    </row>
    <row r="2229" spans="1:1" ht="20.100000000000001" customHeight="1">
      <c r="A2229" s="167"/>
    </row>
    <row r="2230" spans="1:1" ht="20.100000000000001" customHeight="1">
      <c r="A2230" s="167"/>
    </row>
    <row r="2231" spans="1:1" ht="20.100000000000001" customHeight="1">
      <c r="A2231" s="167"/>
    </row>
    <row r="2232" spans="1:1" ht="20.100000000000001" customHeight="1">
      <c r="A2232" s="167"/>
    </row>
    <row r="2233" spans="1:1" ht="20.100000000000001" customHeight="1">
      <c r="A2233" s="167"/>
    </row>
    <row r="2234" spans="1:1" ht="20.100000000000001" customHeight="1">
      <c r="A2234" s="167"/>
    </row>
    <row r="2235" spans="1:1" ht="20.100000000000001" customHeight="1">
      <c r="A2235" s="167"/>
    </row>
    <row r="2236" spans="1:1" ht="20.100000000000001" customHeight="1">
      <c r="A2236" s="167"/>
    </row>
    <row r="2237" spans="1:1" ht="20.100000000000001" customHeight="1">
      <c r="A2237" s="167"/>
    </row>
    <row r="2238" spans="1:1" ht="20.100000000000001" customHeight="1">
      <c r="A2238" s="167"/>
    </row>
    <row r="2239" spans="1:1" ht="20.100000000000001" customHeight="1">
      <c r="A2239" s="167"/>
    </row>
    <row r="2240" spans="1:1" ht="20.100000000000001" customHeight="1">
      <c r="A2240" s="167"/>
    </row>
    <row r="2241" spans="1:1" ht="20.100000000000001" customHeight="1">
      <c r="A2241" s="167"/>
    </row>
    <row r="2242" spans="1:1" ht="20.100000000000001" customHeight="1">
      <c r="A2242" s="167"/>
    </row>
    <row r="2243" spans="1:1" ht="20.100000000000001" customHeight="1">
      <c r="A2243" s="167"/>
    </row>
    <row r="2244" spans="1:1" ht="20.100000000000001" customHeight="1">
      <c r="A2244" s="167"/>
    </row>
    <row r="2245" spans="1:1" ht="20.100000000000001" customHeight="1">
      <c r="A2245" s="167"/>
    </row>
    <row r="2246" spans="1:1" ht="20.100000000000001" customHeight="1">
      <c r="A2246" s="167"/>
    </row>
    <row r="2247" spans="1:1" ht="20.100000000000001" customHeight="1">
      <c r="A2247" s="167"/>
    </row>
    <row r="2248" spans="1:1" ht="20.100000000000001" customHeight="1">
      <c r="A2248" s="167"/>
    </row>
    <row r="2249" spans="1:1" ht="20.100000000000001" customHeight="1">
      <c r="A2249" s="167"/>
    </row>
    <row r="2250" spans="1:1" ht="20.100000000000001" customHeight="1">
      <c r="A2250" s="167"/>
    </row>
    <row r="2251" spans="1:1" ht="20.100000000000001" customHeight="1">
      <c r="A2251" s="167"/>
    </row>
    <row r="2252" spans="1:1" ht="20.100000000000001" customHeight="1">
      <c r="A2252" s="167"/>
    </row>
    <row r="2253" spans="1:1" ht="20.100000000000001" customHeight="1">
      <c r="A2253" s="167"/>
    </row>
    <row r="2254" spans="1:1" ht="20.100000000000001" customHeight="1">
      <c r="A2254" s="167"/>
    </row>
    <row r="2255" spans="1:1" ht="20.100000000000001" customHeight="1">
      <c r="A2255" s="167"/>
    </row>
    <row r="2256" spans="1:1" ht="20.100000000000001" customHeight="1">
      <c r="A2256" s="167"/>
    </row>
    <row r="2257" spans="1:1" ht="20.100000000000001" customHeight="1">
      <c r="A2257" s="167"/>
    </row>
    <row r="2258" spans="1:1" ht="20.100000000000001" customHeight="1">
      <c r="A2258" s="167"/>
    </row>
    <row r="2259" spans="1:1" ht="20.100000000000001" customHeight="1">
      <c r="A2259" s="167"/>
    </row>
    <row r="2260" spans="1:1" ht="20.100000000000001" customHeight="1">
      <c r="A2260" s="167"/>
    </row>
    <row r="2261" spans="1:1" ht="20.100000000000001" customHeight="1">
      <c r="A2261" s="167"/>
    </row>
    <row r="2262" spans="1:1" ht="20.100000000000001" customHeight="1">
      <c r="A2262" s="167"/>
    </row>
    <row r="2263" spans="1:1" ht="20.100000000000001" customHeight="1">
      <c r="A2263" s="167"/>
    </row>
    <row r="2264" spans="1:1" ht="20.100000000000001" customHeight="1">
      <c r="A2264" s="167"/>
    </row>
    <row r="2265" spans="1:1" ht="20.100000000000001" customHeight="1">
      <c r="A2265" s="167"/>
    </row>
    <row r="2266" spans="1:1" ht="20.100000000000001" customHeight="1">
      <c r="A2266" s="167"/>
    </row>
    <row r="2267" spans="1:1" ht="20.100000000000001" customHeight="1">
      <c r="A2267" s="167"/>
    </row>
    <row r="2268" spans="1:1" ht="20.100000000000001" customHeight="1">
      <c r="A2268" s="167"/>
    </row>
    <row r="2269" spans="1:1" ht="20.100000000000001" customHeight="1">
      <c r="A2269" s="167"/>
    </row>
    <row r="2270" spans="1:1" ht="20.100000000000001" customHeight="1">
      <c r="A2270" s="167"/>
    </row>
    <row r="2271" spans="1:1" ht="20.100000000000001" customHeight="1">
      <c r="A2271" s="167"/>
    </row>
    <row r="2272" spans="1:1" ht="20.100000000000001" customHeight="1">
      <c r="A2272" s="167"/>
    </row>
    <row r="2273" spans="1:1" ht="20.100000000000001" customHeight="1">
      <c r="A2273" s="167"/>
    </row>
    <row r="2274" spans="1:1" ht="20.100000000000001" customHeight="1">
      <c r="A2274" s="167"/>
    </row>
    <row r="2275" spans="1:1" ht="20.100000000000001" customHeight="1">
      <c r="A2275" s="167"/>
    </row>
    <row r="2276" spans="1:1" ht="20.100000000000001" customHeight="1">
      <c r="A2276" s="167"/>
    </row>
    <row r="2277" spans="1:1" ht="20.100000000000001" customHeight="1">
      <c r="A2277" s="167"/>
    </row>
    <row r="2278" spans="1:1" ht="20.100000000000001" customHeight="1">
      <c r="A2278" s="167"/>
    </row>
    <row r="2279" spans="1:1" ht="20.100000000000001" customHeight="1">
      <c r="A2279" s="167"/>
    </row>
    <row r="2280" spans="1:1" ht="20.100000000000001" customHeight="1">
      <c r="A2280" s="167"/>
    </row>
    <row r="2281" spans="1:1" ht="20.100000000000001" customHeight="1">
      <c r="A2281" s="167"/>
    </row>
    <row r="2282" spans="1:1" ht="20.100000000000001" customHeight="1">
      <c r="A2282" s="167"/>
    </row>
    <row r="2283" spans="1:1" ht="20.100000000000001" customHeight="1">
      <c r="A2283" s="167"/>
    </row>
    <row r="2284" spans="1:1" ht="20.100000000000001" customHeight="1">
      <c r="A2284" s="167"/>
    </row>
    <row r="2285" spans="1:1" ht="20.100000000000001" customHeight="1">
      <c r="A2285" s="167"/>
    </row>
    <row r="2286" spans="1:1" ht="20.100000000000001" customHeight="1">
      <c r="A2286" s="167"/>
    </row>
    <row r="2287" spans="1:1" ht="20.100000000000001" customHeight="1">
      <c r="A2287" s="167"/>
    </row>
    <row r="2288" spans="1:1" ht="20.100000000000001" customHeight="1">
      <c r="A2288" s="167"/>
    </row>
    <row r="2289" spans="1:1" ht="20.100000000000001" customHeight="1">
      <c r="A2289" s="167"/>
    </row>
    <row r="2290" spans="1:1" ht="20.100000000000001" customHeight="1">
      <c r="A2290" s="167"/>
    </row>
    <row r="2291" spans="1:1" ht="20.100000000000001" customHeight="1">
      <c r="A2291" s="167"/>
    </row>
    <row r="2292" spans="1:1" ht="20.100000000000001" customHeight="1">
      <c r="A2292" s="167"/>
    </row>
    <row r="2293" spans="1:1" ht="20.100000000000001" customHeight="1">
      <c r="A2293" s="167"/>
    </row>
    <row r="2294" spans="1:1" ht="20.100000000000001" customHeight="1">
      <c r="A2294" s="167"/>
    </row>
    <row r="2295" spans="1:1" ht="20.100000000000001" customHeight="1">
      <c r="A2295" s="167"/>
    </row>
    <row r="2296" spans="1:1" ht="20.100000000000001" customHeight="1">
      <c r="A2296" s="167"/>
    </row>
    <row r="2297" spans="1:1" ht="20.100000000000001" customHeight="1">
      <c r="A2297" s="167"/>
    </row>
    <row r="2298" spans="1:1" ht="20.100000000000001" customHeight="1">
      <c r="A2298" s="167"/>
    </row>
    <row r="2299" spans="1:1" ht="20.100000000000001" customHeight="1">
      <c r="A2299" s="167"/>
    </row>
    <row r="2300" spans="1:1" ht="20.100000000000001" customHeight="1">
      <c r="A2300" s="167"/>
    </row>
    <row r="2301" spans="1:1" ht="20.100000000000001" customHeight="1">
      <c r="A2301" s="167"/>
    </row>
    <row r="2302" spans="1:1" ht="20.100000000000001" customHeight="1">
      <c r="A2302" s="167"/>
    </row>
    <row r="2303" spans="1:1" ht="20.100000000000001" customHeight="1">
      <c r="A2303" s="167"/>
    </row>
    <row r="2304" spans="1:1" ht="20.100000000000001" customHeight="1">
      <c r="A2304" s="167"/>
    </row>
    <row r="2305" spans="1:1" ht="20.100000000000001" customHeight="1">
      <c r="A2305" s="167"/>
    </row>
    <row r="2306" spans="1:1" ht="20.100000000000001" customHeight="1">
      <c r="A2306" s="167"/>
    </row>
    <row r="2307" spans="1:1" ht="20.100000000000001" customHeight="1">
      <c r="A2307" s="167"/>
    </row>
    <row r="2308" spans="1:1" ht="20.100000000000001" customHeight="1">
      <c r="A2308" s="167"/>
    </row>
    <row r="2309" spans="1:1" ht="20.100000000000001" customHeight="1">
      <c r="A2309" s="167"/>
    </row>
    <row r="2310" spans="1:1" ht="20.100000000000001" customHeight="1">
      <c r="A2310" s="167"/>
    </row>
    <row r="2311" spans="1:1" ht="20.100000000000001" customHeight="1">
      <c r="A2311" s="167"/>
    </row>
    <row r="2312" spans="1:1" ht="20.100000000000001" customHeight="1">
      <c r="A2312" s="167"/>
    </row>
    <row r="2313" spans="1:1" ht="20.100000000000001" customHeight="1">
      <c r="A2313" s="167"/>
    </row>
    <row r="2314" spans="1:1" ht="20.100000000000001" customHeight="1">
      <c r="A2314" s="167"/>
    </row>
    <row r="2315" spans="1:1" ht="20.100000000000001" customHeight="1">
      <c r="A2315" s="167"/>
    </row>
    <row r="2316" spans="1:1" ht="20.100000000000001" customHeight="1">
      <c r="A2316" s="167"/>
    </row>
    <row r="2317" spans="1:1" ht="20.100000000000001" customHeight="1">
      <c r="A2317" s="167"/>
    </row>
    <row r="2318" spans="1:1" ht="20.100000000000001" customHeight="1">
      <c r="A2318" s="167"/>
    </row>
    <row r="2319" spans="1:1" ht="20.100000000000001" customHeight="1">
      <c r="A2319" s="167"/>
    </row>
    <row r="2320" spans="1:1" ht="20.100000000000001" customHeight="1">
      <c r="A2320" s="167"/>
    </row>
    <row r="2321" spans="1:1" ht="20.100000000000001" customHeight="1">
      <c r="A2321" s="167"/>
    </row>
    <row r="2322" spans="1:1" ht="20.100000000000001" customHeight="1">
      <c r="A2322" s="167"/>
    </row>
    <row r="2323" spans="1:1" ht="20.100000000000001" customHeight="1">
      <c r="A2323" s="167"/>
    </row>
    <row r="2324" spans="1:1" ht="20.100000000000001" customHeight="1">
      <c r="A2324" s="167"/>
    </row>
    <row r="2325" spans="1:1" ht="20.100000000000001" customHeight="1">
      <c r="A2325" s="167"/>
    </row>
    <row r="2326" spans="1:1" ht="20.100000000000001" customHeight="1">
      <c r="A2326" s="167"/>
    </row>
    <row r="2327" spans="1:1" ht="20.100000000000001" customHeight="1">
      <c r="A2327" s="167"/>
    </row>
    <row r="2328" spans="1:1" ht="20.100000000000001" customHeight="1">
      <c r="A2328" s="167"/>
    </row>
    <row r="2329" spans="1:1" ht="20.100000000000001" customHeight="1">
      <c r="A2329" s="167"/>
    </row>
    <row r="2330" spans="1:1" ht="20.100000000000001" customHeight="1">
      <c r="A2330" s="167"/>
    </row>
    <row r="2331" spans="1:1" ht="20.100000000000001" customHeight="1">
      <c r="A2331" s="167"/>
    </row>
    <row r="2332" spans="1:1" ht="20.100000000000001" customHeight="1">
      <c r="A2332" s="167"/>
    </row>
    <row r="2333" spans="1:1" ht="20.100000000000001" customHeight="1">
      <c r="A2333" s="167"/>
    </row>
    <row r="2334" spans="1:1" ht="20.100000000000001" customHeight="1">
      <c r="A2334" s="167"/>
    </row>
    <row r="2335" spans="1:1" ht="20.100000000000001" customHeight="1">
      <c r="A2335" s="167"/>
    </row>
    <row r="2336" spans="1:1" ht="20.100000000000001" customHeight="1">
      <c r="A2336" s="167"/>
    </row>
    <row r="2337" spans="1:1" ht="20.100000000000001" customHeight="1">
      <c r="A2337" s="167"/>
    </row>
    <row r="2338" spans="1:1" ht="20.100000000000001" customHeight="1">
      <c r="A2338" s="167"/>
    </row>
    <row r="2339" spans="1:1" ht="20.100000000000001" customHeight="1">
      <c r="A2339" s="167"/>
    </row>
    <row r="2340" spans="1:1" ht="20.100000000000001" customHeight="1">
      <c r="A2340" s="167"/>
    </row>
    <row r="2341" spans="1:1" ht="20.100000000000001" customHeight="1">
      <c r="A2341" s="167"/>
    </row>
    <row r="2342" spans="1:1" ht="20.100000000000001" customHeight="1">
      <c r="A2342" s="167"/>
    </row>
    <row r="2343" spans="1:1" ht="20.100000000000001" customHeight="1">
      <c r="A2343" s="167"/>
    </row>
    <row r="2344" spans="1:1" ht="20.100000000000001" customHeight="1">
      <c r="A2344" s="167"/>
    </row>
    <row r="2345" spans="1:1" ht="20.100000000000001" customHeight="1">
      <c r="A2345" s="167"/>
    </row>
    <row r="2346" spans="1:1" ht="20.100000000000001" customHeight="1">
      <c r="A2346" s="167"/>
    </row>
    <row r="2347" spans="1:1" ht="20.100000000000001" customHeight="1">
      <c r="A2347" s="167"/>
    </row>
    <row r="2348" spans="1:1" ht="20.100000000000001" customHeight="1">
      <c r="A2348" s="167"/>
    </row>
    <row r="2349" spans="1:1" ht="20.100000000000001" customHeight="1">
      <c r="A2349" s="167"/>
    </row>
    <row r="2350" spans="1:1" ht="20.100000000000001" customHeight="1">
      <c r="A2350" s="167"/>
    </row>
    <row r="2351" spans="1:1" ht="20.100000000000001" customHeight="1">
      <c r="A2351" s="167"/>
    </row>
    <row r="2352" spans="1:1" ht="20.100000000000001" customHeight="1">
      <c r="A2352" s="167"/>
    </row>
    <row r="2353" spans="1:1" ht="20.100000000000001" customHeight="1">
      <c r="A2353" s="167"/>
    </row>
    <row r="2354" spans="1:1" ht="20.100000000000001" customHeight="1">
      <c r="A2354" s="167"/>
    </row>
    <row r="2355" spans="1:1" ht="20.100000000000001" customHeight="1">
      <c r="A2355" s="167"/>
    </row>
    <row r="2356" spans="1:1" ht="20.100000000000001" customHeight="1">
      <c r="A2356" s="167"/>
    </row>
    <row r="2357" spans="1:1" ht="20.100000000000001" customHeight="1">
      <c r="A2357" s="167"/>
    </row>
    <row r="2358" spans="1:1" ht="20.100000000000001" customHeight="1">
      <c r="A2358" s="167"/>
    </row>
    <row r="2359" spans="1:1" ht="20.100000000000001" customHeight="1">
      <c r="A2359" s="167"/>
    </row>
    <row r="2360" spans="1:1" ht="20.100000000000001" customHeight="1">
      <c r="A2360" s="167"/>
    </row>
    <row r="2361" spans="1:1" ht="20.100000000000001" customHeight="1">
      <c r="A2361" s="167"/>
    </row>
    <row r="2362" spans="1:1" ht="20.100000000000001" customHeight="1">
      <c r="A2362" s="167"/>
    </row>
    <row r="2363" spans="1:1" ht="20.100000000000001" customHeight="1">
      <c r="A2363" s="167"/>
    </row>
    <row r="2364" spans="1:1" ht="20.100000000000001" customHeight="1">
      <c r="A2364" s="167"/>
    </row>
    <row r="2365" spans="1:1" ht="20.100000000000001" customHeight="1">
      <c r="A2365" s="167"/>
    </row>
    <row r="2366" spans="1:1" ht="20.100000000000001" customHeight="1">
      <c r="A2366" s="167"/>
    </row>
    <row r="2367" spans="1:1" ht="20.100000000000001" customHeight="1">
      <c r="A2367" s="167"/>
    </row>
    <row r="2368" spans="1:1" ht="20.100000000000001" customHeight="1">
      <c r="A2368" s="167"/>
    </row>
    <row r="2369" spans="1:1" ht="20.100000000000001" customHeight="1">
      <c r="A2369" s="167"/>
    </row>
    <row r="2370" spans="1:1" ht="20.100000000000001" customHeight="1">
      <c r="A2370" s="167"/>
    </row>
    <row r="2371" spans="1:1" ht="20.100000000000001" customHeight="1">
      <c r="A2371" s="167"/>
    </row>
    <row r="2372" spans="1:1" ht="20.100000000000001" customHeight="1">
      <c r="A2372" s="167"/>
    </row>
    <row r="2373" spans="1:1" ht="20.100000000000001" customHeight="1">
      <c r="A2373" s="167"/>
    </row>
    <row r="2374" spans="1:1" ht="20.100000000000001" customHeight="1">
      <c r="A2374" s="167"/>
    </row>
    <row r="2375" spans="1:1" ht="20.100000000000001" customHeight="1">
      <c r="A2375" s="167"/>
    </row>
    <row r="2376" spans="1:1" ht="20.100000000000001" customHeight="1">
      <c r="A2376" s="167"/>
    </row>
    <row r="2377" spans="1:1" ht="20.100000000000001" customHeight="1">
      <c r="A2377" s="167"/>
    </row>
    <row r="2378" spans="1:1" ht="20.100000000000001" customHeight="1">
      <c r="A2378" s="167"/>
    </row>
    <row r="2379" spans="1:1" ht="20.100000000000001" customHeight="1">
      <c r="A2379" s="167"/>
    </row>
    <row r="2380" spans="1:1" ht="20.100000000000001" customHeight="1">
      <c r="A2380" s="167"/>
    </row>
    <row r="2381" spans="1:1" ht="20.100000000000001" customHeight="1">
      <c r="A2381" s="167"/>
    </row>
    <row r="2382" spans="1:1" ht="20.100000000000001" customHeight="1">
      <c r="A2382" s="167"/>
    </row>
    <row r="2383" spans="1:1" ht="20.100000000000001" customHeight="1">
      <c r="A2383" s="167"/>
    </row>
    <row r="2384" spans="1:1" ht="20.100000000000001" customHeight="1">
      <c r="A2384" s="167"/>
    </row>
    <row r="2385" spans="1:1" ht="20.100000000000001" customHeight="1">
      <c r="A2385" s="167"/>
    </row>
    <row r="2386" spans="1:1" ht="20.100000000000001" customHeight="1">
      <c r="A2386" s="167"/>
    </row>
    <row r="2387" spans="1:1" ht="20.100000000000001" customHeight="1">
      <c r="A2387" s="167"/>
    </row>
    <row r="2388" spans="1:1" ht="20.100000000000001" customHeight="1">
      <c r="A2388" s="167"/>
    </row>
    <row r="2389" spans="1:1" ht="20.100000000000001" customHeight="1">
      <c r="A2389" s="167"/>
    </row>
    <row r="2390" spans="1:1" ht="20.100000000000001" customHeight="1">
      <c r="A2390" s="167"/>
    </row>
    <row r="2391" spans="1:1" ht="20.100000000000001" customHeight="1">
      <c r="A2391" s="167"/>
    </row>
    <row r="2392" spans="1:1" ht="20.100000000000001" customHeight="1">
      <c r="A2392" s="167"/>
    </row>
    <row r="2393" spans="1:1" ht="20.100000000000001" customHeight="1">
      <c r="A2393" s="167"/>
    </row>
    <row r="2394" spans="1:1" ht="20.100000000000001" customHeight="1">
      <c r="A2394" s="167"/>
    </row>
    <row r="2395" spans="1:1" ht="20.100000000000001" customHeight="1">
      <c r="A2395" s="167"/>
    </row>
    <row r="2396" spans="1:1" ht="20.100000000000001" customHeight="1">
      <c r="A2396" s="167"/>
    </row>
    <row r="2397" spans="1:1" ht="20.100000000000001" customHeight="1">
      <c r="A2397" s="167"/>
    </row>
    <row r="2398" spans="1:1" ht="20.100000000000001" customHeight="1">
      <c r="A2398" s="167"/>
    </row>
    <row r="2399" spans="1:1" ht="20.100000000000001" customHeight="1">
      <c r="A2399" s="167"/>
    </row>
    <row r="2400" spans="1:1" ht="20.100000000000001" customHeight="1">
      <c r="A2400" s="167"/>
    </row>
    <row r="2401" spans="1:1" ht="20.100000000000001" customHeight="1">
      <c r="A2401" s="167"/>
    </row>
    <row r="2402" spans="1:1" ht="20.100000000000001" customHeight="1">
      <c r="A2402" s="167"/>
    </row>
    <row r="2403" spans="1:1" ht="20.100000000000001" customHeight="1">
      <c r="A2403" s="167"/>
    </row>
    <row r="2404" spans="1:1" ht="20.100000000000001" customHeight="1">
      <c r="A2404" s="167"/>
    </row>
    <row r="2405" spans="1:1" ht="20.100000000000001" customHeight="1">
      <c r="A2405" s="167"/>
    </row>
    <row r="2406" spans="1:1" ht="20.100000000000001" customHeight="1">
      <c r="A2406" s="167"/>
    </row>
    <row r="2407" spans="1:1" ht="20.100000000000001" customHeight="1">
      <c r="A2407" s="167"/>
    </row>
    <row r="2408" spans="1:1" ht="20.100000000000001" customHeight="1">
      <c r="A2408" s="167"/>
    </row>
    <row r="2409" spans="1:1" ht="20.100000000000001" customHeight="1">
      <c r="A2409" s="167"/>
    </row>
    <row r="2410" spans="1:1" ht="20.100000000000001" customHeight="1">
      <c r="A2410" s="167"/>
    </row>
    <row r="2411" spans="1:1" ht="20.100000000000001" customHeight="1">
      <c r="A2411" s="167"/>
    </row>
    <row r="2412" spans="1:1" ht="20.100000000000001" customHeight="1">
      <c r="A2412" s="167"/>
    </row>
    <row r="2413" spans="1:1" ht="20.100000000000001" customHeight="1">
      <c r="A2413" s="167"/>
    </row>
    <row r="2414" spans="1:1" ht="20.100000000000001" customHeight="1">
      <c r="A2414" s="167"/>
    </row>
    <row r="2415" spans="1:1" ht="20.100000000000001" customHeight="1">
      <c r="A2415" s="167"/>
    </row>
    <row r="2416" spans="1:1" ht="20.100000000000001" customHeight="1">
      <c r="A2416" s="167"/>
    </row>
    <row r="2417" spans="1:1" ht="20.100000000000001" customHeight="1">
      <c r="A2417" s="167"/>
    </row>
    <row r="2418" spans="1:1" ht="20.100000000000001" customHeight="1">
      <c r="A2418" s="167"/>
    </row>
    <row r="2419" spans="1:1" ht="20.100000000000001" customHeight="1">
      <c r="A2419" s="167"/>
    </row>
    <row r="2420" spans="1:1" ht="20.100000000000001" customHeight="1">
      <c r="A2420" s="167"/>
    </row>
    <row r="2421" spans="1:1" ht="20.100000000000001" customHeight="1">
      <c r="A2421" s="167"/>
    </row>
    <row r="2422" spans="1:1" ht="20.100000000000001" customHeight="1">
      <c r="A2422" s="167"/>
    </row>
    <row r="2423" spans="1:1" ht="20.100000000000001" customHeight="1">
      <c r="A2423" s="167"/>
    </row>
    <row r="2424" spans="1:1" ht="20.100000000000001" customHeight="1">
      <c r="A2424" s="167"/>
    </row>
    <row r="2425" spans="1:1" ht="20.100000000000001" customHeight="1">
      <c r="A2425" s="167"/>
    </row>
    <row r="2426" spans="1:1" ht="20.100000000000001" customHeight="1">
      <c r="A2426" s="167"/>
    </row>
    <row r="2427" spans="1:1" ht="20.100000000000001" customHeight="1">
      <c r="A2427" s="167"/>
    </row>
    <row r="2428" spans="1:1" ht="20.100000000000001" customHeight="1">
      <c r="A2428" s="167"/>
    </row>
    <row r="2429" spans="1:1" ht="20.100000000000001" customHeight="1">
      <c r="A2429" s="167"/>
    </row>
    <row r="2430" spans="1:1" ht="20.100000000000001" customHeight="1">
      <c r="A2430" s="167"/>
    </row>
    <row r="2431" spans="1:1" ht="20.100000000000001" customHeight="1">
      <c r="A2431" s="167"/>
    </row>
    <row r="2432" spans="1:1" ht="20.100000000000001" customHeight="1">
      <c r="A2432" s="167"/>
    </row>
    <row r="2433" spans="1:1" ht="20.100000000000001" customHeight="1">
      <c r="A2433" s="167"/>
    </row>
    <row r="2434" spans="1:1" ht="20.100000000000001" customHeight="1">
      <c r="A2434" s="167"/>
    </row>
    <row r="2435" spans="1:1" ht="20.100000000000001" customHeight="1">
      <c r="A2435" s="167"/>
    </row>
    <row r="2436" spans="1:1" ht="20.100000000000001" customHeight="1">
      <c r="A2436" s="167"/>
    </row>
    <row r="2437" spans="1:1" ht="20.100000000000001" customHeight="1">
      <c r="A2437" s="167"/>
    </row>
    <row r="2438" spans="1:1" ht="20.100000000000001" customHeight="1">
      <c r="A2438" s="167"/>
    </row>
    <row r="2439" spans="1:1" ht="20.100000000000001" customHeight="1">
      <c r="A2439" s="167"/>
    </row>
    <row r="2440" spans="1:1" ht="20.100000000000001" customHeight="1">
      <c r="A2440" s="167"/>
    </row>
    <row r="2441" spans="1:1" ht="20.100000000000001" customHeight="1">
      <c r="A2441" s="167"/>
    </row>
    <row r="2442" spans="1:1" ht="20.100000000000001" customHeight="1">
      <c r="A2442" s="167"/>
    </row>
    <row r="2443" spans="1:1" ht="20.100000000000001" customHeight="1">
      <c r="A2443" s="167"/>
    </row>
    <row r="2444" spans="1:1" ht="20.100000000000001" customHeight="1">
      <c r="A2444" s="167"/>
    </row>
    <row r="2445" spans="1:1" ht="20.100000000000001" customHeight="1">
      <c r="A2445" s="167"/>
    </row>
    <row r="2446" spans="1:1" ht="20.100000000000001" customHeight="1">
      <c r="A2446" s="167"/>
    </row>
    <row r="2447" spans="1:1" ht="20.100000000000001" customHeight="1">
      <c r="A2447" s="167"/>
    </row>
    <row r="2448" spans="1:1" ht="20.100000000000001" customHeight="1">
      <c r="A2448" s="167"/>
    </row>
    <row r="2449" spans="1:1" ht="20.100000000000001" customHeight="1">
      <c r="A2449" s="167"/>
    </row>
    <row r="2450" spans="1:1" ht="20.100000000000001" customHeight="1">
      <c r="A2450" s="167"/>
    </row>
    <row r="2451" spans="1:1" ht="20.100000000000001" customHeight="1">
      <c r="A2451" s="167"/>
    </row>
    <row r="2452" spans="1:1" ht="20.100000000000001" customHeight="1">
      <c r="A2452" s="167"/>
    </row>
    <row r="2453" spans="1:1" ht="20.100000000000001" customHeight="1">
      <c r="A2453" s="167"/>
    </row>
    <row r="2454" spans="1:1" ht="20.100000000000001" customHeight="1">
      <c r="A2454" s="167"/>
    </row>
    <row r="2455" spans="1:1" ht="20.100000000000001" customHeight="1">
      <c r="A2455" s="167"/>
    </row>
    <row r="2456" spans="1:1" ht="20.100000000000001" customHeight="1">
      <c r="A2456" s="167"/>
    </row>
    <row r="2457" spans="1:1" ht="20.100000000000001" customHeight="1">
      <c r="A2457" s="167"/>
    </row>
    <row r="2458" spans="1:1" ht="20.100000000000001" customHeight="1">
      <c r="A2458" s="167"/>
    </row>
    <row r="2459" spans="1:1" ht="20.100000000000001" customHeight="1">
      <c r="A2459" s="167"/>
    </row>
    <row r="2460" spans="1:1" ht="20.100000000000001" customHeight="1">
      <c r="A2460" s="167"/>
    </row>
    <row r="2461" spans="1:1" ht="20.100000000000001" customHeight="1">
      <c r="A2461" s="167"/>
    </row>
    <row r="2462" spans="1:1" ht="20.100000000000001" customHeight="1">
      <c r="A2462" s="167"/>
    </row>
    <row r="2463" spans="1:1" ht="20.100000000000001" customHeight="1">
      <c r="A2463" s="167"/>
    </row>
    <row r="2464" spans="1:1" ht="20.100000000000001" customHeight="1">
      <c r="A2464" s="167"/>
    </row>
    <row r="2465" spans="1:1" ht="20.100000000000001" customHeight="1">
      <c r="A2465" s="167"/>
    </row>
    <row r="2466" spans="1:1" ht="20.100000000000001" customHeight="1">
      <c r="A2466" s="167"/>
    </row>
    <row r="2467" spans="1:1" ht="20.100000000000001" customHeight="1">
      <c r="A2467" s="167"/>
    </row>
    <row r="2468" spans="1:1" ht="20.100000000000001" customHeight="1">
      <c r="A2468" s="167"/>
    </row>
    <row r="2469" spans="1:1" ht="20.100000000000001" customHeight="1">
      <c r="A2469" s="167"/>
    </row>
    <row r="2470" spans="1:1" ht="20.100000000000001" customHeight="1">
      <c r="A2470" s="167"/>
    </row>
    <row r="2471" spans="1:1" ht="20.100000000000001" customHeight="1">
      <c r="A2471" s="167"/>
    </row>
    <row r="2472" spans="1:1" ht="20.100000000000001" customHeight="1">
      <c r="A2472" s="167"/>
    </row>
    <row r="2473" spans="1:1" ht="20.100000000000001" customHeight="1">
      <c r="A2473" s="167"/>
    </row>
    <row r="2474" spans="1:1" ht="20.100000000000001" customHeight="1">
      <c r="A2474" s="167"/>
    </row>
    <row r="2475" spans="1:1" ht="20.100000000000001" customHeight="1">
      <c r="A2475" s="167"/>
    </row>
    <row r="2476" spans="1:1" ht="20.100000000000001" customHeight="1">
      <c r="A2476" s="167"/>
    </row>
    <row r="2477" spans="1:1" ht="20.100000000000001" customHeight="1">
      <c r="A2477" s="167"/>
    </row>
    <row r="2478" spans="1:1" ht="20.100000000000001" customHeight="1">
      <c r="A2478" s="167"/>
    </row>
    <row r="2479" spans="1:1" ht="20.100000000000001" customHeight="1">
      <c r="A2479" s="167"/>
    </row>
    <row r="2480" spans="1:1" ht="20.100000000000001" customHeight="1">
      <c r="A2480" s="167"/>
    </row>
    <row r="2481" spans="1:1" ht="20.100000000000001" customHeight="1">
      <c r="A2481" s="167"/>
    </row>
    <row r="2482" spans="1:1" ht="20.100000000000001" customHeight="1">
      <c r="A2482" s="167"/>
    </row>
    <row r="2483" spans="1:1" ht="20.100000000000001" customHeight="1">
      <c r="A2483" s="167"/>
    </row>
    <row r="2484" spans="1:1" ht="20.100000000000001" customHeight="1">
      <c r="A2484" s="167"/>
    </row>
    <row r="2485" spans="1:1" ht="20.100000000000001" customHeight="1">
      <c r="A2485" s="167"/>
    </row>
    <row r="2486" spans="1:1" ht="20.100000000000001" customHeight="1">
      <c r="A2486" s="167"/>
    </row>
    <row r="2487" spans="1:1" ht="20.100000000000001" customHeight="1">
      <c r="A2487" s="167"/>
    </row>
    <row r="2488" spans="1:1" ht="20.100000000000001" customHeight="1">
      <c r="A2488" s="167"/>
    </row>
    <row r="2489" spans="1:1" ht="20.100000000000001" customHeight="1">
      <c r="A2489" s="167"/>
    </row>
    <row r="2490" spans="1:1" ht="20.100000000000001" customHeight="1">
      <c r="A2490" s="167"/>
    </row>
    <row r="2491" spans="1:1" ht="20.100000000000001" customHeight="1">
      <c r="A2491" s="167"/>
    </row>
    <row r="2492" spans="1:1" ht="20.100000000000001" customHeight="1">
      <c r="A2492" s="167"/>
    </row>
    <row r="2493" spans="1:1" ht="20.100000000000001" customHeight="1">
      <c r="A2493" s="167"/>
    </row>
    <row r="2494" spans="1:1" ht="20.100000000000001" customHeight="1">
      <c r="A2494" s="167"/>
    </row>
    <row r="2495" spans="1:1" ht="20.100000000000001" customHeight="1">
      <c r="A2495" s="167"/>
    </row>
    <row r="2496" spans="1:1" ht="20.100000000000001" customHeight="1">
      <c r="A2496" s="167"/>
    </row>
    <row r="2497" spans="1:1" ht="20.100000000000001" customHeight="1">
      <c r="A2497" s="167"/>
    </row>
    <row r="2498" spans="1:1" ht="20.100000000000001" customHeight="1">
      <c r="A2498" s="167"/>
    </row>
    <row r="2499" spans="1:1" ht="20.100000000000001" customHeight="1">
      <c r="A2499" s="167"/>
    </row>
    <row r="2500" spans="1:1" ht="20.100000000000001" customHeight="1">
      <c r="A2500" s="167"/>
    </row>
    <row r="2501" spans="1:1" ht="20.100000000000001" customHeight="1">
      <c r="A2501" s="167"/>
    </row>
    <row r="2502" spans="1:1" ht="20.100000000000001" customHeight="1">
      <c r="A2502" s="167"/>
    </row>
    <row r="2503" spans="1:1" ht="20.100000000000001" customHeight="1">
      <c r="A2503" s="167"/>
    </row>
    <row r="2504" spans="1:1" ht="20.100000000000001" customHeight="1">
      <c r="A2504" s="167"/>
    </row>
    <row r="2505" spans="1:1" ht="20.100000000000001" customHeight="1">
      <c r="A2505" s="167"/>
    </row>
    <row r="2506" spans="1:1" ht="20.100000000000001" customHeight="1">
      <c r="A2506" s="167"/>
    </row>
    <row r="2507" spans="1:1" ht="20.100000000000001" customHeight="1">
      <c r="A2507" s="167"/>
    </row>
    <row r="2508" spans="1:1" ht="20.100000000000001" customHeight="1">
      <c r="A2508" s="167"/>
    </row>
    <row r="2509" spans="1:1" ht="20.100000000000001" customHeight="1">
      <c r="A2509" s="167"/>
    </row>
    <row r="2510" spans="1:1" ht="20.100000000000001" customHeight="1">
      <c r="A2510" s="167"/>
    </row>
    <row r="2511" spans="1:1" ht="20.100000000000001" customHeight="1">
      <c r="A2511" s="167"/>
    </row>
    <row r="2512" spans="1:1" ht="20.100000000000001" customHeight="1">
      <c r="A2512" s="167"/>
    </row>
    <row r="2513" spans="1:1" ht="20.100000000000001" customHeight="1">
      <c r="A2513" s="167"/>
    </row>
    <row r="2514" spans="1:1" ht="20.100000000000001" customHeight="1">
      <c r="A2514" s="167"/>
    </row>
    <row r="2515" spans="1:1" ht="20.100000000000001" customHeight="1">
      <c r="A2515" s="167"/>
    </row>
    <row r="2516" spans="1:1" ht="20.100000000000001" customHeight="1">
      <c r="A2516" s="167"/>
    </row>
    <row r="2517" spans="1:1" ht="20.100000000000001" customHeight="1">
      <c r="A2517" s="167"/>
    </row>
    <row r="2518" spans="1:1" ht="20.100000000000001" customHeight="1">
      <c r="A2518" s="167"/>
    </row>
    <row r="2519" spans="1:1" ht="20.100000000000001" customHeight="1">
      <c r="A2519" s="167"/>
    </row>
    <row r="2520" spans="1:1" ht="20.100000000000001" customHeight="1">
      <c r="A2520" s="167"/>
    </row>
    <row r="2521" spans="1:1" ht="20.100000000000001" customHeight="1">
      <c r="A2521" s="167"/>
    </row>
    <row r="2522" spans="1:1" ht="20.100000000000001" customHeight="1">
      <c r="A2522" s="167"/>
    </row>
    <row r="2523" spans="1:1" ht="20.100000000000001" customHeight="1">
      <c r="A2523" s="167"/>
    </row>
    <row r="2524" spans="1:1" ht="20.100000000000001" customHeight="1">
      <c r="A2524" s="167"/>
    </row>
    <row r="2525" spans="1:1" ht="20.100000000000001" customHeight="1">
      <c r="A2525" s="167"/>
    </row>
    <row r="2526" spans="1:1" ht="20.100000000000001" customHeight="1">
      <c r="A2526" s="167"/>
    </row>
    <row r="2527" spans="1:1" ht="20.100000000000001" customHeight="1">
      <c r="A2527" s="167"/>
    </row>
    <row r="2528" spans="1:1" ht="20.100000000000001" customHeight="1">
      <c r="A2528" s="167"/>
    </row>
    <row r="2529" spans="1:1" ht="20.100000000000001" customHeight="1">
      <c r="A2529" s="167"/>
    </row>
    <row r="2530" spans="1:1" ht="20.100000000000001" customHeight="1">
      <c r="A2530" s="167"/>
    </row>
    <row r="2531" spans="1:1" ht="20.100000000000001" customHeight="1">
      <c r="A2531" s="167"/>
    </row>
    <row r="2532" spans="1:1" ht="20.100000000000001" customHeight="1">
      <c r="A2532" s="167"/>
    </row>
    <row r="2533" spans="1:1" ht="20.100000000000001" customHeight="1">
      <c r="A2533" s="167"/>
    </row>
    <row r="2534" spans="1:1" ht="20.100000000000001" customHeight="1">
      <c r="A2534" s="167"/>
    </row>
    <row r="2535" spans="1:1" ht="20.100000000000001" customHeight="1">
      <c r="A2535" s="167"/>
    </row>
    <row r="2536" spans="1:1" ht="20.100000000000001" customHeight="1">
      <c r="A2536" s="167"/>
    </row>
    <row r="2537" spans="1:1" ht="20.100000000000001" customHeight="1">
      <c r="A2537" s="167"/>
    </row>
    <row r="2538" spans="1:1" ht="20.100000000000001" customHeight="1">
      <c r="A2538" s="167"/>
    </row>
    <row r="2539" spans="1:1" ht="20.100000000000001" customHeight="1">
      <c r="A2539" s="167"/>
    </row>
    <row r="2540" spans="1:1" ht="20.100000000000001" customHeight="1">
      <c r="A2540" s="167"/>
    </row>
    <row r="2541" spans="1:1" ht="20.100000000000001" customHeight="1">
      <c r="A2541" s="167"/>
    </row>
    <row r="2542" spans="1:1" ht="20.100000000000001" customHeight="1">
      <c r="A2542" s="167"/>
    </row>
    <row r="2543" spans="1:1" ht="20.100000000000001" customHeight="1">
      <c r="A2543" s="167"/>
    </row>
    <row r="2544" spans="1:1" ht="20.100000000000001" customHeight="1">
      <c r="A2544" s="167"/>
    </row>
    <row r="2545" spans="1:1" ht="20.100000000000001" customHeight="1">
      <c r="A2545" s="167"/>
    </row>
    <row r="2546" spans="1:1" ht="20.100000000000001" customHeight="1">
      <c r="A2546" s="167"/>
    </row>
    <row r="2547" spans="1:1" ht="20.100000000000001" customHeight="1">
      <c r="A2547" s="167"/>
    </row>
    <row r="2548" spans="1:1" ht="20.100000000000001" customHeight="1">
      <c r="A2548" s="167"/>
    </row>
    <row r="2549" spans="1:1" ht="20.100000000000001" customHeight="1">
      <c r="A2549" s="167"/>
    </row>
    <row r="2550" spans="1:1" ht="20.100000000000001" customHeight="1">
      <c r="A2550" s="167"/>
    </row>
    <row r="2551" spans="1:1" ht="20.100000000000001" customHeight="1">
      <c r="A2551" s="167"/>
    </row>
    <row r="2552" spans="1:1" ht="20.100000000000001" customHeight="1">
      <c r="A2552" s="167"/>
    </row>
    <row r="2553" spans="1:1" ht="20.100000000000001" customHeight="1">
      <c r="A2553" s="167"/>
    </row>
    <row r="2554" spans="1:1" ht="20.100000000000001" customHeight="1">
      <c r="A2554" s="167"/>
    </row>
    <row r="2555" spans="1:1" ht="20.100000000000001" customHeight="1">
      <c r="A2555" s="167"/>
    </row>
    <row r="2556" spans="1:1" ht="20.100000000000001" customHeight="1">
      <c r="A2556" s="167"/>
    </row>
    <row r="2557" spans="1:1" ht="20.100000000000001" customHeight="1">
      <c r="A2557" s="167"/>
    </row>
    <row r="2558" spans="1:1" ht="20.100000000000001" customHeight="1">
      <c r="A2558" s="167"/>
    </row>
    <row r="2559" spans="1:1" ht="20.100000000000001" customHeight="1">
      <c r="A2559" s="167"/>
    </row>
    <row r="2560" spans="1:1" ht="20.100000000000001" customHeight="1">
      <c r="A2560" s="167"/>
    </row>
    <row r="2561" spans="1:1" ht="20.100000000000001" customHeight="1">
      <c r="A2561" s="167"/>
    </row>
    <row r="2562" spans="1:1" ht="20.100000000000001" customHeight="1">
      <c r="A2562" s="167"/>
    </row>
    <row r="2563" spans="1:1" ht="20.100000000000001" customHeight="1">
      <c r="A2563" s="167"/>
    </row>
    <row r="2564" spans="1:1" ht="20.100000000000001" customHeight="1">
      <c r="A2564" s="167"/>
    </row>
    <row r="2565" spans="1:1" ht="20.100000000000001" customHeight="1">
      <c r="A2565" s="167"/>
    </row>
    <row r="2566" spans="1:1" ht="20.100000000000001" customHeight="1">
      <c r="A2566" s="167"/>
    </row>
    <row r="2567" spans="1:1" ht="20.100000000000001" customHeight="1">
      <c r="A2567" s="167"/>
    </row>
    <row r="2568" spans="1:1" ht="20.100000000000001" customHeight="1">
      <c r="A2568" s="167"/>
    </row>
    <row r="2569" spans="1:1" ht="20.100000000000001" customHeight="1">
      <c r="A2569" s="167"/>
    </row>
    <row r="2570" spans="1:1" ht="20.100000000000001" customHeight="1">
      <c r="A2570" s="167"/>
    </row>
    <row r="2571" spans="1:1" ht="20.100000000000001" customHeight="1">
      <c r="A2571" s="167"/>
    </row>
    <row r="2572" spans="1:1" ht="20.100000000000001" customHeight="1">
      <c r="A2572" s="167"/>
    </row>
    <row r="2573" spans="1:1" ht="20.100000000000001" customHeight="1">
      <c r="A2573" s="167"/>
    </row>
    <row r="2574" spans="1:1" ht="20.100000000000001" customHeight="1">
      <c r="A2574" s="167"/>
    </row>
    <row r="2575" spans="1:1" ht="20.100000000000001" customHeight="1">
      <c r="A2575" s="167"/>
    </row>
    <row r="2576" spans="1:1" ht="20.100000000000001" customHeight="1">
      <c r="A2576" s="167"/>
    </row>
    <row r="2577" spans="1:1" ht="20.100000000000001" customHeight="1">
      <c r="A2577" s="167"/>
    </row>
    <row r="2578" spans="1:1" ht="20.100000000000001" customHeight="1">
      <c r="A2578" s="167"/>
    </row>
    <row r="2579" spans="1:1" ht="20.100000000000001" customHeight="1">
      <c r="A2579" s="167"/>
    </row>
    <row r="2580" spans="1:1" ht="20.100000000000001" customHeight="1">
      <c r="A2580" s="167"/>
    </row>
    <row r="2581" spans="1:1" ht="20.100000000000001" customHeight="1">
      <c r="A2581" s="167"/>
    </row>
    <row r="2582" spans="1:1" ht="20.100000000000001" customHeight="1">
      <c r="A2582" s="167"/>
    </row>
    <row r="2583" spans="1:1" ht="20.100000000000001" customHeight="1">
      <c r="A2583" s="167"/>
    </row>
    <row r="2584" spans="1:1" ht="20.100000000000001" customHeight="1">
      <c r="A2584" s="167"/>
    </row>
    <row r="2585" spans="1:1" ht="20.100000000000001" customHeight="1">
      <c r="A2585" s="167"/>
    </row>
    <row r="2586" spans="1:1" ht="20.100000000000001" customHeight="1">
      <c r="A2586" s="167"/>
    </row>
    <row r="2587" spans="1:1" ht="20.100000000000001" customHeight="1">
      <c r="A2587" s="167"/>
    </row>
    <row r="2588" spans="1:1" ht="20.100000000000001" customHeight="1">
      <c r="A2588" s="167"/>
    </row>
    <row r="2589" spans="1:1" ht="20.100000000000001" customHeight="1">
      <c r="A2589" s="167"/>
    </row>
    <row r="2590" spans="1:1" ht="20.100000000000001" customHeight="1">
      <c r="A2590" s="167"/>
    </row>
    <row r="2591" spans="1:1" ht="20.100000000000001" customHeight="1">
      <c r="A2591" s="167"/>
    </row>
    <row r="2592" spans="1:1" ht="20.100000000000001" customHeight="1">
      <c r="A2592" s="167"/>
    </row>
    <row r="2593" spans="1:1" ht="20.100000000000001" customHeight="1">
      <c r="A2593" s="167"/>
    </row>
    <row r="2594" spans="1:1" ht="20.100000000000001" customHeight="1">
      <c r="A2594" s="167"/>
    </row>
    <row r="2595" spans="1:1" ht="20.100000000000001" customHeight="1">
      <c r="A2595" s="167"/>
    </row>
    <row r="2596" spans="1:1" ht="20.100000000000001" customHeight="1">
      <c r="A2596" s="167"/>
    </row>
    <row r="2597" spans="1:1" ht="20.100000000000001" customHeight="1">
      <c r="A2597" s="167"/>
    </row>
    <row r="2598" spans="1:1" ht="20.100000000000001" customHeight="1">
      <c r="A2598" s="167"/>
    </row>
    <row r="2599" spans="1:1" ht="20.100000000000001" customHeight="1">
      <c r="A2599" s="167"/>
    </row>
    <row r="2600" spans="1:1" ht="20.100000000000001" customHeight="1">
      <c r="A2600" s="167"/>
    </row>
    <row r="2601" spans="1:1" ht="20.100000000000001" customHeight="1">
      <c r="A2601" s="167"/>
    </row>
    <row r="2602" spans="1:1" ht="20.100000000000001" customHeight="1">
      <c r="A2602" s="167"/>
    </row>
    <row r="2603" spans="1:1" ht="20.100000000000001" customHeight="1">
      <c r="A2603" s="167"/>
    </row>
    <row r="2604" spans="1:1" ht="20.100000000000001" customHeight="1">
      <c r="A2604" s="167"/>
    </row>
    <row r="2605" spans="1:1" ht="20.100000000000001" customHeight="1">
      <c r="A2605" s="167"/>
    </row>
    <row r="2606" spans="1:1" ht="20.100000000000001" customHeight="1">
      <c r="A2606" s="167"/>
    </row>
    <row r="2607" spans="1:1" ht="20.100000000000001" customHeight="1">
      <c r="A2607" s="167"/>
    </row>
    <row r="2608" spans="1:1" ht="20.100000000000001" customHeight="1">
      <c r="A2608" s="167"/>
    </row>
    <row r="2609" spans="1:1" ht="20.100000000000001" customHeight="1">
      <c r="A2609" s="167"/>
    </row>
    <row r="2610" spans="1:1" ht="20.100000000000001" customHeight="1">
      <c r="A2610" s="167"/>
    </row>
    <row r="2611" spans="1:1" ht="20.100000000000001" customHeight="1">
      <c r="A2611" s="167"/>
    </row>
    <row r="2612" spans="1:1" ht="20.100000000000001" customHeight="1">
      <c r="A2612" s="167"/>
    </row>
    <row r="2613" spans="1:1" ht="20.100000000000001" customHeight="1">
      <c r="A2613" s="167"/>
    </row>
    <row r="2614" spans="1:1" ht="20.100000000000001" customHeight="1">
      <c r="A2614" s="167"/>
    </row>
    <row r="2615" spans="1:1" ht="20.100000000000001" customHeight="1">
      <c r="A2615" s="167"/>
    </row>
    <row r="2616" spans="1:1" ht="20.100000000000001" customHeight="1">
      <c r="A2616" s="167"/>
    </row>
    <row r="2617" spans="1:1" ht="20.100000000000001" customHeight="1">
      <c r="A2617" s="167"/>
    </row>
    <row r="2618" spans="1:1" ht="20.100000000000001" customHeight="1">
      <c r="A2618" s="167"/>
    </row>
    <row r="2619" spans="1:1" ht="20.100000000000001" customHeight="1">
      <c r="A2619" s="167"/>
    </row>
    <row r="2620" spans="1:1" ht="20.100000000000001" customHeight="1">
      <c r="A2620" s="167"/>
    </row>
    <row r="2621" spans="1:1" ht="20.100000000000001" customHeight="1">
      <c r="A2621" s="167"/>
    </row>
    <row r="2622" spans="1:1" ht="20.100000000000001" customHeight="1">
      <c r="A2622" s="167"/>
    </row>
    <row r="2623" spans="1:1" ht="20.100000000000001" customHeight="1">
      <c r="A2623" s="167"/>
    </row>
    <row r="2624" spans="1:1" ht="20.100000000000001" customHeight="1">
      <c r="A2624" s="167"/>
    </row>
    <row r="2625" spans="1:1" ht="20.100000000000001" customHeight="1">
      <c r="A2625" s="167"/>
    </row>
    <row r="2626" spans="1:1" ht="20.100000000000001" customHeight="1">
      <c r="A2626" s="167"/>
    </row>
    <row r="2627" spans="1:1" ht="20.100000000000001" customHeight="1">
      <c r="A2627" s="167"/>
    </row>
    <row r="2628" spans="1:1" ht="20.100000000000001" customHeight="1">
      <c r="A2628" s="167"/>
    </row>
    <row r="2629" spans="1:1" ht="20.100000000000001" customHeight="1">
      <c r="A2629" s="167"/>
    </row>
    <row r="2630" spans="1:1" ht="20.100000000000001" customHeight="1">
      <c r="A2630" s="167"/>
    </row>
    <row r="2631" spans="1:1" ht="20.100000000000001" customHeight="1">
      <c r="A2631" s="167"/>
    </row>
    <row r="2632" spans="1:1" ht="20.100000000000001" customHeight="1">
      <c r="A2632" s="167"/>
    </row>
    <row r="2633" spans="1:1" ht="20.100000000000001" customHeight="1">
      <c r="A2633" s="167"/>
    </row>
    <row r="2634" spans="1:1" ht="20.100000000000001" customHeight="1">
      <c r="A2634" s="167"/>
    </row>
    <row r="2635" spans="1:1" ht="20.100000000000001" customHeight="1">
      <c r="A2635" s="167"/>
    </row>
    <row r="2636" spans="1:1" ht="20.100000000000001" customHeight="1">
      <c r="A2636" s="167"/>
    </row>
    <row r="2637" spans="1:1" ht="20.100000000000001" customHeight="1">
      <c r="A2637" s="167"/>
    </row>
    <row r="2638" spans="1:1" ht="20.100000000000001" customHeight="1">
      <c r="A2638" s="167"/>
    </row>
    <row r="2639" spans="1:1" ht="20.100000000000001" customHeight="1">
      <c r="A2639" s="167"/>
    </row>
    <row r="2640" spans="1:1" ht="20.100000000000001" customHeight="1">
      <c r="A2640" s="167"/>
    </row>
    <row r="2641" spans="1:1" ht="20.100000000000001" customHeight="1">
      <c r="A2641" s="167"/>
    </row>
    <row r="2642" spans="1:1" ht="20.100000000000001" customHeight="1">
      <c r="A2642" s="167"/>
    </row>
    <row r="2643" spans="1:1" ht="20.100000000000001" customHeight="1">
      <c r="A2643" s="167"/>
    </row>
    <row r="2644" spans="1:1" ht="20.100000000000001" customHeight="1">
      <c r="A2644" s="167"/>
    </row>
    <row r="2645" spans="1:1" ht="20.100000000000001" customHeight="1">
      <c r="A2645" s="167"/>
    </row>
    <row r="2646" spans="1:1" ht="20.100000000000001" customHeight="1">
      <c r="A2646" s="167"/>
    </row>
    <row r="2647" spans="1:1" ht="20.100000000000001" customHeight="1">
      <c r="A2647" s="167"/>
    </row>
    <row r="2648" spans="1:1" ht="20.100000000000001" customHeight="1">
      <c r="A2648" s="167"/>
    </row>
    <row r="2649" spans="1:1" ht="20.100000000000001" customHeight="1">
      <c r="A2649" s="167"/>
    </row>
    <row r="2650" spans="1:1" ht="20.100000000000001" customHeight="1">
      <c r="A2650" s="167"/>
    </row>
    <row r="2651" spans="1:1" ht="20.100000000000001" customHeight="1">
      <c r="A2651" s="167"/>
    </row>
    <row r="2652" spans="1:1" ht="20.100000000000001" customHeight="1">
      <c r="A2652" s="167"/>
    </row>
    <row r="2653" spans="1:1" ht="20.100000000000001" customHeight="1">
      <c r="A2653" s="167"/>
    </row>
    <row r="2654" spans="1:1" ht="20.100000000000001" customHeight="1">
      <c r="A2654" s="167"/>
    </row>
    <row r="2655" spans="1:1" ht="20.100000000000001" customHeight="1">
      <c r="A2655" s="167"/>
    </row>
    <row r="2656" spans="1:1" ht="20.100000000000001" customHeight="1">
      <c r="A2656" s="167"/>
    </row>
    <row r="2657" spans="1:1" ht="20.100000000000001" customHeight="1">
      <c r="A2657" s="167"/>
    </row>
    <row r="2658" spans="1:1" ht="20.100000000000001" customHeight="1">
      <c r="A2658" s="167"/>
    </row>
    <row r="2659" spans="1:1" ht="20.100000000000001" customHeight="1">
      <c r="A2659" s="167"/>
    </row>
    <row r="2660" spans="1:1" ht="20.100000000000001" customHeight="1">
      <c r="A2660" s="167"/>
    </row>
    <row r="2661" spans="1:1" ht="20.100000000000001" customHeight="1">
      <c r="A2661" s="167"/>
    </row>
    <row r="2662" spans="1:1" ht="20.100000000000001" customHeight="1">
      <c r="A2662" s="167"/>
    </row>
    <row r="2663" spans="1:1" ht="20.100000000000001" customHeight="1">
      <c r="A2663" s="167"/>
    </row>
    <row r="2664" spans="1:1" ht="20.100000000000001" customHeight="1">
      <c r="A2664" s="167"/>
    </row>
    <row r="2665" spans="1:1" ht="20.100000000000001" customHeight="1">
      <c r="A2665" s="167"/>
    </row>
    <row r="2666" spans="1:1" ht="20.100000000000001" customHeight="1">
      <c r="A2666" s="167"/>
    </row>
    <row r="2667" spans="1:1" ht="20.100000000000001" customHeight="1">
      <c r="A2667" s="167"/>
    </row>
    <row r="2668" spans="1:1" ht="20.100000000000001" customHeight="1">
      <c r="A2668" s="167"/>
    </row>
    <row r="2669" spans="1:1" ht="20.100000000000001" customHeight="1">
      <c r="A2669" s="167"/>
    </row>
    <row r="2670" spans="1:1" ht="20.100000000000001" customHeight="1">
      <c r="A2670" s="167"/>
    </row>
    <row r="2671" spans="1:1" ht="20.100000000000001" customHeight="1">
      <c r="A2671" s="167"/>
    </row>
    <row r="2672" spans="1:1" ht="20.100000000000001" customHeight="1">
      <c r="A2672" s="167"/>
    </row>
    <row r="2673" spans="1:1" ht="20.100000000000001" customHeight="1">
      <c r="A2673" s="167"/>
    </row>
    <row r="2674" spans="1:1" ht="20.100000000000001" customHeight="1">
      <c r="A2674" s="167"/>
    </row>
    <row r="2675" spans="1:1" ht="20.100000000000001" customHeight="1">
      <c r="A2675" s="167"/>
    </row>
    <row r="2676" spans="1:1" ht="20.100000000000001" customHeight="1">
      <c r="A2676" s="167"/>
    </row>
    <row r="2677" spans="1:1" ht="20.100000000000001" customHeight="1">
      <c r="A2677" s="167"/>
    </row>
    <row r="2678" spans="1:1" ht="20.100000000000001" customHeight="1">
      <c r="A2678" s="167"/>
    </row>
    <row r="2679" spans="1:1" ht="20.100000000000001" customHeight="1">
      <c r="A2679" s="167"/>
    </row>
    <row r="2680" spans="1:1" ht="20.100000000000001" customHeight="1">
      <c r="A2680" s="167"/>
    </row>
    <row r="2681" spans="1:1" ht="20.100000000000001" customHeight="1">
      <c r="A2681" s="167"/>
    </row>
    <row r="2682" spans="1:1" ht="20.100000000000001" customHeight="1">
      <c r="A2682" s="167"/>
    </row>
    <row r="2683" spans="1:1" ht="20.100000000000001" customHeight="1">
      <c r="A2683" s="167"/>
    </row>
    <row r="2684" spans="1:1" ht="20.100000000000001" customHeight="1">
      <c r="A2684" s="167"/>
    </row>
    <row r="2685" spans="1:1" ht="20.100000000000001" customHeight="1">
      <c r="A2685" s="167"/>
    </row>
    <row r="2686" spans="1:1" ht="20.100000000000001" customHeight="1">
      <c r="A2686" s="167"/>
    </row>
    <row r="2687" spans="1:1" ht="20.100000000000001" customHeight="1">
      <c r="A2687" s="167"/>
    </row>
    <row r="2688" spans="1:1" ht="20.100000000000001" customHeight="1">
      <c r="A2688" s="167"/>
    </row>
    <row r="2689" spans="1:1" ht="20.100000000000001" customHeight="1">
      <c r="A2689" s="167"/>
    </row>
    <row r="2690" spans="1:1" ht="20.100000000000001" customHeight="1">
      <c r="A2690" s="167"/>
    </row>
    <row r="2691" spans="1:1" ht="20.100000000000001" customHeight="1">
      <c r="A2691" s="167"/>
    </row>
    <row r="2692" spans="1:1" ht="20.100000000000001" customHeight="1">
      <c r="A2692" s="167"/>
    </row>
    <row r="2693" spans="1:1" ht="20.100000000000001" customHeight="1">
      <c r="A2693" s="167"/>
    </row>
    <row r="2694" spans="1:1" ht="20.100000000000001" customHeight="1">
      <c r="A2694" s="167"/>
    </row>
    <row r="2695" spans="1:1" ht="20.100000000000001" customHeight="1">
      <c r="A2695" s="167"/>
    </row>
    <row r="2696" spans="1:1" ht="20.100000000000001" customHeight="1">
      <c r="A2696" s="167"/>
    </row>
    <row r="2697" spans="1:1" ht="20.100000000000001" customHeight="1">
      <c r="A2697" s="167"/>
    </row>
    <row r="2698" spans="1:1" ht="20.100000000000001" customHeight="1">
      <c r="A2698" s="167"/>
    </row>
    <row r="2699" spans="1:1" ht="20.100000000000001" customHeight="1">
      <c r="A2699" s="167"/>
    </row>
    <row r="2700" spans="1:1" ht="20.100000000000001" customHeight="1">
      <c r="A2700" s="167"/>
    </row>
    <row r="2701" spans="1:1" ht="20.100000000000001" customHeight="1">
      <c r="A2701" s="167"/>
    </row>
    <row r="2702" spans="1:1" ht="20.100000000000001" customHeight="1">
      <c r="A2702" s="167"/>
    </row>
    <row r="2703" spans="1:1" ht="20.100000000000001" customHeight="1">
      <c r="A2703" s="167"/>
    </row>
    <row r="2704" spans="1:1" ht="20.100000000000001" customHeight="1">
      <c r="A2704" s="167"/>
    </row>
    <row r="2705" spans="1:1" ht="20.100000000000001" customHeight="1">
      <c r="A2705" s="167"/>
    </row>
    <row r="2706" spans="1:1" ht="20.100000000000001" customHeight="1">
      <c r="A2706" s="167"/>
    </row>
    <row r="2707" spans="1:1" ht="20.100000000000001" customHeight="1">
      <c r="A2707" s="167"/>
    </row>
    <row r="2708" spans="1:1" ht="20.100000000000001" customHeight="1">
      <c r="A2708" s="167"/>
    </row>
    <row r="2709" spans="1:1" ht="20.100000000000001" customHeight="1">
      <c r="A2709" s="167"/>
    </row>
    <row r="2710" spans="1:1" ht="20.100000000000001" customHeight="1">
      <c r="A2710" s="167"/>
    </row>
    <row r="2711" spans="1:1" ht="20.100000000000001" customHeight="1">
      <c r="A2711" s="167"/>
    </row>
    <row r="2712" spans="1:1" ht="20.100000000000001" customHeight="1">
      <c r="A2712" s="167"/>
    </row>
    <row r="2713" spans="1:1" ht="20.100000000000001" customHeight="1">
      <c r="A2713" s="167"/>
    </row>
    <row r="2714" spans="1:1" ht="20.100000000000001" customHeight="1">
      <c r="A2714" s="167"/>
    </row>
    <row r="2715" spans="1:1" ht="20.100000000000001" customHeight="1">
      <c r="A2715" s="167"/>
    </row>
    <row r="2716" spans="1:1" ht="20.100000000000001" customHeight="1">
      <c r="A2716" s="167"/>
    </row>
    <row r="2717" spans="1:1" ht="20.100000000000001" customHeight="1">
      <c r="A2717" s="167"/>
    </row>
    <row r="2718" spans="1:1" ht="20.100000000000001" customHeight="1">
      <c r="A2718" s="167"/>
    </row>
    <row r="2719" spans="1:1" ht="20.100000000000001" customHeight="1">
      <c r="A2719" s="167"/>
    </row>
    <row r="2720" spans="1:1" ht="20.100000000000001" customHeight="1">
      <c r="A2720" s="167"/>
    </row>
    <row r="2721" spans="1:1" ht="20.100000000000001" customHeight="1">
      <c r="A2721" s="167"/>
    </row>
    <row r="2722" spans="1:1" ht="20.100000000000001" customHeight="1">
      <c r="A2722" s="167"/>
    </row>
    <row r="2723" spans="1:1" ht="20.100000000000001" customHeight="1">
      <c r="A2723" s="167"/>
    </row>
    <row r="2724" spans="1:1" ht="20.100000000000001" customHeight="1">
      <c r="A2724" s="167"/>
    </row>
    <row r="2725" spans="1:1" ht="20.100000000000001" customHeight="1">
      <c r="A2725" s="167"/>
    </row>
    <row r="2726" spans="1:1" ht="20.100000000000001" customHeight="1">
      <c r="A2726" s="167"/>
    </row>
    <row r="2727" spans="1:1" ht="20.100000000000001" customHeight="1">
      <c r="A2727" s="167"/>
    </row>
    <row r="2728" spans="1:1" ht="20.100000000000001" customHeight="1">
      <c r="A2728" s="167"/>
    </row>
    <row r="2729" spans="1:1" ht="20.100000000000001" customHeight="1">
      <c r="A2729" s="167"/>
    </row>
    <row r="2730" spans="1:1" ht="20.100000000000001" customHeight="1">
      <c r="A2730" s="167"/>
    </row>
    <row r="2731" spans="1:1" ht="20.100000000000001" customHeight="1">
      <c r="A2731" s="167"/>
    </row>
    <row r="2732" spans="1:1" ht="20.100000000000001" customHeight="1">
      <c r="A2732" s="167"/>
    </row>
    <row r="2733" spans="1:1" ht="20.100000000000001" customHeight="1">
      <c r="A2733" s="167"/>
    </row>
    <row r="2734" spans="1:1" ht="20.100000000000001" customHeight="1">
      <c r="A2734" s="167"/>
    </row>
    <row r="2735" spans="1:1" ht="20.100000000000001" customHeight="1">
      <c r="A2735" s="167"/>
    </row>
    <row r="2736" spans="1:1" ht="20.100000000000001" customHeight="1">
      <c r="A2736" s="167"/>
    </row>
    <row r="2737" spans="1:1" ht="20.100000000000001" customHeight="1">
      <c r="A2737" s="167"/>
    </row>
    <row r="2738" spans="1:1" ht="20.100000000000001" customHeight="1">
      <c r="A2738" s="167"/>
    </row>
    <row r="2739" spans="1:1" ht="20.100000000000001" customHeight="1">
      <c r="A2739" s="167"/>
    </row>
    <row r="2740" spans="1:1" ht="20.100000000000001" customHeight="1">
      <c r="A2740" s="167"/>
    </row>
    <row r="2741" spans="1:1" ht="20.100000000000001" customHeight="1">
      <c r="A2741" s="167"/>
    </row>
    <row r="2742" spans="1:1" ht="20.100000000000001" customHeight="1">
      <c r="A2742" s="167"/>
    </row>
    <row r="2743" spans="1:1" ht="20.100000000000001" customHeight="1">
      <c r="A2743" s="167"/>
    </row>
    <row r="2744" spans="1:1" ht="20.100000000000001" customHeight="1">
      <c r="A2744" s="167"/>
    </row>
    <row r="2745" spans="1:1" ht="20.100000000000001" customHeight="1">
      <c r="A2745" s="167"/>
    </row>
    <row r="2746" spans="1:1" ht="20.100000000000001" customHeight="1">
      <c r="A2746" s="167"/>
    </row>
    <row r="2747" spans="1:1" ht="20.100000000000001" customHeight="1">
      <c r="A2747" s="167"/>
    </row>
    <row r="2748" spans="1:1" ht="20.100000000000001" customHeight="1">
      <c r="A2748" s="167"/>
    </row>
    <row r="2749" spans="1:1" ht="20.100000000000001" customHeight="1">
      <c r="A2749" s="167"/>
    </row>
    <row r="2750" spans="1:1" ht="20.100000000000001" customHeight="1">
      <c r="A2750" s="167"/>
    </row>
    <row r="2751" spans="1:1" ht="20.100000000000001" customHeight="1">
      <c r="A2751" s="167"/>
    </row>
    <row r="2752" spans="1:1" ht="20.100000000000001" customHeight="1">
      <c r="A2752" s="167"/>
    </row>
    <row r="2753" spans="1:1" ht="20.100000000000001" customHeight="1">
      <c r="A2753" s="167"/>
    </row>
    <row r="2754" spans="1:1" ht="20.100000000000001" customHeight="1">
      <c r="A2754" s="167"/>
    </row>
    <row r="2755" spans="1:1" ht="20.100000000000001" customHeight="1">
      <c r="A2755" s="167"/>
    </row>
    <row r="2756" spans="1:1" ht="20.100000000000001" customHeight="1">
      <c r="A2756" s="167"/>
    </row>
    <row r="2757" spans="1:1" ht="20.100000000000001" customHeight="1">
      <c r="A2757" s="167"/>
    </row>
    <row r="2758" spans="1:1" ht="20.100000000000001" customHeight="1">
      <c r="A2758" s="167"/>
    </row>
    <row r="2759" spans="1:1" ht="20.100000000000001" customHeight="1">
      <c r="A2759" s="167"/>
    </row>
    <row r="2760" spans="1:1" ht="20.100000000000001" customHeight="1">
      <c r="A2760" s="167"/>
    </row>
    <row r="2761" spans="1:1" ht="20.100000000000001" customHeight="1">
      <c r="A2761" s="167"/>
    </row>
    <row r="2762" spans="1:1" ht="20.100000000000001" customHeight="1">
      <c r="A2762" s="167"/>
    </row>
    <row r="2763" spans="1:1" ht="20.100000000000001" customHeight="1">
      <c r="A2763" s="167"/>
    </row>
    <row r="2764" spans="1:1" ht="20.100000000000001" customHeight="1">
      <c r="A2764" s="167"/>
    </row>
    <row r="2765" spans="1:1" ht="20.100000000000001" customHeight="1">
      <c r="A2765" s="167"/>
    </row>
    <row r="2766" spans="1:1" ht="20.100000000000001" customHeight="1">
      <c r="A2766" s="167"/>
    </row>
    <row r="2767" spans="1:1" ht="20.100000000000001" customHeight="1">
      <c r="A2767" s="167"/>
    </row>
    <row r="2768" spans="1:1" ht="20.100000000000001" customHeight="1">
      <c r="A2768" s="167"/>
    </row>
    <row r="2769" spans="1:1" ht="20.100000000000001" customHeight="1">
      <c r="A2769" s="167"/>
    </row>
    <row r="2770" spans="1:1" ht="20.100000000000001" customHeight="1">
      <c r="A2770" s="167"/>
    </row>
    <row r="2771" spans="1:1" ht="20.100000000000001" customHeight="1">
      <c r="A2771" s="167"/>
    </row>
    <row r="2772" spans="1:1" ht="20.100000000000001" customHeight="1">
      <c r="A2772" s="167"/>
    </row>
    <row r="2773" spans="1:1" ht="20.100000000000001" customHeight="1">
      <c r="A2773" s="167"/>
    </row>
    <row r="2774" spans="1:1" ht="20.100000000000001" customHeight="1">
      <c r="A2774" s="167"/>
    </row>
    <row r="2775" spans="1:1" ht="20.100000000000001" customHeight="1">
      <c r="A2775" s="167"/>
    </row>
    <row r="2776" spans="1:1" ht="20.100000000000001" customHeight="1">
      <c r="A2776" s="167"/>
    </row>
    <row r="2777" spans="1:1" ht="20.100000000000001" customHeight="1">
      <c r="A2777" s="167"/>
    </row>
    <row r="2778" spans="1:1" ht="20.100000000000001" customHeight="1">
      <c r="A2778" s="167"/>
    </row>
    <row r="2779" spans="1:1" ht="20.100000000000001" customHeight="1">
      <c r="A2779" s="167"/>
    </row>
    <row r="2780" spans="1:1" ht="20.100000000000001" customHeight="1">
      <c r="A2780" s="167"/>
    </row>
    <row r="2781" spans="1:1" ht="20.100000000000001" customHeight="1">
      <c r="A2781" s="167"/>
    </row>
    <row r="2782" spans="1:1" ht="20.100000000000001" customHeight="1">
      <c r="A2782" s="167"/>
    </row>
    <row r="2783" spans="1:1" ht="20.100000000000001" customHeight="1">
      <c r="A2783" s="167"/>
    </row>
    <row r="2784" spans="1:1" ht="20.100000000000001" customHeight="1">
      <c r="A2784" s="167"/>
    </row>
    <row r="2785" spans="1:1" ht="20.100000000000001" customHeight="1">
      <c r="A2785" s="167"/>
    </row>
    <row r="2786" spans="1:1" ht="20.100000000000001" customHeight="1">
      <c r="A2786" s="167"/>
    </row>
    <row r="2787" spans="1:1" ht="20.100000000000001" customHeight="1">
      <c r="A2787" s="167"/>
    </row>
    <row r="2788" spans="1:1" ht="20.100000000000001" customHeight="1">
      <c r="A2788" s="167"/>
    </row>
    <row r="2789" spans="1:1" ht="20.100000000000001" customHeight="1">
      <c r="A2789" s="167"/>
    </row>
    <row r="2790" spans="1:1" ht="20.100000000000001" customHeight="1">
      <c r="A2790" s="167"/>
    </row>
    <row r="2791" spans="1:1" ht="20.100000000000001" customHeight="1">
      <c r="A2791" s="167"/>
    </row>
    <row r="2792" spans="1:1" ht="20.100000000000001" customHeight="1">
      <c r="A2792" s="167"/>
    </row>
    <row r="2793" spans="1:1" ht="20.100000000000001" customHeight="1">
      <c r="A2793" s="167"/>
    </row>
    <row r="2794" spans="1:1" ht="20.100000000000001" customHeight="1">
      <c r="A2794" s="167"/>
    </row>
    <row r="2795" spans="1:1" ht="20.100000000000001" customHeight="1">
      <c r="A2795" s="167"/>
    </row>
    <row r="2796" spans="1:1" ht="20.100000000000001" customHeight="1">
      <c r="A2796" s="167"/>
    </row>
    <row r="2797" spans="1:1" ht="20.100000000000001" customHeight="1">
      <c r="A2797" s="167"/>
    </row>
    <row r="2798" spans="1:1" ht="20.100000000000001" customHeight="1">
      <c r="A2798" s="167"/>
    </row>
    <row r="2799" spans="1:1" ht="20.100000000000001" customHeight="1">
      <c r="A2799" s="167"/>
    </row>
    <row r="2800" spans="1:1" ht="20.100000000000001" customHeight="1">
      <c r="A2800" s="167"/>
    </row>
    <row r="2801" spans="1:1" ht="20.100000000000001" customHeight="1">
      <c r="A2801" s="167"/>
    </row>
    <row r="2802" spans="1:1" ht="20.100000000000001" customHeight="1">
      <c r="A2802" s="167"/>
    </row>
    <row r="2803" spans="1:1" ht="20.100000000000001" customHeight="1">
      <c r="A2803" s="167"/>
    </row>
    <row r="2804" spans="1:1" ht="20.100000000000001" customHeight="1">
      <c r="A2804" s="167"/>
    </row>
    <row r="2805" spans="1:1" ht="20.100000000000001" customHeight="1">
      <c r="A2805" s="167"/>
    </row>
    <row r="2806" spans="1:1" ht="20.100000000000001" customHeight="1">
      <c r="A2806" s="167"/>
    </row>
    <row r="2807" spans="1:1" ht="20.100000000000001" customHeight="1">
      <c r="A2807" s="167"/>
    </row>
    <row r="2808" spans="1:1" ht="20.100000000000001" customHeight="1">
      <c r="A2808" s="167"/>
    </row>
    <row r="2809" spans="1:1" ht="20.100000000000001" customHeight="1">
      <c r="A2809" s="167"/>
    </row>
    <row r="2810" spans="1:1" ht="20.100000000000001" customHeight="1">
      <c r="A2810" s="167"/>
    </row>
    <row r="2811" spans="1:1" ht="20.100000000000001" customHeight="1">
      <c r="A2811" s="167"/>
    </row>
    <row r="2812" spans="1:1" ht="20.100000000000001" customHeight="1">
      <c r="A2812" s="167"/>
    </row>
    <row r="2813" spans="1:1" ht="20.100000000000001" customHeight="1">
      <c r="A2813" s="167"/>
    </row>
    <row r="2814" spans="1:1" ht="20.100000000000001" customHeight="1">
      <c r="A2814" s="167"/>
    </row>
    <row r="2815" spans="1:1" ht="20.100000000000001" customHeight="1">
      <c r="A2815" s="167"/>
    </row>
    <row r="2816" spans="1:1" ht="20.100000000000001" customHeight="1">
      <c r="A2816" s="167"/>
    </row>
    <row r="2817" spans="1:1" ht="20.100000000000001" customHeight="1">
      <c r="A2817" s="167"/>
    </row>
    <row r="2818" spans="1:1" ht="20.100000000000001" customHeight="1">
      <c r="A2818" s="167"/>
    </row>
    <row r="2819" spans="1:1" ht="20.100000000000001" customHeight="1">
      <c r="A2819" s="167"/>
    </row>
    <row r="2820" spans="1:1" ht="20.100000000000001" customHeight="1">
      <c r="A2820" s="167"/>
    </row>
    <row r="2821" spans="1:1" ht="20.100000000000001" customHeight="1">
      <c r="A2821" s="167"/>
    </row>
    <row r="2822" spans="1:1" ht="20.100000000000001" customHeight="1">
      <c r="A2822" s="167"/>
    </row>
    <row r="2823" spans="1:1" ht="20.100000000000001" customHeight="1">
      <c r="A2823" s="167"/>
    </row>
    <row r="2824" spans="1:1" ht="20.100000000000001" customHeight="1">
      <c r="A2824" s="167"/>
    </row>
    <row r="2825" spans="1:1" ht="20.100000000000001" customHeight="1">
      <c r="A2825" s="167"/>
    </row>
    <row r="2826" spans="1:1" ht="20.100000000000001" customHeight="1">
      <c r="A2826" s="167"/>
    </row>
    <row r="2827" spans="1:1" ht="20.100000000000001" customHeight="1">
      <c r="A2827" s="167"/>
    </row>
    <row r="2828" spans="1:1" ht="20.100000000000001" customHeight="1">
      <c r="A2828" s="167"/>
    </row>
    <row r="2829" spans="1:1" ht="20.100000000000001" customHeight="1">
      <c r="A2829" s="167"/>
    </row>
    <row r="2830" spans="1:1" ht="20.100000000000001" customHeight="1">
      <c r="A2830" s="167"/>
    </row>
    <row r="2831" spans="1:1" ht="20.100000000000001" customHeight="1">
      <c r="A2831" s="167"/>
    </row>
    <row r="2832" spans="1:1" ht="20.100000000000001" customHeight="1">
      <c r="A2832" s="167"/>
    </row>
    <row r="2833" spans="1:1" ht="20.100000000000001" customHeight="1">
      <c r="A2833" s="167"/>
    </row>
    <row r="2834" spans="1:1" ht="20.100000000000001" customHeight="1">
      <c r="A2834" s="167"/>
    </row>
    <row r="2835" spans="1:1" ht="20.100000000000001" customHeight="1">
      <c r="A2835" s="167"/>
    </row>
    <row r="2836" spans="1:1" ht="20.100000000000001" customHeight="1">
      <c r="A2836" s="167"/>
    </row>
    <row r="2837" spans="1:1" ht="20.100000000000001" customHeight="1">
      <c r="A2837" s="167"/>
    </row>
    <row r="2838" spans="1:1" ht="20.100000000000001" customHeight="1">
      <c r="A2838" s="167"/>
    </row>
    <row r="2839" spans="1:1" ht="20.100000000000001" customHeight="1">
      <c r="A2839" s="167"/>
    </row>
    <row r="2840" spans="1:1" ht="20.100000000000001" customHeight="1">
      <c r="A2840" s="167"/>
    </row>
    <row r="2841" spans="1:1" ht="20.100000000000001" customHeight="1">
      <c r="A2841" s="167"/>
    </row>
    <row r="2842" spans="1:1" ht="20.100000000000001" customHeight="1">
      <c r="A2842" s="167"/>
    </row>
    <row r="2843" spans="1:1" ht="20.100000000000001" customHeight="1">
      <c r="A2843" s="167"/>
    </row>
    <row r="2844" spans="1:1" ht="20.100000000000001" customHeight="1">
      <c r="A2844" s="167"/>
    </row>
    <row r="2845" spans="1:1" ht="20.100000000000001" customHeight="1">
      <c r="A2845" s="167"/>
    </row>
    <row r="2846" spans="1:1" ht="20.100000000000001" customHeight="1">
      <c r="A2846" s="167"/>
    </row>
    <row r="2847" spans="1:1" ht="20.100000000000001" customHeight="1">
      <c r="A2847" s="167"/>
    </row>
    <row r="2848" spans="1:1" ht="20.100000000000001" customHeight="1">
      <c r="A2848" s="167"/>
    </row>
    <row r="2849" spans="1:1" ht="20.100000000000001" customHeight="1">
      <c r="A2849" s="167"/>
    </row>
    <row r="2850" spans="1:1" ht="20.100000000000001" customHeight="1">
      <c r="A2850" s="167"/>
    </row>
    <row r="2851" spans="1:1" ht="20.100000000000001" customHeight="1">
      <c r="A2851" s="167"/>
    </row>
    <row r="2852" spans="1:1" ht="20.100000000000001" customHeight="1">
      <c r="A2852" s="167"/>
    </row>
    <row r="2853" spans="1:1" ht="20.100000000000001" customHeight="1">
      <c r="A2853" s="167"/>
    </row>
    <row r="2854" spans="1:1" ht="20.100000000000001" customHeight="1">
      <c r="A2854" s="167"/>
    </row>
    <row r="2855" spans="1:1" ht="20.100000000000001" customHeight="1">
      <c r="A2855" s="167"/>
    </row>
    <row r="2856" spans="1:1" ht="20.100000000000001" customHeight="1">
      <c r="A2856" s="167"/>
    </row>
    <row r="2857" spans="1:1" ht="20.100000000000001" customHeight="1">
      <c r="A2857" s="167"/>
    </row>
    <row r="2858" spans="1:1" ht="20.100000000000001" customHeight="1">
      <c r="A2858" s="167"/>
    </row>
    <row r="2859" spans="1:1" ht="20.100000000000001" customHeight="1">
      <c r="A2859" s="167"/>
    </row>
    <row r="2860" spans="1:1" ht="20.100000000000001" customHeight="1">
      <c r="A2860" s="167"/>
    </row>
    <row r="2861" spans="1:1" ht="20.100000000000001" customHeight="1">
      <c r="A2861" s="167"/>
    </row>
    <row r="2862" spans="1:1" ht="20.100000000000001" customHeight="1">
      <c r="A2862" s="167"/>
    </row>
    <row r="2863" spans="1:1" ht="20.100000000000001" customHeight="1">
      <c r="A2863" s="167"/>
    </row>
    <row r="2864" spans="1:1" ht="20.100000000000001" customHeight="1">
      <c r="A2864" s="167"/>
    </row>
    <row r="2865" spans="1:1" ht="20.100000000000001" customHeight="1">
      <c r="A2865" s="167"/>
    </row>
    <row r="2866" spans="1:1" ht="20.100000000000001" customHeight="1">
      <c r="A2866" s="167"/>
    </row>
    <row r="2867" spans="1:1" ht="20.100000000000001" customHeight="1">
      <c r="A2867" s="167"/>
    </row>
    <row r="2868" spans="1:1" ht="20.100000000000001" customHeight="1">
      <c r="A2868" s="167"/>
    </row>
    <row r="2869" spans="1:1" ht="20.100000000000001" customHeight="1">
      <c r="A2869" s="167"/>
    </row>
    <row r="2870" spans="1:1" ht="20.100000000000001" customHeight="1">
      <c r="A2870" s="167"/>
    </row>
    <row r="2871" spans="1:1" ht="20.100000000000001" customHeight="1">
      <c r="A2871" s="167"/>
    </row>
    <row r="2872" spans="1:1" ht="20.100000000000001" customHeight="1">
      <c r="A2872" s="167"/>
    </row>
    <row r="2873" spans="1:1" ht="20.100000000000001" customHeight="1">
      <c r="A2873" s="167"/>
    </row>
    <row r="2874" spans="1:1" ht="20.100000000000001" customHeight="1">
      <c r="A2874" s="167"/>
    </row>
    <row r="2875" spans="1:1" ht="20.100000000000001" customHeight="1">
      <c r="A2875" s="167"/>
    </row>
    <row r="2876" spans="1:1" ht="20.100000000000001" customHeight="1">
      <c r="A2876" s="167"/>
    </row>
    <row r="2877" spans="1:1" ht="20.100000000000001" customHeight="1">
      <c r="A2877" s="167"/>
    </row>
    <row r="2878" spans="1:1" ht="20.100000000000001" customHeight="1">
      <c r="A2878" s="167"/>
    </row>
    <row r="2879" spans="1:1" ht="20.100000000000001" customHeight="1">
      <c r="A2879" s="167"/>
    </row>
    <row r="2880" spans="1:1" ht="20.100000000000001" customHeight="1">
      <c r="A2880" s="167"/>
    </row>
    <row r="2881" spans="1:1" ht="20.100000000000001" customHeight="1">
      <c r="A2881" s="167"/>
    </row>
    <row r="2882" spans="1:1" ht="20.100000000000001" customHeight="1">
      <c r="A2882" s="167"/>
    </row>
    <row r="2883" spans="1:1" ht="20.100000000000001" customHeight="1">
      <c r="A2883" s="167"/>
    </row>
    <row r="2884" spans="1:1" ht="20.100000000000001" customHeight="1">
      <c r="A2884" s="167"/>
    </row>
    <row r="2885" spans="1:1" ht="20.100000000000001" customHeight="1">
      <c r="A2885" s="167"/>
    </row>
    <row r="2886" spans="1:1" ht="20.100000000000001" customHeight="1">
      <c r="A2886" s="167"/>
    </row>
    <row r="2887" spans="1:1" ht="20.100000000000001" customHeight="1">
      <c r="A2887" s="167"/>
    </row>
    <row r="2888" spans="1:1" ht="20.100000000000001" customHeight="1">
      <c r="A2888" s="167"/>
    </row>
    <row r="2889" spans="1:1" ht="20.100000000000001" customHeight="1">
      <c r="A2889" s="167"/>
    </row>
    <row r="2890" spans="1:1" ht="20.100000000000001" customHeight="1">
      <c r="A2890" s="167"/>
    </row>
    <row r="2891" spans="1:1" ht="20.100000000000001" customHeight="1">
      <c r="A2891" s="167"/>
    </row>
    <row r="2892" spans="1:1" ht="20.100000000000001" customHeight="1">
      <c r="A2892" s="167"/>
    </row>
    <row r="2893" spans="1:1" ht="20.100000000000001" customHeight="1">
      <c r="A2893" s="167"/>
    </row>
    <row r="2894" spans="1:1" ht="20.100000000000001" customHeight="1">
      <c r="A2894" s="167"/>
    </row>
    <row r="2895" spans="1:1" ht="20.100000000000001" customHeight="1">
      <c r="A2895" s="167"/>
    </row>
    <row r="2896" spans="1:1" ht="20.100000000000001" customHeight="1">
      <c r="A2896" s="167"/>
    </row>
    <row r="2897" spans="1:1" ht="20.100000000000001" customHeight="1">
      <c r="A2897" s="167"/>
    </row>
    <row r="2898" spans="1:1" ht="20.100000000000001" customHeight="1">
      <c r="A2898" s="167"/>
    </row>
    <row r="2899" spans="1:1" ht="20.100000000000001" customHeight="1">
      <c r="A2899" s="167"/>
    </row>
    <row r="2900" spans="1:1" ht="20.100000000000001" customHeight="1">
      <c r="A2900" s="167"/>
    </row>
    <row r="2901" spans="1:1" ht="20.100000000000001" customHeight="1">
      <c r="A2901" s="167"/>
    </row>
    <row r="2902" spans="1:1" ht="20.100000000000001" customHeight="1">
      <c r="A2902" s="167"/>
    </row>
    <row r="2903" spans="1:1" ht="20.100000000000001" customHeight="1">
      <c r="A2903" s="167"/>
    </row>
    <row r="2904" spans="1:1" ht="20.100000000000001" customHeight="1">
      <c r="A2904" s="167"/>
    </row>
    <row r="2905" spans="1:1" ht="20.100000000000001" customHeight="1">
      <c r="A2905" s="167"/>
    </row>
    <row r="2906" spans="1:1" ht="20.100000000000001" customHeight="1">
      <c r="A2906" s="167"/>
    </row>
    <row r="2907" spans="1:1" ht="20.100000000000001" customHeight="1">
      <c r="A2907" s="167"/>
    </row>
    <row r="2908" spans="1:1" ht="20.100000000000001" customHeight="1">
      <c r="A2908" s="167"/>
    </row>
    <row r="2909" spans="1:1" ht="20.100000000000001" customHeight="1">
      <c r="A2909" s="167"/>
    </row>
    <row r="2910" spans="1:1" ht="20.100000000000001" customHeight="1">
      <c r="A2910" s="167"/>
    </row>
    <row r="2911" spans="1:1" ht="20.100000000000001" customHeight="1">
      <c r="A2911" s="167"/>
    </row>
    <row r="2912" spans="1:1" ht="20.100000000000001" customHeight="1">
      <c r="A2912" s="167"/>
    </row>
    <row r="2913" spans="1:1" ht="20.100000000000001" customHeight="1">
      <c r="A2913" s="167"/>
    </row>
    <row r="2914" spans="1:1" ht="20.100000000000001" customHeight="1">
      <c r="A2914" s="167"/>
    </row>
    <row r="2915" spans="1:1" ht="20.100000000000001" customHeight="1">
      <c r="A2915" s="167"/>
    </row>
    <row r="2916" spans="1:1" ht="20.100000000000001" customHeight="1">
      <c r="A2916" s="167"/>
    </row>
    <row r="2917" spans="1:1" ht="20.100000000000001" customHeight="1">
      <c r="A2917" s="167"/>
    </row>
    <row r="2918" spans="1:1" ht="20.100000000000001" customHeight="1">
      <c r="A2918" s="167"/>
    </row>
    <row r="2919" spans="1:1" ht="20.100000000000001" customHeight="1">
      <c r="A2919" s="167"/>
    </row>
    <row r="2920" spans="1:1" ht="20.100000000000001" customHeight="1">
      <c r="A2920" s="167"/>
    </row>
    <row r="2921" spans="1:1" ht="20.100000000000001" customHeight="1">
      <c r="A2921" s="167"/>
    </row>
    <row r="2922" spans="1:1" ht="20.100000000000001" customHeight="1">
      <c r="A2922" s="167"/>
    </row>
    <row r="2923" spans="1:1" ht="20.100000000000001" customHeight="1">
      <c r="A2923" s="167"/>
    </row>
    <row r="2924" spans="1:1" ht="20.100000000000001" customHeight="1">
      <c r="A2924" s="167"/>
    </row>
    <row r="2925" spans="1:1" ht="20.100000000000001" customHeight="1">
      <c r="A2925" s="167"/>
    </row>
    <row r="2926" spans="1:1" ht="20.100000000000001" customHeight="1">
      <c r="A2926" s="167"/>
    </row>
    <row r="2927" spans="1:1" ht="20.100000000000001" customHeight="1">
      <c r="A2927" s="167"/>
    </row>
    <row r="2928" spans="1:1" ht="20.100000000000001" customHeight="1">
      <c r="A2928" s="167"/>
    </row>
    <row r="2929" spans="1:1" ht="20.100000000000001" customHeight="1">
      <c r="A2929" s="167"/>
    </row>
    <row r="2930" spans="1:1" ht="20.100000000000001" customHeight="1">
      <c r="A2930" s="167"/>
    </row>
    <row r="2931" spans="1:1" ht="20.100000000000001" customHeight="1">
      <c r="A2931" s="167"/>
    </row>
    <row r="2932" spans="1:1" ht="20.100000000000001" customHeight="1">
      <c r="A2932" s="167"/>
    </row>
    <row r="2933" spans="1:1" ht="20.100000000000001" customHeight="1">
      <c r="A2933" s="167"/>
    </row>
    <row r="2934" spans="1:1" ht="20.100000000000001" customHeight="1">
      <c r="A2934" s="167"/>
    </row>
    <row r="2935" spans="1:1" ht="20.100000000000001" customHeight="1">
      <c r="A2935" s="167"/>
    </row>
    <row r="2936" spans="1:1" ht="20.100000000000001" customHeight="1">
      <c r="A2936" s="167"/>
    </row>
    <row r="2937" spans="1:1" ht="20.100000000000001" customHeight="1">
      <c r="A2937" s="167"/>
    </row>
    <row r="2938" spans="1:1" ht="20.100000000000001" customHeight="1">
      <c r="A2938" s="167"/>
    </row>
    <row r="2939" spans="1:1" ht="20.100000000000001" customHeight="1">
      <c r="A2939" s="167"/>
    </row>
    <row r="2940" spans="1:1" ht="20.100000000000001" customHeight="1">
      <c r="A2940" s="167"/>
    </row>
    <row r="2941" spans="1:1" ht="20.100000000000001" customHeight="1">
      <c r="A2941" s="167"/>
    </row>
    <row r="2942" spans="1:1" ht="20.100000000000001" customHeight="1">
      <c r="A2942" s="167"/>
    </row>
    <row r="2943" spans="1:1" ht="20.100000000000001" customHeight="1">
      <c r="A2943" s="167"/>
    </row>
    <row r="2944" spans="1:1" ht="20.100000000000001" customHeight="1">
      <c r="A2944" s="167"/>
    </row>
    <row r="2945" spans="1:1" ht="20.100000000000001" customHeight="1">
      <c r="A2945" s="167"/>
    </row>
    <row r="2946" spans="1:1" ht="20.100000000000001" customHeight="1">
      <c r="A2946" s="167"/>
    </row>
    <row r="2947" spans="1:1" ht="20.100000000000001" customHeight="1">
      <c r="A2947" s="167"/>
    </row>
    <row r="2948" spans="1:1" ht="20.100000000000001" customHeight="1">
      <c r="A2948" s="167"/>
    </row>
    <row r="2949" spans="1:1" ht="20.100000000000001" customHeight="1">
      <c r="A2949" s="167"/>
    </row>
    <row r="2950" spans="1:1" ht="20.100000000000001" customHeight="1">
      <c r="A2950" s="167"/>
    </row>
    <row r="2951" spans="1:1" ht="20.100000000000001" customHeight="1">
      <c r="A2951" s="167"/>
    </row>
    <row r="2952" spans="1:1" ht="20.100000000000001" customHeight="1">
      <c r="A2952" s="167"/>
    </row>
    <row r="2953" spans="1:1" ht="20.100000000000001" customHeight="1">
      <c r="A2953" s="167"/>
    </row>
    <row r="2954" spans="1:1" ht="20.100000000000001" customHeight="1">
      <c r="A2954" s="167"/>
    </row>
    <row r="2955" spans="1:1" ht="20.100000000000001" customHeight="1">
      <c r="A2955" s="167"/>
    </row>
    <row r="2956" spans="1:1" ht="20.100000000000001" customHeight="1">
      <c r="A2956" s="167"/>
    </row>
    <row r="2957" spans="1:1" ht="20.100000000000001" customHeight="1">
      <c r="A2957" s="167"/>
    </row>
    <row r="2958" spans="1:1" ht="20.100000000000001" customHeight="1">
      <c r="A2958" s="167"/>
    </row>
    <row r="2959" spans="1:1" ht="20.100000000000001" customHeight="1">
      <c r="A2959" s="167"/>
    </row>
    <row r="2960" spans="1:1" ht="20.100000000000001" customHeight="1">
      <c r="A2960" s="167"/>
    </row>
    <row r="2961" spans="1:1" ht="20.100000000000001" customHeight="1">
      <c r="A2961" s="167"/>
    </row>
    <row r="2962" spans="1:1" ht="20.100000000000001" customHeight="1">
      <c r="A2962" s="167"/>
    </row>
    <row r="2963" spans="1:1" ht="20.100000000000001" customHeight="1">
      <c r="A2963" s="167"/>
    </row>
    <row r="2964" spans="1:1" ht="20.100000000000001" customHeight="1">
      <c r="A2964" s="167"/>
    </row>
    <row r="2965" spans="1:1" ht="20.100000000000001" customHeight="1">
      <c r="A2965" s="167"/>
    </row>
    <row r="2966" spans="1:1" ht="20.100000000000001" customHeight="1">
      <c r="A2966" s="167"/>
    </row>
    <row r="2967" spans="1:1" ht="20.100000000000001" customHeight="1">
      <c r="A2967" s="167"/>
    </row>
    <row r="2968" spans="1:1" ht="20.100000000000001" customHeight="1">
      <c r="A2968" s="167"/>
    </row>
    <row r="2969" spans="1:1" ht="20.100000000000001" customHeight="1">
      <c r="A2969" s="167"/>
    </row>
    <row r="2970" spans="1:1" ht="20.100000000000001" customHeight="1">
      <c r="A2970" s="167"/>
    </row>
    <row r="2971" spans="1:1" ht="20.100000000000001" customHeight="1">
      <c r="A2971" s="167"/>
    </row>
    <row r="2972" spans="1:1" ht="20.100000000000001" customHeight="1">
      <c r="A2972" s="167"/>
    </row>
    <row r="2973" spans="1:1" ht="20.100000000000001" customHeight="1">
      <c r="A2973" s="167"/>
    </row>
    <row r="2974" spans="1:1" ht="20.100000000000001" customHeight="1">
      <c r="A2974" s="167"/>
    </row>
    <row r="2975" spans="1:1" ht="20.100000000000001" customHeight="1">
      <c r="A2975" s="167"/>
    </row>
    <row r="2976" spans="1:1" ht="20.100000000000001" customHeight="1">
      <c r="A2976" s="167"/>
    </row>
    <row r="2977" spans="1:1" ht="20.100000000000001" customHeight="1">
      <c r="A2977" s="167"/>
    </row>
    <row r="2978" spans="1:1" ht="20.100000000000001" customHeight="1">
      <c r="A2978" s="167"/>
    </row>
    <row r="2979" spans="1:1" ht="20.100000000000001" customHeight="1">
      <c r="A2979" s="167"/>
    </row>
    <row r="2980" spans="1:1" ht="20.100000000000001" customHeight="1">
      <c r="A2980" s="167"/>
    </row>
    <row r="2981" spans="1:1" ht="20.100000000000001" customHeight="1">
      <c r="A2981" s="167"/>
    </row>
    <row r="2982" spans="1:1" ht="20.100000000000001" customHeight="1">
      <c r="A2982" s="167"/>
    </row>
    <row r="2983" spans="1:1" ht="20.100000000000001" customHeight="1">
      <c r="A2983" s="167"/>
    </row>
    <row r="2984" spans="1:1" ht="20.100000000000001" customHeight="1">
      <c r="A2984" s="167"/>
    </row>
    <row r="2985" spans="1:1" ht="20.100000000000001" customHeight="1">
      <c r="A2985" s="167"/>
    </row>
    <row r="2986" spans="1:1" ht="20.100000000000001" customHeight="1">
      <c r="A2986" s="167"/>
    </row>
    <row r="2987" spans="1:1" ht="20.100000000000001" customHeight="1">
      <c r="A2987" s="167"/>
    </row>
    <row r="2988" spans="1:1" ht="20.100000000000001" customHeight="1">
      <c r="A2988" s="167"/>
    </row>
    <row r="2989" spans="1:1" ht="20.100000000000001" customHeight="1">
      <c r="A2989" s="167"/>
    </row>
    <row r="2990" spans="1:1" ht="20.100000000000001" customHeight="1">
      <c r="A2990" s="167"/>
    </row>
    <row r="2991" spans="1:1" ht="20.100000000000001" customHeight="1">
      <c r="A2991" s="167"/>
    </row>
    <row r="2992" spans="1:1" ht="20.100000000000001" customHeight="1">
      <c r="A2992" s="167"/>
    </row>
    <row r="2993" spans="1:1" ht="20.100000000000001" customHeight="1">
      <c r="A2993" s="167"/>
    </row>
    <row r="2994" spans="1:1" ht="20.100000000000001" customHeight="1">
      <c r="A2994" s="167"/>
    </row>
    <row r="2995" spans="1:1" ht="20.100000000000001" customHeight="1">
      <c r="A2995" s="167"/>
    </row>
    <row r="2996" spans="1:1" ht="20.100000000000001" customHeight="1">
      <c r="A2996" s="167"/>
    </row>
    <row r="2997" spans="1:1" ht="20.100000000000001" customHeight="1">
      <c r="A2997" s="167"/>
    </row>
    <row r="2998" spans="1:1" ht="20.100000000000001" customHeight="1">
      <c r="A2998" s="167"/>
    </row>
    <row r="2999" spans="1:1" ht="20.100000000000001" customHeight="1">
      <c r="A2999" s="167"/>
    </row>
    <row r="3000" spans="1:1" ht="20.100000000000001" customHeight="1">
      <c r="A3000" s="167"/>
    </row>
    <row r="3001" spans="1:1" ht="20.100000000000001" customHeight="1">
      <c r="A3001" s="167"/>
    </row>
    <row r="3002" spans="1:1" ht="20.100000000000001" customHeight="1">
      <c r="A3002" s="167"/>
    </row>
    <row r="3003" spans="1:1" ht="20.100000000000001" customHeight="1">
      <c r="A3003" s="167"/>
    </row>
    <row r="3004" spans="1:1" ht="20.100000000000001" customHeight="1">
      <c r="A3004" s="167"/>
    </row>
    <row r="3005" spans="1:1" ht="20.100000000000001" customHeight="1">
      <c r="A3005" s="167"/>
    </row>
    <row r="3006" spans="1:1" ht="20.100000000000001" customHeight="1">
      <c r="A3006" s="167"/>
    </row>
    <row r="3007" spans="1:1" ht="20.100000000000001" customHeight="1">
      <c r="A3007" s="167"/>
    </row>
    <row r="3008" spans="1:1" ht="20.100000000000001" customHeight="1">
      <c r="A3008" s="167"/>
    </row>
    <row r="3009" spans="1:1" ht="20.100000000000001" customHeight="1">
      <c r="A3009" s="167"/>
    </row>
    <row r="3010" spans="1:1" ht="20.100000000000001" customHeight="1">
      <c r="A3010" s="167"/>
    </row>
    <row r="3011" spans="1:1" ht="20.100000000000001" customHeight="1">
      <c r="A3011" s="167"/>
    </row>
    <row r="3012" spans="1:1" ht="20.100000000000001" customHeight="1">
      <c r="A3012" s="167"/>
    </row>
    <row r="3013" spans="1:1" ht="20.100000000000001" customHeight="1">
      <c r="A3013" s="167"/>
    </row>
    <row r="3014" spans="1:1" ht="20.100000000000001" customHeight="1">
      <c r="A3014" s="167"/>
    </row>
    <row r="3015" spans="1:1" ht="20.100000000000001" customHeight="1">
      <c r="A3015" s="167"/>
    </row>
    <row r="3016" spans="1:1" ht="20.100000000000001" customHeight="1">
      <c r="A3016" s="167"/>
    </row>
    <row r="3017" spans="1:1" ht="20.100000000000001" customHeight="1">
      <c r="A3017" s="167"/>
    </row>
    <row r="3018" spans="1:1" ht="20.100000000000001" customHeight="1">
      <c r="A3018" s="167"/>
    </row>
    <row r="3019" spans="1:1" ht="20.100000000000001" customHeight="1">
      <c r="A3019" s="167"/>
    </row>
    <row r="3020" spans="1:1" ht="20.100000000000001" customHeight="1">
      <c r="A3020" s="167"/>
    </row>
    <row r="3021" spans="1:1" ht="20.100000000000001" customHeight="1">
      <c r="A3021" s="167"/>
    </row>
    <row r="3022" spans="1:1" ht="20.100000000000001" customHeight="1">
      <c r="A3022" s="167"/>
    </row>
    <row r="3023" spans="1:1" ht="20.100000000000001" customHeight="1">
      <c r="A3023" s="167"/>
    </row>
    <row r="3024" spans="1:1" ht="20.100000000000001" customHeight="1">
      <c r="A3024" s="167"/>
    </row>
    <row r="3025" spans="1:1" ht="20.100000000000001" customHeight="1">
      <c r="A3025" s="167"/>
    </row>
    <row r="3026" spans="1:1" ht="20.100000000000001" customHeight="1">
      <c r="A3026" s="167"/>
    </row>
    <row r="3027" spans="1:1" ht="20.100000000000001" customHeight="1">
      <c r="A3027" s="167"/>
    </row>
    <row r="3028" spans="1:1" ht="20.100000000000001" customHeight="1">
      <c r="A3028" s="167"/>
    </row>
    <row r="3029" spans="1:1" ht="20.100000000000001" customHeight="1">
      <c r="A3029" s="167"/>
    </row>
    <row r="3030" spans="1:1" ht="20.100000000000001" customHeight="1">
      <c r="A3030" s="167"/>
    </row>
    <row r="3031" spans="1:1" ht="20.100000000000001" customHeight="1">
      <c r="A3031" s="167"/>
    </row>
    <row r="3032" spans="1:1" ht="20.100000000000001" customHeight="1">
      <c r="A3032" s="167"/>
    </row>
    <row r="3033" spans="1:1" ht="20.100000000000001" customHeight="1">
      <c r="A3033" s="167"/>
    </row>
    <row r="3034" spans="1:1" ht="20.100000000000001" customHeight="1">
      <c r="A3034" s="167"/>
    </row>
    <row r="3035" spans="1:1" ht="20.100000000000001" customHeight="1">
      <c r="A3035" s="167"/>
    </row>
    <row r="3036" spans="1:1" ht="20.100000000000001" customHeight="1">
      <c r="A3036" s="167"/>
    </row>
    <row r="3037" spans="1:1" ht="20.100000000000001" customHeight="1">
      <c r="A3037" s="167"/>
    </row>
    <row r="3038" spans="1:1" ht="20.100000000000001" customHeight="1">
      <c r="A3038" s="167"/>
    </row>
    <row r="3039" spans="1:1" ht="20.100000000000001" customHeight="1">
      <c r="A3039" s="167"/>
    </row>
    <row r="3040" spans="1:1" ht="20.100000000000001" customHeight="1">
      <c r="A3040" s="167"/>
    </row>
    <row r="3041" spans="1:1" ht="20.100000000000001" customHeight="1">
      <c r="A3041" s="167"/>
    </row>
    <row r="3042" spans="1:1" ht="20.100000000000001" customHeight="1">
      <c r="A3042" s="167"/>
    </row>
    <row r="3043" spans="1:1" ht="20.100000000000001" customHeight="1">
      <c r="A3043" s="167"/>
    </row>
    <row r="3044" spans="1:1" ht="20.100000000000001" customHeight="1">
      <c r="A3044" s="167"/>
    </row>
    <row r="3045" spans="1:1" ht="20.100000000000001" customHeight="1">
      <c r="A3045" s="167"/>
    </row>
    <row r="3046" spans="1:1" ht="20.100000000000001" customHeight="1">
      <c r="A3046" s="167"/>
    </row>
    <row r="3047" spans="1:1" ht="20.100000000000001" customHeight="1">
      <c r="A3047" s="167"/>
    </row>
    <row r="3048" spans="1:1" ht="20.100000000000001" customHeight="1">
      <c r="A3048" s="167"/>
    </row>
    <row r="3049" spans="1:1" ht="20.100000000000001" customHeight="1">
      <c r="A3049" s="167"/>
    </row>
    <row r="3050" spans="1:1" ht="20.100000000000001" customHeight="1">
      <c r="A3050" s="167"/>
    </row>
    <row r="3051" spans="1:1" ht="20.100000000000001" customHeight="1">
      <c r="A3051" s="167"/>
    </row>
    <row r="3052" spans="1:1" ht="20.100000000000001" customHeight="1">
      <c r="A3052" s="167"/>
    </row>
    <row r="3053" spans="1:1" ht="20.100000000000001" customHeight="1">
      <c r="A3053" s="167"/>
    </row>
    <row r="3054" spans="1:1" ht="20.100000000000001" customHeight="1">
      <c r="A3054" s="167"/>
    </row>
    <row r="3055" spans="1:1" ht="20.100000000000001" customHeight="1">
      <c r="A3055" s="167"/>
    </row>
    <row r="3056" spans="1:1" ht="20.100000000000001" customHeight="1">
      <c r="A3056" s="167"/>
    </row>
    <row r="3057" spans="1:1" ht="20.100000000000001" customHeight="1">
      <c r="A3057" s="167"/>
    </row>
    <row r="3058" spans="1:1" ht="20.100000000000001" customHeight="1">
      <c r="A3058" s="167"/>
    </row>
    <row r="3059" spans="1:1" ht="20.100000000000001" customHeight="1">
      <c r="A3059" s="167"/>
    </row>
    <row r="3060" spans="1:1" ht="20.100000000000001" customHeight="1">
      <c r="A3060" s="167"/>
    </row>
    <row r="3061" spans="1:1" ht="20.100000000000001" customHeight="1">
      <c r="A3061" s="167"/>
    </row>
    <row r="3062" spans="1:1" ht="20.100000000000001" customHeight="1">
      <c r="A3062" s="167"/>
    </row>
    <row r="3063" spans="1:1" ht="20.100000000000001" customHeight="1">
      <c r="A3063" s="167"/>
    </row>
    <row r="3064" spans="1:1" ht="20.100000000000001" customHeight="1">
      <c r="A3064" s="167"/>
    </row>
    <row r="3065" spans="1:1" ht="20.100000000000001" customHeight="1">
      <c r="A3065" s="167"/>
    </row>
    <row r="3066" spans="1:1" ht="20.100000000000001" customHeight="1">
      <c r="A3066" s="167"/>
    </row>
    <row r="3067" spans="1:1" ht="20.100000000000001" customHeight="1">
      <c r="A3067" s="167"/>
    </row>
    <row r="3068" spans="1:1" ht="20.100000000000001" customHeight="1">
      <c r="A3068" s="167"/>
    </row>
    <row r="3069" spans="1:1" ht="20.100000000000001" customHeight="1">
      <c r="A3069" s="167"/>
    </row>
    <row r="3070" spans="1:1" ht="20.100000000000001" customHeight="1">
      <c r="A3070" s="167"/>
    </row>
    <row r="3071" spans="1:1" ht="20.100000000000001" customHeight="1">
      <c r="A3071" s="167"/>
    </row>
    <row r="3072" spans="1:1" ht="20.100000000000001" customHeight="1">
      <c r="A3072" s="167"/>
    </row>
    <row r="3073" spans="1:1" ht="20.100000000000001" customHeight="1">
      <c r="A3073" s="167"/>
    </row>
    <row r="3074" spans="1:1" ht="20.100000000000001" customHeight="1">
      <c r="A3074" s="167"/>
    </row>
    <row r="3075" spans="1:1" ht="20.100000000000001" customHeight="1">
      <c r="A3075" s="167"/>
    </row>
    <row r="3076" spans="1:1" ht="20.100000000000001" customHeight="1">
      <c r="A3076" s="167"/>
    </row>
    <row r="3077" spans="1:1" ht="20.100000000000001" customHeight="1">
      <c r="A3077" s="167"/>
    </row>
  </sheetData>
  <sheetProtection selectLockedCells="1"/>
  <mergeCells count="13">
    <mergeCell ref="A49:C49"/>
    <mergeCell ref="D49:E49"/>
    <mergeCell ref="J49:R49"/>
    <mergeCell ref="H49:I49"/>
    <mergeCell ref="A1:AO1"/>
    <mergeCell ref="C48:D48"/>
    <mergeCell ref="C2:E2"/>
    <mergeCell ref="H2:J2"/>
    <mergeCell ref="M2:O2"/>
    <mergeCell ref="R2:T2"/>
    <mergeCell ref="W2:Y2"/>
    <mergeCell ref="AB2:AD2"/>
    <mergeCell ref="AG2:AI2"/>
  </mergeCells>
  <phoneticPr fontId="4" type="noConversion"/>
  <conditionalFormatting sqref="AW3">
    <cfRule type="duplicateValues" dxfId="74" priority="4"/>
  </conditionalFormatting>
  <conditionalFormatting sqref="AW4:AW6">
    <cfRule type="duplicateValues" dxfId="73" priority="16"/>
  </conditionalFormatting>
  <conditionalFormatting sqref="AW15">
    <cfRule type="duplicateValues" dxfId="72" priority="24"/>
  </conditionalFormatting>
  <conditionalFormatting sqref="AW18 AW11:AW14 AW24:AW25 AW8 AW2">
    <cfRule type="duplicateValues" dxfId="71" priority="38"/>
  </conditionalFormatting>
  <conditionalFormatting sqref="AW18 AW2:AW6 AW11:AW15 AW8 AW24:AW25">
    <cfRule type="duplicateValues" dxfId="70" priority="59"/>
  </conditionalFormatting>
  <dataValidations count="4">
    <dataValidation type="list" allowBlank="1" showInputMessage="1" showErrorMessage="1" sqref="N66:Q66">
      <formula1>#REF!</formula1>
    </dataValidation>
    <dataValidation type="list" allowBlank="1" showInputMessage="1" showErrorMessage="1" sqref="AQ2">
      <formula1>$AW$2:$AW$25</formula1>
    </dataValidation>
    <dataValidation type="list" allowBlank="1" showInputMessage="1" showErrorMessage="1" sqref="AS2">
      <formula1>#REF!</formula1>
    </dataValidation>
    <dataValidation type="list" allowBlank="1" showInputMessage="1" showErrorMessage="1" sqref="M2">
      <formula1>$AZ$5:$AZ$15</formula1>
    </dataValidation>
  </dataValidations>
  <printOptions horizontalCentered="1"/>
  <pageMargins left="0" right="0" top="0.11811023622047245" bottom="0.11811023622047245" header="0.51181102362204722" footer="0.51181102362204722"/>
  <pageSetup paperSize="9" scale="75" orientation="landscape" horizontalDpi="180" verticalDpi="180" r:id="rId1"/>
  <headerFooter alignWithMargins="0">
    <oddFooter>&amp;L
&amp;C
&amp;R共&amp;N页  第&amp;P页</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47"/>
  <sheetViews>
    <sheetView view="pageBreakPreview" zoomScaleSheetLayoutView="100" workbookViewId="0">
      <selection activeCell="M18" sqref="M18"/>
    </sheetView>
  </sheetViews>
  <sheetFormatPr defaultRowHeight="14.25"/>
  <cols>
    <col min="1" max="1" width="8.875" customWidth="1"/>
    <col min="2" max="2" width="11" style="438" customWidth="1"/>
    <col min="3" max="3" width="13.25" style="438" customWidth="1"/>
    <col min="4" max="4" width="10.5" customWidth="1"/>
    <col min="5" max="5" width="4.75" customWidth="1"/>
    <col min="6" max="6" width="7.75" customWidth="1"/>
    <col min="7" max="7" width="8.625" customWidth="1"/>
    <col min="8" max="8" width="8.875" customWidth="1"/>
    <col min="9" max="9" width="6.875" customWidth="1"/>
    <col min="10" max="10" width="6.625" customWidth="1"/>
  </cols>
  <sheetData>
    <row r="1" spans="1:10" ht="20.25">
      <c r="A1" s="978" t="s">
        <v>262</v>
      </c>
      <c r="B1" s="978"/>
      <c r="C1" s="978"/>
      <c r="D1" s="978"/>
      <c r="E1" s="978"/>
      <c r="F1" s="978"/>
      <c r="G1" s="978"/>
      <c r="H1" s="978"/>
      <c r="I1" s="978"/>
      <c r="J1" s="978"/>
    </row>
    <row r="2" spans="1:10" ht="20.100000000000001" customHeight="1">
      <c r="A2" s="537" t="s">
        <v>263</v>
      </c>
      <c r="B2" s="977" t="str">
        <f>图兰朵转序单!B2</f>
        <v>赵蕊</v>
      </c>
      <c r="C2" s="977"/>
      <c r="D2" s="538" t="s">
        <v>67</v>
      </c>
      <c r="E2" s="977">
        <f>图兰朵转序单!E2</f>
        <v>15530608063</v>
      </c>
      <c r="F2" s="977"/>
      <c r="G2" s="977"/>
      <c r="H2" s="538" t="s">
        <v>264</v>
      </c>
      <c r="I2" s="866">
        <f>图兰朵转序单!I2</f>
        <v>0</v>
      </c>
      <c r="J2" s="866"/>
    </row>
    <row r="3" spans="1:10" ht="20.100000000000001" customHeight="1">
      <c r="A3" s="538" t="s">
        <v>265</v>
      </c>
      <c r="B3" s="977" t="str">
        <f>图兰朵转序单!B3</f>
        <v>图兰朵</v>
      </c>
      <c r="C3" s="977"/>
      <c r="D3" s="538" t="s">
        <v>266</v>
      </c>
      <c r="E3" s="977" t="str">
        <f>[4]图兰朵黑檀下料单!C6</f>
        <v>黑檀木皮T02</v>
      </c>
      <c r="F3" s="977"/>
      <c r="G3" s="977"/>
      <c r="H3" s="538" t="s">
        <v>267</v>
      </c>
      <c r="I3" s="866">
        <f>图兰朵转序单!I3</f>
        <v>43129</v>
      </c>
      <c r="J3" s="866"/>
    </row>
    <row r="4" spans="1:10" ht="20.100000000000001" customHeight="1">
      <c r="A4" s="538" t="s">
        <v>268</v>
      </c>
      <c r="B4" s="977" t="str">
        <f>图兰朵转序单!B4</f>
        <v>廊坊</v>
      </c>
      <c r="C4" s="977"/>
      <c r="D4" s="450" t="s">
        <v>269</v>
      </c>
      <c r="E4" s="976">
        <f>图兰朵转序单!E4</f>
        <v>123</v>
      </c>
      <c r="F4" s="976"/>
      <c r="G4" s="976"/>
      <c r="H4" s="538" t="s">
        <v>270</v>
      </c>
      <c r="I4" s="866">
        <f>图兰朵转序单!I4</f>
        <v>43169</v>
      </c>
      <c r="J4" s="866"/>
    </row>
    <row r="5" spans="1:10" ht="20.100000000000001" customHeight="1">
      <c r="A5" s="538" t="s">
        <v>271</v>
      </c>
      <c r="B5" s="538" t="s">
        <v>272</v>
      </c>
      <c r="C5" s="538" t="s">
        <v>273</v>
      </c>
      <c r="D5" s="574" t="s">
        <v>274</v>
      </c>
      <c r="E5" s="538" t="s">
        <v>275</v>
      </c>
      <c r="F5" s="538" t="s">
        <v>276</v>
      </c>
      <c r="G5" s="538" t="s">
        <v>277</v>
      </c>
      <c r="H5" s="538" t="s">
        <v>1024</v>
      </c>
      <c r="I5" s="977" t="s">
        <v>1023</v>
      </c>
      <c r="J5" s="977"/>
    </row>
    <row r="6" spans="1:10" ht="20.100000000000001" customHeight="1">
      <c r="A6" s="538" t="s">
        <v>278</v>
      </c>
      <c r="B6" s="977"/>
      <c r="C6" s="977"/>
      <c r="D6" s="538" t="s">
        <v>279</v>
      </c>
      <c r="E6" s="977"/>
      <c r="F6" s="977"/>
      <c r="G6" s="977"/>
      <c r="H6" s="538" t="s">
        <v>280</v>
      </c>
      <c r="I6" s="977"/>
      <c r="J6" s="977"/>
    </row>
    <row r="7" spans="1:10" ht="20.100000000000001" customHeight="1">
      <c r="A7" s="538" t="s">
        <v>281</v>
      </c>
      <c r="B7" s="538" t="s">
        <v>282</v>
      </c>
      <c r="C7" s="538" t="s">
        <v>283</v>
      </c>
      <c r="D7" s="538" t="s">
        <v>284</v>
      </c>
      <c r="E7" s="538" t="s">
        <v>180</v>
      </c>
      <c r="F7" s="538" t="s">
        <v>264</v>
      </c>
      <c r="G7" s="538" t="s">
        <v>285</v>
      </c>
      <c r="H7" s="538" t="s">
        <v>286</v>
      </c>
      <c r="I7" s="538" t="s">
        <v>287</v>
      </c>
      <c r="J7" s="538" t="s">
        <v>149</v>
      </c>
    </row>
    <row r="8" spans="1:10" ht="20.100000000000001" customHeight="1">
      <c r="A8" s="538">
        <v>1</v>
      </c>
      <c r="B8" s="975" t="s">
        <v>289</v>
      </c>
      <c r="C8" s="350" t="s">
        <v>290</v>
      </c>
      <c r="D8" s="538"/>
      <c r="E8" s="538" t="s">
        <v>291</v>
      </c>
      <c r="F8" s="538"/>
      <c r="G8" s="538"/>
      <c r="H8" s="538"/>
      <c r="I8" s="538"/>
      <c r="J8" s="14"/>
    </row>
    <row r="9" spans="1:10" ht="20.100000000000001" customHeight="1">
      <c r="A9" s="538">
        <v>2</v>
      </c>
      <c r="B9" s="975"/>
      <c r="C9" s="350" t="s">
        <v>261</v>
      </c>
      <c r="D9" s="538"/>
      <c r="E9" s="538" t="s">
        <v>291</v>
      </c>
      <c r="F9" s="538"/>
      <c r="G9" s="538"/>
      <c r="H9" s="538"/>
      <c r="I9" s="538"/>
      <c r="J9" s="14"/>
    </row>
    <row r="10" spans="1:10" ht="20.100000000000001" customHeight="1">
      <c r="A10" s="538">
        <v>3</v>
      </c>
      <c r="B10" s="975"/>
      <c r="C10" s="539" t="s">
        <v>293</v>
      </c>
      <c r="D10" s="538"/>
      <c r="E10" s="538" t="s">
        <v>291</v>
      </c>
      <c r="F10" s="538"/>
      <c r="G10" s="538"/>
      <c r="H10" s="538"/>
      <c r="I10" s="538"/>
      <c r="J10" s="14"/>
    </row>
    <row r="11" spans="1:10" ht="20.100000000000001" customHeight="1">
      <c r="A11" s="538">
        <v>4</v>
      </c>
      <c r="B11" s="975" t="s">
        <v>294</v>
      </c>
      <c r="C11" s="350" t="s">
        <v>290</v>
      </c>
      <c r="D11" s="538"/>
      <c r="E11" s="538" t="s">
        <v>291</v>
      </c>
      <c r="F11" s="538"/>
      <c r="G11" s="538"/>
      <c r="H11" s="538"/>
      <c r="I11" s="538"/>
      <c r="J11" s="14"/>
    </row>
    <row r="12" spans="1:10" ht="20.100000000000001" customHeight="1">
      <c r="A12" s="538">
        <v>5</v>
      </c>
      <c r="B12" s="975"/>
      <c r="C12" s="350" t="s">
        <v>261</v>
      </c>
      <c r="D12" s="538"/>
      <c r="E12" s="538" t="s">
        <v>291</v>
      </c>
      <c r="F12" s="538"/>
      <c r="G12" s="538"/>
      <c r="H12" s="538"/>
      <c r="I12" s="538"/>
      <c r="J12" s="14"/>
    </row>
    <row r="13" spans="1:10" ht="20.100000000000001" customHeight="1">
      <c r="A13" s="538">
        <v>6</v>
      </c>
      <c r="B13" s="975"/>
      <c r="C13" s="539" t="s">
        <v>296</v>
      </c>
      <c r="D13" s="538"/>
      <c r="E13" s="538" t="s">
        <v>291</v>
      </c>
      <c r="F13" s="538"/>
      <c r="G13" s="538"/>
      <c r="H13" s="538"/>
      <c r="I13" s="538"/>
      <c r="J13" s="14"/>
    </row>
    <row r="14" spans="1:10" ht="20.100000000000001" customHeight="1">
      <c r="A14" s="538">
        <v>7</v>
      </c>
      <c r="B14" s="351" t="s">
        <v>323</v>
      </c>
      <c r="C14" s="539" t="s">
        <v>324</v>
      </c>
      <c r="D14" s="538">
        <f>D15</f>
        <v>0</v>
      </c>
      <c r="E14" s="538" t="s">
        <v>291</v>
      </c>
      <c r="F14" s="538"/>
      <c r="G14" s="538"/>
      <c r="H14" s="538"/>
      <c r="I14" s="538"/>
      <c r="J14" s="14"/>
    </row>
    <row r="15" spans="1:10" ht="20.100000000000001" customHeight="1">
      <c r="A15" s="538">
        <v>8</v>
      </c>
      <c r="B15" s="975" t="s">
        <v>297</v>
      </c>
      <c r="C15" s="350" t="s">
        <v>298</v>
      </c>
      <c r="D15" s="538">
        <f>图兰朵黑檀作业单!L2</f>
        <v>0</v>
      </c>
      <c r="E15" s="538" t="s">
        <v>291</v>
      </c>
      <c r="F15" s="538"/>
      <c r="G15" s="538"/>
      <c r="H15" s="538"/>
      <c r="I15" s="538"/>
      <c r="J15" s="14"/>
    </row>
    <row r="16" spans="1:10" ht="20.100000000000001" customHeight="1">
      <c r="A16" s="538">
        <v>9</v>
      </c>
      <c r="B16" s="975"/>
      <c r="C16" s="350" t="s">
        <v>299</v>
      </c>
      <c r="D16" s="538">
        <f>D15</f>
        <v>0</v>
      </c>
      <c r="E16" s="538" t="s">
        <v>291</v>
      </c>
      <c r="F16" s="538"/>
      <c r="G16" s="538"/>
      <c r="H16" s="538"/>
      <c r="I16" s="538"/>
      <c r="J16" s="14"/>
    </row>
    <row r="17" spans="1:10" ht="20.100000000000001" customHeight="1">
      <c r="A17" s="538">
        <v>10</v>
      </c>
      <c r="B17" s="975" t="s">
        <v>300</v>
      </c>
      <c r="C17" s="350" t="s">
        <v>301</v>
      </c>
      <c r="D17" s="538"/>
      <c r="E17" s="538" t="s">
        <v>291</v>
      </c>
      <c r="F17" s="538"/>
      <c r="G17" s="538"/>
      <c r="H17" s="538"/>
      <c r="I17" s="538"/>
      <c r="J17" s="14"/>
    </row>
    <row r="18" spans="1:10" ht="20.100000000000001" customHeight="1">
      <c r="A18" s="538">
        <v>11</v>
      </c>
      <c r="B18" s="975"/>
      <c r="C18" s="350" t="s">
        <v>302</v>
      </c>
      <c r="D18" s="538"/>
      <c r="E18" s="538" t="s">
        <v>291</v>
      </c>
      <c r="F18" s="538"/>
      <c r="G18" s="538"/>
      <c r="H18" s="538"/>
      <c r="I18" s="538"/>
      <c r="J18" s="14"/>
    </row>
    <row r="19" spans="1:10" ht="20.100000000000001" customHeight="1">
      <c r="A19" s="538">
        <v>12</v>
      </c>
      <c r="B19" s="975"/>
      <c r="C19" s="350" t="s">
        <v>303</v>
      </c>
      <c r="D19" s="538"/>
      <c r="E19" s="538" t="s">
        <v>291</v>
      </c>
      <c r="F19" s="538"/>
      <c r="G19" s="538"/>
      <c r="H19" s="538"/>
      <c r="I19" s="538"/>
      <c r="J19" s="14"/>
    </row>
    <row r="20" spans="1:10" ht="20.100000000000001" customHeight="1">
      <c r="A20" s="538">
        <v>13</v>
      </c>
      <c r="B20" s="975"/>
      <c r="C20" s="350" t="s">
        <v>304</v>
      </c>
      <c r="D20" s="538"/>
      <c r="E20" s="538" t="s">
        <v>291</v>
      </c>
      <c r="F20" s="538"/>
      <c r="G20" s="538"/>
      <c r="H20" s="538"/>
      <c r="I20" s="538"/>
      <c r="J20" s="14"/>
    </row>
    <row r="21" spans="1:10" ht="20.100000000000001" customHeight="1">
      <c r="A21" s="538">
        <v>14</v>
      </c>
      <c r="B21" s="975" t="s">
        <v>305</v>
      </c>
      <c r="C21" s="350" t="s">
        <v>306</v>
      </c>
      <c r="D21" s="538"/>
      <c r="E21" s="538" t="s">
        <v>307</v>
      </c>
      <c r="F21" s="538"/>
      <c r="G21" s="538"/>
      <c r="H21" s="538"/>
      <c r="I21" s="538"/>
      <c r="J21" s="14"/>
    </row>
    <row r="22" spans="1:10" ht="20.100000000000001" customHeight="1">
      <c r="A22" s="538">
        <v>15</v>
      </c>
      <c r="B22" s="975"/>
      <c r="C22" s="350" t="s">
        <v>308</v>
      </c>
      <c r="D22" s="538"/>
      <c r="E22" s="538" t="s">
        <v>309</v>
      </c>
      <c r="F22" s="538"/>
      <c r="G22" s="538"/>
      <c r="H22" s="538"/>
      <c r="I22" s="538"/>
      <c r="J22" s="14"/>
    </row>
    <row r="23" spans="1:10" ht="20.100000000000001" customHeight="1">
      <c r="A23" s="538">
        <v>16</v>
      </c>
      <c r="B23" s="975"/>
      <c r="C23" s="540" t="s">
        <v>310</v>
      </c>
      <c r="D23" s="538"/>
      <c r="E23" s="538" t="s">
        <v>311</v>
      </c>
      <c r="F23" s="538"/>
      <c r="G23" s="538"/>
      <c r="H23" s="538"/>
      <c r="I23" s="538"/>
      <c r="J23" s="14"/>
    </row>
    <row r="24" spans="1:10" ht="20.100000000000001" customHeight="1">
      <c r="A24" s="538">
        <v>17</v>
      </c>
      <c r="B24" s="976" t="s">
        <v>312</v>
      </c>
      <c r="C24" s="55" t="s">
        <v>313</v>
      </c>
      <c r="D24" s="538">
        <f>图兰朵黑檀作业单!L48</f>
        <v>0</v>
      </c>
      <c r="E24" s="538" t="s">
        <v>309</v>
      </c>
      <c r="F24" s="538"/>
      <c r="G24" s="538"/>
      <c r="H24" s="538"/>
      <c r="I24" s="538"/>
      <c r="J24" s="14"/>
    </row>
    <row r="25" spans="1:10" ht="20.100000000000001" customHeight="1">
      <c r="A25" s="538">
        <v>18</v>
      </c>
      <c r="B25" s="976"/>
      <c r="C25" s="55" t="s">
        <v>314</v>
      </c>
      <c r="D25" s="538"/>
      <c r="E25" s="538" t="s">
        <v>309</v>
      </c>
      <c r="F25" s="538"/>
      <c r="G25" s="538"/>
      <c r="H25" s="538"/>
      <c r="I25" s="538"/>
      <c r="J25" s="14"/>
    </row>
    <row r="26" spans="1:10" ht="20.100000000000001" customHeight="1">
      <c r="A26" s="538">
        <v>19</v>
      </c>
      <c r="B26" s="870" t="s">
        <v>317</v>
      </c>
      <c r="C26" s="55" t="s">
        <v>318</v>
      </c>
      <c r="D26" s="576"/>
      <c r="E26" s="538" t="s">
        <v>309</v>
      </c>
      <c r="F26" s="538"/>
      <c r="G26" s="538"/>
      <c r="H26" s="538"/>
      <c r="I26" s="538"/>
      <c r="J26" s="14"/>
    </row>
    <row r="27" spans="1:10" ht="20.100000000000001" customHeight="1">
      <c r="A27" s="538">
        <v>20</v>
      </c>
      <c r="B27" s="871"/>
      <c r="C27" s="55" t="s">
        <v>320</v>
      </c>
      <c r="D27" s="538">
        <f>D24</f>
        <v>0</v>
      </c>
      <c r="E27" s="538" t="s">
        <v>309</v>
      </c>
      <c r="F27" s="538"/>
      <c r="G27" s="538"/>
      <c r="H27" s="538"/>
      <c r="I27" s="538"/>
      <c r="J27" s="14"/>
    </row>
    <row r="28" spans="1:10" ht="20.100000000000001" customHeight="1">
      <c r="A28" s="538">
        <v>21</v>
      </c>
      <c r="B28" s="539" t="s">
        <v>315</v>
      </c>
      <c r="C28" s="55" t="s">
        <v>316</v>
      </c>
      <c r="D28" s="538">
        <f>D16</f>
        <v>0</v>
      </c>
      <c r="E28" s="538" t="s">
        <v>291</v>
      </c>
      <c r="F28" s="538"/>
      <c r="G28" s="538"/>
      <c r="H28" s="538"/>
      <c r="I28" s="538"/>
      <c r="J28" s="14"/>
    </row>
    <row r="29" spans="1:10">
      <c r="A29" s="442"/>
      <c r="B29" s="442"/>
      <c r="C29" s="445"/>
      <c r="D29" s="442"/>
      <c r="E29" s="442"/>
      <c r="F29" s="442"/>
      <c r="G29" s="442"/>
      <c r="H29" s="442"/>
      <c r="I29" s="442"/>
      <c r="J29" s="441"/>
    </row>
    <row r="30" spans="1:10">
      <c r="A30" s="442"/>
      <c r="B30" s="442"/>
      <c r="C30" s="447"/>
      <c r="D30" s="442"/>
      <c r="E30" s="442"/>
      <c r="F30" s="442"/>
      <c r="G30" s="442"/>
      <c r="H30" s="442"/>
      <c r="I30" s="442"/>
      <c r="J30" s="441"/>
    </row>
    <row r="31" spans="1:10">
      <c r="A31" s="442"/>
      <c r="B31" s="442"/>
      <c r="C31" s="446"/>
      <c r="D31" s="442"/>
      <c r="E31" s="442"/>
      <c r="F31" s="442"/>
      <c r="G31" s="442"/>
      <c r="H31" s="442"/>
      <c r="I31" s="442"/>
      <c r="J31" s="441"/>
    </row>
    <row r="32" spans="1:10">
      <c r="A32" s="442"/>
      <c r="B32" s="442"/>
      <c r="C32" s="446"/>
      <c r="D32" s="442"/>
      <c r="E32" s="442"/>
      <c r="F32" s="442"/>
      <c r="G32" s="442"/>
      <c r="H32" s="442"/>
      <c r="I32" s="442"/>
      <c r="J32" s="441"/>
    </row>
    <row r="33" spans="1:10">
      <c r="A33" s="442"/>
      <c r="B33" s="442"/>
      <c r="C33" s="442"/>
      <c r="D33" s="442"/>
      <c r="E33" s="442"/>
      <c r="F33" s="442"/>
      <c r="G33" s="442"/>
      <c r="H33" s="442"/>
      <c r="I33" s="442"/>
      <c r="J33" s="441"/>
    </row>
    <row r="34" spans="1:10">
      <c r="A34" s="442"/>
      <c r="B34" s="442"/>
      <c r="C34" s="442"/>
      <c r="D34" s="442"/>
      <c r="E34" s="442"/>
      <c r="F34" s="442"/>
      <c r="G34" s="442"/>
      <c r="H34" s="442"/>
      <c r="I34" s="442"/>
      <c r="J34" s="441"/>
    </row>
    <row r="35" spans="1:10">
      <c r="A35" s="442"/>
      <c r="B35" s="442"/>
      <c r="C35" s="442"/>
      <c r="D35" s="442"/>
      <c r="E35" s="442"/>
      <c r="F35" s="442"/>
      <c r="G35" s="442"/>
      <c r="H35" s="442"/>
      <c r="I35" s="442"/>
      <c r="J35" s="441"/>
    </row>
    <row r="36" spans="1:10">
      <c r="A36" s="442"/>
      <c r="B36" s="442"/>
      <c r="C36" s="442"/>
      <c r="D36" s="442"/>
      <c r="E36" s="442"/>
      <c r="F36" s="442"/>
      <c r="G36" s="442"/>
      <c r="H36" s="442"/>
      <c r="I36" s="442"/>
      <c r="J36" s="441"/>
    </row>
    <row r="37" spans="1:10">
      <c r="A37" s="442"/>
      <c r="B37" s="442"/>
      <c r="C37" s="445"/>
      <c r="D37" s="442"/>
      <c r="E37" s="442"/>
      <c r="F37" s="442"/>
      <c r="G37" s="442"/>
      <c r="H37" s="442"/>
      <c r="I37" s="442"/>
      <c r="J37" s="441"/>
    </row>
    <row r="38" spans="1:10">
      <c r="A38" s="442"/>
      <c r="B38" s="442"/>
      <c r="C38" s="445"/>
      <c r="D38" s="442"/>
      <c r="E38" s="442"/>
      <c r="F38" s="442"/>
      <c r="G38" s="442"/>
      <c r="H38" s="442"/>
      <c r="I38" s="442"/>
      <c r="J38" s="441"/>
    </row>
    <row r="39" spans="1:10">
      <c r="A39" s="442"/>
      <c r="B39" s="442"/>
      <c r="C39" s="444"/>
      <c r="D39" s="442"/>
      <c r="E39" s="442"/>
      <c r="F39" s="442"/>
      <c r="G39" s="442"/>
      <c r="H39" s="442"/>
      <c r="I39" s="442"/>
      <c r="J39" s="441"/>
    </row>
    <row r="40" spans="1:10">
      <c r="A40" s="442"/>
      <c r="B40" s="442"/>
      <c r="C40" s="442"/>
      <c r="D40" s="442"/>
      <c r="E40" s="442"/>
      <c r="F40" s="442"/>
      <c r="G40" s="442"/>
      <c r="H40" s="442"/>
      <c r="I40" s="442"/>
      <c r="J40" s="441"/>
    </row>
    <row r="41" spans="1:10">
      <c r="A41" s="442"/>
      <c r="B41" s="442"/>
      <c r="C41" s="442"/>
      <c r="D41" s="442"/>
      <c r="E41" s="442"/>
      <c r="F41" s="442"/>
      <c r="G41" s="442"/>
      <c r="H41" s="442"/>
      <c r="I41" s="442"/>
      <c r="J41" s="441"/>
    </row>
    <row r="42" spans="1:10">
      <c r="A42" s="442"/>
      <c r="B42" s="442"/>
      <c r="C42" s="443"/>
      <c r="D42" s="442"/>
      <c r="E42" s="442"/>
      <c r="F42" s="442"/>
      <c r="G42" s="442"/>
      <c r="H42" s="442"/>
      <c r="I42" s="442"/>
      <c r="J42" s="441"/>
    </row>
    <row r="43" spans="1:10">
      <c r="A43" s="442"/>
      <c r="B43" s="442"/>
      <c r="C43" s="443"/>
      <c r="D43" s="442"/>
      <c r="E43" s="442"/>
      <c r="F43" s="442"/>
      <c r="G43" s="442"/>
      <c r="H43" s="442"/>
      <c r="I43" s="442"/>
      <c r="J43" s="441"/>
    </row>
    <row r="44" spans="1:10">
      <c r="A44" s="442"/>
      <c r="B44" s="442"/>
      <c r="C44" s="442"/>
      <c r="D44" s="442"/>
      <c r="E44" s="442"/>
      <c r="F44" s="442"/>
      <c r="G44" s="442"/>
      <c r="H44" s="442"/>
      <c r="I44" s="442"/>
      <c r="J44" s="441"/>
    </row>
    <row r="45" spans="1:10">
      <c r="A45" s="442"/>
      <c r="B45" s="442"/>
      <c r="C45" s="442"/>
      <c r="D45" s="442"/>
      <c r="E45" s="442"/>
      <c r="F45" s="442"/>
      <c r="G45" s="442"/>
      <c r="H45" s="442"/>
      <c r="I45" s="442"/>
      <c r="J45" s="441"/>
    </row>
    <row r="46" spans="1:10">
      <c r="A46" s="442"/>
      <c r="B46" s="442"/>
      <c r="C46" s="442"/>
      <c r="D46" s="442"/>
      <c r="E46" s="442"/>
      <c r="F46" s="442"/>
      <c r="G46" s="442"/>
      <c r="H46" s="442"/>
      <c r="I46" s="442"/>
      <c r="J46" s="441"/>
    </row>
    <row r="47" spans="1:10">
      <c r="A47" s="439"/>
      <c r="B47" s="440"/>
      <c r="C47" s="440"/>
      <c r="D47" s="439"/>
      <c r="E47" s="439"/>
      <c r="F47" s="439"/>
      <c r="G47" s="439"/>
      <c r="H47" s="439"/>
      <c r="I47" s="439"/>
      <c r="J47" s="439"/>
    </row>
  </sheetData>
  <mergeCells count="21">
    <mergeCell ref="B26:B27"/>
    <mergeCell ref="B8:B10"/>
    <mergeCell ref="B11:B13"/>
    <mergeCell ref="B15:B16"/>
    <mergeCell ref="B17:B20"/>
    <mergeCell ref="B21:B23"/>
    <mergeCell ref="B24:B25"/>
    <mergeCell ref="B4:C4"/>
    <mergeCell ref="E4:G4"/>
    <mergeCell ref="I4:J4"/>
    <mergeCell ref="I5:J5"/>
    <mergeCell ref="B6:C6"/>
    <mergeCell ref="E6:G6"/>
    <mergeCell ref="I6:J6"/>
    <mergeCell ref="A1:J1"/>
    <mergeCell ref="B2:C2"/>
    <mergeCell ref="E2:G2"/>
    <mergeCell ref="I2:J2"/>
    <mergeCell ref="B3:C3"/>
    <mergeCell ref="E3:G3"/>
    <mergeCell ref="I3:J3"/>
  </mergeCells>
  <phoneticPr fontId="76" type="noConversion"/>
  <conditionalFormatting sqref="C18:C19">
    <cfRule type="duplicateValues" dxfId="13" priority="14" stopIfTrue="1"/>
  </conditionalFormatting>
  <conditionalFormatting sqref="C21">
    <cfRule type="duplicateValues" dxfId="12" priority="13" stopIfTrue="1"/>
  </conditionalFormatting>
  <conditionalFormatting sqref="C20 C22">
    <cfRule type="duplicateValues" dxfId="11" priority="12" stopIfTrue="1"/>
  </conditionalFormatting>
  <conditionalFormatting sqref="C20">
    <cfRule type="duplicateValues" dxfId="10" priority="11"/>
  </conditionalFormatting>
  <conditionalFormatting sqref="C13:C17">
    <cfRule type="duplicateValues" dxfId="9" priority="10" stopIfTrue="1"/>
  </conditionalFormatting>
  <conditionalFormatting sqref="C10">
    <cfRule type="duplicateValues" dxfId="8" priority="9" stopIfTrue="1"/>
  </conditionalFormatting>
  <conditionalFormatting sqref="C11">
    <cfRule type="duplicateValues" dxfId="7" priority="8" stopIfTrue="1"/>
  </conditionalFormatting>
  <conditionalFormatting sqref="C12">
    <cfRule type="duplicateValues" dxfId="6" priority="7" stopIfTrue="1"/>
  </conditionalFormatting>
  <conditionalFormatting sqref="C17">
    <cfRule type="duplicateValues" dxfId="5" priority="6" stopIfTrue="1"/>
  </conditionalFormatting>
  <conditionalFormatting sqref="C23">
    <cfRule type="duplicateValues" dxfId="4" priority="5"/>
  </conditionalFormatting>
  <conditionalFormatting sqref="C39">
    <cfRule type="duplicateValues" dxfId="3" priority="4" stopIfTrue="1"/>
  </conditionalFormatting>
  <conditionalFormatting sqref="C13:C14">
    <cfRule type="duplicateValues" dxfId="2" priority="3" stopIfTrue="1"/>
  </conditionalFormatting>
  <conditionalFormatting sqref="C14">
    <cfRule type="duplicateValues" dxfId="1" priority="2" stopIfTrue="1"/>
  </conditionalFormatting>
  <conditionalFormatting sqref="C14">
    <cfRule type="duplicateValues" dxfId="0" priority="1" stopIfTrue="1"/>
  </conditionalFormatting>
  <printOptions horizontalCentered="1"/>
  <pageMargins left="0.19685039370078741" right="0.19685039370078741" top="0.59055118110236227" bottom="0.59055118110236227" header="0.19685039370078741" footer="0.19685039370078741"/>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Y762"/>
  <sheetViews>
    <sheetView view="pageBreakPreview" zoomScaleSheetLayoutView="100" workbookViewId="0">
      <selection activeCell="W51" sqref="W51"/>
    </sheetView>
  </sheetViews>
  <sheetFormatPr defaultRowHeight="17.100000000000001" customHeight="1"/>
  <cols>
    <col min="1" max="1" width="9.625" style="646" customWidth="1"/>
    <col min="2" max="4" width="5" style="646" customWidth="1"/>
    <col min="5" max="8" width="5.25" style="646" customWidth="1"/>
    <col min="9" max="9" width="5.625" style="646" customWidth="1"/>
    <col min="10" max="10" width="7.875" style="646" customWidth="1"/>
    <col min="11" max="11" width="9" style="646"/>
    <col min="12" max="12" width="14.625" style="646" customWidth="1"/>
    <col min="13" max="13" width="9.875" style="646" customWidth="1"/>
    <col min="14" max="14" width="10.625" style="646" customWidth="1"/>
    <col min="15" max="23" width="10.625" style="647" customWidth="1"/>
    <col min="24" max="24" width="10.625" style="646" customWidth="1"/>
    <col min="25" max="16384" width="9" style="646"/>
  </cols>
  <sheetData>
    <row r="1" spans="1:24" ht="26.25" customHeight="1">
      <c r="A1" s="1119" t="s">
        <v>1411</v>
      </c>
      <c r="B1" s="1119"/>
      <c r="C1" s="1119"/>
      <c r="D1" s="1119"/>
      <c r="E1" s="1119"/>
      <c r="F1" s="1119"/>
      <c r="G1" s="1119"/>
      <c r="H1" s="1119"/>
      <c r="I1" s="1119"/>
      <c r="J1" s="1119"/>
      <c r="K1" s="1119"/>
      <c r="L1" s="1119"/>
      <c r="M1" s="648"/>
      <c r="N1" s="648"/>
    </row>
    <row r="2" spans="1:24" ht="12">
      <c r="A2" s="1120" t="s">
        <v>1194</v>
      </c>
      <c r="B2" s="1120"/>
      <c r="C2" s="1121" t="str">
        <f>图兰朵黑檀转序单!B2</f>
        <v>赵蕊</v>
      </c>
      <c r="D2" s="1121"/>
      <c r="E2" s="1121"/>
      <c r="F2" s="1121"/>
      <c r="G2" s="1113" t="str">
        <f>[4]图兰朵混油下料单!G3</f>
        <v>版本型录号</v>
      </c>
      <c r="H2" s="1113"/>
      <c r="I2" s="1121">
        <f>图兰朵黑檀转序单!E4</f>
        <v>123</v>
      </c>
      <c r="J2" s="1121"/>
      <c r="K2" s="649" t="s">
        <v>1259</v>
      </c>
      <c r="L2" s="650">
        <f>SUM(D7:D44)</f>
        <v>0</v>
      </c>
      <c r="M2" s="651"/>
      <c r="N2" s="651"/>
    </row>
    <row r="3" spans="1:24" ht="12.75">
      <c r="A3" s="1113" t="s">
        <v>1195</v>
      </c>
      <c r="B3" s="1113"/>
      <c r="C3" s="1114">
        <f>图兰朵黑檀转序单!E2</f>
        <v>15530608063</v>
      </c>
      <c r="D3" s="1114"/>
      <c r="E3" s="1114"/>
      <c r="F3" s="1114"/>
      <c r="G3" s="1113" t="s">
        <v>1412</v>
      </c>
      <c r="H3" s="1113"/>
      <c r="I3" s="1115">
        <f>图兰朵黑檀转序单!I3</f>
        <v>43129</v>
      </c>
      <c r="J3" s="1116"/>
      <c r="K3" s="652" t="s">
        <v>1202</v>
      </c>
      <c r="L3" s="653">
        <f>图兰朵黑檀转序单!I4</f>
        <v>43169</v>
      </c>
      <c r="M3" s="654"/>
      <c r="N3" s="654"/>
    </row>
    <row r="4" spans="1:24" ht="12.75" thickBot="1">
      <c r="A4" s="1113" t="s">
        <v>1413</v>
      </c>
      <c r="B4" s="1113"/>
      <c r="C4" s="1117" t="s">
        <v>1414</v>
      </c>
      <c r="D4" s="1117"/>
      <c r="E4" s="1117"/>
      <c r="F4" s="1117"/>
      <c r="G4" s="1118" t="s">
        <v>1415</v>
      </c>
      <c r="H4" s="1118"/>
      <c r="I4" s="1118"/>
      <c r="J4" s="1118"/>
      <c r="K4" s="655" t="s">
        <v>1416</v>
      </c>
      <c r="L4" s="654" t="str">
        <f>[4]图兰朵混油下料单!L5</f>
        <v>图兰朵</v>
      </c>
      <c r="M4" s="654"/>
      <c r="N4" s="654"/>
    </row>
    <row r="5" spans="1:24" ht="12">
      <c r="A5" s="656" t="s">
        <v>1417</v>
      </c>
      <c r="B5" s="1122" t="s">
        <v>1262</v>
      </c>
      <c r="C5" s="1122"/>
      <c r="D5" s="1122"/>
      <c r="E5" s="1122" t="s">
        <v>1418</v>
      </c>
      <c r="F5" s="1122"/>
      <c r="G5" s="1122"/>
      <c r="H5" s="1122"/>
      <c r="I5" s="1123" t="s">
        <v>1419</v>
      </c>
      <c r="J5" s="1123"/>
      <c r="K5" s="1123"/>
      <c r="L5" s="1123"/>
      <c r="M5" s="1124"/>
      <c r="N5" s="651"/>
    </row>
    <row r="6" spans="1:24" ht="12">
      <c r="A6" s="657" t="s">
        <v>1420</v>
      </c>
      <c r="B6" s="658" t="s">
        <v>233</v>
      </c>
      <c r="C6" s="658" t="s">
        <v>1263</v>
      </c>
      <c r="D6" s="658" t="s">
        <v>1264</v>
      </c>
      <c r="E6" s="658" t="s">
        <v>1267</v>
      </c>
      <c r="F6" s="658" t="s">
        <v>1263</v>
      </c>
      <c r="G6" s="658" t="s">
        <v>1266</v>
      </c>
      <c r="H6" s="658" t="s">
        <v>1264</v>
      </c>
      <c r="I6" s="1125" t="s">
        <v>1421</v>
      </c>
      <c r="J6" s="1125"/>
      <c r="K6" s="1125" t="s">
        <v>1422</v>
      </c>
      <c r="L6" s="1125"/>
      <c r="M6" s="659" t="s">
        <v>1423</v>
      </c>
      <c r="N6" s="660" t="s">
        <v>1381</v>
      </c>
      <c r="O6" s="661" t="s">
        <v>1424</v>
      </c>
      <c r="P6" s="661" t="s">
        <v>1425</v>
      </c>
      <c r="Q6" s="661" t="s">
        <v>1426</v>
      </c>
      <c r="R6" s="661" t="s">
        <v>1427</v>
      </c>
      <c r="S6" s="661" t="s">
        <v>1428</v>
      </c>
      <c r="T6" s="662" t="s">
        <v>1429</v>
      </c>
      <c r="U6" s="663" t="s">
        <v>1430</v>
      </c>
      <c r="V6" s="664" t="s">
        <v>1431</v>
      </c>
      <c r="W6" s="665" t="s">
        <v>1432</v>
      </c>
      <c r="X6" s="666" t="s">
        <v>1433</v>
      </c>
    </row>
    <row r="7" spans="1:24" ht="12">
      <c r="A7" s="1126" t="s">
        <v>1434</v>
      </c>
      <c r="B7" s="1128"/>
      <c r="C7" s="1128"/>
      <c r="D7" s="1125"/>
      <c r="E7" s="658">
        <f>C7+10</f>
        <v>10</v>
      </c>
      <c r="F7" s="658">
        <f>B7+10</f>
        <v>10</v>
      </c>
      <c r="G7" s="658">
        <v>6</v>
      </c>
      <c r="H7" s="658">
        <f>D7*2</f>
        <v>0</v>
      </c>
      <c r="I7" s="1125" t="s">
        <v>1435</v>
      </c>
      <c r="J7" s="1125"/>
      <c r="K7" s="1132" t="s">
        <v>1436</v>
      </c>
      <c r="L7" s="1132"/>
      <c r="M7" s="1133" t="s">
        <v>1437</v>
      </c>
      <c r="N7" s="1134">
        <f>+(B7*2+C7*2+160)/1000*D7</f>
        <v>0</v>
      </c>
      <c r="O7" s="1129">
        <f>B7*C7*D7/1000000/0.95</f>
        <v>0</v>
      </c>
      <c r="P7" s="1129">
        <f>E7*F7*H7/1000000/1.22/2.44/0.85</f>
        <v>0</v>
      </c>
      <c r="Q7" s="1135"/>
      <c r="R7" s="1129"/>
      <c r="S7" s="1129"/>
      <c r="T7" s="1130">
        <f>+((B7+C7*2)*100)/1000000/0.6*D7</f>
        <v>0</v>
      </c>
      <c r="U7" s="1131">
        <f>((B7-50)*(C7-100))*2/1000000/0.75*D7</f>
        <v>0</v>
      </c>
      <c r="V7" s="1129">
        <f>(B7*C7*D7/1000000)*2</f>
        <v>0</v>
      </c>
      <c r="W7" s="1129">
        <f t="shared" ref="W7:W30" si="0">+((B7+C7)*2*D7/1000)*0.05</f>
        <v>0</v>
      </c>
      <c r="X7" s="667"/>
    </row>
    <row r="8" spans="1:24" ht="12">
      <c r="A8" s="1127"/>
      <c r="B8" s="1128"/>
      <c r="C8" s="1128"/>
      <c r="D8" s="1125"/>
      <c r="E8" s="658">
        <v>39</v>
      </c>
      <c r="F8" s="658">
        <f>F7</f>
        <v>10</v>
      </c>
      <c r="G8" s="658">
        <v>50</v>
      </c>
      <c r="H8" s="658">
        <f>D7*2</f>
        <v>0</v>
      </c>
      <c r="I8" s="1125" t="s">
        <v>1438</v>
      </c>
      <c r="J8" s="1125"/>
      <c r="K8" s="1132"/>
      <c r="L8" s="1132"/>
      <c r="M8" s="1133"/>
      <c r="N8" s="1134"/>
      <c r="O8" s="1129">
        <f>B8*C8*D8/1000000/0.4</f>
        <v>0</v>
      </c>
      <c r="P8" s="1129">
        <f>B8*C8*D8/1000000/2.88/0.85</f>
        <v>0</v>
      </c>
      <c r="Q8" s="1136"/>
      <c r="R8" s="1129"/>
      <c r="S8" s="1129"/>
      <c r="T8" s="1130"/>
      <c r="U8" s="1131"/>
      <c r="V8" s="1129">
        <f>(B8*C8*D8/1000000)*2+((B8+C8)*2*D8/1000)*0.02</f>
        <v>0</v>
      </c>
      <c r="W8" s="1129">
        <f t="shared" si="0"/>
        <v>0</v>
      </c>
      <c r="X8" s="668">
        <f>ROUNDUP((F8*H8)/1000/2.4,1)</f>
        <v>0</v>
      </c>
    </row>
    <row r="9" spans="1:24" ht="12">
      <c r="A9" s="1127"/>
      <c r="B9" s="1128"/>
      <c r="C9" s="1128"/>
      <c r="D9" s="1125"/>
      <c r="E9" s="658">
        <v>39</v>
      </c>
      <c r="F9" s="658">
        <f>E7-100</f>
        <v>-90</v>
      </c>
      <c r="G9" s="658">
        <v>50</v>
      </c>
      <c r="H9" s="658" t="b">
        <f>IF(AND(F7&gt;100,F7&lt;601),D7*2,IF(AND(F7&gt;600,F7&lt;1001),D7*3,IF(AND(F7&gt;1000,F7&lt;1501),D7*4,IF(AND(F7&gt;1500,F7&lt;3001),D7*5))))</f>
        <v>0</v>
      </c>
      <c r="I9" s="1125" t="s">
        <v>1438</v>
      </c>
      <c r="J9" s="1125"/>
      <c r="K9" s="1132"/>
      <c r="L9" s="1132"/>
      <c r="M9" s="1133"/>
      <c r="N9" s="1134"/>
      <c r="O9" s="1129">
        <f>B9*C9*D9/1000000/0.4</f>
        <v>0</v>
      </c>
      <c r="P9" s="1129">
        <f>B9*C9*D9/1000000/2.88/0.85</f>
        <v>0</v>
      </c>
      <c r="Q9" s="1137"/>
      <c r="R9" s="1129"/>
      <c r="S9" s="1129"/>
      <c r="T9" s="1130"/>
      <c r="U9" s="1131"/>
      <c r="V9" s="1129">
        <f>(B9*C9*D9/1000000)*2+((B9+C9)*2*D9/1000)*0.02</f>
        <v>0</v>
      </c>
      <c r="W9" s="1129">
        <f t="shared" si="0"/>
        <v>0</v>
      </c>
      <c r="X9" s="668">
        <f>ROUNDUP((F9*H9)/1000/2.4,1)</f>
        <v>0</v>
      </c>
    </row>
    <row r="10" spans="1:24" ht="12">
      <c r="A10" s="1126" t="s">
        <v>1434</v>
      </c>
      <c r="B10" s="1128"/>
      <c r="C10" s="1128"/>
      <c r="D10" s="1125"/>
      <c r="E10" s="658">
        <f>C10+10</f>
        <v>10</v>
      </c>
      <c r="F10" s="658">
        <f>B10+10</f>
        <v>10</v>
      </c>
      <c r="G10" s="658">
        <v>6</v>
      </c>
      <c r="H10" s="658">
        <f>D10*2</f>
        <v>0</v>
      </c>
      <c r="I10" s="1125" t="s">
        <v>1435</v>
      </c>
      <c r="J10" s="1125"/>
      <c r="K10" s="1132" t="s">
        <v>1439</v>
      </c>
      <c r="L10" s="1132"/>
      <c r="M10" s="1133" t="s">
        <v>1437</v>
      </c>
      <c r="N10" s="1134">
        <f>+(B10*2+C10*2+160)/1000*D10</f>
        <v>0</v>
      </c>
      <c r="O10" s="1129">
        <f>B10*C10*D10/1000000/0.95</f>
        <v>0</v>
      </c>
      <c r="P10" s="1129">
        <f>E10*F10*H10/1000000/1.22/2.44/0.85</f>
        <v>0</v>
      </c>
      <c r="Q10" s="1129"/>
      <c r="R10" s="1129"/>
      <c r="S10" s="1129"/>
      <c r="T10" s="1130">
        <f>((B10+C10*2)/1000000/0.6*D10*2)+(B10*C10*D10/1000000/0.6)</f>
        <v>0</v>
      </c>
      <c r="U10" s="1131">
        <f>((B10-50)*(C10-100))/1000000/0.75*D10</f>
        <v>0</v>
      </c>
      <c r="V10" s="1129">
        <f>(B10*C10*D10/1000000)*2</f>
        <v>0</v>
      </c>
      <c r="W10" s="1129">
        <f t="shared" si="0"/>
        <v>0</v>
      </c>
      <c r="X10" s="667"/>
    </row>
    <row r="11" spans="1:24" ht="12">
      <c r="A11" s="1127"/>
      <c r="B11" s="1128"/>
      <c r="C11" s="1128"/>
      <c r="D11" s="1125"/>
      <c r="E11" s="658">
        <v>39</v>
      </c>
      <c r="F11" s="658">
        <f>F10</f>
        <v>10</v>
      </c>
      <c r="G11" s="658">
        <v>50</v>
      </c>
      <c r="H11" s="658">
        <f>D10*2</f>
        <v>0</v>
      </c>
      <c r="I11" s="1125" t="s">
        <v>1438</v>
      </c>
      <c r="J11" s="1125"/>
      <c r="K11" s="1132"/>
      <c r="L11" s="1132"/>
      <c r="M11" s="1133"/>
      <c r="N11" s="1134"/>
      <c r="O11" s="1129">
        <f>B11*C11*D11/1000000/0.4</f>
        <v>0</v>
      </c>
      <c r="P11" s="1129">
        <f>B11*C11*D11/1000000/2.88/0.85</f>
        <v>0</v>
      </c>
      <c r="Q11" s="1129"/>
      <c r="R11" s="1129"/>
      <c r="S11" s="1129"/>
      <c r="T11" s="1130"/>
      <c r="U11" s="1131"/>
      <c r="V11" s="1129">
        <f>(B11*C11*D11/1000000)*2+((B11+C11)*2*D11/1000)*0.02</f>
        <v>0</v>
      </c>
      <c r="W11" s="1129">
        <f t="shared" si="0"/>
        <v>0</v>
      </c>
      <c r="X11" s="668">
        <f>ROUNDUP((F11*H11)/1000/2.4,1)</f>
        <v>0</v>
      </c>
    </row>
    <row r="12" spans="1:24" ht="12">
      <c r="A12" s="1127"/>
      <c r="B12" s="1128"/>
      <c r="C12" s="1128"/>
      <c r="D12" s="1125"/>
      <c r="E12" s="658">
        <v>39</v>
      </c>
      <c r="F12" s="658">
        <f>E10-100</f>
        <v>-90</v>
      </c>
      <c r="G12" s="658">
        <v>50</v>
      </c>
      <c r="H12" s="658" t="b">
        <f>IF(AND(F10&gt;100,F10&lt;601),D10*2,IF(AND(F10&gt;600,F10&lt;1001),D10*3,IF(AND(F10&gt;1000,F10&lt;1501),D10*4,IF(AND(F10&gt;1500,F10&lt;3001),D10*5))))</f>
        <v>0</v>
      </c>
      <c r="I12" s="1125" t="s">
        <v>1438</v>
      </c>
      <c r="J12" s="1125"/>
      <c r="K12" s="1132"/>
      <c r="L12" s="1132"/>
      <c r="M12" s="1133"/>
      <c r="N12" s="1134"/>
      <c r="O12" s="1129">
        <f>B12*C12*D12/1000000/0.4</f>
        <v>0</v>
      </c>
      <c r="P12" s="1129">
        <f>B12*C12*D12/1000000/2.88/0.85</f>
        <v>0</v>
      </c>
      <c r="Q12" s="1129"/>
      <c r="R12" s="1129"/>
      <c r="S12" s="1129"/>
      <c r="T12" s="1130"/>
      <c r="U12" s="1131"/>
      <c r="V12" s="1129">
        <f>(B12*C12*D12/1000000)*2+((B12+C12)*2*D12/1000)*0.02</f>
        <v>0</v>
      </c>
      <c r="W12" s="1129">
        <f t="shared" si="0"/>
        <v>0</v>
      </c>
      <c r="X12" s="668">
        <f>ROUNDUP((F12*H12)/1000/2.4,1)</f>
        <v>0</v>
      </c>
    </row>
    <row r="13" spans="1:24" ht="12">
      <c r="A13" s="1126" t="s">
        <v>1434</v>
      </c>
      <c r="B13" s="1128"/>
      <c r="C13" s="1128"/>
      <c r="D13" s="1125"/>
      <c r="E13" s="658">
        <f>C13+10</f>
        <v>10</v>
      </c>
      <c r="F13" s="658">
        <f>B13+10</f>
        <v>10</v>
      </c>
      <c r="G13" s="658">
        <v>6</v>
      </c>
      <c r="H13" s="658">
        <f>D13*2</f>
        <v>0</v>
      </c>
      <c r="I13" s="1125" t="s">
        <v>1435</v>
      </c>
      <c r="J13" s="1125"/>
      <c r="K13" s="1132" t="s">
        <v>1440</v>
      </c>
      <c r="L13" s="1132"/>
      <c r="M13" s="1133" t="s">
        <v>1437</v>
      </c>
      <c r="N13" s="1134">
        <f>+(B13*2+C13*2+160)/1000*D13</f>
        <v>0</v>
      </c>
      <c r="O13" s="1129">
        <f>B13*C13*D13/1000000/0.95</f>
        <v>0</v>
      </c>
      <c r="P13" s="1129">
        <f>E13*F13*H13/1000000/1.22/2.44/0.85</f>
        <v>0</v>
      </c>
      <c r="Q13" s="1135"/>
      <c r="R13" s="1129"/>
      <c r="S13" s="1129"/>
      <c r="T13" s="1130">
        <f>+((B13+C13*2)*100)/1000000/0.6*D13</f>
        <v>0</v>
      </c>
      <c r="U13" s="1131">
        <f>((B13-50)*(C13-100))*2/1000000/0.75*D13</f>
        <v>0</v>
      </c>
      <c r="V13" s="1129">
        <f>(B13*C13*D13/1000000)*2</f>
        <v>0</v>
      </c>
      <c r="W13" s="1129">
        <f t="shared" si="0"/>
        <v>0</v>
      </c>
      <c r="X13" s="667"/>
    </row>
    <row r="14" spans="1:24" ht="12">
      <c r="A14" s="1127"/>
      <c r="B14" s="1128"/>
      <c r="C14" s="1128"/>
      <c r="D14" s="1125"/>
      <c r="E14" s="658">
        <v>39</v>
      </c>
      <c r="F14" s="658">
        <f>F13</f>
        <v>10</v>
      </c>
      <c r="G14" s="658">
        <v>50</v>
      </c>
      <c r="H14" s="658">
        <f>D13*2</f>
        <v>0</v>
      </c>
      <c r="I14" s="1125" t="s">
        <v>1438</v>
      </c>
      <c r="J14" s="1125"/>
      <c r="K14" s="1132"/>
      <c r="L14" s="1132"/>
      <c r="M14" s="1133"/>
      <c r="N14" s="1134"/>
      <c r="O14" s="1129">
        <f>B14*C14*D14/1000000/0.4</f>
        <v>0</v>
      </c>
      <c r="P14" s="1129">
        <f>B14*C14*D14/1000000/2.88/0.85</f>
        <v>0</v>
      </c>
      <c r="Q14" s="1136"/>
      <c r="R14" s="1129"/>
      <c r="S14" s="1129"/>
      <c r="T14" s="1130"/>
      <c r="U14" s="1131"/>
      <c r="V14" s="1129">
        <f>(B14*C14*D14/1000000)*2+((B14+C14)*2*D14/1000)*0.02</f>
        <v>0</v>
      </c>
      <c r="W14" s="1129">
        <f t="shared" si="0"/>
        <v>0</v>
      </c>
      <c r="X14" s="668">
        <f>ROUNDUP((F14*H14)/1000/2.4,1)</f>
        <v>0</v>
      </c>
    </row>
    <row r="15" spans="1:24" ht="12">
      <c r="A15" s="1127"/>
      <c r="B15" s="1128"/>
      <c r="C15" s="1128"/>
      <c r="D15" s="1125"/>
      <c r="E15" s="658">
        <v>39</v>
      </c>
      <c r="F15" s="658">
        <f>E13-100</f>
        <v>-90</v>
      </c>
      <c r="G15" s="658">
        <v>50</v>
      </c>
      <c r="H15" s="658" t="b">
        <f>IF(AND(F13&gt;100,F13&lt;601),D13*2,IF(AND(F13&gt;600,F13&lt;1001),D13*3,IF(AND(F13&gt;1000,F13&lt;1501),D13*4,IF(AND(F13&gt;1500,F13&lt;3001),D13*5))))</f>
        <v>0</v>
      </c>
      <c r="I15" s="1125" t="s">
        <v>1438</v>
      </c>
      <c r="J15" s="1125"/>
      <c r="K15" s="1132"/>
      <c r="L15" s="1132"/>
      <c r="M15" s="1133"/>
      <c r="N15" s="1134"/>
      <c r="O15" s="1129">
        <f>B15*C15*D15/1000000/0.4</f>
        <v>0</v>
      </c>
      <c r="P15" s="1129">
        <f>B15*C15*D15/1000000/2.88/0.85</f>
        <v>0</v>
      </c>
      <c r="Q15" s="1137"/>
      <c r="R15" s="1129"/>
      <c r="S15" s="1129"/>
      <c r="T15" s="1130"/>
      <c r="U15" s="1131"/>
      <c r="V15" s="1129">
        <f>(B15*C15*D15/1000000)*2+((B15+C15)*2*D15/1000)*0.02</f>
        <v>0</v>
      </c>
      <c r="W15" s="1129">
        <f t="shared" si="0"/>
        <v>0</v>
      </c>
      <c r="X15" s="668">
        <f>ROUNDUP((F15*H15)/1000/2.4,1)</f>
        <v>0</v>
      </c>
    </row>
    <row r="16" spans="1:24" ht="12">
      <c r="A16" s="1126" t="s">
        <v>1434</v>
      </c>
      <c r="B16" s="1128"/>
      <c r="C16" s="1128"/>
      <c r="D16" s="1125"/>
      <c r="E16" s="658">
        <f>C16+10</f>
        <v>10</v>
      </c>
      <c r="F16" s="658">
        <f>B16+10</f>
        <v>10</v>
      </c>
      <c r="G16" s="658">
        <v>6</v>
      </c>
      <c r="H16" s="658">
        <f>D16*2</f>
        <v>0</v>
      </c>
      <c r="I16" s="1125" t="s">
        <v>1435</v>
      </c>
      <c r="J16" s="1125"/>
      <c r="K16" s="1132" t="s">
        <v>1441</v>
      </c>
      <c r="L16" s="1132"/>
      <c r="M16" s="1133" t="s">
        <v>1437</v>
      </c>
      <c r="N16" s="1134">
        <f>+(B16*2+C16*2+160)/1000*D16</f>
        <v>0</v>
      </c>
      <c r="O16" s="1129">
        <f>B16*C16*D16/1000000/0.95</f>
        <v>0</v>
      </c>
      <c r="P16" s="1129">
        <f>E16*F16*H16/1000000/1.22/2.44/0.85</f>
        <v>0</v>
      </c>
      <c r="Q16" s="1129"/>
      <c r="R16" s="1129"/>
      <c r="S16" s="1129"/>
      <c r="T16" s="1130">
        <f>((B16+C16*2)/1000000/0.6*D16*2)+(B16*C16*D16/1000000/0.6)</f>
        <v>0</v>
      </c>
      <c r="U16" s="1131">
        <f>((B16-50)*(C16-100))/1000000/0.75*D16</f>
        <v>0</v>
      </c>
      <c r="V16" s="1129">
        <f>(B16*C16*D16/1000000)*2</f>
        <v>0</v>
      </c>
      <c r="W16" s="1129">
        <f t="shared" si="0"/>
        <v>0</v>
      </c>
      <c r="X16" s="667"/>
    </row>
    <row r="17" spans="1:24" ht="12">
      <c r="A17" s="1127"/>
      <c r="B17" s="1128"/>
      <c r="C17" s="1128"/>
      <c r="D17" s="1125"/>
      <c r="E17" s="658">
        <v>39</v>
      </c>
      <c r="F17" s="658">
        <f>F16</f>
        <v>10</v>
      </c>
      <c r="G17" s="658">
        <v>50</v>
      </c>
      <c r="H17" s="658">
        <f>D16*2</f>
        <v>0</v>
      </c>
      <c r="I17" s="1125" t="s">
        <v>1438</v>
      </c>
      <c r="J17" s="1125"/>
      <c r="K17" s="1132"/>
      <c r="L17" s="1132"/>
      <c r="M17" s="1133"/>
      <c r="N17" s="1134"/>
      <c r="O17" s="1129">
        <f>B17*C17*D17/1000000/0.4</f>
        <v>0</v>
      </c>
      <c r="P17" s="1129">
        <f>B17*C17*D17/1000000/2.88/0.85</f>
        <v>0</v>
      </c>
      <c r="Q17" s="1129"/>
      <c r="R17" s="1129"/>
      <c r="S17" s="1129"/>
      <c r="T17" s="1130"/>
      <c r="U17" s="1131"/>
      <c r="V17" s="1129">
        <f>(B17*C17*D17/1000000)*2+((B17+C17)*2*D17/1000)*0.02</f>
        <v>0</v>
      </c>
      <c r="W17" s="1129">
        <f t="shared" si="0"/>
        <v>0</v>
      </c>
      <c r="X17" s="668">
        <f>ROUNDUP((F17*H17)/1000/2.4,1)</f>
        <v>0</v>
      </c>
    </row>
    <row r="18" spans="1:24" ht="12">
      <c r="A18" s="1127"/>
      <c r="B18" s="1128"/>
      <c r="C18" s="1128"/>
      <c r="D18" s="1125"/>
      <c r="E18" s="658">
        <v>39</v>
      </c>
      <c r="F18" s="658">
        <f>E16-100</f>
        <v>-90</v>
      </c>
      <c r="G18" s="658">
        <v>50</v>
      </c>
      <c r="H18" s="658" t="b">
        <f>IF(AND(F16&gt;100,F16&lt;601),D16*2,IF(AND(F16&gt;600,F16&lt;1001),D16*3,IF(AND(F16&gt;1000,F16&lt;1501),D16*4,IF(AND(F16&gt;1500,F16&lt;3001),D16*5))))</f>
        <v>0</v>
      </c>
      <c r="I18" s="1125" t="s">
        <v>1438</v>
      </c>
      <c r="J18" s="1125"/>
      <c r="K18" s="1132"/>
      <c r="L18" s="1132"/>
      <c r="M18" s="1133"/>
      <c r="N18" s="1134"/>
      <c r="O18" s="1129">
        <f>B18*C18*D18/1000000/0.4</f>
        <v>0</v>
      </c>
      <c r="P18" s="1129">
        <f>B18*C18*D18/1000000/2.88/0.85</f>
        <v>0</v>
      </c>
      <c r="Q18" s="1129"/>
      <c r="R18" s="1129"/>
      <c r="S18" s="1129"/>
      <c r="T18" s="1130"/>
      <c r="U18" s="1131"/>
      <c r="V18" s="1129">
        <f>(B18*C18*D18/1000000)*2+((B18+C18)*2*D18/1000)*0.02</f>
        <v>0</v>
      </c>
      <c r="W18" s="1129">
        <f t="shared" si="0"/>
        <v>0</v>
      </c>
      <c r="X18" s="668">
        <f>ROUNDUP((F18*H18)/1000/2.4,1)</f>
        <v>0</v>
      </c>
    </row>
    <row r="19" spans="1:24" ht="12">
      <c r="A19" s="1126" t="s">
        <v>1434</v>
      </c>
      <c r="B19" s="1128"/>
      <c r="C19" s="1128"/>
      <c r="D19" s="1125"/>
      <c r="E19" s="658">
        <f>C19+10</f>
        <v>10</v>
      </c>
      <c r="F19" s="658">
        <f>B19+10</f>
        <v>10</v>
      </c>
      <c r="G19" s="658">
        <v>6</v>
      </c>
      <c r="H19" s="658">
        <f>D19*2</f>
        <v>0</v>
      </c>
      <c r="I19" s="1125" t="s">
        <v>1435</v>
      </c>
      <c r="J19" s="1125"/>
      <c r="K19" s="1132" t="s">
        <v>1442</v>
      </c>
      <c r="L19" s="1132"/>
      <c r="M19" s="1133" t="s">
        <v>1437</v>
      </c>
      <c r="N19" s="1134">
        <f>+(B19*2+C19*2+160)/1000*D19</f>
        <v>0</v>
      </c>
      <c r="O19" s="1129">
        <f>B19*C19*D19/1000000/0.95</f>
        <v>0</v>
      </c>
      <c r="P19" s="1129">
        <f>E19*F19*H19/1000000/1.22/2.44/0.85</f>
        <v>0</v>
      </c>
      <c r="Q19" s="1135"/>
      <c r="R19" s="1129"/>
      <c r="S19" s="1129"/>
      <c r="T19" s="1130">
        <f>+((B19+C19*2)*100)/1000000/0.6*D19</f>
        <v>0</v>
      </c>
      <c r="U19" s="1131">
        <f>((B19-50)*(C19-100))*2/1000000/0.75*D19</f>
        <v>0</v>
      </c>
      <c r="V19" s="1129">
        <f>(B19*C19*D19/1000000)*2</f>
        <v>0</v>
      </c>
      <c r="W19" s="1129">
        <f t="shared" si="0"/>
        <v>0</v>
      </c>
      <c r="X19" s="667"/>
    </row>
    <row r="20" spans="1:24" ht="12">
      <c r="A20" s="1127"/>
      <c r="B20" s="1128"/>
      <c r="C20" s="1128"/>
      <c r="D20" s="1125"/>
      <c r="E20" s="658">
        <v>39</v>
      </c>
      <c r="F20" s="658">
        <f>F19</f>
        <v>10</v>
      </c>
      <c r="G20" s="658">
        <v>50</v>
      </c>
      <c r="H20" s="658">
        <f>D19*2</f>
        <v>0</v>
      </c>
      <c r="I20" s="1125" t="s">
        <v>1438</v>
      </c>
      <c r="J20" s="1125"/>
      <c r="K20" s="1132"/>
      <c r="L20" s="1132"/>
      <c r="M20" s="1133"/>
      <c r="N20" s="1134"/>
      <c r="O20" s="1129">
        <f>B20*C20*D20/1000000/0.4</f>
        <v>0</v>
      </c>
      <c r="P20" s="1129">
        <f>B20*C20*D20/1000000/2.88/0.85</f>
        <v>0</v>
      </c>
      <c r="Q20" s="1136"/>
      <c r="R20" s="1129"/>
      <c r="S20" s="1129"/>
      <c r="T20" s="1130"/>
      <c r="U20" s="1131"/>
      <c r="V20" s="1129">
        <f>(B20*C20*D20/1000000)*2+((B20+C20)*2*D20/1000)*0.02</f>
        <v>0</v>
      </c>
      <c r="W20" s="1129">
        <f t="shared" si="0"/>
        <v>0</v>
      </c>
      <c r="X20" s="668">
        <f>ROUNDUP((F20*H20)/1000/2.4,1)</f>
        <v>0</v>
      </c>
    </row>
    <row r="21" spans="1:24" ht="12">
      <c r="A21" s="1127"/>
      <c r="B21" s="1128"/>
      <c r="C21" s="1128"/>
      <c r="D21" s="1125"/>
      <c r="E21" s="658">
        <v>39</v>
      </c>
      <c r="F21" s="658">
        <f>E19-100</f>
        <v>-90</v>
      </c>
      <c r="G21" s="658">
        <v>50</v>
      </c>
      <c r="H21" s="658" t="b">
        <f>IF(AND(F19&gt;100,F19&lt;601),D19*2,IF(AND(F19&gt;600,F19&lt;1001),D19*3,IF(AND(F19&gt;1000,F19&lt;1501),D19*4,IF(AND(F19&gt;1500,F19&lt;3001),D19*5))))</f>
        <v>0</v>
      </c>
      <c r="I21" s="1125" t="s">
        <v>1438</v>
      </c>
      <c r="J21" s="1125"/>
      <c r="K21" s="1132"/>
      <c r="L21" s="1132"/>
      <c r="M21" s="1133"/>
      <c r="N21" s="1134"/>
      <c r="O21" s="1129">
        <f>B21*C21*D21/1000000/0.4</f>
        <v>0</v>
      </c>
      <c r="P21" s="1129">
        <f>B21*C21*D21/1000000/2.88/0.85</f>
        <v>0</v>
      </c>
      <c r="Q21" s="1137"/>
      <c r="R21" s="1129"/>
      <c r="S21" s="1129"/>
      <c r="T21" s="1130"/>
      <c r="U21" s="1131"/>
      <c r="V21" s="1129">
        <f>(B21*C21*D21/1000000)*2+((B21+C21)*2*D21/1000)*0.02</f>
        <v>0</v>
      </c>
      <c r="W21" s="1129">
        <f t="shared" si="0"/>
        <v>0</v>
      </c>
      <c r="X21" s="668">
        <f>ROUNDUP((F21*H21)/1000/2.4,1)</f>
        <v>0</v>
      </c>
    </row>
    <row r="22" spans="1:24" ht="12">
      <c r="A22" s="1126" t="s">
        <v>1434</v>
      </c>
      <c r="B22" s="1128"/>
      <c r="C22" s="1128"/>
      <c r="D22" s="1125"/>
      <c r="E22" s="658">
        <f>C22+10</f>
        <v>10</v>
      </c>
      <c r="F22" s="658">
        <f>B22+10</f>
        <v>10</v>
      </c>
      <c r="G22" s="658">
        <v>6</v>
      </c>
      <c r="H22" s="658">
        <f>D22*2</f>
        <v>0</v>
      </c>
      <c r="I22" s="1125" t="s">
        <v>1435</v>
      </c>
      <c r="J22" s="1125"/>
      <c r="K22" s="1132" t="s">
        <v>1439</v>
      </c>
      <c r="L22" s="1132"/>
      <c r="M22" s="1133" t="s">
        <v>1437</v>
      </c>
      <c r="N22" s="1134">
        <f>+(B22*2+C22*2+160)/1000*D22</f>
        <v>0</v>
      </c>
      <c r="O22" s="1129">
        <f>B22*C22*D22/1000000/0.95</f>
        <v>0</v>
      </c>
      <c r="P22" s="1129">
        <f>E22*F22*H22/1000000/1.22/2.44/0.85</f>
        <v>0</v>
      </c>
      <c r="Q22" s="1129"/>
      <c r="R22" s="1129"/>
      <c r="S22" s="1129"/>
      <c r="T22" s="1130">
        <f>((B22+C22*2)/1000000/0.6*D22*2)+(B22*C22*D22/1000000/0.6)</f>
        <v>0</v>
      </c>
      <c r="U22" s="1131">
        <f>((B22-50)*(C22-100))/1000000/0.75*D22</f>
        <v>0</v>
      </c>
      <c r="V22" s="1129">
        <f>(B22*C22*D22/1000000)*2</f>
        <v>0</v>
      </c>
      <c r="W22" s="1129">
        <f t="shared" si="0"/>
        <v>0</v>
      </c>
      <c r="X22" s="667"/>
    </row>
    <row r="23" spans="1:24" ht="12">
      <c r="A23" s="1127"/>
      <c r="B23" s="1128"/>
      <c r="C23" s="1128"/>
      <c r="D23" s="1125"/>
      <c r="E23" s="658">
        <v>39</v>
      </c>
      <c r="F23" s="658">
        <f>F22</f>
        <v>10</v>
      </c>
      <c r="G23" s="658">
        <v>50</v>
      </c>
      <c r="H23" s="658">
        <f>D22*2</f>
        <v>0</v>
      </c>
      <c r="I23" s="1125" t="s">
        <v>1438</v>
      </c>
      <c r="J23" s="1125"/>
      <c r="K23" s="1132"/>
      <c r="L23" s="1132"/>
      <c r="M23" s="1133"/>
      <c r="N23" s="1134"/>
      <c r="O23" s="1129">
        <f>B23*C23*D23/1000000/0.4</f>
        <v>0</v>
      </c>
      <c r="P23" s="1129">
        <f>B23*C23*D23/1000000/2.88/0.85</f>
        <v>0</v>
      </c>
      <c r="Q23" s="1129"/>
      <c r="R23" s="1129"/>
      <c r="S23" s="1129"/>
      <c r="T23" s="1130"/>
      <c r="U23" s="1131"/>
      <c r="V23" s="1129">
        <f>(B23*C23*D23/1000000)*2+((B23+C23)*2*D23/1000)*0.02</f>
        <v>0</v>
      </c>
      <c r="W23" s="1129">
        <f t="shared" si="0"/>
        <v>0</v>
      </c>
      <c r="X23" s="668">
        <f>ROUNDUP((F23*H23)/1000/2.4,1)</f>
        <v>0</v>
      </c>
    </row>
    <row r="24" spans="1:24" ht="12">
      <c r="A24" s="1127"/>
      <c r="B24" s="1128"/>
      <c r="C24" s="1128"/>
      <c r="D24" s="1125"/>
      <c r="E24" s="658">
        <v>39</v>
      </c>
      <c r="F24" s="658">
        <f>E22-100</f>
        <v>-90</v>
      </c>
      <c r="G24" s="658">
        <v>50</v>
      </c>
      <c r="H24" s="658" t="b">
        <f>IF(AND(F22&gt;100,F22&lt;601),D22*2,IF(AND(F22&gt;600,F22&lt;1001),D22*3,IF(AND(F22&gt;1000,F22&lt;1501),D22*4,IF(AND(F22&gt;1500,F22&lt;3001),D22*5))))</f>
        <v>0</v>
      </c>
      <c r="I24" s="1125" t="s">
        <v>1438</v>
      </c>
      <c r="J24" s="1125"/>
      <c r="K24" s="1132"/>
      <c r="L24" s="1132"/>
      <c r="M24" s="1133"/>
      <c r="N24" s="1134"/>
      <c r="O24" s="1129">
        <f>B24*C24*D24/1000000/0.4</f>
        <v>0</v>
      </c>
      <c r="P24" s="1129">
        <f>B24*C24*D24/1000000/2.88/0.85</f>
        <v>0</v>
      </c>
      <c r="Q24" s="1129"/>
      <c r="R24" s="1129"/>
      <c r="S24" s="1129"/>
      <c r="T24" s="1130"/>
      <c r="U24" s="1131"/>
      <c r="V24" s="1129">
        <f>(B24*C24*D24/1000000)*2+((B24+C24)*2*D24/1000)*0.02</f>
        <v>0</v>
      </c>
      <c r="W24" s="1129">
        <f t="shared" si="0"/>
        <v>0</v>
      </c>
      <c r="X24" s="668">
        <f>ROUNDUP((F24*H24)/1000/2.4,1)</f>
        <v>0</v>
      </c>
    </row>
    <row r="25" spans="1:24" ht="12">
      <c r="A25" s="1126" t="s">
        <v>1434</v>
      </c>
      <c r="B25" s="1128"/>
      <c r="C25" s="1128"/>
      <c r="D25" s="1125"/>
      <c r="E25" s="658">
        <f>C25+10</f>
        <v>10</v>
      </c>
      <c r="F25" s="658">
        <f>B25+10</f>
        <v>10</v>
      </c>
      <c r="G25" s="658">
        <v>6</v>
      </c>
      <c r="H25" s="658">
        <f>D25*2</f>
        <v>0</v>
      </c>
      <c r="I25" s="1125" t="s">
        <v>1435</v>
      </c>
      <c r="J25" s="1125"/>
      <c r="K25" s="1132" t="s">
        <v>1443</v>
      </c>
      <c r="L25" s="1132"/>
      <c r="M25" s="1133" t="s">
        <v>1437</v>
      </c>
      <c r="N25" s="1134">
        <f>+(B25*2+C25*2+160)/1000*D25</f>
        <v>0</v>
      </c>
      <c r="O25" s="1129">
        <f>B25*C25*D25/1000000/0.95</f>
        <v>0</v>
      </c>
      <c r="P25" s="1129">
        <f>E25*F25*H25/1000000/1.22/2.44/0.85</f>
        <v>0</v>
      </c>
      <c r="Q25" s="1129"/>
      <c r="R25" s="1129"/>
      <c r="S25" s="1129"/>
      <c r="T25" s="1130">
        <f>+((B25*2+C25*2)*100)/1000000/0.6*D25</f>
        <v>0</v>
      </c>
      <c r="U25" s="1131">
        <f>((B25-50)*(C25-100))*2/1000000/0.75*D25</f>
        <v>0</v>
      </c>
      <c r="V25" s="1129">
        <f>(B25*C25*D25/1000000)*2</f>
        <v>0</v>
      </c>
      <c r="W25" s="1129">
        <f t="shared" si="0"/>
        <v>0</v>
      </c>
      <c r="X25" s="667"/>
    </row>
    <row r="26" spans="1:24" ht="12">
      <c r="A26" s="1127"/>
      <c r="B26" s="1128"/>
      <c r="C26" s="1128"/>
      <c r="D26" s="1125"/>
      <c r="E26" s="658">
        <v>39</v>
      </c>
      <c r="F26" s="658">
        <f>F25</f>
        <v>10</v>
      </c>
      <c r="G26" s="658">
        <v>50</v>
      </c>
      <c r="H26" s="658">
        <f>D25*2</f>
        <v>0</v>
      </c>
      <c r="I26" s="1125" t="s">
        <v>1438</v>
      </c>
      <c r="J26" s="1125"/>
      <c r="K26" s="1132"/>
      <c r="L26" s="1132"/>
      <c r="M26" s="1133"/>
      <c r="N26" s="1134"/>
      <c r="O26" s="1129">
        <f>B26*C26*D26/1000000/0.4</f>
        <v>0</v>
      </c>
      <c r="P26" s="1129">
        <f>B26*C26*D26/1000000/2.88/0.85</f>
        <v>0</v>
      </c>
      <c r="Q26" s="1129"/>
      <c r="R26" s="1129"/>
      <c r="S26" s="1129"/>
      <c r="T26" s="1130"/>
      <c r="U26" s="1131"/>
      <c r="V26" s="1129">
        <f>(B26*C26*D26/1000000)*2+((B26+C26)*2*D26/1000)*0.02</f>
        <v>0</v>
      </c>
      <c r="W26" s="1129">
        <f t="shared" si="0"/>
        <v>0</v>
      </c>
      <c r="X26" s="668">
        <f>ROUNDUP((F26*H26)/1000/2.4,1)</f>
        <v>0</v>
      </c>
    </row>
    <row r="27" spans="1:24" ht="12">
      <c r="A27" s="1127"/>
      <c r="B27" s="1128"/>
      <c r="C27" s="1128"/>
      <c r="D27" s="1125"/>
      <c r="E27" s="658">
        <v>39</v>
      </c>
      <c r="F27" s="658">
        <f>E25-100</f>
        <v>-90</v>
      </c>
      <c r="G27" s="658">
        <v>50</v>
      </c>
      <c r="H27" s="658" t="b">
        <f>IF(AND(F25&gt;100,F25&lt;601),D25*2,IF(AND(F25&gt;600,F25&lt;1001),D25*3,IF(AND(F25&gt;1000,F25&lt;1501),D25*4,IF(AND(F25&gt;1500,F25&lt;3001),D25*5))))</f>
        <v>0</v>
      </c>
      <c r="I27" s="1125" t="s">
        <v>1438</v>
      </c>
      <c r="J27" s="1125"/>
      <c r="K27" s="1132"/>
      <c r="L27" s="1132"/>
      <c r="M27" s="1133"/>
      <c r="N27" s="1134"/>
      <c r="O27" s="1129">
        <f>B27*C27*D27/1000000/0.4</f>
        <v>0</v>
      </c>
      <c r="P27" s="1129">
        <f>B27*C27*D27/1000000/2.88/0.85</f>
        <v>0</v>
      </c>
      <c r="Q27" s="1129"/>
      <c r="R27" s="1129"/>
      <c r="S27" s="1129"/>
      <c r="T27" s="1130"/>
      <c r="U27" s="1131"/>
      <c r="V27" s="1129">
        <f>(B27*C27*D27/1000000)*2+((B27+C27)*2*D27/1000)*0.02</f>
        <v>0</v>
      </c>
      <c r="W27" s="1129">
        <f t="shared" si="0"/>
        <v>0</v>
      </c>
      <c r="X27" s="668">
        <f>ROUNDUP((F27*H27)/1000/2.4,1)</f>
        <v>0</v>
      </c>
    </row>
    <row r="28" spans="1:24" ht="12">
      <c r="A28" s="1126" t="s">
        <v>1434</v>
      </c>
      <c r="B28" s="1128"/>
      <c r="C28" s="1128"/>
      <c r="D28" s="1125"/>
      <c r="E28" s="658">
        <f>C28+10</f>
        <v>10</v>
      </c>
      <c r="F28" s="658">
        <f>B28+10</f>
        <v>10</v>
      </c>
      <c r="G28" s="658">
        <v>6</v>
      </c>
      <c r="H28" s="658">
        <f>D28*2</f>
        <v>0</v>
      </c>
      <c r="I28" s="1125" t="s">
        <v>1435</v>
      </c>
      <c r="J28" s="1125"/>
      <c r="K28" s="1132" t="s">
        <v>1444</v>
      </c>
      <c r="L28" s="1132"/>
      <c r="M28" s="1133">
        <v>3</v>
      </c>
      <c r="N28" s="1134">
        <f>+(B28*2+C28*2+160)/1000*D28</f>
        <v>0</v>
      </c>
      <c r="O28" s="1129">
        <f>B28*C28*D28/1000000/0.95</f>
        <v>0</v>
      </c>
      <c r="P28" s="1129">
        <f>E28*F28*H28/1000000/1.22/2.44/0.85</f>
        <v>0</v>
      </c>
      <c r="Q28" s="1129"/>
      <c r="R28" s="1129"/>
      <c r="S28" s="1129"/>
      <c r="T28" s="1130">
        <f>+B28*C28/1000000/0.6*D28*2</f>
        <v>0</v>
      </c>
      <c r="U28" s="1131">
        <f>((B28-50)*(C28-100))*2/1000000/0.75*D28</f>
        <v>0</v>
      </c>
      <c r="V28" s="1129">
        <f>(B28*C28*D28/1000000)*2</f>
        <v>0</v>
      </c>
      <c r="W28" s="1129">
        <f t="shared" si="0"/>
        <v>0</v>
      </c>
      <c r="X28" s="667"/>
    </row>
    <row r="29" spans="1:24" ht="12">
      <c r="A29" s="1127"/>
      <c r="B29" s="1128"/>
      <c r="C29" s="1128"/>
      <c r="D29" s="1125"/>
      <c r="E29" s="658">
        <v>39</v>
      </c>
      <c r="F29" s="658">
        <f>F28</f>
        <v>10</v>
      </c>
      <c r="G29" s="658">
        <v>50</v>
      </c>
      <c r="H29" s="658">
        <f>D28*2</f>
        <v>0</v>
      </c>
      <c r="I29" s="1125" t="s">
        <v>1438</v>
      </c>
      <c r="J29" s="1125"/>
      <c r="K29" s="1132"/>
      <c r="L29" s="1132"/>
      <c r="M29" s="1133"/>
      <c r="N29" s="1134"/>
      <c r="O29" s="1129">
        <f>B29*C29*D29/1000000/0.4</f>
        <v>0</v>
      </c>
      <c r="P29" s="1129">
        <f>B29*C29*D29/1000000/2.88/0.85</f>
        <v>0</v>
      </c>
      <c r="Q29" s="1129"/>
      <c r="R29" s="1129"/>
      <c r="S29" s="1129"/>
      <c r="T29" s="1130"/>
      <c r="U29" s="1131"/>
      <c r="V29" s="1129">
        <f>(B29*C29*D29/1000000)*2+((B29+C29)*2*D29/1000)*0.02</f>
        <v>0</v>
      </c>
      <c r="W29" s="1129">
        <f t="shared" si="0"/>
        <v>0</v>
      </c>
      <c r="X29" s="668">
        <f>ROUNDUP((F29*H29)/1000/2.4,1)</f>
        <v>0</v>
      </c>
    </row>
    <row r="30" spans="1:24" ht="12">
      <c r="A30" s="1127"/>
      <c r="B30" s="1128"/>
      <c r="C30" s="1128"/>
      <c r="D30" s="1125"/>
      <c r="E30" s="658">
        <v>39</v>
      </c>
      <c r="F30" s="658">
        <f>E28-100</f>
        <v>-90</v>
      </c>
      <c r="G30" s="658">
        <v>50</v>
      </c>
      <c r="H30" s="658" t="b">
        <f>IF(AND(F28&gt;100,F28&lt;601),D28*2,IF(AND(F28&gt;600,F28&lt;1001),D28*3,IF(AND(F28&gt;1000,F28&lt;1501),D28*4,IF(AND(F28&gt;1500,F28&lt;3001),D28*5))))</f>
        <v>0</v>
      </c>
      <c r="I30" s="1125" t="s">
        <v>1438</v>
      </c>
      <c r="J30" s="1125"/>
      <c r="K30" s="1132"/>
      <c r="L30" s="1132"/>
      <c r="M30" s="1133"/>
      <c r="N30" s="1134"/>
      <c r="O30" s="1129">
        <f>B30*C30*D30/1000000/0.4</f>
        <v>0</v>
      </c>
      <c r="P30" s="1129">
        <f>B30*C30*D30/1000000/2.88/0.85</f>
        <v>0</v>
      </c>
      <c r="Q30" s="1129"/>
      <c r="R30" s="1129"/>
      <c r="S30" s="1129"/>
      <c r="T30" s="1130"/>
      <c r="U30" s="1131"/>
      <c r="V30" s="1129">
        <f>(B30*C30*D30/1000000)*2+((B30+C30)*2*D30/1000)*0.02</f>
        <v>0</v>
      </c>
      <c r="W30" s="1129">
        <f t="shared" si="0"/>
        <v>0</v>
      </c>
      <c r="X30" s="668">
        <f>ROUNDUP((F30*H30)/1000/2.4,1)</f>
        <v>0</v>
      </c>
    </row>
    <row r="31" spans="1:24" ht="20.25" customHeight="1">
      <c r="A31" s="1126" t="s">
        <v>1445</v>
      </c>
      <c r="B31" s="1128"/>
      <c r="C31" s="1128"/>
      <c r="D31" s="1125"/>
      <c r="E31" s="658">
        <f>C31+10</f>
        <v>10</v>
      </c>
      <c r="F31" s="658">
        <f>B31+10</f>
        <v>10</v>
      </c>
      <c r="G31" s="658">
        <v>12</v>
      </c>
      <c r="H31" s="658">
        <f>D31*2</f>
        <v>0</v>
      </c>
      <c r="I31" s="1125" t="s">
        <v>1446</v>
      </c>
      <c r="J31" s="1125"/>
      <c r="K31" s="1132" t="s">
        <v>1447</v>
      </c>
      <c r="L31" s="1132"/>
      <c r="M31" s="1133" t="s">
        <v>1437</v>
      </c>
      <c r="N31" s="669"/>
      <c r="O31" s="1129">
        <f>B31*C31*D31/1000000/0.95</f>
        <v>0</v>
      </c>
      <c r="P31" s="1129"/>
      <c r="Q31" s="1129">
        <f>+E31*F31*H31/1000000/1.22/2.44/0.85</f>
        <v>0</v>
      </c>
      <c r="R31" s="1129">
        <f>+(E32*F32*H32+E33*F33*H33)/1000000/2.44/1.22/0.85</f>
        <v>0</v>
      </c>
      <c r="S31" s="1129"/>
      <c r="T31" s="1130">
        <f>+B31*C31/1000000/0.6*D31*2</f>
        <v>0</v>
      </c>
      <c r="U31" s="1131">
        <f>((B31-50)*(C31-100))*2/1000000/0.75*D31</f>
        <v>0</v>
      </c>
      <c r="V31" s="1129">
        <f>(B31*C31*D31/1000000)*2</f>
        <v>0</v>
      </c>
      <c r="W31" s="1129">
        <f>+((B31+C31)*2*D31/1000)*0.1</f>
        <v>0</v>
      </c>
      <c r="X31" s="667"/>
    </row>
    <row r="32" spans="1:24" ht="20.25" customHeight="1">
      <c r="A32" s="1127"/>
      <c r="B32" s="1128"/>
      <c r="C32" s="1128"/>
      <c r="D32" s="1125"/>
      <c r="E32" s="658">
        <f>100-24</f>
        <v>76</v>
      </c>
      <c r="F32" s="658">
        <f>F31</f>
        <v>10</v>
      </c>
      <c r="G32" s="658">
        <v>50</v>
      </c>
      <c r="H32" s="658">
        <f>D31*2</f>
        <v>0</v>
      </c>
      <c r="I32" s="1125" t="s">
        <v>1448</v>
      </c>
      <c r="J32" s="1125"/>
      <c r="K32" s="1132"/>
      <c r="L32" s="1132"/>
      <c r="M32" s="1133"/>
      <c r="N32" s="669"/>
      <c r="O32" s="1129">
        <f>B32*C32*D32/1000000/0.4</f>
        <v>0</v>
      </c>
      <c r="P32" s="1129"/>
      <c r="Q32" s="1129"/>
      <c r="R32" s="1129"/>
      <c r="S32" s="1129"/>
      <c r="T32" s="1130"/>
      <c r="U32" s="1131"/>
      <c r="V32" s="1129">
        <f>(B32*C32*D32/1000000)*2+((B32+C32)*2*D32/1000)*0.02</f>
        <v>0</v>
      </c>
      <c r="W32" s="1129">
        <f>+((B32+C32)*2*D32/1000)*0.05</f>
        <v>0</v>
      </c>
      <c r="X32" s="668"/>
    </row>
    <row r="33" spans="1:25" ht="20.25" customHeight="1">
      <c r="A33" s="1127"/>
      <c r="B33" s="1128"/>
      <c r="C33" s="1128"/>
      <c r="D33" s="1125"/>
      <c r="E33" s="658">
        <f>100-24</f>
        <v>76</v>
      </c>
      <c r="F33" s="658">
        <f>E31-100</f>
        <v>-90</v>
      </c>
      <c r="G33" s="658">
        <v>50</v>
      </c>
      <c r="H33" s="658" t="b">
        <f>IF(AND(F31&gt;100,F31&lt;601),D31*2,IF(AND(F31&gt;600,F31&lt;1001),D31*3,IF(AND(F31&gt;1000,F31&lt;1501),D31*4,IF(AND(F31&gt;1500,F31&lt;3001),D31*5))))</f>
        <v>0</v>
      </c>
      <c r="I33" s="1125" t="s">
        <v>1449</v>
      </c>
      <c r="J33" s="1125"/>
      <c r="K33" s="1132"/>
      <c r="L33" s="1132"/>
      <c r="M33" s="1133"/>
      <c r="N33" s="669"/>
      <c r="O33" s="1129">
        <f>B33*C33*D33/1000000/0.4</f>
        <v>0</v>
      </c>
      <c r="P33" s="1129"/>
      <c r="Q33" s="1129"/>
      <c r="R33" s="1129"/>
      <c r="S33" s="1129"/>
      <c r="T33" s="1130"/>
      <c r="U33" s="1131"/>
      <c r="V33" s="1129">
        <f>(B33*C33*D33/1000000)*2+((B33+C33)*2*D33/1000)*0.02</f>
        <v>0</v>
      </c>
      <c r="W33" s="1129">
        <f>+((B33+C33)*2*D33/1000)*0.05</f>
        <v>0</v>
      </c>
      <c r="X33" s="668"/>
    </row>
    <row r="34" spans="1:25" ht="12">
      <c r="A34" s="1126"/>
      <c r="B34" s="1128"/>
      <c r="C34" s="1128"/>
      <c r="D34" s="1125"/>
      <c r="E34" s="658"/>
      <c r="F34" s="658"/>
      <c r="G34" s="658"/>
      <c r="H34" s="658"/>
      <c r="I34" s="1125"/>
      <c r="J34" s="1125"/>
      <c r="K34" s="1125"/>
      <c r="L34" s="1125"/>
      <c r="M34" s="659"/>
      <c r="N34" s="669"/>
      <c r="O34" s="1129"/>
      <c r="P34" s="1129"/>
      <c r="Q34" s="1129"/>
      <c r="R34" s="1129"/>
      <c r="S34" s="1129"/>
      <c r="T34" s="1130"/>
      <c r="U34" s="1131"/>
      <c r="V34" s="1129"/>
      <c r="W34" s="1129"/>
      <c r="X34" s="667"/>
    </row>
    <row r="35" spans="1:25" ht="12">
      <c r="A35" s="1127"/>
      <c r="B35" s="1128"/>
      <c r="C35" s="1128"/>
      <c r="D35" s="1125"/>
      <c r="E35" s="658"/>
      <c r="F35" s="658"/>
      <c r="G35" s="658"/>
      <c r="H35" s="658"/>
      <c r="I35" s="1125"/>
      <c r="J35" s="1125"/>
      <c r="K35" s="1125"/>
      <c r="L35" s="1125"/>
      <c r="M35" s="659"/>
      <c r="N35" s="669"/>
      <c r="O35" s="1129"/>
      <c r="P35" s="1129"/>
      <c r="Q35" s="1129"/>
      <c r="R35" s="1129"/>
      <c r="S35" s="1129"/>
      <c r="T35" s="1130"/>
      <c r="U35" s="1131"/>
      <c r="V35" s="1129"/>
      <c r="W35" s="1129"/>
      <c r="X35" s="668"/>
    </row>
    <row r="36" spans="1:25" ht="12">
      <c r="A36" s="1127"/>
      <c r="B36" s="1128"/>
      <c r="C36" s="1128"/>
      <c r="D36" s="1125"/>
      <c r="E36" s="658"/>
      <c r="F36" s="658"/>
      <c r="G36" s="658"/>
      <c r="H36" s="658"/>
      <c r="I36" s="1125"/>
      <c r="J36" s="1125"/>
      <c r="K36" s="1125"/>
      <c r="L36" s="1125"/>
      <c r="M36" s="659"/>
      <c r="N36" s="669"/>
      <c r="O36" s="1129"/>
      <c r="P36" s="1129"/>
      <c r="Q36" s="1129"/>
      <c r="R36" s="1129"/>
      <c r="S36" s="1129"/>
      <c r="T36" s="1130"/>
      <c r="U36" s="1131"/>
      <c r="V36" s="1129"/>
      <c r="W36" s="1129"/>
      <c r="X36" s="668"/>
    </row>
    <row r="37" spans="1:25" ht="12">
      <c r="A37" s="1145" t="s">
        <v>1450</v>
      </c>
      <c r="B37" s="1146"/>
      <c r="C37" s="1146"/>
      <c r="D37" s="1146"/>
      <c r="E37" s="1146"/>
      <c r="F37" s="1146"/>
      <c r="G37" s="1146"/>
      <c r="H37" s="1146"/>
      <c r="I37" s="1146"/>
      <c r="J37" s="1146"/>
      <c r="K37" s="1146"/>
      <c r="L37" s="1146"/>
      <c r="M37" s="1146"/>
      <c r="N37" s="670"/>
      <c r="O37" s="671"/>
      <c r="P37" s="671"/>
      <c r="Q37" s="671"/>
      <c r="R37" s="671"/>
      <c r="S37" s="671"/>
      <c r="T37" s="671"/>
      <c r="U37" s="671"/>
      <c r="V37" s="671"/>
      <c r="W37" s="671"/>
      <c r="X37" s="672"/>
    </row>
    <row r="38" spans="1:25" ht="12.75" thickBot="1">
      <c r="A38" s="1147"/>
      <c r="B38" s="1148"/>
      <c r="C38" s="1148"/>
      <c r="D38" s="1148"/>
      <c r="E38" s="1148"/>
      <c r="F38" s="1148"/>
      <c r="G38" s="1148"/>
      <c r="H38" s="1148"/>
      <c r="I38" s="1148"/>
      <c r="J38" s="1148"/>
      <c r="K38" s="1148"/>
      <c r="L38" s="1148"/>
      <c r="M38" s="1148"/>
      <c r="N38" s="670"/>
      <c r="O38" s="671"/>
      <c r="P38" s="671"/>
      <c r="Q38" s="671"/>
      <c r="R38" s="671"/>
      <c r="S38" s="671"/>
      <c r="T38" s="671"/>
      <c r="U38" s="671"/>
      <c r="V38" s="671"/>
      <c r="W38" s="671"/>
      <c r="X38" s="672"/>
    </row>
    <row r="39" spans="1:25" s="677" customFormat="1" ht="12">
      <c r="A39" s="1138" t="s">
        <v>1451</v>
      </c>
      <c r="B39" s="1139"/>
      <c r="C39" s="1139"/>
      <c r="D39" s="1139"/>
      <c r="E39" s="1139"/>
      <c r="F39" s="1139"/>
      <c r="G39" s="1139"/>
      <c r="H39" s="1139"/>
      <c r="I39" s="1139"/>
      <c r="J39" s="1139"/>
      <c r="K39" s="1139"/>
      <c r="L39" s="1139"/>
      <c r="M39" s="673"/>
      <c r="N39" s="674"/>
      <c r="O39" s="675"/>
      <c r="P39" s="675"/>
      <c r="Q39" s="675"/>
      <c r="R39" s="675"/>
      <c r="S39" s="675"/>
      <c r="T39" s="675"/>
      <c r="U39" s="675"/>
      <c r="V39" s="675"/>
      <c r="W39" s="675"/>
      <c r="X39" s="676"/>
    </row>
    <row r="40" spans="1:25" s="677" customFormat="1" ht="12">
      <c r="A40" s="678" t="s">
        <v>1265</v>
      </c>
      <c r="B40" s="679" t="s">
        <v>1452</v>
      </c>
      <c r="C40" s="679" t="s">
        <v>1453</v>
      </c>
      <c r="D40" s="679" t="s">
        <v>1454</v>
      </c>
      <c r="E40" s="1140" t="s">
        <v>1455</v>
      </c>
      <c r="F40" s="1140"/>
      <c r="G40" s="1140"/>
      <c r="H40" s="1140"/>
      <c r="I40" s="1140"/>
      <c r="J40" s="1140"/>
      <c r="K40" s="1140" t="s">
        <v>1456</v>
      </c>
      <c r="L40" s="1140"/>
      <c r="M40" s="680"/>
      <c r="N40" s="674"/>
      <c r="O40" s="675"/>
      <c r="P40" s="675"/>
      <c r="Q40" s="675"/>
      <c r="R40" s="675"/>
      <c r="S40" s="675"/>
      <c r="T40" s="675"/>
      <c r="U40" s="675"/>
      <c r="V40" s="675"/>
      <c r="W40" s="675"/>
      <c r="X40" s="676"/>
    </row>
    <row r="41" spans="1:25" ht="12">
      <c r="A41" s="1141" t="s">
        <v>1457</v>
      </c>
      <c r="B41" s="681">
        <v>2440</v>
      </c>
      <c r="C41" s="681">
        <v>120</v>
      </c>
      <c r="D41" s="681"/>
      <c r="E41" s="1143" t="s">
        <v>1458</v>
      </c>
      <c r="F41" s="1143"/>
      <c r="G41" s="1143"/>
      <c r="H41" s="1143"/>
      <c r="I41" s="1143"/>
      <c r="J41" s="1143"/>
      <c r="K41" s="1144" t="s">
        <v>1459</v>
      </c>
      <c r="L41" s="1144"/>
      <c r="M41" s="682"/>
      <c r="N41" s="683"/>
      <c r="O41" s="1154"/>
      <c r="P41" s="1154"/>
      <c r="Q41" s="1154"/>
      <c r="R41" s="1154"/>
      <c r="S41" s="1154">
        <f>B41*C41*D41/1000000/2.44</f>
        <v>0</v>
      </c>
      <c r="T41" s="1130">
        <f>+B41*150*D41/1000000/0.6</f>
        <v>0</v>
      </c>
      <c r="U41" s="1131"/>
      <c r="V41" s="1129">
        <f>(B41*C41*D41/1000000)*2</f>
        <v>0</v>
      </c>
      <c r="W41" s="1129"/>
      <c r="X41" s="667"/>
    </row>
    <row r="42" spans="1:25" ht="12">
      <c r="A42" s="1141"/>
      <c r="B42" s="684">
        <f>1200+150+120+120</f>
        <v>1590</v>
      </c>
      <c r="C42" s="684">
        <v>120</v>
      </c>
      <c r="D42" s="684"/>
      <c r="E42" s="1151" t="s">
        <v>1460</v>
      </c>
      <c r="F42" s="1151"/>
      <c r="G42" s="1151"/>
      <c r="H42" s="1151"/>
      <c r="I42" s="1151"/>
      <c r="J42" s="1151"/>
      <c r="K42" s="1151" t="s">
        <v>1461</v>
      </c>
      <c r="L42" s="1151"/>
      <c r="M42" s="685"/>
      <c r="N42" s="686"/>
      <c r="O42" s="1154"/>
      <c r="P42" s="1154"/>
      <c r="Q42" s="1154"/>
      <c r="R42" s="1154"/>
      <c r="S42" s="1154"/>
      <c r="T42" s="1130"/>
      <c r="U42" s="1131"/>
      <c r="V42" s="1129">
        <f>(B42*C42*D42/1000000)*2+((B42+C42)*2*D42/1000)*0.02</f>
        <v>0</v>
      </c>
      <c r="W42" s="1129"/>
      <c r="X42" s="668"/>
    </row>
    <row r="43" spans="1:25" ht="12">
      <c r="A43" s="1141"/>
      <c r="B43" s="684">
        <f>2160+60+50+120</f>
        <v>2390</v>
      </c>
      <c r="C43" s="684">
        <v>120</v>
      </c>
      <c r="D43" s="684"/>
      <c r="E43" s="1151"/>
      <c r="F43" s="1151"/>
      <c r="G43" s="1151"/>
      <c r="H43" s="1151"/>
      <c r="I43" s="1151"/>
      <c r="J43" s="1151"/>
      <c r="K43" s="1151"/>
      <c r="L43" s="1151"/>
      <c r="M43" s="685"/>
      <c r="N43" s="687"/>
      <c r="O43" s="1154"/>
      <c r="P43" s="1154"/>
      <c r="Q43" s="1154"/>
      <c r="R43" s="1154"/>
      <c r="S43" s="1154"/>
      <c r="T43" s="1130"/>
      <c r="U43" s="1131"/>
      <c r="V43" s="1129">
        <f>(B43*C43*D43/1000000)*2+((B43+C43)*2*D43/1000)*0.02</f>
        <v>0</v>
      </c>
      <c r="W43" s="1129"/>
      <c r="X43" s="668"/>
    </row>
    <row r="44" spans="1:25" ht="12.75" thickBot="1">
      <c r="A44" s="1142"/>
      <c r="B44" s="688">
        <v>2390</v>
      </c>
      <c r="C44" s="688">
        <v>120</v>
      </c>
      <c r="D44" s="688"/>
      <c r="E44" s="1152"/>
      <c r="F44" s="1152"/>
      <c r="G44" s="1152"/>
      <c r="H44" s="1152"/>
      <c r="I44" s="1152"/>
      <c r="J44" s="1152"/>
      <c r="K44" s="1152"/>
      <c r="L44" s="1152"/>
      <c r="M44" s="689"/>
      <c r="N44" s="690"/>
    </row>
    <row r="45" spans="1:25" ht="14.25">
      <c r="A45" s="1153" t="s">
        <v>1462</v>
      </c>
      <c r="B45" s="1153"/>
      <c r="C45" s="1153"/>
      <c r="D45" s="1153"/>
      <c r="E45" s="1153"/>
      <c r="F45" s="1153"/>
      <c r="G45" s="1153"/>
      <c r="H45" s="1153"/>
      <c r="I45" s="1153"/>
      <c r="J45" s="1153"/>
      <c r="K45" s="1153"/>
      <c r="L45" s="1153"/>
      <c r="M45" s="691"/>
      <c r="N45" s="692">
        <f t="shared" ref="N45:W45" si="1">SUM(N7:N44)</f>
        <v>0</v>
      </c>
      <c r="O45" s="692">
        <f t="shared" si="1"/>
        <v>0</v>
      </c>
      <c r="P45" s="692">
        <f t="shared" si="1"/>
        <v>0</v>
      </c>
      <c r="Q45" s="692">
        <f t="shared" si="1"/>
        <v>0</v>
      </c>
      <c r="R45" s="692">
        <f t="shared" si="1"/>
        <v>0</v>
      </c>
      <c r="S45" s="692">
        <f t="shared" si="1"/>
        <v>0</v>
      </c>
      <c r="T45" s="692">
        <f t="shared" si="1"/>
        <v>0</v>
      </c>
      <c r="U45" s="692">
        <f t="shared" si="1"/>
        <v>0</v>
      </c>
      <c r="V45" s="692">
        <f t="shared" si="1"/>
        <v>0</v>
      </c>
      <c r="W45" s="692">
        <f t="shared" si="1"/>
        <v>0</v>
      </c>
      <c r="X45" s="692">
        <f>ROUNDUP(SUM(X7:X44),0)</f>
        <v>0</v>
      </c>
      <c r="Y45" s="646" t="s">
        <v>1463</v>
      </c>
    </row>
    <row r="46" spans="1:25" ht="12">
      <c r="A46" s="693"/>
      <c r="B46" s="1120" t="s">
        <v>1270</v>
      </c>
      <c r="C46" s="1120"/>
      <c r="D46" s="1120"/>
      <c r="E46" s="1120"/>
      <c r="F46" s="1120"/>
      <c r="G46" s="1120"/>
      <c r="H46" s="1120"/>
      <c r="I46" s="1120"/>
      <c r="J46" s="1120"/>
      <c r="K46" s="649"/>
      <c r="L46" s="645"/>
      <c r="M46" s="645"/>
      <c r="N46" s="645"/>
    </row>
    <row r="47" spans="1:25" ht="13.5">
      <c r="A47" s="1149" t="s">
        <v>1464</v>
      </c>
      <c r="B47" s="1149"/>
      <c r="C47" s="1149"/>
      <c r="D47" s="1149"/>
      <c r="E47" s="1149"/>
      <c r="F47" s="1149"/>
      <c r="G47" s="1149"/>
      <c r="H47" s="1149"/>
      <c r="I47" s="1149"/>
      <c r="J47" s="1149"/>
      <c r="K47" s="1149"/>
      <c r="L47" s="1149"/>
      <c r="M47" s="694"/>
      <c r="N47" s="694"/>
      <c r="T47" s="695" t="s">
        <v>1465</v>
      </c>
      <c r="U47" s="696" t="s">
        <v>1466</v>
      </c>
    </row>
    <row r="48" spans="1:25" ht="12.75">
      <c r="A48" s="697"/>
      <c r="B48" s="698"/>
      <c r="G48" s="649"/>
      <c r="H48" s="699"/>
      <c r="I48" s="649"/>
      <c r="J48" s="1120" t="s">
        <v>1467</v>
      </c>
      <c r="K48" s="1120"/>
      <c r="L48" s="700">
        <f>V45+W45</f>
        <v>0</v>
      </c>
      <c r="M48" s="701"/>
      <c r="N48" s="701"/>
    </row>
    <row r="49" spans="1:11" ht="12">
      <c r="A49" s="693" t="s">
        <v>1468</v>
      </c>
      <c r="B49" s="1120"/>
      <c r="C49" s="1120"/>
      <c r="D49" s="649"/>
      <c r="E49" s="649"/>
      <c r="F49" s="1120"/>
      <c r="G49" s="1120"/>
      <c r="H49" s="1120"/>
      <c r="I49" s="1120"/>
      <c r="J49" s="645"/>
      <c r="K49" s="645"/>
    </row>
    <row r="50" spans="1:11" ht="12.75">
      <c r="A50" s="697"/>
      <c r="B50" s="1150"/>
      <c r="C50" s="1150"/>
      <c r="D50" s="649"/>
      <c r="E50" s="649"/>
      <c r="F50" s="645"/>
      <c r="G50" s="649"/>
      <c r="H50" s="699"/>
      <c r="I50" s="649"/>
      <c r="J50" s="645"/>
      <c r="K50" s="645"/>
    </row>
    <row r="51" spans="1:11" ht="12"/>
    <row r="52" spans="1:11" ht="60">
      <c r="A52" s="646" t="s">
        <v>1469</v>
      </c>
    </row>
    <row r="53" spans="1:11" ht="12">
      <c r="J53" s="646" t="s">
        <v>1470</v>
      </c>
    </row>
    <row r="54" spans="1:11" ht="108">
      <c r="A54" s="646" t="s">
        <v>1471</v>
      </c>
      <c r="B54" s="646" t="s">
        <v>1472</v>
      </c>
    </row>
    <row r="55" spans="1:11" ht="72">
      <c r="A55" s="646" t="s">
        <v>1473</v>
      </c>
      <c r="B55" s="646" t="s">
        <v>1474</v>
      </c>
      <c r="F55" s="646" t="s">
        <v>1475</v>
      </c>
    </row>
    <row r="56" spans="1:11" ht="60">
      <c r="A56" s="646" t="s">
        <v>1476</v>
      </c>
      <c r="B56" s="646" t="s">
        <v>1477</v>
      </c>
      <c r="F56" s="646" t="s">
        <v>1478</v>
      </c>
    </row>
    <row r="57" spans="1:11" ht="60">
      <c r="A57" s="646" t="s">
        <v>1479</v>
      </c>
      <c r="B57" s="646" t="s">
        <v>1480</v>
      </c>
    </row>
    <row r="58" spans="1:11" ht="12"/>
    <row r="59" spans="1:11" ht="48">
      <c r="A59" s="646" t="s">
        <v>1481</v>
      </c>
    </row>
    <row r="60" spans="1:11" ht="12"/>
    <row r="61" spans="1:11" ht="12"/>
    <row r="62" spans="1:11" ht="12"/>
    <row r="63" spans="1:11" ht="12"/>
    <row r="64" spans="1:11" ht="12"/>
    <row r="65" ht="12"/>
    <row r="66" ht="12"/>
    <row r="67" ht="12"/>
    <row r="68" ht="12"/>
    <row r="69" ht="12"/>
    <row r="70" ht="12"/>
    <row r="71" ht="12"/>
    <row r="72" ht="12"/>
    <row r="73" ht="12"/>
    <row r="74" ht="12"/>
    <row r="75" ht="12"/>
    <row r="76" ht="12"/>
    <row r="77" ht="12"/>
    <row r="78" ht="12"/>
    <row r="79" ht="12"/>
    <row r="80" ht="12"/>
    <row r="81" ht="12"/>
    <row r="82" ht="12"/>
    <row r="83" ht="12"/>
    <row r="84" ht="12"/>
    <row r="85" ht="12"/>
    <row r="86" ht="12"/>
    <row r="87" ht="12"/>
    <row r="88" ht="12"/>
    <row r="89" ht="12"/>
    <row r="90" ht="12"/>
    <row r="91" ht="12"/>
    <row r="92" ht="12"/>
    <row r="93" ht="12"/>
    <row r="94" ht="12"/>
    <row r="95" ht="12"/>
    <row r="96" ht="12"/>
    <row r="97" ht="12"/>
    <row r="98" ht="12"/>
    <row r="99" ht="12"/>
    <row r="100" ht="12"/>
    <row r="101" ht="12"/>
    <row r="102" ht="12"/>
    <row r="103" ht="12"/>
    <row r="104" ht="12"/>
    <row r="105" ht="12"/>
    <row r="106" ht="12"/>
    <row r="107" ht="12"/>
    <row r="108" ht="12"/>
    <row r="109" ht="12"/>
    <row r="110" ht="12"/>
    <row r="111" ht="12"/>
    <row r="112" ht="12"/>
    <row r="113" ht="12"/>
    <row r="114" ht="12"/>
    <row r="115" ht="12"/>
    <row r="116" ht="12"/>
    <row r="117" ht="12"/>
    <row r="118" ht="12"/>
    <row r="119" ht="12"/>
    <row r="120" ht="12"/>
    <row r="121" ht="12"/>
    <row r="122" ht="12"/>
    <row r="123" ht="12"/>
    <row r="124" ht="12"/>
    <row r="125" ht="12"/>
    <row r="126" ht="12"/>
    <row r="127" ht="12"/>
    <row r="128" ht="12"/>
    <row r="129" ht="12"/>
    <row r="130" ht="12"/>
    <row r="131" ht="12"/>
    <row r="132" ht="12"/>
    <row r="133" ht="12"/>
    <row r="134" ht="12"/>
    <row r="135" ht="12"/>
    <row r="136" ht="12"/>
    <row r="137" ht="12"/>
    <row r="138" ht="12"/>
    <row r="139" ht="12"/>
    <row r="140" ht="12"/>
    <row r="141" ht="12"/>
    <row r="142" ht="12"/>
    <row r="143" ht="12"/>
    <row r="144" ht="12"/>
    <row r="145" ht="12"/>
    <row r="146" ht="12"/>
    <row r="147" ht="12"/>
    <row r="148" ht="12"/>
    <row r="149" ht="12"/>
    <row r="150" ht="12"/>
    <row r="151" ht="12"/>
    <row r="152" ht="12"/>
    <row r="153" ht="12"/>
    <row r="154" ht="12"/>
    <row r="155" ht="12"/>
    <row r="156" ht="12"/>
    <row r="157" ht="12"/>
    <row r="158" ht="12"/>
    <row r="159" ht="12"/>
    <row r="160" ht="12"/>
    <row r="161" ht="12"/>
    <row r="162" ht="12"/>
    <row r="163" ht="12"/>
    <row r="164" ht="12"/>
    <row r="165" ht="12"/>
    <row r="166" ht="12"/>
    <row r="167" ht="12"/>
    <row r="168" ht="12"/>
    <row r="169" ht="12"/>
    <row r="170" ht="12"/>
    <row r="171" ht="12"/>
    <row r="172" ht="12"/>
    <row r="173" ht="12"/>
    <row r="174" ht="12"/>
    <row r="175" ht="12"/>
    <row r="176" ht="12"/>
    <row r="177" ht="12"/>
    <row r="178" ht="12"/>
    <row r="179" ht="12"/>
    <row r="180" ht="12"/>
    <row r="181" ht="12"/>
    <row r="182" ht="12"/>
    <row r="183" ht="12"/>
    <row r="184" ht="12"/>
    <row r="185" ht="12"/>
    <row r="186" ht="12"/>
    <row r="187" ht="12"/>
    <row r="188" ht="12"/>
    <row r="189" ht="12"/>
    <row r="190" ht="12"/>
    <row r="191" ht="12"/>
    <row r="192" ht="12"/>
    <row r="193" ht="12"/>
    <row r="194" ht="12"/>
    <row r="195" ht="12"/>
    <row r="196" ht="12"/>
    <row r="197" ht="12"/>
    <row r="198" ht="12"/>
    <row r="199" ht="12"/>
    <row r="200" ht="12"/>
    <row r="201" ht="12"/>
    <row r="202" ht="12"/>
    <row r="203" ht="12"/>
    <row r="204" ht="12"/>
    <row r="205" ht="12"/>
    <row r="206" ht="12"/>
    <row r="207" ht="12"/>
    <row r="208" ht="12"/>
    <row r="209" ht="12"/>
    <row r="210" ht="12"/>
    <row r="211" ht="12"/>
    <row r="212" ht="12"/>
    <row r="213" ht="12"/>
    <row r="214" ht="12"/>
    <row r="215" ht="12"/>
    <row r="216" ht="12"/>
    <row r="217" ht="12"/>
    <row r="218" ht="12"/>
    <row r="219" ht="12"/>
    <row r="220" ht="12"/>
    <row r="221" ht="12"/>
    <row r="222" ht="12"/>
    <row r="223" ht="12"/>
    <row r="224" ht="12"/>
    <row r="225" ht="12"/>
    <row r="226" ht="12"/>
    <row r="227" ht="12"/>
    <row r="228" ht="12"/>
    <row r="229" ht="12"/>
    <row r="230" ht="12"/>
    <row r="231" ht="12"/>
    <row r="232" ht="12"/>
    <row r="233" ht="12"/>
    <row r="234" ht="12"/>
    <row r="235" ht="12"/>
    <row r="236" ht="12"/>
    <row r="237" ht="12"/>
    <row r="238" ht="12"/>
    <row r="239" ht="12"/>
    <row r="240" ht="12"/>
    <row r="241" ht="12"/>
    <row r="242" ht="12"/>
    <row r="243" ht="12"/>
    <row r="244" ht="12"/>
    <row r="245" ht="12"/>
    <row r="246" ht="12"/>
    <row r="247" ht="12"/>
    <row r="248" ht="12"/>
    <row r="249" ht="12"/>
    <row r="250" ht="12"/>
    <row r="251" ht="12"/>
    <row r="252" ht="12"/>
    <row r="253" ht="12"/>
    <row r="254" ht="12"/>
    <row r="255" ht="12"/>
    <row r="256" ht="12"/>
    <row r="257" ht="12"/>
    <row r="258" ht="12"/>
    <row r="259" ht="12"/>
    <row r="260" ht="12"/>
    <row r="261" ht="12"/>
    <row r="262" ht="12"/>
    <row r="263" ht="12"/>
    <row r="264" ht="12"/>
    <row r="265" ht="12"/>
    <row r="266" ht="12"/>
    <row r="267" ht="12"/>
    <row r="268" ht="12"/>
    <row r="269" ht="12"/>
    <row r="270" ht="12"/>
    <row r="271" ht="12"/>
    <row r="272" ht="12"/>
    <row r="273" ht="12"/>
    <row r="274" ht="12"/>
    <row r="275" ht="12"/>
    <row r="276" ht="12"/>
    <row r="277" ht="12"/>
    <row r="278" ht="12"/>
    <row r="279" ht="12"/>
    <row r="280" ht="12"/>
    <row r="281" ht="12"/>
    <row r="282" ht="12"/>
    <row r="283" ht="12"/>
    <row r="284" ht="12"/>
    <row r="285" ht="12"/>
    <row r="286" ht="12"/>
    <row r="287" ht="12"/>
    <row r="288" ht="12"/>
    <row r="289" ht="12"/>
    <row r="290" ht="12"/>
    <row r="291" ht="12"/>
    <row r="292" ht="12"/>
    <row r="293" ht="12"/>
    <row r="294" ht="12"/>
    <row r="295" ht="12"/>
    <row r="296" ht="12"/>
    <row r="297" ht="12"/>
    <row r="298" ht="12"/>
    <row r="299" ht="12"/>
    <row r="300" ht="12"/>
    <row r="301" ht="12"/>
    <row r="302" ht="12"/>
    <row r="303" ht="12"/>
    <row r="304" ht="12"/>
    <row r="305" ht="12"/>
    <row r="306" ht="12"/>
    <row r="307" ht="12"/>
    <row r="308" ht="12"/>
    <row r="309" ht="12"/>
    <row r="310" ht="12"/>
    <row r="311" ht="12"/>
    <row r="312" ht="12"/>
    <row r="313" ht="12"/>
    <row r="314" ht="12"/>
    <row r="315" ht="12"/>
    <row r="316" ht="12"/>
    <row r="317" ht="12"/>
    <row r="318" ht="12"/>
    <row r="319" ht="12"/>
    <row r="320" ht="12"/>
    <row r="321" ht="12"/>
    <row r="322" ht="12"/>
    <row r="323" ht="12"/>
    <row r="324" ht="12"/>
    <row r="325" ht="12"/>
    <row r="326" ht="12"/>
    <row r="327" ht="12"/>
    <row r="328" ht="12"/>
    <row r="329" ht="12"/>
    <row r="330" ht="12"/>
    <row r="331" ht="12"/>
    <row r="332" ht="12"/>
    <row r="333" ht="12"/>
    <row r="334" ht="12"/>
    <row r="335" ht="12"/>
    <row r="336" ht="12"/>
    <row r="337" ht="12"/>
    <row r="338" ht="12"/>
    <row r="339" ht="12"/>
    <row r="340" ht="12"/>
    <row r="341" ht="12"/>
    <row r="342" ht="12"/>
    <row r="343" ht="12"/>
    <row r="344" ht="12"/>
    <row r="345" ht="12"/>
    <row r="346" ht="12"/>
    <row r="347" ht="12"/>
    <row r="348" ht="12"/>
    <row r="349" ht="12"/>
    <row r="350" ht="12"/>
    <row r="351" ht="12"/>
    <row r="352" ht="12"/>
    <row r="353" ht="12"/>
    <row r="354" ht="12"/>
    <row r="355" ht="12"/>
    <row r="356" ht="12"/>
    <row r="357" ht="12"/>
    <row r="358" ht="12"/>
    <row r="359" ht="12"/>
    <row r="360" ht="12"/>
    <row r="361" ht="12"/>
    <row r="362" ht="12"/>
    <row r="363" ht="12"/>
    <row r="364" ht="12"/>
    <row r="365" ht="12"/>
    <row r="366" ht="12"/>
    <row r="367" ht="12"/>
    <row r="368" ht="12"/>
    <row r="369" ht="12"/>
    <row r="370" ht="12"/>
    <row r="371" ht="12"/>
    <row r="372" ht="12"/>
    <row r="373" ht="12"/>
    <row r="374" ht="12"/>
    <row r="375" ht="12"/>
    <row r="376" ht="12"/>
    <row r="377" ht="12"/>
    <row r="378" ht="12"/>
    <row r="379" ht="12"/>
    <row r="380" ht="12"/>
    <row r="381" ht="12"/>
    <row r="382" ht="12"/>
    <row r="383" ht="12"/>
    <row r="384" ht="12"/>
    <row r="385" ht="12"/>
    <row r="386" ht="12"/>
    <row r="387" ht="12"/>
    <row r="388" ht="12"/>
    <row r="389" ht="12"/>
    <row r="390" ht="12"/>
    <row r="391" ht="12"/>
    <row r="392" ht="12"/>
    <row r="393" ht="12"/>
    <row r="394" ht="12"/>
    <row r="395" ht="12"/>
    <row r="396" ht="12"/>
    <row r="397" ht="12"/>
    <row r="398" ht="12"/>
    <row r="399" ht="12"/>
    <row r="400" ht="12"/>
    <row r="401" ht="12"/>
    <row r="402" ht="12"/>
    <row r="403" ht="12"/>
    <row r="404" ht="12"/>
    <row r="405" ht="12"/>
    <row r="406" ht="12"/>
    <row r="407" ht="12"/>
    <row r="408" ht="12"/>
    <row r="409" ht="12"/>
    <row r="410" ht="12"/>
    <row r="411" ht="12"/>
    <row r="412" ht="12"/>
    <row r="413" ht="12"/>
    <row r="414" ht="12"/>
    <row r="415" ht="12"/>
    <row r="416" ht="12"/>
    <row r="417" ht="12"/>
    <row r="418" ht="12"/>
    <row r="419" ht="12"/>
    <row r="420" ht="12"/>
    <row r="421" ht="12"/>
    <row r="422" ht="12"/>
    <row r="423" ht="12"/>
    <row r="424" ht="12"/>
    <row r="425" ht="12"/>
    <row r="426" ht="12"/>
    <row r="427" ht="12"/>
    <row r="428" ht="12"/>
    <row r="429" ht="12"/>
    <row r="430" ht="12"/>
    <row r="431" ht="12"/>
    <row r="432" ht="12"/>
    <row r="433" ht="12"/>
    <row r="434" ht="12"/>
    <row r="435" ht="12"/>
    <row r="436" ht="12"/>
    <row r="437" ht="12"/>
    <row r="438" ht="12"/>
    <row r="439" ht="12"/>
    <row r="440" ht="12"/>
    <row r="441" ht="12"/>
    <row r="442" ht="12"/>
    <row r="443" ht="12"/>
    <row r="444" ht="12"/>
    <row r="445" ht="12"/>
    <row r="446" ht="12"/>
    <row r="447" ht="12"/>
    <row r="448" ht="12"/>
    <row r="449" ht="12"/>
    <row r="450" ht="12"/>
    <row r="451" ht="12"/>
    <row r="452" ht="12"/>
    <row r="453" ht="12"/>
    <row r="454" ht="12"/>
    <row r="455" ht="12"/>
    <row r="456" ht="12"/>
    <row r="457" ht="12"/>
    <row r="458" ht="12"/>
    <row r="459" ht="12"/>
    <row r="460" ht="12"/>
    <row r="461" ht="12"/>
    <row r="462" ht="12"/>
    <row r="463" ht="12"/>
    <row r="464" ht="12"/>
    <row r="465" ht="12"/>
    <row r="466" ht="12"/>
    <row r="467" ht="12"/>
    <row r="468" ht="12"/>
    <row r="469" ht="12"/>
    <row r="470" ht="12"/>
    <row r="471" ht="12"/>
    <row r="472" ht="12"/>
    <row r="473" ht="12"/>
    <row r="474" ht="12"/>
    <row r="475" ht="12"/>
    <row r="476" ht="12"/>
    <row r="477" ht="12"/>
    <row r="478" ht="12"/>
    <row r="479" ht="12"/>
    <row r="480" ht="12"/>
    <row r="481" ht="12"/>
    <row r="482" ht="12"/>
    <row r="483" ht="12"/>
    <row r="484" ht="12"/>
    <row r="485" ht="12"/>
    <row r="486" ht="12"/>
    <row r="487" ht="12"/>
    <row r="488" ht="12"/>
    <row r="489" ht="12"/>
    <row r="490" ht="12"/>
    <row r="491" ht="12"/>
    <row r="492" ht="12"/>
    <row r="493" ht="12"/>
    <row r="494" ht="12"/>
    <row r="495" ht="12"/>
    <row r="496" ht="12"/>
    <row r="497" ht="12"/>
    <row r="498" ht="12"/>
    <row r="499" ht="12"/>
    <row r="500" ht="12"/>
    <row r="501" ht="12"/>
    <row r="502" ht="12"/>
    <row r="503" ht="12"/>
    <row r="504" ht="12"/>
    <row r="505" ht="12"/>
    <row r="506" ht="12"/>
    <row r="507" ht="12"/>
    <row r="508" ht="12"/>
    <row r="509" ht="12"/>
    <row r="510" ht="12"/>
    <row r="511" ht="12"/>
    <row r="512" ht="12"/>
    <row r="513" ht="12"/>
    <row r="514" ht="12"/>
    <row r="515" ht="12"/>
    <row r="516" ht="12"/>
    <row r="517" ht="12"/>
    <row r="518" ht="12"/>
    <row r="519" ht="12"/>
    <row r="520" ht="12"/>
    <row r="521" ht="12"/>
    <row r="522" ht="12"/>
    <row r="523" ht="12"/>
    <row r="524" ht="12"/>
    <row r="525" ht="12"/>
    <row r="526" ht="12"/>
    <row r="527" ht="12"/>
    <row r="528" ht="12"/>
    <row r="529" ht="12"/>
    <row r="530" ht="12"/>
    <row r="531" ht="12"/>
    <row r="532" ht="12"/>
    <row r="533" ht="12"/>
    <row r="534" ht="12"/>
    <row r="535" ht="12"/>
    <row r="536" ht="12"/>
    <row r="537" ht="12"/>
    <row r="538" ht="12"/>
    <row r="539" ht="12"/>
    <row r="540" ht="12"/>
    <row r="541" ht="12"/>
    <row r="542" ht="12"/>
    <row r="543" ht="12"/>
    <row r="544" ht="12"/>
    <row r="545" ht="12"/>
    <row r="546" ht="12"/>
    <row r="547" ht="12"/>
    <row r="548" ht="12"/>
    <row r="549" ht="12"/>
    <row r="550" ht="12"/>
    <row r="551" ht="12"/>
    <row r="552" ht="12"/>
    <row r="553" ht="12"/>
    <row r="554" ht="12"/>
    <row r="555" ht="12"/>
    <row r="556" ht="12"/>
    <row r="557" ht="12"/>
    <row r="558" ht="12"/>
    <row r="559" ht="12"/>
    <row r="560" ht="12"/>
    <row r="561" ht="12"/>
    <row r="562" ht="12"/>
    <row r="563" ht="12"/>
    <row r="564" ht="12"/>
    <row r="565" ht="12"/>
    <row r="566" ht="12"/>
    <row r="567" ht="12"/>
    <row r="568" ht="12"/>
    <row r="569" ht="12"/>
    <row r="570" ht="12"/>
    <row r="571" ht="12"/>
    <row r="572" ht="12"/>
    <row r="573" ht="12"/>
    <row r="574" ht="12"/>
    <row r="575" ht="12"/>
    <row r="576" ht="12"/>
    <row r="577" ht="12"/>
    <row r="578" ht="12"/>
    <row r="579" ht="12"/>
    <row r="580" ht="12"/>
    <row r="581" ht="12"/>
    <row r="582" ht="12"/>
    <row r="583" ht="12"/>
    <row r="584" ht="12"/>
    <row r="585" ht="12"/>
    <row r="586" ht="12"/>
    <row r="587" ht="12"/>
    <row r="588" ht="12"/>
    <row r="589" ht="12"/>
    <row r="590" ht="12"/>
    <row r="591" ht="12"/>
    <row r="592" ht="12"/>
    <row r="593" ht="12"/>
    <row r="594" ht="12"/>
    <row r="595" ht="12"/>
    <row r="596" ht="12"/>
    <row r="597" ht="12"/>
    <row r="598" ht="12"/>
    <row r="599" ht="12"/>
    <row r="600" ht="12"/>
    <row r="601" ht="12"/>
    <row r="602" ht="12"/>
    <row r="603" ht="12"/>
    <row r="604" ht="12"/>
    <row r="605" ht="12"/>
    <row r="606" ht="12"/>
    <row r="607" ht="12"/>
    <row r="608" ht="12"/>
    <row r="609" ht="12"/>
    <row r="610" ht="12"/>
    <row r="611" ht="12"/>
    <row r="612" ht="12"/>
    <row r="613" ht="12"/>
    <row r="614" ht="12"/>
    <row r="615" ht="12"/>
    <row r="616" ht="12"/>
    <row r="617" ht="12"/>
    <row r="618" ht="12"/>
    <row r="619" ht="12"/>
    <row r="620" ht="12"/>
    <row r="621" ht="12"/>
    <row r="622" ht="12"/>
    <row r="623" ht="12"/>
    <row r="624" ht="12"/>
    <row r="625" ht="12"/>
    <row r="626" ht="12"/>
    <row r="627" ht="12"/>
    <row r="628" ht="12"/>
    <row r="629" ht="12"/>
    <row r="630" ht="12"/>
    <row r="631" ht="12"/>
    <row r="632" ht="12"/>
    <row r="633" ht="12"/>
    <row r="634" ht="12"/>
    <row r="635" ht="12"/>
    <row r="636" ht="12"/>
    <row r="637" ht="12"/>
    <row r="638" ht="12"/>
    <row r="639" ht="12"/>
    <row r="640" ht="12"/>
    <row r="641" ht="12"/>
    <row r="642" ht="12"/>
    <row r="643" ht="12"/>
    <row r="644" ht="12"/>
    <row r="645" ht="12"/>
    <row r="646" ht="12"/>
    <row r="647" ht="12"/>
    <row r="648" ht="12"/>
    <row r="649" ht="12"/>
    <row r="650" ht="12"/>
    <row r="651" ht="12"/>
    <row r="652" ht="12"/>
    <row r="653" ht="12"/>
    <row r="654" ht="12"/>
    <row r="655" ht="12"/>
    <row r="656" ht="12"/>
    <row r="657" ht="12"/>
    <row r="658" ht="12"/>
    <row r="659" ht="12"/>
    <row r="660" ht="12"/>
    <row r="661" ht="12"/>
    <row r="662" ht="12"/>
    <row r="663" ht="12"/>
    <row r="664" ht="12"/>
    <row r="665" ht="12"/>
    <row r="666" ht="12"/>
    <row r="667" ht="12"/>
    <row r="668" ht="12"/>
    <row r="669" ht="12"/>
    <row r="670" ht="12"/>
    <row r="671" ht="12"/>
    <row r="672" ht="12"/>
    <row r="673" ht="12"/>
    <row r="674" ht="12"/>
    <row r="675" ht="12"/>
    <row r="676" ht="12"/>
    <row r="677" ht="12"/>
    <row r="678" ht="12"/>
    <row r="679" ht="12"/>
    <row r="680" ht="12"/>
    <row r="681" ht="12"/>
    <row r="682" ht="12"/>
    <row r="683" ht="12"/>
    <row r="684" ht="12"/>
    <row r="685" ht="12"/>
    <row r="686" ht="12"/>
    <row r="687" ht="12"/>
    <row r="688" ht="12"/>
    <row r="689" ht="12"/>
    <row r="690" ht="12"/>
    <row r="691" ht="12"/>
    <row r="692" ht="12"/>
    <row r="693" ht="12"/>
    <row r="694" ht="12"/>
    <row r="695" ht="12"/>
    <row r="696" ht="12"/>
    <row r="697" ht="12"/>
    <row r="698" ht="12"/>
    <row r="699" ht="12"/>
    <row r="700" ht="12"/>
    <row r="701" ht="12"/>
    <row r="702" ht="12"/>
    <row r="703" ht="12"/>
    <row r="704" ht="12"/>
    <row r="705" ht="12"/>
    <row r="706" ht="12"/>
    <row r="707" ht="12"/>
    <row r="708" ht="12"/>
    <row r="709" ht="12"/>
    <row r="710" ht="12"/>
    <row r="711" ht="12"/>
    <row r="712" ht="12"/>
    <row r="713" ht="12"/>
    <row r="714" ht="12"/>
    <row r="715" ht="12"/>
    <row r="716" ht="12"/>
    <row r="717" ht="12"/>
    <row r="718" ht="12"/>
    <row r="719" ht="12"/>
    <row r="720" ht="12"/>
    <row r="721" ht="12"/>
    <row r="722" ht="12"/>
    <row r="723" ht="12"/>
    <row r="724" ht="12"/>
    <row r="725" ht="12"/>
    <row r="726" ht="12"/>
    <row r="727" ht="12"/>
    <row r="728" ht="12"/>
    <row r="729" ht="12"/>
    <row r="730" ht="12"/>
    <row r="731" ht="12"/>
    <row r="732" ht="12"/>
    <row r="733" ht="12"/>
    <row r="734" ht="12"/>
    <row r="735" ht="12"/>
    <row r="736" ht="12"/>
    <row r="737" ht="12"/>
    <row r="738" ht="12"/>
    <row r="739" ht="12"/>
    <row r="740" ht="12"/>
    <row r="741" ht="12"/>
    <row r="742" ht="12"/>
    <row r="743" ht="12"/>
    <row r="744" ht="12"/>
    <row r="745" ht="12"/>
    <row r="746" ht="12"/>
    <row r="747" ht="12"/>
    <row r="748" ht="12"/>
    <row r="749" ht="12"/>
    <row r="750" ht="12"/>
    <row r="751" ht="12"/>
    <row r="752" ht="12"/>
    <row r="753" ht="12"/>
    <row r="754" ht="12"/>
    <row r="755" ht="12"/>
    <row r="756" ht="12"/>
    <row r="757" ht="12"/>
    <row r="758" ht="12"/>
    <row r="759" ht="12"/>
    <row r="760" ht="12"/>
    <row r="761" ht="12"/>
    <row r="762" ht="12"/>
  </sheetData>
  <mergeCells count="229">
    <mergeCell ref="B46:J46"/>
    <mergeCell ref="A47:L47"/>
    <mergeCell ref="J48:K48"/>
    <mergeCell ref="B49:C49"/>
    <mergeCell ref="F49:I49"/>
    <mergeCell ref="B50:C50"/>
    <mergeCell ref="U41:U43"/>
    <mergeCell ref="V41:V43"/>
    <mergeCell ref="W41:W43"/>
    <mergeCell ref="E42:J44"/>
    <mergeCell ref="K42:L44"/>
    <mergeCell ref="A45:L45"/>
    <mergeCell ref="O41:O43"/>
    <mergeCell ref="P41:P43"/>
    <mergeCell ref="Q41:Q43"/>
    <mergeCell ref="R41:R43"/>
    <mergeCell ref="S41:S43"/>
    <mergeCell ref="T41:T43"/>
    <mergeCell ref="A39:L39"/>
    <mergeCell ref="E40:J40"/>
    <mergeCell ref="K40:L40"/>
    <mergeCell ref="A41:A44"/>
    <mergeCell ref="E41:J41"/>
    <mergeCell ref="K41:L41"/>
    <mergeCell ref="U34:U36"/>
    <mergeCell ref="V34:V36"/>
    <mergeCell ref="W34:W36"/>
    <mergeCell ref="I35:J35"/>
    <mergeCell ref="I36:J36"/>
    <mergeCell ref="A37:M38"/>
    <mergeCell ref="O34:O36"/>
    <mergeCell ref="P34:P36"/>
    <mergeCell ref="Q34:Q36"/>
    <mergeCell ref="R34:R36"/>
    <mergeCell ref="S34:S36"/>
    <mergeCell ref="T34:T36"/>
    <mergeCell ref="A34:A36"/>
    <mergeCell ref="B34:B36"/>
    <mergeCell ref="C34:C36"/>
    <mergeCell ref="D34:D36"/>
    <mergeCell ref="I34:J34"/>
    <mergeCell ref="K34:L36"/>
    <mergeCell ref="V31:V33"/>
    <mergeCell ref="W31:W33"/>
    <mergeCell ref="I32:J32"/>
    <mergeCell ref="I33:J33"/>
    <mergeCell ref="M31:M33"/>
    <mergeCell ref="O31:O33"/>
    <mergeCell ref="P31:P33"/>
    <mergeCell ref="Q31:Q33"/>
    <mergeCell ref="R31:R33"/>
    <mergeCell ref="S31:S33"/>
    <mergeCell ref="A31:A33"/>
    <mergeCell ref="B31:B33"/>
    <mergeCell ref="C31:C33"/>
    <mergeCell ref="D31:D33"/>
    <mergeCell ref="I31:J31"/>
    <mergeCell ref="K31:L33"/>
    <mergeCell ref="S28:S30"/>
    <mergeCell ref="T28:T30"/>
    <mergeCell ref="U28:U30"/>
    <mergeCell ref="A28:A30"/>
    <mergeCell ref="B28:B30"/>
    <mergeCell ref="C28:C30"/>
    <mergeCell ref="D28:D30"/>
    <mergeCell ref="T31:T33"/>
    <mergeCell ref="U31:U33"/>
    <mergeCell ref="V28:V30"/>
    <mergeCell ref="W28:W30"/>
    <mergeCell ref="I29:J29"/>
    <mergeCell ref="I30:J30"/>
    <mergeCell ref="M28:M30"/>
    <mergeCell ref="N28:N30"/>
    <mergeCell ref="O28:O30"/>
    <mergeCell ref="P28:P30"/>
    <mergeCell ref="Q28:Q30"/>
    <mergeCell ref="R28:R30"/>
    <mergeCell ref="I28:J28"/>
    <mergeCell ref="K28:L30"/>
    <mergeCell ref="V25:V27"/>
    <mergeCell ref="W25:W27"/>
    <mergeCell ref="I26:J26"/>
    <mergeCell ref="I27:J27"/>
    <mergeCell ref="M25:M27"/>
    <mergeCell ref="N25:N27"/>
    <mergeCell ref="O25:O27"/>
    <mergeCell ref="P25:P27"/>
    <mergeCell ref="Q25:Q27"/>
    <mergeCell ref="R25:R27"/>
    <mergeCell ref="A25:A27"/>
    <mergeCell ref="B25:B27"/>
    <mergeCell ref="C25:C27"/>
    <mergeCell ref="D25:D27"/>
    <mergeCell ref="I25:J25"/>
    <mergeCell ref="K25:L27"/>
    <mergeCell ref="S22:S24"/>
    <mergeCell ref="T22:T24"/>
    <mergeCell ref="U22:U24"/>
    <mergeCell ref="A22:A24"/>
    <mergeCell ref="B22:B24"/>
    <mergeCell ref="C22:C24"/>
    <mergeCell ref="D22:D24"/>
    <mergeCell ref="S25:S27"/>
    <mergeCell ref="T25:T27"/>
    <mergeCell ref="U25:U27"/>
    <mergeCell ref="V22:V24"/>
    <mergeCell ref="W22:W24"/>
    <mergeCell ref="I23:J23"/>
    <mergeCell ref="I24:J24"/>
    <mergeCell ref="M22:M24"/>
    <mergeCell ref="N22:N24"/>
    <mergeCell ref="O22:O24"/>
    <mergeCell ref="P22:P24"/>
    <mergeCell ref="Q22:Q24"/>
    <mergeCell ref="R22:R24"/>
    <mergeCell ref="I22:J22"/>
    <mergeCell ref="K22:L24"/>
    <mergeCell ref="V19:V21"/>
    <mergeCell ref="W19:W21"/>
    <mergeCell ref="I20:J20"/>
    <mergeCell ref="I21:J21"/>
    <mergeCell ref="M19:M21"/>
    <mergeCell ref="N19:N21"/>
    <mergeCell ref="O19:O21"/>
    <mergeCell ref="P19:P21"/>
    <mergeCell ref="Q19:Q21"/>
    <mergeCell ref="R19:R21"/>
    <mergeCell ref="A19:A21"/>
    <mergeCell ref="B19:B21"/>
    <mergeCell ref="C19:C21"/>
    <mergeCell ref="D19:D21"/>
    <mergeCell ref="I19:J19"/>
    <mergeCell ref="K19:L21"/>
    <mergeCell ref="S16:S18"/>
    <mergeCell ref="T16:T18"/>
    <mergeCell ref="U16:U18"/>
    <mergeCell ref="A16:A18"/>
    <mergeCell ref="B16:B18"/>
    <mergeCell ref="C16:C18"/>
    <mergeCell ref="D16:D18"/>
    <mergeCell ref="S19:S21"/>
    <mergeCell ref="T19:T21"/>
    <mergeCell ref="U19:U21"/>
    <mergeCell ref="N13:N15"/>
    <mergeCell ref="O13:O15"/>
    <mergeCell ref="P13:P15"/>
    <mergeCell ref="Q13:Q15"/>
    <mergeCell ref="R13:R15"/>
    <mergeCell ref="V16:V18"/>
    <mergeCell ref="W16:W18"/>
    <mergeCell ref="I17:J17"/>
    <mergeCell ref="I18:J18"/>
    <mergeCell ref="M16:M18"/>
    <mergeCell ref="N16:N18"/>
    <mergeCell ref="O16:O18"/>
    <mergeCell ref="P16:P18"/>
    <mergeCell ref="Q16:Q18"/>
    <mergeCell ref="R16:R18"/>
    <mergeCell ref="I16:J16"/>
    <mergeCell ref="K16:L18"/>
    <mergeCell ref="W10:W12"/>
    <mergeCell ref="K10:L12"/>
    <mergeCell ref="M10:M12"/>
    <mergeCell ref="N10:N12"/>
    <mergeCell ref="O10:O12"/>
    <mergeCell ref="P10:P12"/>
    <mergeCell ref="Q10:Q12"/>
    <mergeCell ref="A13:A15"/>
    <mergeCell ref="B13:B15"/>
    <mergeCell ref="C13:C15"/>
    <mergeCell ref="D13:D15"/>
    <mergeCell ref="I13:J13"/>
    <mergeCell ref="K13:L15"/>
    <mergeCell ref="R10:R12"/>
    <mergeCell ref="S10:S12"/>
    <mergeCell ref="T10:T12"/>
    <mergeCell ref="S13:S15"/>
    <mergeCell ref="T13:T15"/>
    <mergeCell ref="U13:U15"/>
    <mergeCell ref="V13:V15"/>
    <mergeCell ref="W13:W15"/>
    <mergeCell ref="I14:J14"/>
    <mergeCell ref="I15:J15"/>
    <mergeCell ref="M13:M15"/>
    <mergeCell ref="A10:A12"/>
    <mergeCell ref="B10:B12"/>
    <mergeCell ref="C10:C12"/>
    <mergeCell ref="D10:D12"/>
    <mergeCell ref="I10:J10"/>
    <mergeCell ref="I11:J11"/>
    <mergeCell ref="I12:J12"/>
    <mergeCell ref="U10:U12"/>
    <mergeCell ref="V10:V12"/>
    <mergeCell ref="R7:R9"/>
    <mergeCell ref="S7:S9"/>
    <mergeCell ref="T7:T9"/>
    <mergeCell ref="U7:U9"/>
    <mergeCell ref="V7:V9"/>
    <mergeCell ref="W7:W9"/>
    <mergeCell ref="K7:L9"/>
    <mergeCell ref="M7:M9"/>
    <mergeCell ref="N7:N9"/>
    <mergeCell ref="O7:O9"/>
    <mergeCell ref="P7:P9"/>
    <mergeCell ref="Q7:Q9"/>
    <mergeCell ref="B5:D5"/>
    <mergeCell ref="E5:H5"/>
    <mergeCell ref="I5:M5"/>
    <mergeCell ref="I6:J6"/>
    <mergeCell ref="K6:L6"/>
    <mergeCell ref="A7:A9"/>
    <mergeCell ref="B7:B9"/>
    <mergeCell ref="C7:C9"/>
    <mergeCell ref="D7:D9"/>
    <mergeCell ref="I7:J7"/>
    <mergeCell ref="I8:J8"/>
    <mergeCell ref="I9:J9"/>
    <mergeCell ref="A3:B3"/>
    <mergeCell ref="C3:F3"/>
    <mergeCell ref="G3:H3"/>
    <mergeCell ref="I3:J3"/>
    <mergeCell ref="A4:B4"/>
    <mergeCell ref="C4:F4"/>
    <mergeCell ref="G4:J4"/>
    <mergeCell ref="A1:L1"/>
    <mergeCell ref="A2:B2"/>
    <mergeCell ref="C2:F2"/>
    <mergeCell ref="G2:H2"/>
    <mergeCell ref="I2:J2"/>
  </mergeCells>
  <phoneticPr fontId="76" type="noConversion"/>
  <printOptions horizontalCentered="1"/>
  <pageMargins left="0.19685039370078741" right="0.19685039370078741" top="0.59055118110236227" bottom="0.59055118110236227" header="0.19685039370078741" footer="0.19685039370078741"/>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O32"/>
  <sheetViews>
    <sheetView view="pageBreakPreview" zoomScaleSheetLayoutView="100" workbookViewId="0">
      <selection activeCell="S13" sqref="S13"/>
    </sheetView>
  </sheetViews>
  <sheetFormatPr defaultRowHeight="15.75"/>
  <cols>
    <col min="1" max="2" width="3.75" style="25" customWidth="1"/>
    <col min="3" max="4" width="3.5" style="25" customWidth="1"/>
    <col min="5" max="6" width="10.125" style="25" customWidth="1"/>
    <col min="7" max="7" width="5.5" style="28" customWidth="1"/>
    <col min="8" max="8" width="5.5" style="25" customWidth="1"/>
    <col min="9" max="9" width="1.375" style="25" customWidth="1"/>
    <col min="10" max="10" width="4.25" style="25" customWidth="1"/>
    <col min="11" max="11" width="3.875" style="25" customWidth="1"/>
    <col min="12" max="12" width="6.625" style="25" customWidth="1"/>
    <col min="13" max="13" width="8" style="25" customWidth="1"/>
    <col min="14" max="14" width="3.75" style="25" customWidth="1"/>
    <col min="15" max="15" width="4.75" style="25" customWidth="1"/>
    <col min="16" max="16" width="4.625" style="25" customWidth="1"/>
    <col min="17" max="18" width="5.375" style="25" customWidth="1"/>
    <col min="19" max="19" width="4.75" style="25" customWidth="1"/>
    <col min="20" max="20" width="8.375" style="25" customWidth="1"/>
    <col min="21" max="21" width="4.75" style="25" customWidth="1"/>
    <col min="22" max="22" width="13.75" style="25" customWidth="1"/>
    <col min="23" max="23" width="8.25" style="25" customWidth="1"/>
    <col min="24" max="24" width="13.625" style="25" customWidth="1"/>
    <col min="25" max="25" width="4.75" style="25" customWidth="1"/>
    <col min="26" max="26" width="9" style="25" customWidth="1"/>
    <col min="27" max="28" width="4.75" style="25" customWidth="1"/>
    <col min="29" max="29" width="9.25" style="704" customWidth="1"/>
    <col min="30" max="30" width="9.5" style="705" bestFit="1" customWidth="1"/>
    <col min="31" max="31" width="9.875" style="705" customWidth="1"/>
    <col min="32" max="33" width="10" style="705" customWidth="1"/>
    <col min="34" max="34" width="6.625" style="705" customWidth="1"/>
    <col min="35" max="35" width="6.5" style="25" customWidth="1"/>
    <col min="36" max="36" width="9" style="25"/>
    <col min="37" max="37" width="8.5" style="25" customWidth="1"/>
    <col min="38" max="38" width="6.375" style="25" customWidth="1"/>
    <col min="39" max="39" width="5.75" style="25" customWidth="1"/>
    <col min="40" max="40" width="12.625" style="25" customWidth="1"/>
    <col min="41" max="41" width="8.375" style="30" customWidth="1"/>
    <col min="42" max="42" width="24.875" style="25" customWidth="1"/>
    <col min="43" max="43" width="9" style="25"/>
    <col min="44" max="44" width="37.5" style="25" customWidth="1"/>
    <col min="45" max="16384" width="9" style="25"/>
  </cols>
  <sheetData>
    <row r="1" spans="1:32" ht="25.5">
      <c r="A1" s="1155" t="s">
        <v>1482</v>
      </c>
      <c r="B1" s="1155"/>
      <c r="C1" s="1155"/>
      <c r="D1" s="1155"/>
      <c r="E1" s="1155"/>
      <c r="F1" s="1155"/>
      <c r="G1" s="1155"/>
      <c r="H1" s="1155"/>
      <c r="I1" s="1155"/>
      <c r="J1" s="1155"/>
      <c r="K1" s="1155"/>
      <c r="L1" s="1155"/>
      <c r="M1" s="1155"/>
      <c r="N1" s="1155"/>
      <c r="O1" s="1155"/>
      <c r="P1" s="1155"/>
      <c r="Q1" s="1155"/>
      <c r="R1" s="1155"/>
      <c r="S1" s="29"/>
      <c r="T1" s="702"/>
      <c r="U1" s="703"/>
      <c r="V1" s="702" t="s">
        <v>1483</v>
      </c>
      <c r="W1" s="703" t="s">
        <v>1271</v>
      </c>
      <c r="X1" s="29"/>
      <c r="Y1" s="29"/>
      <c r="Z1" s="29"/>
      <c r="AA1" s="29"/>
      <c r="AB1" s="29"/>
    </row>
    <row r="2" spans="1:32" ht="16.5" thickBot="1">
      <c r="A2" s="1156" t="s">
        <v>1484</v>
      </c>
      <c r="B2" s="1156"/>
      <c r="C2" s="1156"/>
      <c r="D2" s="1156">
        <f>图兰朵黑檀作业单!C3</f>
        <v>15530608063</v>
      </c>
      <c r="E2" s="1156"/>
      <c r="F2" s="1156"/>
      <c r="G2" s="706"/>
      <c r="H2" s="1157"/>
      <c r="I2" s="1157"/>
      <c r="J2" s="1157"/>
      <c r="K2" s="1158"/>
      <c r="L2" s="1158"/>
      <c r="M2" s="1158"/>
      <c r="N2" s="1158"/>
      <c r="O2" s="1156"/>
      <c r="P2" s="1156"/>
      <c r="Q2" s="1159"/>
      <c r="R2" s="1159"/>
      <c r="U2" s="703"/>
      <c r="V2" s="25" t="s">
        <v>1485</v>
      </c>
      <c r="W2" s="703" t="s">
        <v>1376</v>
      </c>
    </row>
    <row r="3" spans="1:32">
      <c r="A3" s="1167" t="s">
        <v>1194</v>
      </c>
      <c r="B3" s="1160"/>
      <c r="C3" s="1160"/>
      <c r="D3" s="1160" t="str">
        <f>图兰朵黑檀作业单!C2</f>
        <v>赵蕊</v>
      </c>
      <c r="E3" s="1160"/>
      <c r="F3" s="1168"/>
      <c r="G3" s="1170"/>
      <c r="H3" s="1160"/>
      <c r="I3" s="1160"/>
      <c r="J3" s="1160"/>
      <c r="K3" s="1160" t="s">
        <v>1199</v>
      </c>
      <c r="L3" s="1160"/>
      <c r="M3" s="1162">
        <f>图兰朵黑檀作业单!I3</f>
        <v>43129</v>
      </c>
      <c r="N3" s="1162"/>
      <c r="O3" s="1160" t="s">
        <v>1486</v>
      </c>
      <c r="P3" s="1160"/>
      <c r="Q3" s="1160" t="str">
        <f>[4]图兰朵混油下料单!L5</f>
        <v>图兰朵</v>
      </c>
      <c r="R3" s="1163"/>
      <c r="V3" s="707" t="s">
        <v>1377</v>
      </c>
      <c r="W3" s="703" t="s">
        <v>1378</v>
      </c>
    </row>
    <row r="4" spans="1:32">
      <c r="A4" s="1165" t="str">
        <f>[4]图兰朵混油下料单!G3</f>
        <v>版本型录号</v>
      </c>
      <c r="B4" s="1161"/>
      <c r="C4" s="1161"/>
      <c r="D4" s="1161">
        <f>图兰朵黑檀作业单!I2</f>
        <v>123</v>
      </c>
      <c r="E4" s="1161"/>
      <c r="F4" s="1169"/>
      <c r="G4" s="1171"/>
      <c r="H4" s="1161"/>
      <c r="I4" s="1161"/>
      <c r="J4" s="1161"/>
      <c r="K4" s="1161" t="s">
        <v>1202</v>
      </c>
      <c r="L4" s="1161"/>
      <c r="M4" s="1166">
        <f>图兰朵黑檀作业单!L3</f>
        <v>43169</v>
      </c>
      <c r="N4" s="1166"/>
      <c r="O4" s="1161"/>
      <c r="P4" s="1161"/>
      <c r="Q4" s="1161"/>
      <c r="R4" s="1164"/>
      <c r="S4" s="32"/>
      <c r="T4" s="32"/>
      <c r="U4" s="32"/>
      <c r="V4" s="708" t="s">
        <v>1379</v>
      </c>
      <c r="W4" s="709"/>
      <c r="X4" s="32"/>
      <c r="Y4" s="32"/>
      <c r="Z4" s="32"/>
      <c r="AA4" s="32"/>
      <c r="AB4" s="32"/>
    </row>
    <row r="5" spans="1:32">
      <c r="A5" s="710" t="s">
        <v>1272</v>
      </c>
      <c r="B5" s="711" t="s">
        <v>1215</v>
      </c>
      <c r="C5" s="1161" t="s">
        <v>1421</v>
      </c>
      <c r="D5" s="1161"/>
      <c r="E5" s="1161" t="s">
        <v>1487</v>
      </c>
      <c r="F5" s="1161"/>
      <c r="G5" s="712" t="s">
        <v>1264</v>
      </c>
      <c r="H5" s="711" t="s">
        <v>1219</v>
      </c>
      <c r="I5" s="1161"/>
      <c r="J5" s="711" t="s">
        <v>1272</v>
      </c>
      <c r="K5" s="711" t="s">
        <v>1215</v>
      </c>
      <c r="L5" s="1161" t="s">
        <v>1421</v>
      </c>
      <c r="M5" s="1161"/>
      <c r="N5" s="1161" t="s">
        <v>1488</v>
      </c>
      <c r="O5" s="1161"/>
      <c r="P5" s="1161"/>
      <c r="Q5" s="711" t="s">
        <v>1264</v>
      </c>
      <c r="R5" s="713" t="s">
        <v>1219</v>
      </c>
      <c r="S5" s="32"/>
      <c r="T5" s="32"/>
      <c r="U5" s="32"/>
      <c r="V5" s="707"/>
      <c r="W5" s="708"/>
      <c r="X5" s="32"/>
      <c r="Y5" s="32"/>
      <c r="Z5" s="32"/>
      <c r="AA5" s="32"/>
      <c r="AB5" s="32"/>
    </row>
    <row r="6" spans="1:32">
      <c r="A6" s="1173" t="s">
        <v>1489</v>
      </c>
      <c r="B6" s="711">
        <v>1</v>
      </c>
      <c r="C6" s="1161" t="s">
        <v>1489</v>
      </c>
      <c r="D6" s="1161"/>
      <c r="E6" s="1174" t="s">
        <v>1490</v>
      </c>
      <c r="F6" s="1174"/>
      <c r="G6" s="712">
        <f>[4]图兰朵黑檀下料单!P47</f>
        <v>0</v>
      </c>
      <c r="H6" s="711" t="s">
        <v>1275</v>
      </c>
      <c r="I6" s="1161"/>
      <c r="J6" s="1175" t="s">
        <v>1381</v>
      </c>
      <c r="K6" s="711">
        <v>1</v>
      </c>
      <c r="L6" s="1176" t="s">
        <v>1491</v>
      </c>
      <c r="M6" s="1177"/>
      <c r="N6" s="1177"/>
      <c r="O6" s="1177"/>
      <c r="P6" s="1178"/>
      <c r="Q6" s="711">
        <f>[4]图兰朵黑檀下料单!N47</f>
        <v>0</v>
      </c>
      <c r="R6" s="713" t="s">
        <v>1283</v>
      </c>
      <c r="V6" s="31" t="s">
        <v>1492</v>
      </c>
    </row>
    <row r="7" spans="1:32">
      <c r="A7" s="1173"/>
      <c r="B7" s="711">
        <v>2</v>
      </c>
      <c r="C7" s="1161" t="s">
        <v>1489</v>
      </c>
      <c r="D7" s="1161"/>
      <c r="E7" s="1174" t="s">
        <v>1276</v>
      </c>
      <c r="F7" s="1174"/>
      <c r="G7" s="712">
        <f>[4]图兰朵黑檀下料单!Q47</f>
        <v>0</v>
      </c>
      <c r="H7" s="711" t="s">
        <v>1275</v>
      </c>
      <c r="I7" s="1161"/>
      <c r="J7" s="1175"/>
      <c r="K7" s="711"/>
      <c r="L7" s="1169" t="s">
        <v>1493</v>
      </c>
      <c r="M7" s="1169"/>
      <c r="N7" s="1179" t="s">
        <v>1494</v>
      </c>
      <c r="O7" s="1179"/>
      <c r="P7" s="1179"/>
      <c r="Q7" s="711">
        <f>Q6*0.056*2/0.4</f>
        <v>0</v>
      </c>
      <c r="R7" s="713" t="s">
        <v>1285</v>
      </c>
      <c r="V7" s="714" t="s">
        <v>1495</v>
      </c>
    </row>
    <row r="8" spans="1:32">
      <c r="A8" s="1173"/>
      <c r="B8" s="711">
        <v>3</v>
      </c>
      <c r="C8" s="1161" t="s">
        <v>1489</v>
      </c>
      <c r="D8" s="1161"/>
      <c r="E8" s="1174" t="s">
        <v>1496</v>
      </c>
      <c r="F8" s="1174"/>
      <c r="G8" s="712">
        <f>[4]图兰朵黑檀下料单!R47</f>
        <v>0</v>
      </c>
      <c r="H8" s="711" t="s">
        <v>1275</v>
      </c>
      <c r="I8" s="1161"/>
      <c r="J8" s="1175"/>
      <c r="K8" s="711"/>
      <c r="L8" s="1169"/>
      <c r="M8" s="1169"/>
      <c r="N8" s="1179"/>
      <c r="O8" s="1179"/>
      <c r="P8" s="1179"/>
      <c r="Q8" s="711"/>
      <c r="R8" s="713"/>
    </row>
    <row r="9" spans="1:32">
      <c r="A9" s="1173"/>
      <c r="B9" s="711">
        <v>4</v>
      </c>
      <c r="C9" s="1161" t="s">
        <v>1489</v>
      </c>
      <c r="D9" s="1161"/>
      <c r="E9" s="1174" t="s">
        <v>1497</v>
      </c>
      <c r="F9" s="1174"/>
      <c r="G9" s="712">
        <f>[4]图兰朵黑檀下料单!S47</f>
        <v>0</v>
      </c>
      <c r="H9" s="711" t="s">
        <v>1275</v>
      </c>
      <c r="I9" s="1161"/>
      <c r="J9" s="1175"/>
      <c r="K9" s="711"/>
      <c r="L9" s="1169" t="s">
        <v>1278</v>
      </c>
      <c r="M9" s="1169"/>
      <c r="N9" s="1179" t="s">
        <v>1498</v>
      </c>
      <c r="O9" s="1179"/>
      <c r="P9" s="1179"/>
      <c r="Q9" s="715">
        <f>AD$12*30/1000</f>
        <v>0</v>
      </c>
      <c r="R9" s="713" t="s">
        <v>1279</v>
      </c>
      <c r="AA9" s="31"/>
      <c r="AC9" s="704">
        <v>1</v>
      </c>
      <c r="AD9" s="704">
        <v>2</v>
      </c>
      <c r="AE9" s="704">
        <v>3</v>
      </c>
      <c r="AF9" s="704">
        <v>4</v>
      </c>
    </row>
    <row r="10" spans="1:32">
      <c r="A10" s="1173" t="s">
        <v>1499</v>
      </c>
      <c r="B10" s="711">
        <v>1</v>
      </c>
      <c r="C10" s="1161" t="s">
        <v>1499</v>
      </c>
      <c r="D10" s="1161"/>
      <c r="E10" s="1169" t="s">
        <v>1500</v>
      </c>
      <c r="F10" s="1169"/>
      <c r="G10" s="716">
        <f>图兰朵黑檀作业单!X45</f>
        <v>0</v>
      </c>
      <c r="H10" s="711" t="s">
        <v>1501</v>
      </c>
      <c r="I10" s="1161"/>
      <c r="J10" s="1175"/>
      <c r="K10" s="711"/>
      <c r="L10" s="1169" t="s">
        <v>1278</v>
      </c>
      <c r="M10" s="1169"/>
      <c r="N10" s="1179" t="s">
        <v>1502</v>
      </c>
      <c r="O10" s="1179"/>
      <c r="P10" s="1179"/>
      <c r="Q10" s="715">
        <f>AD$12*35/1000</f>
        <v>0</v>
      </c>
      <c r="R10" s="713" t="s">
        <v>1279</v>
      </c>
      <c r="AD10" s="704"/>
      <c r="AE10" s="704"/>
      <c r="AF10" s="704"/>
    </row>
    <row r="11" spans="1:32">
      <c r="A11" s="1173"/>
      <c r="B11" s="711"/>
      <c r="C11" s="1161"/>
      <c r="D11" s="1161"/>
      <c r="E11" s="1169"/>
      <c r="F11" s="1169"/>
      <c r="G11" s="712"/>
      <c r="H11" s="711"/>
      <c r="I11" s="1161"/>
      <c r="J11" s="1175" t="s">
        <v>1503</v>
      </c>
      <c r="K11" s="711">
        <v>1</v>
      </c>
      <c r="L11" s="1169" t="s">
        <v>1278</v>
      </c>
      <c r="M11" s="1169"/>
      <c r="N11" s="1180" t="s">
        <v>1504</v>
      </c>
      <c r="O11" s="1180"/>
      <c r="P11" s="1180"/>
      <c r="Q11" s="715">
        <f>AD$12*25/1000</f>
        <v>0</v>
      </c>
      <c r="R11" s="713" t="s">
        <v>1279</v>
      </c>
      <c r="U11" s="1181" t="s">
        <v>1280</v>
      </c>
      <c r="V11" s="1182"/>
      <c r="W11" s="1182"/>
      <c r="X11" s="1182"/>
      <c r="Y11" s="1182"/>
      <c r="Z11" s="1183"/>
      <c r="AC11" s="704" t="s">
        <v>1505</v>
      </c>
      <c r="AD11" s="704" t="s">
        <v>1506</v>
      </c>
      <c r="AE11" s="705" t="s">
        <v>1507</v>
      </c>
      <c r="AF11" s="705" t="s">
        <v>1508</v>
      </c>
    </row>
    <row r="12" spans="1:32">
      <c r="A12" s="1173"/>
      <c r="B12" s="711"/>
      <c r="C12" s="1161"/>
      <c r="D12" s="1161"/>
      <c r="E12" s="1169"/>
      <c r="F12" s="1169"/>
      <c r="G12" s="712"/>
      <c r="H12" s="711"/>
      <c r="I12" s="1161"/>
      <c r="J12" s="1175"/>
      <c r="K12" s="711">
        <v>2</v>
      </c>
      <c r="L12" s="1169" t="s">
        <v>1509</v>
      </c>
      <c r="M12" s="1169"/>
      <c r="N12" s="1184" t="s">
        <v>1510</v>
      </c>
      <c r="O12" s="1185" t="s">
        <v>1510</v>
      </c>
      <c r="P12" s="1186" t="s">
        <v>1510</v>
      </c>
      <c r="Q12" s="715">
        <f>Z12</f>
        <v>0</v>
      </c>
      <c r="R12" s="713" t="s">
        <v>1511</v>
      </c>
      <c r="U12" s="1187" t="str">
        <f>L12</f>
        <v>UV辊边</v>
      </c>
      <c r="V12" s="717">
        <v>50</v>
      </c>
      <c r="W12" s="1190">
        <f>AC12</f>
        <v>0</v>
      </c>
      <c r="X12" s="718" t="str">
        <f>N12</f>
        <v>UA1832</v>
      </c>
      <c r="Y12" s="719">
        <v>1</v>
      </c>
      <c r="Z12" s="720">
        <f>+V12*$W$12*Y12/1000</f>
        <v>0</v>
      </c>
      <c r="AC12" s="721">
        <f>[4]图兰朵黑檀下料单!W47</f>
        <v>0</v>
      </c>
      <c r="AD12" s="705">
        <f>[4]图兰朵黑檀下料单!V47</f>
        <v>0</v>
      </c>
      <c r="AE12" s="722">
        <f>SUM(AC12:AD12)</f>
        <v>0</v>
      </c>
    </row>
    <row r="13" spans="1:32">
      <c r="A13" s="1173"/>
      <c r="B13" s="711"/>
      <c r="C13" s="1161"/>
      <c r="D13" s="1161"/>
      <c r="E13" s="1169"/>
      <c r="F13" s="1169"/>
      <c r="G13" s="712"/>
      <c r="H13" s="711"/>
      <c r="I13" s="1161"/>
      <c r="J13" s="1175"/>
      <c r="K13" s="711">
        <v>3</v>
      </c>
      <c r="L13" s="1169"/>
      <c r="M13" s="1169"/>
      <c r="N13" s="1184" t="s">
        <v>1512</v>
      </c>
      <c r="O13" s="1185" t="s">
        <v>1512</v>
      </c>
      <c r="P13" s="1186" t="s">
        <v>1512</v>
      </c>
      <c r="Q13" s="715">
        <f>Z13</f>
        <v>0</v>
      </c>
      <c r="R13" s="713" t="s">
        <v>1279</v>
      </c>
      <c r="U13" s="1188"/>
      <c r="V13" s="717">
        <v>80</v>
      </c>
      <c r="W13" s="1188"/>
      <c r="X13" s="718" t="str">
        <f>N13</f>
        <v>UA4032</v>
      </c>
      <c r="Y13" s="719">
        <v>1</v>
      </c>
      <c r="Z13" s="720">
        <f>+V13*$W$12*Y13/1000</f>
        <v>0</v>
      </c>
    </row>
    <row r="14" spans="1:32">
      <c r="A14" s="1173" t="s">
        <v>1513</v>
      </c>
      <c r="B14" s="711">
        <v>1</v>
      </c>
      <c r="C14" s="1161" t="s">
        <v>1513</v>
      </c>
      <c r="D14" s="1161"/>
      <c r="E14" s="1191" t="s">
        <v>1514</v>
      </c>
      <c r="F14" s="1191"/>
      <c r="G14" s="712">
        <f>[4]图兰朵黑檀下料单!T47</f>
        <v>0</v>
      </c>
      <c r="H14" s="711" t="s">
        <v>1515</v>
      </c>
      <c r="I14" s="1161"/>
      <c r="J14" s="1175"/>
      <c r="K14" s="711">
        <v>4</v>
      </c>
      <c r="L14" s="1169"/>
      <c r="M14" s="1169"/>
      <c r="N14" s="1180"/>
      <c r="O14" s="1180"/>
      <c r="P14" s="1180"/>
      <c r="Q14" s="715"/>
      <c r="R14" s="713"/>
      <c r="U14" s="1189"/>
      <c r="V14" s="723"/>
      <c r="W14" s="1189"/>
      <c r="X14" s="718"/>
      <c r="Y14" s="719"/>
      <c r="Z14" s="720"/>
    </row>
    <row r="15" spans="1:32">
      <c r="A15" s="1173"/>
      <c r="B15" s="711">
        <v>2</v>
      </c>
      <c r="C15" s="1161" t="s">
        <v>1513</v>
      </c>
      <c r="D15" s="1161"/>
      <c r="E15" s="1191" t="s">
        <v>1516</v>
      </c>
      <c r="F15" s="1191"/>
      <c r="G15" s="712">
        <f>[4]图兰朵黑檀下料单!U47</f>
        <v>0</v>
      </c>
      <c r="H15" s="711" t="s">
        <v>1515</v>
      </c>
      <c r="I15" s="1161"/>
      <c r="J15" s="1175"/>
      <c r="K15" s="711">
        <v>5</v>
      </c>
      <c r="L15" s="1169" t="s">
        <v>1517</v>
      </c>
      <c r="M15" s="1169"/>
      <c r="N15" s="1180" t="s">
        <v>1518</v>
      </c>
      <c r="O15" s="1180"/>
      <c r="P15" s="1180"/>
      <c r="Q15" s="715">
        <f>Z15</f>
        <v>0</v>
      </c>
      <c r="R15" s="713" t="s">
        <v>1511</v>
      </c>
      <c r="U15" s="1187" t="str">
        <f>L15</f>
        <v>PU清底</v>
      </c>
      <c r="V15" s="1187">
        <f>323</f>
        <v>323</v>
      </c>
      <c r="W15" s="1187">
        <f>AD12</f>
        <v>0</v>
      </c>
      <c r="X15" s="718" t="str">
        <f t="shared" ref="X15:X24" si="0">N15</f>
        <v>PD3200</v>
      </c>
      <c r="Y15" s="719">
        <v>1</v>
      </c>
      <c r="Z15" s="720">
        <f>W$15*(V$15/(Y$15+Y$16+Y$17)*Y15)/1000</f>
        <v>0</v>
      </c>
    </row>
    <row r="16" spans="1:32">
      <c r="A16" s="1173"/>
      <c r="B16" s="711"/>
      <c r="C16" s="1161"/>
      <c r="D16" s="1161"/>
      <c r="E16" s="1169"/>
      <c r="F16" s="1169"/>
      <c r="G16" s="712"/>
      <c r="H16" s="711"/>
      <c r="I16" s="1161"/>
      <c r="J16" s="1175"/>
      <c r="K16" s="711">
        <v>6</v>
      </c>
      <c r="L16" s="1169"/>
      <c r="M16" s="1169"/>
      <c r="N16" s="1180" t="s">
        <v>1519</v>
      </c>
      <c r="O16" s="1180"/>
      <c r="P16" s="1180"/>
      <c r="Q16" s="715">
        <f>Z16</f>
        <v>0</v>
      </c>
      <c r="R16" s="713" t="s">
        <v>1279</v>
      </c>
      <c r="U16" s="1188"/>
      <c r="V16" s="1188"/>
      <c r="W16" s="1188"/>
      <c r="X16" s="718" t="str">
        <f t="shared" si="0"/>
        <v>PR66</v>
      </c>
      <c r="Y16" s="719">
        <v>0.5</v>
      </c>
      <c r="Z16" s="720">
        <f>W$15*(V$15/(Y$15+Y$16+Y$17)*Y16)/1000</f>
        <v>0</v>
      </c>
    </row>
    <row r="17" spans="1:26">
      <c r="A17" s="1192" t="s">
        <v>1520</v>
      </c>
      <c r="B17" s="711">
        <v>1</v>
      </c>
      <c r="C17" s="1161" t="s">
        <v>1521</v>
      </c>
      <c r="D17" s="1161"/>
      <c r="E17" s="1161" t="s">
        <v>1522</v>
      </c>
      <c r="F17" s="1161"/>
      <c r="G17" s="716">
        <f>(Q6*10.5)*2</f>
        <v>0</v>
      </c>
      <c r="H17" s="711" t="s">
        <v>1523</v>
      </c>
      <c r="I17" s="1161"/>
      <c r="J17" s="1175"/>
      <c r="K17" s="711">
        <v>7</v>
      </c>
      <c r="L17" s="1169"/>
      <c r="M17" s="1169"/>
      <c r="N17" s="1180" t="s">
        <v>1524</v>
      </c>
      <c r="O17" s="1180"/>
      <c r="P17" s="1180"/>
      <c r="Q17" s="715">
        <f>Z17</f>
        <v>0</v>
      </c>
      <c r="R17" s="713" t="s">
        <v>1511</v>
      </c>
      <c r="U17" s="1189"/>
      <c r="V17" s="1189"/>
      <c r="W17" s="1189"/>
      <c r="X17" s="718" t="str">
        <f t="shared" si="0"/>
        <v>PX707/PX705</v>
      </c>
      <c r="Y17" s="719">
        <v>0.5</v>
      </c>
      <c r="Z17" s="720">
        <f>W$15*(V$15/(Y$15+Y$16+Y$17)*Y17)/1000</f>
        <v>0</v>
      </c>
    </row>
    <row r="18" spans="1:26">
      <c r="A18" s="1192"/>
      <c r="B18" s="711">
        <v>2</v>
      </c>
      <c r="C18" s="1161" t="s">
        <v>1525</v>
      </c>
      <c r="D18" s="1161"/>
      <c r="E18" s="1161" t="s">
        <v>1526</v>
      </c>
      <c r="F18" s="1161"/>
      <c r="G18" s="716">
        <f>(G14*150+G15*150)*2</f>
        <v>0</v>
      </c>
      <c r="H18" s="711" t="s">
        <v>1523</v>
      </c>
      <c r="I18" s="1161"/>
      <c r="J18" s="1175"/>
      <c r="K18" s="711">
        <v>8</v>
      </c>
      <c r="L18" s="1169" t="s">
        <v>1527</v>
      </c>
      <c r="M18" s="1169"/>
      <c r="N18" s="1180" t="s">
        <v>1528</v>
      </c>
      <c r="O18" s="1180"/>
      <c r="P18" s="1180"/>
      <c r="Q18" s="715">
        <f>Z18</f>
        <v>0</v>
      </c>
      <c r="R18" s="711" t="s">
        <v>1511</v>
      </c>
      <c r="U18" s="1187" t="str">
        <f>L18</f>
        <v>PU清面</v>
      </c>
      <c r="V18" s="1187">
        <f>315*2</f>
        <v>630</v>
      </c>
      <c r="W18" s="1190">
        <f>AE12</f>
        <v>0</v>
      </c>
      <c r="X18" s="718" t="str">
        <f t="shared" si="0"/>
        <v>PG700</v>
      </c>
      <c r="Y18" s="718">
        <v>1</v>
      </c>
      <c r="Z18" s="720">
        <f>W$18*(V$18/(Y$18+Y$19+Y$20)*Y18)/1000</f>
        <v>0</v>
      </c>
    </row>
    <row r="19" spans="1:26">
      <c r="A19" s="1192"/>
      <c r="B19" s="711"/>
      <c r="C19" s="1161"/>
      <c r="D19" s="1161"/>
      <c r="E19" s="1161"/>
      <c r="F19" s="1161"/>
      <c r="G19" s="712"/>
      <c r="H19" s="711"/>
      <c r="I19" s="1161"/>
      <c r="J19" s="1175"/>
      <c r="K19" s="711"/>
      <c r="L19" s="1169"/>
      <c r="M19" s="1169"/>
      <c r="N19" s="1180" t="s">
        <v>1529</v>
      </c>
      <c r="O19" s="1180"/>
      <c r="P19" s="1180"/>
      <c r="Q19" s="715">
        <f>Z19</f>
        <v>0</v>
      </c>
      <c r="R19" s="711" t="s">
        <v>1279</v>
      </c>
      <c r="U19" s="1188"/>
      <c r="V19" s="1188"/>
      <c r="W19" s="1188"/>
      <c r="X19" s="718" t="str">
        <f t="shared" si="0"/>
        <v>PR71</v>
      </c>
      <c r="Y19" s="719">
        <v>0.8</v>
      </c>
      <c r="Z19" s="720">
        <f>W$18*(V$18/(Y$18+Y$19+Y$20)*Y19)/1000</f>
        <v>0</v>
      </c>
    </row>
    <row r="20" spans="1:26">
      <c r="A20" s="1173" t="s">
        <v>1407</v>
      </c>
      <c r="B20" s="711">
        <v>1</v>
      </c>
      <c r="C20" s="1161" t="s">
        <v>1530</v>
      </c>
      <c r="D20" s="1161"/>
      <c r="E20" s="1161" t="s">
        <v>1531</v>
      </c>
      <c r="F20" s="1161"/>
      <c r="G20" s="712">
        <f>[4]图兰朵黑檀下料单!O47</f>
        <v>0</v>
      </c>
      <c r="H20" s="711" t="s">
        <v>1285</v>
      </c>
      <c r="I20" s="1161"/>
      <c r="J20" s="1175"/>
      <c r="K20" s="711"/>
      <c r="L20" s="1169"/>
      <c r="M20" s="1169"/>
      <c r="N20" s="1180" t="str">
        <f>IF($V$1=$W$1,$V$6,$V$7)</f>
        <v>稀料PX807</v>
      </c>
      <c r="O20" s="1180"/>
      <c r="P20" s="1180"/>
      <c r="Q20" s="715">
        <f>IF(N21="",Z20,Z20*0.66)</f>
        <v>0</v>
      </c>
      <c r="R20" s="711" t="s">
        <v>1279</v>
      </c>
      <c r="U20" s="1188"/>
      <c r="V20" s="1188"/>
      <c r="W20" s="1188"/>
      <c r="X20" s="718" t="str">
        <f t="shared" si="0"/>
        <v>稀料PX807</v>
      </c>
      <c r="Y20" s="719">
        <v>1</v>
      </c>
      <c r="Z20" s="720">
        <f>W$18*(V$18/(Y$18+Y$19+Y$20)*Y20)/1000</f>
        <v>0</v>
      </c>
    </row>
    <row r="21" spans="1:26">
      <c r="A21" s="1173"/>
      <c r="B21" s="711"/>
      <c r="C21" s="1161"/>
      <c r="D21" s="1161"/>
      <c r="E21" s="1161"/>
      <c r="F21" s="1161"/>
      <c r="G21" s="712"/>
      <c r="H21" s="711"/>
      <c r="I21" s="1161"/>
      <c r="J21" s="1175"/>
      <c r="K21" s="711"/>
      <c r="L21" s="1169"/>
      <c r="M21" s="1169"/>
      <c r="N21" s="1194" t="str">
        <f>IF(V1=W3,V4,"")</f>
        <v>慢干水PZ807</v>
      </c>
      <c r="O21" s="1194"/>
      <c r="P21" s="1194"/>
      <c r="Q21" s="724">
        <f>IF(N21="","",Z21)</f>
        <v>0</v>
      </c>
      <c r="R21" s="725" t="str">
        <f>IF(N21="","","千克")</f>
        <v>千克</v>
      </c>
      <c r="U21" s="1189"/>
      <c r="V21" s="1189"/>
      <c r="W21" s="1189"/>
      <c r="X21" s="718" t="str">
        <f t="shared" si="0"/>
        <v>慢干水PZ807</v>
      </c>
      <c r="Y21" s="719"/>
      <c r="Z21" s="720">
        <f>+Z20*0.34</f>
        <v>0</v>
      </c>
    </row>
    <row r="22" spans="1:26">
      <c r="A22" s="1173"/>
      <c r="B22" s="711"/>
      <c r="C22" s="1161"/>
      <c r="D22" s="1161"/>
      <c r="E22" s="1161"/>
      <c r="F22" s="1161"/>
      <c r="G22" s="712"/>
      <c r="H22" s="711"/>
      <c r="I22" s="1161"/>
      <c r="J22" s="1169"/>
      <c r="K22" s="711"/>
      <c r="L22" s="1169" t="s">
        <v>1532</v>
      </c>
      <c r="M22" s="1169"/>
      <c r="N22" s="1194" t="s">
        <v>1533</v>
      </c>
      <c r="O22" s="1194"/>
      <c r="P22" s="1194"/>
      <c r="Q22" s="724">
        <f>Z22</f>
        <v>0</v>
      </c>
      <c r="R22" s="725" t="s">
        <v>1279</v>
      </c>
      <c r="U22" s="1187" t="str">
        <f>L22</f>
        <v>PU修色面漆</v>
      </c>
      <c r="V22" s="1187">
        <v>150</v>
      </c>
      <c r="W22" s="1190">
        <f>W18</f>
        <v>0</v>
      </c>
      <c r="X22" s="718" t="str">
        <f t="shared" si="0"/>
        <v>GT2042</v>
      </c>
      <c r="Y22" s="718">
        <v>1</v>
      </c>
      <c r="Z22" s="720">
        <f>W$22*(V$22/(Y$22+Y$23+Y$24)*Y22)/1000</f>
        <v>0</v>
      </c>
    </row>
    <row r="23" spans="1:26">
      <c r="A23" s="1192"/>
      <c r="B23" s="711"/>
      <c r="C23" s="1161"/>
      <c r="D23" s="1161"/>
      <c r="E23" s="1161"/>
      <c r="F23" s="1161"/>
      <c r="G23" s="712"/>
      <c r="H23" s="711"/>
      <c r="I23" s="1161"/>
      <c r="J23" s="1169"/>
      <c r="K23" s="711"/>
      <c r="L23" s="1169"/>
      <c r="M23" s="1169"/>
      <c r="N23" s="1194" t="s">
        <v>1534</v>
      </c>
      <c r="O23" s="1194"/>
      <c r="P23" s="1194"/>
      <c r="Q23" s="724">
        <f>Z23</f>
        <v>0</v>
      </c>
      <c r="R23" s="725" t="s">
        <v>1279</v>
      </c>
      <c r="U23" s="1188"/>
      <c r="V23" s="1188"/>
      <c r="W23" s="1188"/>
      <c r="X23" s="718" t="str">
        <f t="shared" si="0"/>
        <v>PR50</v>
      </c>
      <c r="Y23" s="719">
        <v>0.5</v>
      </c>
      <c r="Z23" s="720">
        <f>W$22*(V$22/(Y$22+Y$23+Y$24)*Y23)/1000</f>
        <v>0</v>
      </c>
    </row>
    <row r="24" spans="1:26">
      <c r="A24" s="1192"/>
      <c r="B24" s="711"/>
      <c r="C24" s="1161"/>
      <c r="D24" s="1161"/>
      <c r="E24" s="1161"/>
      <c r="F24" s="1161"/>
      <c r="G24" s="712"/>
      <c r="H24" s="711"/>
      <c r="I24" s="1161"/>
      <c r="J24" s="1169"/>
      <c r="K24" s="711"/>
      <c r="L24" s="1169"/>
      <c r="M24" s="1169"/>
      <c r="N24" s="1180" t="str">
        <f>IF($V$1=$W$1,$V$6,$V$7)</f>
        <v>稀料PX807</v>
      </c>
      <c r="O24" s="1180"/>
      <c r="P24" s="1180"/>
      <c r="Q24" s="724">
        <f>IF(N25="",Z24,Z24*0.66)</f>
        <v>0</v>
      </c>
      <c r="R24" s="725" t="str">
        <f>R21</f>
        <v>千克</v>
      </c>
      <c r="U24" s="1188"/>
      <c r="V24" s="1188"/>
      <c r="W24" s="1188"/>
      <c r="X24" s="718" t="str">
        <f t="shared" si="0"/>
        <v>稀料PX807</v>
      </c>
      <c r="Y24" s="719">
        <v>2</v>
      </c>
      <c r="Z24" s="720">
        <f>W$22*(V$22/(Y$22+Y$23+Y$25)*Y24)/1000</f>
        <v>0</v>
      </c>
    </row>
    <row r="25" spans="1:26">
      <c r="A25" s="1192"/>
      <c r="B25" s="711"/>
      <c r="C25" s="1161"/>
      <c r="D25" s="1161"/>
      <c r="E25" s="1161"/>
      <c r="F25" s="1161"/>
      <c r="G25" s="712"/>
      <c r="H25" s="726"/>
      <c r="I25" s="1161"/>
      <c r="J25" s="1169"/>
      <c r="K25" s="711"/>
      <c r="L25" s="1169"/>
      <c r="M25" s="1169"/>
      <c r="N25" s="1194" t="str">
        <f>IF(V1=W3,V4,"")</f>
        <v>慢干水PZ807</v>
      </c>
      <c r="O25" s="1194"/>
      <c r="P25" s="1194"/>
      <c r="Q25" s="724">
        <f>IF(N25="","",Z25)</f>
        <v>0</v>
      </c>
      <c r="R25" s="725" t="str">
        <f>R21</f>
        <v>千克</v>
      </c>
      <c r="U25" s="1189"/>
      <c r="V25" s="1189"/>
      <c r="W25" s="1189"/>
      <c r="X25" s="727" t="s">
        <v>1379</v>
      </c>
      <c r="Y25" s="719"/>
      <c r="Z25" s="720">
        <f>+Z24*0.34</f>
        <v>0</v>
      </c>
    </row>
    <row r="26" spans="1:26">
      <c r="A26" s="1192"/>
      <c r="B26" s="711"/>
      <c r="C26" s="1161"/>
      <c r="D26" s="1161"/>
      <c r="E26" s="1161"/>
      <c r="F26" s="1161"/>
      <c r="G26" s="712"/>
      <c r="H26" s="726"/>
      <c r="I26" s="1161"/>
      <c r="J26" s="1169"/>
      <c r="K26" s="711"/>
      <c r="L26" s="1202" t="s">
        <v>1386</v>
      </c>
      <c r="M26" s="1203"/>
      <c r="N26" s="1204"/>
      <c r="O26" s="1204"/>
      <c r="P26" s="1204"/>
      <c r="Q26" s="715">
        <f>W22*50/1000</f>
        <v>0</v>
      </c>
      <c r="R26" s="728" t="s">
        <v>1279</v>
      </c>
    </row>
    <row r="27" spans="1:26" ht="16.5" thickBot="1">
      <c r="A27" s="1193"/>
      <c r="B27" s="729"/>
      <c r="C27" s="1172"/>
      <c r="D27" s="1172"/>
      <c r="E27" s="1172"/>
      <c r="F27" s="1172"/>
      <c r="G27" s="730"/>
      <c r="H27" s="731"/>
      <c r="I27" s="1172"/>
      <c r="J27" s="1195"/>
      <c r="K27" s="729"/>
      <c r="L27" s="1200" t="s">
        <v>1387</v>
      </c>
      <c r="M27" s="1201"/>
      <c r="N27" s="1172"/>
      <c r="O27" s="1172"/>
      <c r="P27" s="1172"/>
      <c r="Q27" s="715">
        <f>W22*70/1000</f>
        <v>0</v>
      </c>
      <c r="R27" s="728" t="s">
        <v>1279</v>
      </c>
    </row>
    <row r="28" spans="1:26" ht="16.5">
      <c r="A28" s="732"/>
      <c r="B28" s="732"/>
      <c r="C28" s="732"/>
      <c r="D28" s="732"/>
      <c r="E28" s="732"/>
      <c r="F28" s="732"/>
      <c r="G28" s="733"/>
      <c r="H28" s="732"/>
      <c r="I28" s="732"/>
      <c r="J28" s="732"/>
      <c r="K28" s="732"/>
      <c r="L28" s="732"/>
      <c r="M28" s="732"/>
      <c r="N28" s="734"/>
      <c r="O28" s="734"/>
      <c r="P28" s="734"/>
      <c r="Q28" s="734"/>
      <c r="R28" s="734"/>
    </row>
    <row r="29" spans="1:26" ht="16.5">
      <c r="A29" s="1196"/>
      <c r="B29" s="1196"/>
      <c r="C29" s="732"/>
      <c r="D29" s="1196" t="s">
        <v>1409</v>
      </c>
      <c r="E29" s="1196"/>
      <c r="F29" s="1199"/>
      <c r="G29" s="1199"/>
      <c r="H29" s="1199"/>
      <c r="I29" s="735"/>
      <c r="J29" s="732"/>
      <c r="K29" s="736"/>
      <c r="L29" s="732"/>
      <c r="M29" s="737" t="s">
        <v>1410</v>
      </c>
      <c r="N29" s="1199"/>
      <c r="O29" s="1199"/>
      <c r="P29" s="734"/>
      <c r="Q29" s="734"/>
      <c r="R29" s="734"/>
    </row>
    <row r="30" spans="1:26" ht="16.5">
      <c r="A30" s="737"/>
      <c r="B30" s="737"/>
      <c r="C30" s="732"/>
      <c r="D30" s="737"/>
      <c r="E30" s="737"/>
      <c r="F30" s="737"/>
      <c r="G30" s="738"/>
      <c r="H30" s="739"/>
      <c r="I30" s="739"/>
      <c r="J30" s="732"/>
      <c r="K30" s="736"/>
      <c r="L30" s="732"/>
      <c r="M30" s="737"/>
      <c r="N30" s="735"/>
      <c r="O30" s="735"/>
      <c r="P30" s="734"/>
      <c r="Q30" s="734"/>
      <c r="R30" s="734"/>
    </row>
    <row r="31" spans="1:26" ht="16.5">
      <c r="A31" s="737"/>
      <c r="B31" s="737"/>
      <c r="C31" s="732"/>
      <c r="D31" s="1196" t="s">
        <v>1535</v>
      </c>
      <c r="E31" s="1196"/>
      <c r="F31" s="1197"/>
      <c r="G31" s="1197"/>
      <c r="H31" s="1197"/>
      <c r="I31" s="740"/>
      <c r="J31" s="732"/>
      <c r="K31" s="736"/>
      <c r="L31" s="1198" t="s">
        <v>1536</v>
      </c>
      <c r="M31" s="1198"/>
      <c r="N31" s="1199"/>
      <c r="O31" s="1199"/>
      <c r="P31" s="734"/>
      <c r="Q31" s="734"/>
      <c r="R31" s="734"/>
    </row>
    <row r="32" spans="1:26">
      <c r="A32" s="26"/>
      <c r="B32" s="26"/>
      <c r="C32" s="26"/>
      <c r="D32" s="26"/>
      <c r="E32" s="26"/>
      <c r="F32" s="26"/>
      <c r="G32" s="27"/>
      <c r="H32" s="26"/>
      <c r="I32" s="26"/>
      <c r="J32" s="26"/>
      <c r="K32" s="26"/>
      <c r="L32" s="26"/>
      <c r="M32" s="26"/>
      <c r="N32" s="26"/>
      <c r="O32" s="26"/>
      <c r="P32" s="26"/>
      <c r="Q32" s="26"/>
      <c r="R32" s="26"/>
    </row>
  </sheetData>
  <mergeCells count="132">
    <mergeCell ref="A29:B29"/>
    <mergeCell ref="D29:E29"/>
    <mergeCell ref="F29:H29"/>
    <mergeCell ref="N29:O29"/>
    <mergeCell ref="E26:F26"/>
    <mergeCell ref="L26:M26"/>
    <mergeCell ref="N26:P26"/>
    <mergeCell ref="L22:M25"/>
    <mergeCell ref="N22:P22"/>
    <mergeCell ref="D31:E31"/>
    <mergeCell ref="F31:H31"/>
    <mergeCell ref="L31:M31"/>
    <mergeCell ref="N31:O31"/>
    <mergeCell ref="C27:D27"/>
    <mergeCell ref="E27:F27"/>
    <mergeCell ref="L27:M27"/>
    <mergeCell ref="N27:P27"/>
    <mergeCell ref="U22:U25"/>
    <mergeCell ref="V22:V25"/>
    <mergeCell ref="W22:W25"/>
    <mergeCell ref="A23:A27"/>
    <mergeCell ref="C23:D23"/>
    <mergeCell ref="E23:F23"/>
    <mergeCell ref="N23:P23"/>
    <mergeCell ref="C24:D24"/>
    <mergeCell ref="A20:A22"/>
    <mergeCell ref="C20:D20"/>
    <mergeCell ref="E20:F20"/>
    <mergeCell ref="N20:P20"/>
    <mergeCell ref="C21:D21"/>
    <mergeCell ref="E21:F21"/>
    <mergeCell ref="N21:P21"/>
    <mergeCell ref="C22:D22"/>
    <mergeCell ref="E22:F22"/>
    <mergeCell ref="J22:J27"/>
    <mergeCell ref="E24:F24"/>
    <mergeCell ref="N24:P24"/>
    <mergeCell ref="C25:D25"/>
    <mergeCell ref="E25:F25"/>
    <mergeCell ref="N25:P25"/>
    <mergeCell ref="C26:D26"/>
    <mergeCell ref="A14:A16"/>
    <mergeCell ref="C14:D14"/>
    <mergeCell ref="E14:F14"/>
    <mergeCell ref="N14:P14"/>
    <mergeCell ref="C15:D15"/>
    <mergeCell ref="E15:F15"/>
    <mergeCell ref="L15:M17"/>
    <mergeCell ref="N15:P15"/>
    <mergeCell ref="A17:A19"/>
    <mergeCell ref="C18:D18"/>
    <mergeCell ref="N18:P18"/>
    <mergeCell ref="C19:D19"/>
    <mergeCell ref="E19:F19"/>
    <mergeCell ref="N19:P19"/>
    <mergeCell ref="C16:D16"/>
    <mergeCell ref="E16:F16"/>
    <mergeCell ref="N16:P16"/>
    <mergeCell ref="C17:D17"/>
    <mergeCell ref="E17:F17"/>
    <mergeCell ref="N17:P17"/>
    <mergeCell ref="C11:D11"/>
    <mergeCell ref="E11:F11"/>
    <mergeCell ref="J11:J21"/>
    <mergeCell ref="L11:M11"/>
    <mergeCell ref="N11:P11"/>
    <mergeCell ref="E18:F18"/>
    <mergeCell ref="L18:M21"/>
    <mergeCell ref="U11:Z11"/>
    <mergeCell ref="C12:D12"/>
    <mergeCell ref="E12:F12"/>
    <mergeCell ref="L12:M14"/>
    <mergeCell ref="N12:P12"/>
    <mergeCell ref="U12:U14"/>
    <mergeCell ref="W12:W14"/>
    <mergeCell ref="C13:D13"/>
    <mergeCell ref="E13:F13"/>
    <mergeCell ref="N13:P13"/>
    <mergeCell ref="U18:U21"/>
    <mergeCell ref="V18:V21"/>
    <mergeCell ref="W18:W21"/>
    <mergeCell ref="U15:U17"/>
    <mergeCell ref="V15:V17"/>
    <mergeCell ref="W15:W17"/>
    <mergeCell ref="A10:A13"/>
    <mergeCell ref="C10:D10"/>
    <mergeCell ref="L5:M5"/>
    <mergeCell ref="N5:P5"/>
    <mergeCell ref="A6:A9"/>
    <mergeCell ref="C6:D6"/>
    <mergeCell ref="E6:F6"/>
    <mergeCell ref="J6:J10"/>
    <mergeCell ref="L6:P6"/>
    <mergeCell ref="C7:D7"/>
    <mergeCell ref="E7:F7"/>
    <mergeCell ref="L7:M7"/>
    <mergeCell ref="N7:P7"/>
    <mergeCell ref="C8:D8"/>
    <mergeCell ref="E8:F8"/>
    <mergeCell ref="L8:M8"/>
    <mergeCell ref="N8:P8"/>
    <mergeCell ref="C9:D9"/>
    <mergeCell ref="E9:F9"/>
    <mergeCell ref="L9:M9"/>
    <mergeCell ref="N9:P9"/>
    <mergeCell ref="E10:F10"/>
    <mergeCell ref="L10:M10"/>
    <mergeCell ref="N10:P10"/>
    <mergeCell ref="A1:R1"/>
    <mergeCell ref="A2:C2"/>
    <mergeCell ref="D2:F2"/>
    <mergeCell ref="H2:J2"/>
    <mergeCell ref="K2:N2"/>
    <mergeCell ref="O2:P2"/>
    <mergeCell ref="Q2:R2"/>
    <mergeCell ref="J3:J4"/>
    <mergeCell ref="K3:L3"/>
    <mergeCell ref="M3:N3"/>
    <mergeCell ref="O3:P4"/>
    <mergeCell ref="Q3:R4"/>
    <mergeCell ref="A4:C4"/>
    <mergeCell ref="D4:E4"/>
    <mergeCell ref="K4:L4"/>
    <mergeCell ref="M4:N4"/>
    <mergeCell ref="A3:C3"/>
    <mergeCell ref="D3:E3"/>
    <mergeCell ref="F3:F4"/>
    <mergeCell ref="G3:G4"/>
    <mergeCell ref="H3:H4"/>
    <mergeCell ref="I3:I27"/>
    <mergeCell ref="C5:D5"/>
    <mergeCell ref="E5:F5"/>
  </mergeCells>
  <phoneticPr fontId="76" type="noConversion"/>
  <dataValidations count="2">
    <dataValidation type="list" allowBlank="1" showInputMessage="1" showErrorMessage="1" sqref="V1">
      <formula1>$W$1:$W$3</formula1>
    </dataValidation>
    <dataValidation type="list" allowBlank="1" showInputMessage="1" showErrorMessage="1" sqref="T1">
      <formula1>$U$1:$U$2</formula1>
    </dataValidation>
  </dataValidations>
  <printOptions horizontalCentered="1"/>
  <pageMargins left="0.19685039370078741" right="0.19685039370078741" top="0.59055118110236227" bottom="0.59055118110236227" header="0.19685039370078741" footer="0.19685039370078741"/>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showGridLines="0" view="pageBreakPreview" topLeftCell="A16" zoomScaleSheetLayoutView="100" workbookViewId="0">
      <selection activeCell="B30" sqref="B30"/>
    </sheetView>
  </sheetViews>
  <sheetFormatPr defaultRowHeight="18.75" customHeight="1"/>
  <cols>
    <col min="1" max="1" width="7.25" customWidth="1"/>
    <col min="2" max="2" width="14.375" customWidth="1"/>
    <col min="3" max="4" width="10.75" customWidth="1"/>
    <col min="5" max="6" width="6.75" customWidth="1"/>
    <col min="7" max="7" width="16.5" customWidth="1"/>
    <col min="8" max="8" width="6.5" customWidth="1"/>
    <col min="9" max="9" width="16.25" customWidth="1"/>
    <col min="10" max="10" width="11.375" customWidth="1"/>
    <col min="11" max="11" width="7" customWidth="1"/>
    <col min="12" max="12" width="8.25" customWidth="1"/>
    <col min="13" max="13" width="8.375" style="300" customWidth="1"/>
    <col min="14" max="14" width="9.25" style="300" customWidth="1"/>
    <col min="15" max="15" width="16.375" style="300" customWidth="1"/>
    <col min="16" max="16" width="13.75" style="300" customWidth="1"/>
    <col min="17" max="17" width="9" style="300"/>
    <col min="18" max="18" width="7.25" style="300" customWidth="1"/>
    <col min="19" max="19" width="20.75" style="300" customWidth="1"/>
    <col min="20" max="20" width="15.375" style="300" customWidth="1"/>
    <col min="21" max="21" width="10.25" style="300" customWidth="1"/>
    <col min="22" max="22" width="11.125" style="309" customWidth="1"/>
    <col min="23" max="23" width="22.375" style="300" customWidth="1"/>
    <col min="24" max="24" width="7.125" style="309" customWidth="1"/>
    <col min="25" max="25" width="10.25" style="309" customWidth="1"/>
  </cols>
  <sheetData>
    <row r="1" spans="1:35" ht="18.75" customHeight="1">
      <c r="A1" s="886" t="s">
        <v>477</v>
      </c>
      <c r="B1" s="886"/>
      <c r="C1" s="886"/>
      <c r="D1" s="886"/>
      <c r="E1" s="886"/>
      <c r="F1" s="886"/>
      <c r="G1" s="886"/>
      <c r="H1" s="886"/>
      <c r="I1" s="886"/>
      <c r="J1" s="886"/>
      <c r="K1" s="886"/>
      <c r="L1" s="886"/>
      <c r="M1" s="230"/>
      <c r="N1" s="230"/>
      <c r="O1" s="230"/>
      <c r="P1" s="230"/>
      <c r="Q1" s="230"/>
      <c r="R1" s="230"/>
      <c r="S1" s="230"/>
      <c r="T1" s="230"/>
      <c r="U1" s="230"/>
      <c r="V1" s="264"/>
      <c r="W1" s="230"/>
      <c r="X1" s="264"/>
      <c r="Y1" s="264"/>
      <c r="Z1" s="230"/>
      <c r="AA1" s="230"/>
      <c r="AB1" s="230"/>
      <c r="AC1" s="230"/>
      <c r="AD1" s="157"/>
      <c r="AE1" s="157"/>
      <c r="AF1" s="121"/>
      <c r="AG1" s="117"/>
      <c r="AH1" s="131"/>
      <c r="AI1" s="131"/>
    </row>
    <row r="2" spans="1:35" ht="18.75" customHeight="1">
      <c r="A2" s="281" t="s">
        <v>85</v>
      </c>
      <c r="B2" s="281" t="str">
        <f>下料单!C2</f>
        <v>赵蕊</v>
      </c>
      <c r="C2" s="281" t="s">
        <v>468</v>
      </c>
      <c r="D2" s="281">
        <f>下料单!H2</f>
        <v>15530608063</v>
      </c>
      <c r="E2" s="284"/>
      <c r="F2" s="284"/>
      <c r="G2" s="284"/>
      <c r="H2" s="284"/>
      <c r="I2" s="282" t="s">
        <v>472</v>
      </c>
      <c r="J2" s="282">
        <f>下料单!AG2</f>
        <v>43169</v>
      </c>
      <c r="K2" s="283" t="s">
        <v>510</v>
      </c>
      <c r="L2" s="283" t="str">
        <f>下料单!AQ2</f>
        <v>香草天空II</v>
      </c>
      <c r="O2" s="228"/>
      <c r="P2" s="301"/>
      <c r="Q2" s="229"/>
      <c r="R2" s="229"/>
      <c r="S2" s="301"/>
      <c r="T2" s="301"/>
      <c r="U2" s="229"/>
      <c r="V2" s="166"/>
      <c r="AE2" s="116"/>
    </row>
    <row r="3" spans="1:35" ht="18.75" customHeight="1">
      <c r="A3" s="1"/>
      <c r="B3" s="284"/>
      <c r="C3" s="281" t="s">
        <v>469</v>
      </c>
      <c r="D3" s="281">
        <f>下料单!R2</f>
        <v>123</v>
      </c>
      <c r="E3" s="281"/>
      <c r="F3" s="281"/>
      <c r="G3" s="284"/>
      <c r="H3" s="284"/>
      <c r="I3" s="281" t="s">
        <v>471</v>
      </c>
      <c r="J3" s="281">
        <f>下料单!AB2</f>
        <v>43129</v>
      </c>
      <c r="K3" s="281" t="s">
        <v>17</v>
      </c>
      <c r="L3" s="281" t="str">
        <f>下料单!W2</f>
        <v>廊坊</v>
      </c>
      <c r="O3" s="228"/>
      <c r="P3" s="301"/>
      <c r="Q3" s="229"/>
      <c r="R3" s="229"/>
      <c r="S3" s="301"/>
      <c r="T3" s="301"/>
      <c r="U3" s="229"/>
      <c r="V3" s="166"/>
      <c r="AE3" s="130"/>
    </row>
    <row r="4" spans="1:35" ht="18.75" customHeight="1">
      <c r="A4" s="107" t="s">
        <v>478</v>
      </c>
      <c r="B4" s="107" t="s">
        <v>479</v>
      </c>
      <c r="C4" s="107" t="s">
        <v>640</v>
      </c>
      <c r="D4" s="333"/>
      <c r="E4" s="107" t="s">
        <v>511</v>
      </c>
      <c r="F4" s="107" t="s">
        <v>3</v>
      </c>
      <c r="G4" s="107" t="s">
        <v>512</v>
      </c>
      <c r="H4" s="335" t="s">
        <v>478</v>
      </c>
      <c r="I4" s="240" t="s">
        <v>513</v>
      </c>
      <c r="J4" s="107" t="s">
        <v>480</v>
      </c>
      <c r="K4" s="107" t="s">
        <v>460</v>
      </c>
      <c r="L4" s="335" t="s">
        <v>481</v>
      </c>
      <c r="M4" s="166"/>
      <c r="N4" s="302" t="str">
        <f>+B5</f>
        <v>铝制踢脚板</v>
      </c>
      <c r="O4" s="302" t="str">
        <f>+I5</f>
        <v>层板铝扣条16mm板用</v>
      </c>
      <c r="P4" s="303" t="str">
        <f>+I19</f>
        <v>水灶柜铝
制横梁</v>
      </c>
      <c r="Q4" s="313" t="s">
        <v>465</v>
      </c>
      <c r="R4" s="301"/>
      <c r="S4" s="301"/>
      <c r="T4" s="301"/>
      <c r="U4" s="311" t="str">
        <f>VLOOKUP($B$17,$T$5:$X$10,2,FALSE)</f>
        <v>透明夹胶玻璃</v>
      </c>
      <c r="V4" s="311" t="str">
        <f>VLOOKUP($B$17,$T$5:$X$10,3,FALSE)</f>
        <v>LC-043铝框门</v>
      </c>
      <c r="W4" s="311" t="str">
        <f>VLOOKUP($B$17,$T$5:$X$10,4,FALSE)</f>
        <v>铝框（氧化铝JF383）6米/支</v>
      </c>
      <c r="X4" s="312">
        <f>VLOOKUP($B$17,$T$5:$X$10,5,FALSE)</f>
        <v>5</v>
      </c>
    </row>
    <row r="5" spans="1:35" ht="18.75" customHeight="1">
      <c r="A5" s="331">
        <v>2</v>
      </c>
      <c r="B5" s="205" t="s">
        <v>14</v>
      </c>
      <c r="C5" s="887">
        <v>2400</v>
      </c>
      <c r="D5" s="887"/>
      <c r="E5" s="218"/>
      <c r="F5" s="330" t="s">
        <v>366</v>
      </c>
      <c r="G5" s="332" t="str">
        <f>+IF(C5&gt;0,"注意高度见设计师要求、","")</f>
        <v>注意高度见设计师要求、</v>
      </c>
      <c r="H5" s="154">
        <v>1</v>
      </c>
      <c r="I5" s="239" t="s">
        <v>483</v>
      </c>
      <c r="J5" s="330">
        <f>下料单!AB5</f>
        <v>-32</v>
      </c>
      <c r="K5" s="209" t="str">
        <f>+IF(J5&gt;0,VLOOKUP(J5,下料单!$AB$5:$AD$47,3,0),"")</f>
        <v/>
      </c>
      <c r="L5" s="154" t="s">
        <v>482</v>
      </c>
      <c r="M5" s="166"/>
      <c r="N5" s="304" t="str">
        <f>+IF(E5&gt;0,C5*E5,"")</f>
        <v/>
      </c>
      <c r="O5" s="304" t="str">
        <f>+IF(J5&gt;0,J5*K5,"")</f>
        <v/>
      </c>
      <c r="P5" s="304" t="str">
        <f>+IF(N20&gt;0,J20*K20,"")</f>
        <v/>
      </c>
      <c r="Q5" s="305">
        <f>+(铝材玻璃单!C13+铝材玻璃单!D13)*2*E13/1000/0.85</f>
        <v>0</v>
      </c>
      <c r="R5" s="229"/>
      <c r="S5" s="229"/>
      <c r="T5" s="299" t="s">
        <v>685</v>
      </c>
      <c r="U5" s="299" t="s">
        <v>686</v>
      </c>
      <c r="V5" s="310" t="s">
        <v>487</v>
      </c>
      <c r="W5" s="299" t="s">
        <v>488</v>
      </c>
      <c r="X5" s="299" t="s">
        <v>464</v>
      </c>
    </row>
    <row r="6" spans="1:35" ht="18.75" customHeight="1">
      <c r="A6" s="162">
        <v>3</v>
      </c>
      <c r="B6" s="155"/>
      <c r="C6" s="888">
        <v>2400</v>
      </c>
      <c r="D6" s="888"/>
      <c r="E6" s="280"/>
      <c r="F6" s="154" t="s">
        <v>366</v>
      </c>
      <c r="G6" s="210" t="str">
        <f t="shared" ref="G6:G12" si="0">+IF(C6&gt;0,"注意高度见设计师要求、","")</f>
        <v>注意高度见设计师要求、</v>
      </c>
      <c r="H6" s="154">
        <v>2</v>
      </c>
      <c r="I6" s="164"/>
      <c r="J6" s="154">
        <f>下料单!AB6</f>
        <v>-33</v>
      </c>
      <c r="K6" s="159" t="str">
        <f>+IF(J6&gt;0,VLOOKUP(J6,下料单!$AB$5:$AD$47,3,0),"")</f>
        <v/>
      </c>
      <c r="L6" s="154" t="s">
        <v>482</v>
      </c>
      <c r="M6" s="166"/>
      <c r="N6" s="304" t="str">
        <f t="shared" ref="N6:N12" si="1">+IF(E6&gt;0,B6*E6,"")</f>
        <v/>
      </c>
      <c r="O6" s="304" t="str">
        <f t="shared" ref="O6:O14" si="2">+IF(J7&gt;0,J7*K7,"")</f>
        <v/>
      </c>
      <c r="P6" s="304" t="str">
        <f>+IF(N22&gt;0,J22*K22,"")</f>
        <v/>
      </c>
      <c r="Q6" s="305">
        <f>+(铝材玻璃单!C14+铝材玻璃单!D14)*2*E14/1000/0.85</f>
        <v>0</v>
      </c>
      <c r="R6" s="229"/>
      <c r="S6" s="229"/>
      <c r="T6" s="171"/>
      <c r="U6" s="306"/>
      <c r="V6" s="310"/>
      <c r="W6" s="171"/>
      <c r="X6" s="299"/>
    </row>
    <row r="7" spans="1:35" ht="18.75" customHeight="1">
      <c r="A7" s="162">
        <v>4</v>
      </c>
      <c r="B7" s="155"/>
      <c r="C7" s="888">
        <v>2400</v>
      </c>
      <c r="D7" s="888"/>
      <c r="E7" s="280"/>
      <c r="F7" s="154" t="s">
        <v>366</v>
      </c>
      <c r="G7" s="210" t="str">
        <f t="shared" si="0"/>
        <v>注意高度见设计师要求、</v>
      </c>
      <c r="H7" s="154">
        <v>3</v>
      </c>
      <c r="I7" s="164"/>
      <c r="J7" s="154">
        <f>下料单!AB7</f>
        <v>-33</v>
      </c>
      <c r="K7" s="159" t="str">
        <f>+IF(J7&gt;0,VLOOKUP(J7,下料单!$AB$5:$AD$47,3,0),"")</f>
        <v/>
      </c>
      <c r="L7" s="154" t="s">
        <v>482</v>
      </c>
      <c r="M7" s="166"/>
      <c r="N7" s="304" t="str">
        <f t="shared" si="1"/>
        <v/>
      </c>
      <c r="O7" s="304" t="str">
        <f t="shared" si="2"/>
        <v/>
      </c>
      <c r="P7" s="304" t="str">
        <f>+IF(N23&gt;0,J23*K23,"")</f>
        <v/>
      </c>
      <c r="Q7" s="305">
        <f>+(铝材玻璃单!C15+铝材玻璃单!D15)*2*E15/1000/0.85</f>
        <v>0</v>
      </c>
      <c r="R7" s="229"/>
      <c r="S7" s="301"/>
      <c r="T7" s="171" t="s">
        <v>489</v>
      </c>
      <c r="U7" s="171" t="s">
        <v>687</v>
      </c>
      <c r="V7" s="310" t="s">
        <v>490</v>
      </c>
      <c r="W7" s="171" t="s">
        <v>491</v>
      </c>
      <c r="X7" s="299">
        <v>4</v>
      </c>
    </row>
    <row r="8" spans="1:35" ht="18.75" customHeight="1">
      <c r="A8" s="162">
        <v>5</v>
      </c>
      <c r="B8" s="155"/>
      <c r="C8" s="888">
        <v>2400</v>
      </c>
      <c r="D8" s="888"/>
      <c r="E8" s="280"/>
      <c r="F8" s="154" t="s">
        <v>366</v>
      </c>
      <c r="G8" s="210" t="str">
        <f t="shared" si="0"/>
        <v>注意高度见设计师要求、</v>
      </c>
      <c r="H8" s="154">
        <v>4</v>
      </c>
      <c r="I8" s="164"/>
      <c r="J8" s="154">
        <f>下料单!AB8</f>
        <v>-33</v>
      </c>
      <c r="K8" s="159" t="str">
        <f>+IF(J8&gt;0,VLOOKUP(J8,下料单!$AB$5:$AD$47,3,0),"")</f>
        <v/>
      </c>
      <c r="L8" s="154" t="s">
        <v>482</v>
      </c>
      <c r="M8" s="166"/>
      <c r="N8" s="304" t="str">
        <f t="shared" si="1"/>
        <v/>
      </c>
      <c r="O8" s="304" t="str">
        <f t="shared" si="2"/>
        <v/>
      </c>
      <c r="P8" s="304" t="str">
        <f>+IF(N24&gt;0,J24*K24,"")</f>
        <v/>
      </c>
      <c r="Q8" s="305">
        <f>+(铝材玻璃单!C16+铝材玻璃单!D16)*2*E16/1000/0.85</f>
        <v>0</v>
      </c>
      <c r="R8" s="229"/>
      <c r="S8" s="301"/>
      <c r="T8" s="171" t="s">
        <v>492</v>
      </c>
      <c r="U8" s="171" t="s">
        <v>421</v>
      </c>
      <c r="V8" s="310" t="s">
        <v>231</v>
      </c>
      <c r="W8" s="171" t="s">
        <v>491</v>
      </c>
      <c r="X8" s="299">
        <v>4</v>
      </c>
    </row>
    <row r="9" spans="1:35" ht="18.75" customHeight="1">
      <c r="A9" s="162">
        <v>6</v>
      </c>
      <c r="B9" s="155"/>
      <c r="C9" s="888">
        <v>2400</v>
      </c>
      <c r="D9" s="888"/>
      <c r="E9" s="280"/>
      <c r="F9" s="154" t="s">
        <v>366</v>
      </c>
      <c r="G9" s="210" t="str">
        <f t="shared" si="0"/>
        <v>注意高度见设计师要求、</v>
      </c>
      <c r="H9" s="154">
        <v>5</v>
      </c>
      <c r="I9" s="164"/>
      <c r="J9" s="154">
        <f>下料单!AB9</f>
        <v>-33</v>
      </c>
      <c r="K9" s="159" t="str">
        <f>+IF(J9&gt;0,VLOOKUP(J9,下料单!$AB$5:$AD$47,3,0),"")</f>
        <v/>
      </c>
      <c r="L9" s="154" t="s">
        <v>482</v>
      </c>
      <c r="M9" s="166"/>
      <c r="N9" s="304" t="str">
        <f t="shared" si="1"/>
        <v/>
      </c>
      <c r="O9" s="307" t="str">
        <f t="shared" si="2"/>
        <v/>
      </c>
      <c r="P9" s="304" t="str">
        <f>+IF(N25&gt;0,J25*K25,"")</f>
        <v/>
      </c>
      <c r="Q9" s="301"/>
      <c r="R9" s="229"/>
      <c r="S9" s="301"/>
      <c r="T9" s="171" t="s">
        <v>493</v>
      </c>
      <c r="U9" s="171" t="s">
        <v>688</v>
      </c>
      <c r="V9" s="310" t="s">
        <v>232</v>
      </c>
      <c r="W9" s="171" t="s">
        <v>494</v>
      </c>
      <c r="X9" s="299">
        <v>5</v>
      </c>
    </row>
    <row r="10" spans="1:35" ht="18.75" customHeight="1">
      <c r="A10" s="162">
        <v>7</v>
      </c>
      <c r="B10" s="155"/>
      <c r="C10" s="888">
        <v>2400</v>
      </c>
      <c r="D10" s="888"/>
      <c r="E10" s="280"/>
      <c r="F10" s="154" t="s">
        <v>366</v>
      </c>
      <c r="G10" s="210" t="str">
        <f t="shared" si="0"/>
        <v>注意高度见设计师要求、</v>
      </c>
      <c r="H10" s="154">
        <v>6</v>
      </c>
      <c r="I10" s="164"/>
      <c r="J10" s="154">
        <f>下料单!AB10</f>
        <v>-33</v>
      </c>
      <c r="K10" s="159" t="str">
        <f>+IF(J10&gt;0,VLOOKUP(J10,下料单!$AB$5:$AD$47,3,0),"")</f>
        <v/>
      </c>
      <c r="L10" s="154" t="s">
        <v>482</v>
      </c>
      <c r="M10" s="166"/>
      <c r="N10" s="308" t="str">
        <f t="shared" si="1"/>
        <v/>
      </c>
      <c r="O10" s="304" t="str">
        <f t="shared" si="2"/>
        <v/>
      </c>
      <c r="P10" s="303"/>
      <c r="Q10" s="301"/>
      <c r="R10" s="229"/>
      <c r="S10" s="301"/>
      <c r="T10" s="171" t="s">
        <v>495</v>
      </c>
      <c r="U10" s="171" t="s">
        <v>689</v>
      </c>
      <c r="V10" s="310" t="s">
        <v>232</v>
      </c>
      <c r="W10" s="171" t="s">
        <v>494</v>
      </c>
      <c r="X10" s="299">
        <v>5</v>
      </c>
      <c r="Y10" s="313"/>
    </row>
    <row r="11" spans="1:35" ht="18.75" customHeight="1">
      <c r="A11" s="162">
        <v>8</v>
      </c>
      <c r="B11" s="155"/>
      <c r="C11" s="888">
        <v>2400</v>
      </c>
      <c r="D11" s="888"/>
      <c r="E11" s="280"/>
      <c r="F11" s="154" t="s">
        <v>366</v>
      </c>
      <c r="G11" s="210" t="str">
        <f t="shared" si="0"/>
        <v>注意高度见设计师要求、</v>
      </c>
      <c r="H11" s="154">
        <v>7</v>
      </c>
      <c r="I11" s="164"/>
      <c r="J11" s="154">
        <f>下料单!AB11</f>
        <v>-33</v>
      </c>
      <c r="K11" s="159" t="str">
        <f>+IF(J11&gt;0,VLOOKUP(J11,下料单!$AB$5:$AD$47,3,0),"")</f>
        <v/>
      </c>
      <c r="L11" s="154" t="s">
        <v>482</v>
      </c>
      <c r="M11" s="166"/>
      <c r="N11" s="308" t="str">
        <f t="shared" si="1"/>
        <v/>
      </c>
      <c r="O11" s="304" t="str">
        <f t="shared" si="2"/>
        <v/>
      </c>
      <c r="P11" s="303"/>
      <c r="Q11" s="301"/>
      <c r="R11" s="301"/>
      <c r="S11" s="301"/>
      <c r="T11" s="301"/>
    </row>
    <row r="12" spans="1:35" ht="18.75" customHeight="1">
      <c r="A12" s="154">
        <v>9</v>
      </c>
      <c r="B12" s="189"/>
      <c r="C12" s="888">
        <v>2400</v>
      </c>
      <c r="D12" s="888"/>
      <c r="E12" s="280"/>
      <c r="F12" s="154" t="s">
        <v>366</v>
      </c>
      <c r="G12" s="210" t="str">
        <f t="shared" si="0"/>
        <v>注意高度见设计师要求、</v>
      </c>
      <c r="H12" s="154">
        <v>8</v>
      </c>
      <c r="I12" s="164"/>
      <c r="J12" s="154">
        <f>下料单!AB12</f>
        <v>-33</v>
      </c>
      <c r="K12" s="159" t="str">
        <f>+IF(J12&gt;0,VLOOKUP(J12,下料单!$AB$5:$AD$47,3,0),"")</f>
        <v/>
      </c>
      <c r="L12" s="154" t="s">
        <v>482</v>
      </c>
      <c r="M12" s="166"/>
      <c r="N12" s="308" t="str">
        <f t="shared" si="1"/>
        <v/>
      </c>
      <c r="O12" s="304" t="str">
        <f t="shared" si="2"/>
        <v/>
      </c>
      <c r="P12" s="303"/>
      <c r="Q12" s="301"/>
      <c r="R12" s="301"/>
      <c r="S12" s="301"/>
      <c r="T12" s="301"/>
    </row>
    <row r="13" spans="1:35" ht="18.75" customHeight="1">
      <c r="A13" s="154">
        <v>10</v>
      </c>
      <c r="B13" s="278" t="str">
        <f>V4</f>
        <v>LC-043铝框门</v>
      </c>
      <c r="C13" s="160"/>
      <c r="D13" s="160"/>
      <c r="E13" s="207"/>
      <c r="F13" s="207"/>
      <c r="G13" s="188"/>
      <c r="H13" s="154">
        <v>9</v>
      </c>
      <c r="I13" s="164"/>
      <c r="J13" s="154">
        <f>下料单!AB13</f>
        <v>-33</v>
      </c>
      <c r="K13" s="159" t="str">
        <f>+IF(J13&gt;0,VLOOKUP(J13,下料单!$AB$5:$AD$47,3,0),"")</f>
        <v/>
      </c>
      <c r="L13" s="154" t="s">
        <v>482</v>
      </c>
      <c r="M13" s="166"/>
      <c r="N13" s="303"/>
      <c r="O13" s="304" t="str">
        <f t="shared" si="2"/>
        <v/>
      </c>
      <c r="P13" s="303"/>
      <c r="Q13" s="301"/>
      <c r="R13" s="301"/>
      <c r="S13" s="301"/>
      <c r="T13" s="301"/>
    </row>
    <row r="14" spans="1:35" ht="18.75" customHeight="1">
      <c r="A14" s="268">
        <v>11</v>
      </c>
      <c r="B14" s="288"/>
      <c r="C14" s="268"/>
      <c r="D14" s="268"/>
      <c r="E14" s="289"/>
      <c r="F14" s="268" t="s">
        <v>382</v>
      </c>
      <c r="G14" s="276"/>
      <c r="H14" s="154">
        <v>10</v>
      </c>
      <c r="I14" s="164"/>
      <c r="J14" s="154">
        <f>下料单!AB14</f>
        <v>-33</v>
      </c>
      <c r="K14" s="159" t="str">
        <f>+IF(J14&gt;0,VLOOKUP(J14,下料单!$AB$5:$AD$47,3,0),"")</f>
        <v/>
      </c>
      <c r="L14" s="154" t="s">
        <v>482</v>
      </c>
      <c r="M14" s="166"/>
      <c r="N14" s="303"/>
      <c r="O14" s="304" t="str">
        <f t="shared" si="2"/>
        <v/>
      </c>
      <c r="P14" s="303"/>
      <c r="Q14" s="301"/>
      <c r="R14" s="301"/>
      <c r="S14" s="301"/>
      <c r="T14" s="301"/>
    </row>
    <row r="15" spans="1:35" ht="18.75" customHeight="1">
      <c r="A15" s="154">
        <v>12</v>
      </c>
      <c r="B15" s="288"/>
      <c r="C15" s="231"/>
      <c r="D15" s="231"/>
      <c r="E15" s="280"/>
      <c r="F15" s="154" t="s">
        <v>382</v>
      </c>
      <c r="G15" s="187"/>
      <c r="H15" s="154">
        <v>11</v>
      </c>
      <c r="I15" s="164"/>
      <c r="J15" s="154">
        <f>下料单!AB15</f>
        <v>-33</v>
      </c>
      <c r="K15" s="159" t="str">
        <f>+IF(J15&gt;0,VLOOKUP(J15,下料单!$AB$5:$AD$47,3,0),"")</f>
        <v/>
      </c>
      <c r="L15" s="154" t="s">
        <v>482</v>
      </c>
      <c r="M15" s="166"/>
      <c r="N15" s="303"/>
      <c r="O15" s="304" t="str">
        <f>+IF(J15&gt;0,J15*K15,"")</f>
        <v/>
      </c>
      <c r="P15" s="303"/>
      <c r="Q15" s="301"/>
      <c r="R15" s="301"/>
      <c r="S15" s="301"/>
      <c r="T15" s="301"/>
    </row>
    <row r="16" spans="1:35" ht="18.75" customHeight="1">
      <c r="A16" s="267">
        <v>13</v>
      </c>
      <c r="B16" s="288"/>
      <c r="C16" s="267"/>
      <c r="D16" s="267"/>
      <c r="E16" s="290"/>
      <c r="F16" s="267" t="s">
        <v>382</v>
      </c>
      <c r="G16" s="273"/>
      <c r="H16" s="154">
        <v>12</v>
      </c>
      <c r="I16" s="164"/>
      <c r="J16" s="154">
        <f>下料单!AB16</f>
        <v>-33</v>
      </c>
      <c r="K16" s="159" t="str">
        <f>+IF(J16&gt;0,VLOOKUP(J16,下料单!$AB$5:$AD$47,3,0),"")</f>
        <v/>
      </c>
      <c r="L16" s="154" t="s">
        <v>482</v>
      </c>
      <c r="M16" s="166"/>
      <c r="N16" s="303"/>
      <c r="O16" s="304" t="str">
        <f>+IF(J16&gt;0,J16*K16,"")</f>
        <v/>
      </c>
      <c r="P16" s="303"/>
      <c r="Q16" s="301"/>
      <c r="R16" s="301"/>
      <c r="S16" s="301"/>
      <c r="T16" s="301"/>
    </row>
    <row r="17" spans="1:35" ht="18.75" customHeight="1">
      <c r="A17" s="154">
        <v>14</v>
      </c>
      <c r="B17" s="278" t="s">
        <v>639</v>
      </c>
      <c r="C17" s="160" t="str">
        <f>+IF(C13&lt;&gt;0,C13-铝材玻璃单!#REF!,"")</f>
        <v/>
      </c>
      <c r="D17" s="160" t="str">
        <f>+IF(D13&lt;&gt;0,D13-铝材玻璃单!#REF!,"")</f>
        <v/>
      </c>
      <c r="E17" s="207"/>
      <c r="F17" s="160"/>
      <c r="G17" s="188"/>
      <c r="H17" s="154">
        <v>13</v>
      </c>
      <c r="I17" s="164"/>
      <c r="J17" s="154">
        <f>下料单!AB17</f>
        <v>-33</v>
      </c>
      <c r="K17" s="159" t="str">
        <f>+IF(J17&gt;0,VLOOKUP(J17,下料单!$AB$5:$AD$47,3,0),"")</f>
        <v/>
      </c>
      <c r="L17" s="154" t="s">
        <v>482</v>
      </c>
      <c r="M17" s="166"/>
      <c r="N17" s="303"/>
      <c r="O17" s="304" t="str">
        <f>+IF(J17&gt;0,J17*K17,"")</f>
        <v/>
      </c>
      <c r="P17" s="303"/>
      <c r="Q17" s="301"/>
      <c r="R17" s="301"/>
      <c r="S17" s="301"/>
      <c r="T17" s="301"/>
    </row>
    <row r="18" spans="1:35" ht="18.75" customHeight="1">
      <c r="A18" s="268">
        <v>15</v>
      </c>
      <c r="B18" s="278" t="str">
        <f>U4</f>
        <v>透明夹胶玻璃</v>
      </c>
      <c r="C18" s="268" t="str">
        <f>+IF(C14&lt;&gt;0,C14-$X$4,"")</f>
        <v/>
      </c>
      <c r="D18" s="268" t="str">
        <f>+IF(D14&lt;&gt;0,D14-$X$4,"")</f>
        <v/>
      </c>
      <c r="E18" s="268" t="str">
        <f>+IF(E14&lt;&gt;0,E14,"")</f>
        <v/>
      </c>
      <c r="F18" s="274" t="s">
        <v>382</v>
      </c>
      <c r="G18" s="276"/>
      <c r="H18" s="154">
        <v>14</v>
      </c>
      <c r="I18" s="164"/>
      <c r="J18" s="154">
        <f>下料单!AB18</f>
        <v>-33</v>
      </c>
      <c r="K18" s="159" t="str">
        <f>+IF(J18&gt;0,VLOOKUP(J18,下料单!$AB$5:$AD$47,3,0),"")</f>
        <v/>
      </c>
      <c r="L18" s="154" t="s">
        <v>482</v>
      </c>
      <c r="M18" s="166"/>
      <c r="N18" s="303"/>
      <c r="O18" s="304" t="str">
        <f>+IF(J18&gt;0,J18*K18,"")</f>
        <v/>
      </c>
      <c r="P18" s="303"/>
      <c r="Q18" s="301"/>
      <c r="R18" s="301"/>
      <c r="S18" s="301"/>
      <c r="T18" s="301"/>
    </row>
    <row r="19" spans="1:35" ht="18.75" customHeight="1">
      <c r="A19" s="154">
        <v>16</v>
      </c>
      <c r="B19" s="278" t="str">
        <f>B18</f>
        <v>透明夹胶玻璃</v>
      </c>
      <c r="C19" s="349" t="str">
        <f t="shared" ref="C19:D20" si="3">+IF(C15&lt;&gt;0,C15-$X$4,"")</f>
        <v/>
      </c>
      <c r="D19" s="349" t="str">
        <f t="shared" si="3"/>
        <v/>
      </c>
      <c r="E19" s="154" t="str">
        <f>+IF(E15&lt;&gt;0,E15,"")</f>
        <v/>
      </c>
      <c r="F19" s="161" t="s">
        <v>382</v>
      </c>
      <c r="G19" s="187"/>
      <c r="H19" s="154">
        <v>15</v>
      </c>
      <c r="I19" s="188" t="s">
        <v>7</v>
      </c>
      <c r="J19" s="164"/>
      <c r="K19" s="164"/>
      <c r="L19" s="154"/>
      <c r="M19" s="265" t="s">
        <v>462</v>
      </c>
      <c r="N19" s="304" t="s">
        <v>463</v>
      </c>
      <c r="O19" s="303"/>
      <c r="P19" s="303"/>
      <c r="Q19" s="301"/>
      <c r="R19" s="301"/>
      <c r="S19" s="301"/>
      <c r="T19" s="301"/>
    </row>
    <row r="20" spans="1:35" ht="18.75" customHeight="1">
      <c r="A20" s="267">
        <v>17</v>
      </c>
      <c r="B20" s="278" t="str">
        <f>B18</f>
        <v>透明夹胶玻璃</v>
      </c>
      <c r="C20" s="349" t="str">
        <f t="shared" si="3"/>
        <v/>
      </c>
      <c r="D20" s="349" t="str">
        <f t="shared" si="3"/>
        <v/>
      </c>
      <c r="E20" s="267" t="str">
        <f>+IF(E16&lt;&gt;0,E16,"")</f>
        <v/>
      </c>
      <c r="F20" s="272" t="s">
        <v>382</v>
      </c>
      <c r="G20" s="273"/>
      <c r="H20" s="154">
        <v>16</v>
      </c>
      <c r="I20" s="213"/>
      <c r="J20" s="154" t="str">
        <f t="shared" ref="J20:J25" si="4">IF(M20&gt;0,M20-33,"")</f>
        <v/>
      </c>
      <c r="K20" s="159" t="str">
        <f t="shared" ref="K20:K25" si="5">+IF(N20&gt;0,N20,"")</f>
        <v/>
      </c>
      <c r="L20" s="154" t="s">
        <v>482</v>
      </c>
      <c r="M20" s="265"/>
      <c r="N20" s="262"/>
      <c r="O20" s="303"/>
      <c r="P20" s="303"/>
      <c r="Q20" s="301"/>
      <c r="R20" s="301"/>
      <c r="S20" s="301"/>
      <c r="T20" s="301"/>
    </row>
    <row r="21" spans="1:35" ht="18.75" customHeight="1">
      <c r="A21" s="154">
        <v>18</v>
      </c>
      <c r="B21" s="278" t="s">
        <v>484</v>
      </c>
      <c r="C21" s="188"/>
      <c r="D21" s="188"/>
      <c r="E21" s="207"/>
      <c r="F21" s="160"/>
      <c r="G21" s="188"/>
      <c r="H21" s="154">
        <v>17</v>
      </c>
      <c r="I21" s="164"/>
      <c r="J21" s="154" t="str">
        <f t="shared" si="4"/>
        <v/>
      </c>
      <c r="K21" s="159" t="str">
        <f t="shared" si="5"/>
        <v/>
      </c>
      <c r="L21" s="154" t="s">
        <v>482</v>
      </c>
      <c r="M21" s="265"/>
      <c r="N21" s="262"/>
      <c r="O21" s="303"/>
      <c r="P21" s="303"/>
      <c r="Q21" s="301"/>
      <c r="R21" s="301"/>
      <c r="S21" s="301"/>
      <c r="T21" s="301"/>
    </row>
    <row r="22" spans="1:35" ht="18.75" customHeight="1">
      <c r="A22" s="268">
        <v>19</v>
      </c>
      <c r="B22" s="277"/>
      <c r="C22" s="889"/>
      <c r="D22" s="890"/>
      <c r="E22" s="275"/>
      <c r="F22" s="268" t="s">
        <v>382</v>
      </c>
      <c r="G22" s="276"/>
      <c r="H22" s="154">
        <v>18</v>
      </c>
      <c r="I22" s="164"/>
      <c r="J22" s="154" t="str">
        <f t="shared" si="4"/>
        <v/>
      </c>
      <c r="K22" s="159" t="str">
        <f t="shared" si="5"/>
        <v/>
      </c>
      <c r="L22" s="154" t="s">
        <v>482</v>
      </c>
      <c r="M22" s="265"/>
      <c r="N22" s="262"/>
      <c r="O22" s="303"/>
      <c r="P22" s="303"/>
      <c r="Q22" s="301"/>
      <c r="R22" s="301"/>
      <c r="S22" s="301"/>
      <c r="T22" s="301"/>
    </row>
    <row r="23" spans="1:35" ht="18.75" customHeight="1">
      <c r="A23" s="154">
        <v>20</v>
      </c>
      <c r="B23" s="277"/>
      <c r="C23" s="889"/>
      <c r="D23" s="890"/>
      <c r="E23" s="206"/>
      <c r="F23" s="154" t="s">
        <v>382</v>
      </c>
      <c r="G23" s="187"/>
      <c r="H23" s="154">
        <v>19</v>
      </c>
      <c r="I23" s="164"/>
      <c r="J23" s="154" t="str">
        <f t="shared" si="4"/>
        <v/>
      </c>
      <c r="K23" s="159" t="str">
        <f t="shared" si="5"/>
        <v/>
      </c>
      <c r="L23" s="154" t="s">
        <v>482</v>
      </c>
      <c r="M23" s="265"/>
      <c r="N23" s="262"/>
      <c r="O23" s="303"/>
      <c r="P23" s="303"/>
      <c r="Q23" s="301"/>
      <c r="R23" s="301"/>
      <c r="S23" s="301"/>
      <c r="T23" s="301"/>
    </row>
    <row r="24" spans="1:35" ht="18.75" customHeight="1">
      <c r="A24" s="154">
        <v>21</v>
      </c>
      <c r="B24" s="277"/>
      <c r="C24" s="889"/>
      <c r="D24" s="890"/>
      <c r="E24" s="206"/>
      <c r="F24" s="154" t="s">
        <v>382</v>
      </c>
      <c r="G24" s="187"/>
      <c r="H24" s="154">
        <v>20</v>
      </c>
      <c r="I24" s="164"/>
      <c r="J24" s="154" t="str">
        <f t="shared" si="4"/>
        <v/>
      </c>
      <c r="K24" s="159" t="str">
        <f t="shared" si="5"/>
        <v/>
      </c>
      <c r="L24" s="154" t="s">
        <v>482</v>
      </c>
      <c r="M24" s="265"/>
      <c r="N24" s="262"/>
      <c r="O24" s="303"/>
      <c r="P24" s="303"/>
      <c r="Q24" s="301"/>
      <c r="R24" s="301"/>
      <c r="S24" s="301"/>
      <c r="T24" s="301"/>
    </row>
    <row r="25" spans="1:35" ht="18.75" customHeight="1" thickBot="1">
      <c r="A25" s="154">
        <v>22</v>
      </c>
      <c r="B25" s="277"/>
      <c r="C25" s="889"/>
      <c r="D25" s="890"/>
      <c r="E25" s="208"/>
      <c r="F25" s="163" t="s">
        <v>382</v>
      </c>
      <c r="G25" s="204"/>
      <c r="H25" s="154">
        <v>21</v>
      </c>
      <c r="I25" s="214"/>
      <c r="J25" s="154" t="str">
        <f t="shared" si="4"/>
        <v/>
      </c>
      <c r="K25" s="334" t="str">
        <f t="shared" si="5"/>
        <v/>
      </c>
      <c r="L25" s="154" t="s">
        <v>482</v>
      </c>
      <c r="M25" s="265"/>
      <c r="N25" s="262"/>
      <c r="O25" s="303"/>
      <c r="P25" s="303"/>
      <c r="Q25" s="301"/>
      <c r="R25" s="301"/>
      <c r="S25" s="301"/>
      <c r="T25" s="301"/>
    </row>
    <row r="26" spans="1:35" ht="18.75" customHeight="1">
      <c r="A26" s="177" t="s">
        <v>1603</v>
      </c>
      <c r="B26" s="177"/>
      <c r="C26" s="164"/>
      <c r="D26" s="164"/>
      <c r="E26" s="164"/>
      <c r="F26" s="164"/>
      <c r="G26" s="164"/>
      <c r="H26" s="164"/>
      <c r="I26" s="164"/>
      <c r="J26" s="164"/>
      <c r="K26" s="164"/>
      <c r="L26" s="164"/>
      <c r="M26" s="164"/>
      <c r="N26" s="164"/>
      <c r="O26" s="164"/>
      <c r="P26" s="57"/>
      <c r="Q26" s="178"/>
      <c r="R26" s="178"/>
      <c r="S26" s="57"/>
      <c r="T26" s="57"/>
      <c r="U26" s="57"/>
      <c r="V26" s="166"/>
      <c r="W26" s="178"/>
      <c r="X26" s="263"/>
      <c r="Y26" s="263"/>
      <c r="Z26" s="164"/>
      <c r="AA26" s="164"/>
      <c r="AB26" s="164"/>
      <c r="AC26" s="136"/>
      <c r="AD26" s="164"/>
      <c r="AE26" s="164"/>
      <c r="AF26" s="211"/>
      <c r="AG26" s="212"/>
      <c r="AH26" s="131"/>
      <c r="AI26" s="131"/>
    </row>
    <row r="27" spans="1:35" ht="18.75" customHeight="1">
      <c r="A27" s="164"/>
      <c r="B27" s="164"/>
      <c r="C27" s="164"/>
      <c r="D27" s="177"/>
      <c r="E27" s="177"/>
      <c r="F27" s="177"/>
      <c r="G27" s="177"/>
      <c r="H27" s="177"/>
      <c r="I27" s="177"/>
      <c r="J27" s="136"/>
      <c r="K27" s="136"/>
      <c r="L27" s="136"/>
      <c r="M27" s="263"/>
      <c r="N27" s="263"/>
      <c r="O27" s="263"/>
      <c r="P27" s="263"/>
      <c r="Q27" s="177"/>
      <c r="R27" s="164"/>
      <c r="S27" s="179"/>
      <c r="T27" s="179"/>
      <c r="U27" s="164"/>
      <c r="V27" s="263"/>
      <c r="W27" s="177"/>
      <c r="X27" s="263"/>
      <c r="Y27" s="263"/>
      <c r="Z27" s="180"/>
      <c r="AA27" s="165"/>
      <c r="AB27" s="165"/>
      <c r="AC27" s="136"/>
      <c r="AD27" s="164"/>
      <c r="AE27" s="164"/>
      <c r="AF27" s="130"/>
      <c r="AG27" s="117"/>
      <c r="AH27" s="131"/>
      <c r="AI27" s="131"/>
    </row>
    <row r="28" spans="1:35" ht="18.75" customHeight="1">
      <c r="A28" s="177"/>
      <c r="B28" s="177"/>
      <c r="C28" s="164"/>
      <c r="D28" s="177"/>
      <c r="E28" s="177"/>
      <c r="F28" s="177"/>
      <c r="G28" s="177"/>
      <c r="H28" s="178"/>
      <c r="I28" s="178"/>
      <c r="J28" s="166"/>
      <c r="K28" s="166"/>
      <c r="L28" s="166"/>
      <c r="M28" s="166"/>
      <c r="N28" s="166"/>
      <c r="O28" s="166"/>
      <c r="P28" s="166"/>
      <c r="Q28" s="177"/>
      <c r="R28" s="164"/>
      <c r="S28" s="179"/>
      <c r="T28" s="179"/>
      <c r="U28" s="164"/>
      <c r="V28" s="263"/>
      <c r="W28" s="177"/>
      <c r="X28" s="263"/>
      <c r="Y28" s="263"/>
      <c r="Z28" s="180"/>
      <c r="AA28" s="165"/>
      <c r="AB28" s="165"/>
      <c r="AC28" s="164"/>
      <c r="AD28" s="164"/>
      <c r="AE28" s="164"/>
      <c r="AF28" s="130"/>
      <c r="AG28" s="117"/>
      <c r="AH28" s="131"/>
      <c r="AI28" s="131"/>
    </row>
    <row r="29" spans="1:35" ht="18.75" customHeight="1">
      <c r="A29" s="177"/>
      <c r="B29" s="177"/>
      <c r="C29" s="164"/>
      <c r="D29" s="177"/>
      <c r="E29" s="177"/>
      <c r="F29" s="177"/>
      <c r="G29" s="177"/>
      <c r="H29" s="180"/>
      <c r="I29" s="180"/>
      <c r="J29" s="180"/>
      <c r="K29" s="180"/>
      <c r="L29" s="180"/>
      <c r="M29" s="180"/>
      <c r="N29" s="180"/>
      <c r="O29" s="180"/>
      <c r="P29" s="180"/>
      <c r="Q29" s="180"/>
      <c r="R29" s="164"/>
      <c r="S29" s="164"/>
      <c r="T29" s="164"/>
      <c r="U29" s="164"/>
      <c r="V29" s="263"/>
      <c r="W29" s="177"/>
      <c r="X29" s="263"/>
      <c r="Y29" s="263"/>
      <c r="Z29" s="177"/>
      <c r="AA29" s="164"/>
      <c r="AB29" s="164"/>
      <c r="AC29" s="164"/>
      <c r="AD29" s="164"/>
      <c r="AE29" s="164"/>
      <c r="AF29" s="130"/>
      <c r="AG29" s="117"/>
      <c r="AH29" s="131"/>
      <c r="AI29" s="131"/>
    </row>
    <row r="30" spans="1:35" ht="18.75" customHeight="1">
      <c r="A30" s="167"/>
      <c r="B30" s="167"/>
      <c r="C30" s="167"/>
      <c r="D30" s="167"/>
      <c r="E30" s="167"/>
      <c r="F30" s="167"/>
      <c r="G30" s="167"/>
      <c r="H30" s="167"/>
      <c r="I30" s="167"/>
      <c r="J30" s="167"/>
      <c r="K30" s="167"/>
      <c r="L30" s="167"/>
      <c r="M30" s="167"/>
      <c r="N30" s="167"/>
      <c r="O30" s="167"/>
      <c r="P30" s="167"/>
      <c r="Q30" s="167"/>
      <c r="R30" s="167"/>
      <c r="S30" s="167"/>
      <c r="T30" s="167"/>
      <c r="U30" s="167"/>
      <c r="V30" s="168"/>
      <c r="W30" s="167"/>
      <c r="X30" s="168"/>
      <c r="Y30" s="168"/>
      <c r="Z30" s="167"/>
      <c r="AA30" s="167"/>
      <c r="AB30" s="167"/>
      <c r="AC30" s="167"/>
      <c r="AD30" s="167"/>
      <c r="AE30" s="167"/>
      <c r="AF30" s="116"/>
      <c r="AG30" s="117"/>
      <c r="AH30" s="131"/>
      <c r="AI30" s="131"/>
    </row>
  </sheetData>
  <protectedRanges>
    <protectedRange sqref="V7:V8 T7:T8 U4:X4" name="区域1"/>
  </protectedRanges>
  <mergeCells count="13">
    <mergeCell ref="C23:D23"/>
    <mergeCell ref="C24:D24"/>
    <mergeCell ref="C25:D25"/>
    <mergeCell ref="C9:D9"/>
    <mergeCell ref="C10:D10"/>
    <mergeCell ref="C11:D11"/>
    <mergeCell ref="C12:D12"/>
    <mergeCell ref="C22:D22"/>
    <mergeCell ref="A1:L1"/>
    <mergeCell ref="C5:D5"/>
    <mergeCell ref="C6:D6"/>
    <mergeCell ref="C7:D7"/>
    <mergeCell ref="C8:D8"/>
  </mergeCells>
  <phoneticPr fontId="4" type="noConversion"/>
  <dataValidations disablePrompts="1" count="1">
    <dataValidation type="list" allowBlank="1" showInputMessage="1" showErrorMessage="1" sqref="B17">
      <formula1>$T$7:$T$10</formula1>
    </dataValidation>
  </dataValidations>
  <printOptions horizontalCentered="1"/>
  <pageMargins left="0.19685039370078741" right="0.19685039370078741"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T301"/>
  <sheetViews>
    <sheetView view="pageBreakPreview" zoomScaleSheetLayoutView="100" workbookViewId="0">
      <selection activeCell="E17" sqref="E17"/>
    </sheetView>
  </sheetViews>
  <sheetFormatPr defaultRowHeight="13.5" customHeight="1"/>
  <cols>
    <col min="1" max="1" width="7.75" style="71" customWidth="1"/>
    <col min="2" max="2" width="10.125" style="71" customWidth="1"/>
    <col min="3" max="3" width="45.625" style="70" customWidth="1"/>
    <col min="4" max="4" width="18.125" style="72" customWidth="1"/>
    <col min="5" max="5" width="12.5" style="71" customWidth="1"/>
    <col min="6" max="6" width="10.5" style="71" customWidth="1"/>
    <col min="7" max="7" width="2.125" style="71" customWidth="1"/>
    <col min="8" max="8" width="27.375" style="72" customWidth="1"/>
    <col min="9" max="9" width="12.5" style="72" customWidth="1"/>
    <col min="10" max="10" width="14.125" style="72" customWidth="1"/>
    <col min="11" max="11" width="5.625" style="71" customWidth="1"/>
    <col min="12" max="12" width="17.625" style="71" customWidth="1"/>
    <col min="13" max="13" width="11.375" style="72" customWidth="1"/>
    <col min="14" max="14" width="16.5" style="71" customWidth="1"/>
    <col min="15" max="15" width="6.625" style="71" customWidth="1"/>
    <col min="16" max="16" width="3.625" style="71" customWidth="1"/>
    <col min="17" max="17" width="30.125" style="71" customWidth="1"/>
    <col min="18" max="18" width="32" style="72" customWidth="1"/>
    <col min="19" max="19" width="27.875" style="252" customWidth="1"/>
    <col min="20" max="20" width="26.25" style="166" customWidth="1"/>
    <col min="21" max="21" width="9" style="71"/>
    <col min="22" max="22" width="37.5" style="71" customWidth="1"/>
    <col min="23" max="16384" width="9" style="71"/>
  </cols>
  <sheetData>
    <row r="1" spans="1:20" ht="26.25" customHeight="1">
      <c r="A1" s="927" t="str">
        <f>H1&amp;J1</f>
        <v>领料单——香草天空II</v>
      </c>
      <c r="B1" s="928"/>
      <c r="C1" s="928"/>
      <c r="D1" s="928"/>
      <c r="E1" s="928"/>
      <c r="F1" s="929"/>
      <c r="G1" s="61"/>
      <c r="H1" s="915" t="s">
        <v>394</v>
      </c>
      <c r="I1" s="915"/>
      <c r="J1" s="97" t="str">
        <f>柜体!B3</f>
        <v>香草天空II</v>
      </c>
      <c r="L1" s="920" t="s">
        <v>429</v>
      </c>
      <c r="M1" s="920"/>
      <c r="N1" s="920"/>
      <c r="O1" s="920"/>
      <c r="Q1" s="287" t="s">
        <v>664</v>
      </c>
      <c r="R1" s="255" t="s">
        <v>659</v>
      </c>
      <c r="S1" s="255" t="s">
        <v>246</v>
      </c>
      <c r="T1" s="255" t="s">
        <v>240</v>
      </c>
    </row>
    <row r="2" spans="1:20" ht="13.5" customHeight="1">
      <c r="B2" s="271" t="s">
        <v>351</v>
      </c>
      <c r="C2" s="67" t="str">
        <f>下料单!C2</f>
        <v>赵蕊</v>
      </c>
      <c r="D2" s="158" t="s">
        <v>17</v>
      </c>
      <c r="E2" s="67" t="str">
        <f>下料单!W2</f>
        <v>廊坊</v>
      </c>
      <c r="F2" s="67"/>
      <c r="G2" s="95"/>
      <c r="H2" s="925" t="s">
        <v>10</v>
      </c>
      <c r="I2" s="925"/>
      <c r="J2" s="106" t="s">
        <v>12</v>
      </c>
      <c r="L2" s="105" t="s">
        <v>334</v>
      </c>
      <c r="M2" s="97"/>
      <c r="N2" s="105"/>
      <c r="O2" s="101"/>
    </row>
    <row r="3" spans="1:20" ht="13.5" customHeight="1">
      <c r="B3" s="271" t="s">
        <v>468</v>
      </c>
      <c r="C3" s="67">
        <f>下料单!H2</f>
        <v>15530608063</v>
      </c>
      <c r="D3" s="340" t="s">
        <v>87</v>
      </c>
      <c r="E3" s="67">
        <f>下料单!R2</f>
        <v>123</v>
      </c>
      <c r="F3" s="67"/>
      <c r="G3" s="95"/>
      <c r="L3" s="105" t="s">
        <v>338</v>
      </c>
      <c r="M3" s="97">
        <f>(下料单!E21*12+下料单!E33*14)</f>
        <v>40</v>
      </c>
      <c r="N3" s="105" t="s">
        <v>339</v>
      </c>
      <c r="O3" s="100">
        <f>$M$2*12</f>
        <v>0</v>
      </c>
      <c r="Q3" s="68" t="s">
        <v>669</v>
      </c>
      <c r="R3" s="265" t="s">
        <v>607</v>
      </c>
      <c r="S3" s="256" t="s">
        <v>542</v>
      </c>
      <c r="T3" s="257" t="s">
        <v>672</v>
      </c>
    </row>
    <row r="4" spans="1:20" ht="13.5" customHeight="1">
      <c r="A4" s="67" t="s">
        <v>353</v>
      </c>
      <c r="B4" s="266" t="s">
        <v>354</v>
      </c>
      <c r="C4" s="67" t="s">
        <v>68</v>
      </c>
      <c r="D4" s="67" t="s">
        <v>355</v>
      </c>
      <c r="E4" s="67" t="s">
        <v>356</v>
      </c>
      <c r="F4" s="67" t="s">
        <v>357</v>
      </c>
      <c r="G4" s="95"/>
      <c r="I4" s="166"/>
      <c r="J4" s="166"/>
      <c r="L4" s="105" t="s">
        <v>342</v>
      </c>
      <c r="M4" s="97">
        <f>(下料单!E21*22+下料单!E33*28)</f>
        <v>78</v>
      </c>
      <c r="N4" s="105" t="s">
        <v>343</v>
      </c>
      <c r="O4" s="100">
        <f>$M$2*22</f>
        <v>0</v>
      </c>
      <c r="Q4" s="68" t="s">
        <v>670</v>
      </c>
      <c r="R4" s="265" t="s">
        <v>608</v>
      </c>
      <c r="S4" s="256" t="s">
        <v>543</v>
      </c>
      <c r="T4" s="257" t="s">
        <v>673</v>
      </c>
    </row>
    <row r="5" spans="1:20" ht="13.5" customHeight="1">
      <c r="A5" s="899" t="s">
        <v>326</v>
      </c>
      <c r="B5" s="266">
        <v>1</v>
      </c>
      <c r="C5" s="154" t="s">
        <v>749</v>
      </c>
      <c r="D5" s="80">
        <f>下料单!$AR$47/1.22/2.44/0.91</f>
        <v>-1.3640283393038029E-3</v>
      </c>
      <c r="E5" s="266" t="s">
        <v>358</v>
      </c>
      <c r="F5" s="266"/>
      <c r="G5" s="95"/>
      <c r="H5" s="325"/>
      <c r="I5" s="325"/>
      <c r="J5" s="166"/>
      <c r="Q5" s="68" t="s">
        <v>663</v>
      </c>
      <c r="R5" s="265" t="s">
        <v>609</v>
      </c>
      <c r="S5" s="256" t="s">
        <v>544</v>
      </c>
      <c r="T5" s="257" t="s">
        <v>674</v>
      </c>
    </row>
    <row r="6" spans="1:20" ht="13.5" customHeight="1">
      <c r="A6" s="900"/>
      <c r="B6" s="266">
        <v>2</v>
      </c>
      <c r="C6" s="322" t="s">
        <v>746</v>
      </c>
      <c r="D6" s="80">
        <f>下料单!$AT$47/1.22/2.44/0.75</f>
        <v>1.5077941294990878E-4</v>
      </c>
      <c r="E6" s="266" t="s">
        <v>358</v>
      </c>
      <c r="F6" s="266"/>
      <c r="G6" s="95"/>
      <c r="H6" s="166"/>
      <c r="I6" s="166"/>
      <c r="J6" s="166"/>
      <c r="Q6" s="68" t="s">
        <v>662</v>
      </c>
      <c r="R6" s="97" t="s">
        <v>610</v>
      </c>
      <c r="S6" s="256" t="s">
        <v>545</v>
      </c>
      <c r="T6" s="257" t="s">
        <v>675</v>
      </c>
    </row>
    <row r="7" spans="1:20" ht="13.5" customHeight="1">
      <c r="A7" s="900"/>
      <c r="B7" s="266">
        <v>3</v>
      </c>
      <c r="C7" s="266"/>
      <c r="D7" s="80"/>
      <c r="E7" s="266"/>
      <c r="F7" s="266"/>
      <c r="G7" s="95"/>
      <c r="H7" s="325"/>
      <c r="I7" s="166"/>
      <c r="J7" s="166"/>
      <c r="Q7" s="102"/>
      <c r="R7" s="97" t="s">
        <v>611</v>
      </c>
      <c r="S7" s="256" t="s">
        <v>546</v>
      </c>
      <c r="T7" s="257" t="s">
        <v>676</v>
      </c>
    </row>
    <row r="8" spans="1:20" ht="13.5" customHeight="1">
      <c r="A8" s="900"/>
      <c r="B8" s="266">
        <v>4</v>
      </c>
      <c r="C8" s="326" t="s">
        <v>748</v>
      </c>
      <c r="D8" s="80">
        <f>下料单!$AU$46/1.22/2.44/0.91</f>
        <v>9.9671894888234575E-6</v>
      </c>
      <c r="E8" s="266" t="s">
        <v>358</v>
      </c>
      <c r="F8" s="266"/>
      <c r="G8" s="95"/>
      <c r="H8" s="166"/>
      <c r="I8" s="166"/>
      <c r="J8" s="166"/>
      <c r="R8" s="97" t="s">
        <v>612</v>
      </c>
      <c r="S8" s="256" t="s">
        <v>547</v>
      </c>
      <c r="T8" s="257" t="s">
        <v>677</v>
      </c>
    </row>
    <row r="9" spans="1:20" ht="13.5" customHeight="1">
      <c r="A9" s="900"/>
      <c r="B9" s="266">
        <v>5</v>
      </c>
      <c r="C9" s="326" t="s">
        <v>747</v>
      </c>
      <c r="D9" s="80">
        <f>下料单!$AV$46/1.22/2.44/0.91</f>
        <v>9.9671894888234575E-6</v>
      </c>
      <c r="E9" s="266" t="s">
        <v>358</v>
      </c>
      <c r="F9" s="266"/>
      <c r="G9" s="95"/>
      <c r="H9" s="166"/>
      <c r="I9" s="166"/>
      <c r="J9" s="166"/>
      <c r="R9" s="97" t="s">
        <v>613</v>
      </c>
      <c r="S9" s="256" t="s">
        <v>548</v>
      </c>
      <c r="T9" s="257" t="s">
        <v>678</v>
      </c>
    </row>
    <row r="10" spans="1:20" ht="13.5" customHeight="1">
      <c r="A10" s="900"/>
      <c r="B10" s="269">
        <v>6</v>
      </c>
      <c r="C10" s="269" t="s">
        <v>682</v>
      </c>
      <c r="D10" s="296">
        <f>下料单!$AW$46/1.22/2.44/0.91</f>
        <v>9.9671894888234575E-6</v>
      </c>
      <c r="E10" s="269" t="s">
        <v>13</v>
      </c>
      <c r="F10" s="261"/>
      <c r="G10" s="95"/>
      <c r="H10" s="166"/>
      <c r="I10" s="166"/>
      <c r="J10" s="166"/>
      <c r="Q10" s="68" t="s">
        <v>661</v>
      </c>
      <c r="R10" s="97" t="s">
        <v>614</v>
      </c>
      <c r="S10" s="256" t="s">
        <v>549</v>
      </c>
      <c r="T10" s="257" t="s">
        <v>679</v>
      </c>
    </row>
    <row r="11" spans="1:20" ht="13.5" customHeight="1">
      <c r="A11" s="931"/>
      <c r="B11" s="81"/>
      <c r="C11" s="81"/>
      <c r="D11" s="81"/>
      <c r="E11" s="81"/>
      <c r="F11" s="81"/>
      <c r="H11" s="71"/>
      <c r="I11" s="71"/>
      <c r="J11" s="71"/>
      <c r="R11" s="97" t="s">
        <v>615</v>
      </c>
      <c r="S11" s="256" t="s">
        <v>550</v>
      </c>
      <c r="T11" s="257" t="s">
        <v>516</v>
      </c>
    </row>
    <row r="12" spans="1:20" ht="13.5" customHeight="1">
      <c r="A12" s="891"/>
      <c r="B12" s="266"/>
      <c r="C12" s="266"/>
      <c r="D12" s="80"/>
      <c r="E12" s="266"/>
      <c r="F12" s="81"/>
      <c r="H12" s="166"/>
      <c r="I12" s="166"/>
      <c r="J12" s="166"/>
      <c r="R12" s="97" t="s">
        <v>616</v>
      </c>
      <c r="S12" s="256" t="s">
        <v>551</v>
      </c>
      <c r="T12" s="257" t="s">
        <v>517</v>
      </c>
    </row>
    <row r="13" spans="1:20" ht="13.5" customHeight="1">
      <c r="A13" s="892"/>
      <c r="B13" s="266"/>
      <c r="C13" s="266"/>
      <c r="D13" s="80"/>
      <c r="E13" s="266"/>
      <c r="F13" s="266"/>
      <c r="G13" s="295"/>
      <c r="H13" s="166"/>
      <c r="I13" s="166"/>
      <c r="J13" s="166"/>
      <c r="R13" s="97" t="s">
        <v>617</v>
      </c>
      <c r="S13" s="256" t="s">
        <v>552</v>
      </c>
      <c r="T13" s="257" t="s">
        <v>518</v>
      </c>
    </row>
    <row r="14" spans="1:20" ht="13.5" customHeight="1">
      <c r="A14" s="893"/>
      <c r="B14" s="270"/>
      <c r="C14" s="270"/>
      <c r="D14" s="297"/>
      <c r="E14" s="270"/>
      <c r="F14" s="270"/>
      <c r="G14" s="95"/>
      <c r="H14" s="166"/>
      <c r="I14" s="166"/>
      <c r="J14" s="166"/>
      <c r="R14" s="97" t="s">
        <v>618</v>
      </c>
      <c r="S14" s="256" t="s">
        <v>553</v>
      </c>
      <c r="T14" s="257" t="s">
        <v>519</v>
      </c>
    </row>
    <row r="15" spans="1:20" ht="13.5" customHeight="1">
      <c r="A15" s="893"/>
      <c r="B15" s="266"/>
      <c r="C15" s="266"/>
      <c r="D15" s="80"/>
      <c r="E15" s="266"/>
      <c r="F15" s="266"/>
      <c r="G15" s="95"/>
      <c r="H15" s="166"/>
      <c r="I15" s="166"/>
      <c r="J15" s="166"/>
      <c r="R15" s="97" t="s">
        <v>619</v>
      </c>
      <c r="S15" s="256" t="s">
        <v>554</v>
      </c>
      <c r="T15" s="257" t="s">
        <v>520</v>
      </c>
    </row>
    <row r="16" spans="1:20" ht="13.5" customHeight="1">
      <c r="A16" s="893"/>
      <c r="B16" s="266"/>
      <c r="C16" s="266"/>
      <c r="D16" s="85"/>
      <c r="E16" s="266"/>
      <c r="F16" s="266"/>
      <c r="G16" s="95"/>
      <c r="H16" s="166"/>
      <c r="I16" s="166"/>
      <c r="J16" s="166"/>
      <c r="R16" s="97" t="s">
        <v>620</v>
      </c>
      <c r="S16" s="256" t="s">
        <v>555</v>
      </c>
      <c r="T16" s="257" t="s">
        <v>251</v>
      </c>
    </row>
    <row r="17" spans="1:20" ht="13.5" customHeight="1">
      <c r="A17" s="893"/>
      <c r="B17" s="266"/>
      <c r="C17" s="266"/>
      <c r="D17" s="85"/>
      <c r="E17" s="266"/>
      <c r="F17" s="266"/>
      <c r="G17" s="95"/>
      <c r="H17" s="166"/>
      <c r="I17" s="166"/>
      <c r="J17" s="166"/>
      <c r="R17" s="68" t="s">
        <v>409</v>
      </c>
      <c r="S17" s="256" t="s">
        <v>556</v>
      </c>
      <c r="T17" s="257" t="s">
        <v>250</v>
      </c>
    </row>
    <row r="18" spans="1:20" ht="13.5" customHeight="1">
      <c r="A18" s="894"/>
      <c r="B18" s="266"/>
      <c r="C18" s="266"/>
      <c r="D18" s="266"/>
      <c r="E18" s="266"/>
      <c r="F18" s="86"/>
      <c r="G18" s="95"/>
      <c r="H18" s="166"/>
      <c r="I18" s="166"/>
      <c r="J18" s="166"/>
      <c r="R18" s="68" t="s">
        <v>410</v>
      </c>
      <c r="S18" s="256" t="s">
        <v>557</v>
      </c>
      <c r="T18" s="257" t="s">
        <v>249</v>
      </c>
    </row>
    <row r="19" spans="1:20" ht="13.5" customHeight="1">
      <c r="A19" s="902" t="s">
        <v>392</v>
      </c>
      <c r="B19" s="266">
        <v>1</v>
      </c>
      <c r="C19" s="266" t="str">
        <f>H19&amp;J19</f>
        <v>透明玻璃0</v>
      </c>
      <c r="D19" s="266">
        <f>铝材玻璃单!E22</f>
        <v>0</v>
      </c>
      <c r="E19" s="266" t="s">
        <v>382</v>
      </c>
      <c r="F19" s="266"/>
      <c r="G19" s="95"/>
      <c r="H19" s="97" t="s">
        <v>421</v>
      </c>
      <c r="I19" s="97"/>
      <c r="J19" s="262">
        <f>铝材玻璃单!C22</f>
        <v>0</v>
      </c>
      <c r="S19" s="256" t="s">
        <v>558</v>
      </c>
      <c r="T19" s="257" t="s">
        <v>521</v>
      </c>
    </row>
    <row r="20" spans="1:20" ht="13.5" customHeight="1">
      <c r="A20" s="904"/>
      <c r="B20" s="266">
        <v>2</v>
      </c>
      <c r="C20" s="154" t="str">
        <f>H20&amp;J20</f>
        <v>透明玻璃0</v>
      </c>
      <c r="D20" s="266">
        <f>铝材玻璃单!E23</f>
        <v>0</v>
      </c>
      <c r="E20" s="266" t="s">
        <v>382</v>
      </c>
      <c r="F20" s="266"/>
      <c r="G20" s="95"/>
      <c r="H20" s="68" t="s">
        <v>422</v>
      </c>
      <c r="I20" s="68"/>
      <c r="J20" s="262">
        <f>铝材玻璃单!C23</f>
        <v>0</v>
      </c>
      <c r="R20" s="68" t="s">
        <v>624</v>
      </c>
      <c r="S20" s="256" t="s">
        <v>559</v>
      </c>
      <c r="T20" s="257" t="s">
        <v>522</v>
      </c>
    </row>
    <row r="21" spans="1:20" ht="13.5" customHeight="1">
      <c r="A21" s="904"/>
      <c r="B21" s="266">
        <v>3</v>
      </c>
      <c r="C21" s="154" t="str">
        <f t="shared" ref="C21:C26" si="0">H21&amp;J21</f>
        <v>透明玻璃0</v>
      </c>
      <c r="D21" s="266">
        <f>铝材玻璃单!E24</f>
        <v>0</v>
      </c>
      <c r="E21" s="266" t="s">
        <v>382</v>
      </c>
      <c r="F21" s="266"/>
      <c r="G21" s="95"/>
      <c r="H21" s="68" t="s">
        <v>421</v>
      </c>
      <c r="I21" s="68"/>
      <c r="J21" s="262">
        <f>铝材玻璃单!C24</f>
        <v>0</v>
      </c>
      <c r="R21" s="68" t="s">
        <v>401</v>
      </c>
      <c r="S21" s="256" t="s">
        <v>560</v>
      </c>
      <c r="T21" s="257" t="s">
        <v>523</v>
      </c>
    </row>
    <row r="22" spans="1:20" ht="13.5" customHeight="1">
      <c r="A22" s="904"/>
      <c r="B22" s="266">
        <v>4</v>
      </c>
      <c r="C22" s="154" t="str">
        <f t="shared" si="0"/>
        <v>透明玻璃0</v>
      </c>
      <c r="D22" s="266">
        <f>铝材玻璃单!E25</f>
        <v>0</v>
      </c>
      <c r="E22" s="266" t="s">
        <v>382</v>
      </c>
      <c r="F22" s="266"/>
      <c r="G22" s="95"/>
      <c r="H22" s="68" t="s">
        <v>421</v>
      </c>
      <c r="I22" s="68"/>
      <c r="J22" s="262">
        <f>铝材玻璃单!C25</f>
        <v>0</v>
      </c>
      <c r="S22" s="256" t="s">
        <v>561</v>
      </c>
      <c r="T22" s="256" t="s">
        <v>524</v>
      </c>
    </row>
    <row r="23" spans="1:20" ht="13.5" customHeight="1">
      <c r="A23" s="904"/>
      <c r="B23" s="266">
        <v>5</v>
      </c>
      <c r="C23" s="154" t="str">
        <f t="shared" si="0"/>
        <v>透明夹胶玻璃尺寸</v>
      </c>
      <c r="D23" s="266" t="str">
        <f>铝材玻璃单!E18</f>
        <v/>
      </c>
      <c r="E23" s="266" t="s">
        <v>382</v>
      </c>
      <c r="F23" s="266"/>
      <c r="G23" s="95"/>
      <c r="H23" s="298" t="str">
        <f>铝材玻璃单!B18</f>
        <v>透明夹胶玻璃</v>
      </c>
      <c r="I23" s="68"/>
      <c r="J23" s="314" t="s">
        <v>437</v>
      </c>
      <c r="S23" s="256" t="s">
        <v>562</v>
      </c>
      <c r="T23" s="257" t="s">
        <v>525</v>
      </c>
    </row>
    <row r="24" spans="1:20" ht="13.5" customHeight="1">
      <c r="A24" s="904"/>
      <c r="B24" s="266">
        <v>6</v>
      </c>
      <c r="C24" s="154" t="str">
        <f t="shared" si="0"/>
        <v>透明夹胶玻璃尺寸</v>
      </c>
      <c r="D24" s="266" t="str">
        <f>铝材玻璃单!E19</f>
        <v/>
      </c>
      <c r="E24" s="266" t="s">
        <v>382</v>
      </c>
      <c r="F24" s="266"/>
      <c r="G24" s="95"/>
      <c r="H24" s="298" t="str">
        <f>铝材玻璃单!B19</f>
        <v>透明夹胶玻璃</v>
      </c>
      <c r="I24" s="68"/>
      <c r="J24" s="314" t="s">
        <v>437</v>
      </c>
      <c r="S24" s="256" t="s">
        <v>563</v>
      </c>
      <c r="T24" s="257" t="s">
        <v>526</v>
      </c>
    </row>
    <row r="25" spans="1:20" ht="13.5" customHeight="1">
      <c r="A25" s="904"/>
      <c r="B25" s="266">
        <v>7</v>
      </c>
      <c r="C25" s="154" t="str">
        <f t="shared" si="0"/>
        <v>透明夹胶玻璃尺寸</v>
      </c>
      <c r="D25" s="266" t="str">
        <f>铝材玻璃单!E20</f>
        <v/>
      </c>
      <c r="E25" s="266" t="s">
        <v>382</v>
      </c>
      <c r="F25" s="266"/>
      <c r="G25" s="95"/>
      <c r="H25" s="298" t="str">
        <f>铝材玻璃单!B20</f>
        <v>透明夹胶玻璃</v>
      </c>
      <c r="I25" s="97"/>
      <c r="J25" s="314" t="s">
        <v>437</v>
      </c>
      <c r="S25" s="256" t="s">
        <v>564</v>
      </c>
      <c r="T25" s="257" t="s">
        <v>527</v>
      </c>
    </row>
    <row r="26" spans="1:20" ht="13.5" customHeight="1">
      <c r="A26" s="903"/>
      <c r="B26" s="266">
        <v>8</v>
      </c>
      <c r="C26" s="154" t="str">
        <f t="shared" si="0"/>
        <v/>
      </c>
      <c r="D26" s="82"/>
      <c r="E26" s="266" t="s">
        <v>382</v>
      </c>
      <c r="F26" s="81"/>
      <c r="G26" s="95"/>
      <c r="H26" s="97"/>
      <c r="I26" s="97"/>
      <c r="J26" s="97"/>
      <c r="S26" s="256" t="s">
        <v>565</v>
      </c>
      <c r="T26" s="257" t="s">
        <v>528</v>
      </c>
    </row>
    <row r="27" spans="1:20" ht="13.5" customHeight="1">
      <c r="A27" s="913" t="s">
        <v>393</v>
      </c>
      <c r="B27" s="266">
        <v>1</v>
      </c>
      <c r="C27" s="279" t="str">
        <f>铝材玻璃单!W4</f>
        <v>铝框（氧化铝JF383）6米/支</v>
      </c>
      <c r="D27" s="80">
        <f>+SUM(铝材玻璃单!$Q$5:$Q$8)</f>
        <v>0</v>
      </c>
      <c r="E27" s="266" t="s">
        <v>362</v>
      </c>
      <c r="F27" s="266"/>
      <c r="G27" s="95"/>
      <c r="H27" s="97"/>
      <c r="I27" s="97"/>
      <c r="J27" s="97"/>
      <c r="R27" s="255" t="s">
        <v>660</v>
      </c>
      <c r="S27" s="256" t="s">
        <v>566</v>
      </c>
      <c r="T27" s="257" t="s">
        <v>529</v>
      </c>
    </row>
    <row r="28" spans="1:20" ht="13.5" customHeight="1">
      <c r="A28" s="930"/>
      <c r="B28" s="266">
        <v>2</v>
      </c>
      <c r="C28" s="266" t="s">
        <v>384</v>
      </c>
      <c r="D28" s="266">
        <f>+SUM(铝材玻璃单!$E$14:$E$16)*4</f>
        <v>0</v>
      </c>
      <c r="E28" s="266" t="s">
        <v>361</v>
      </c>
      <c r="F28" s="266"/>
      <c r="G28" s="95"/>
      <c r="H28" s="97"/>
      <c r="I28" s="97"/>
      <c r="J28" s="97"/>
      <c r="R28" s="71"/>
      <c r="S28" s="256" t="s">
        <v>567</v>
      </c>
      <c r="T28" s="257" t="s">
        <v>530</v>
      </c>
    </row>
    <row r="29" spans="1:20" ht="13.5" customHeight="1">
      <c r="A29" s="930"/>
      <c r="B29" s="266">
        <v>3</v>
      </c>
      <c r="C29" s="266" t="s">
        <v>385</v>
      </c>
      <c r="D29" s="266">
        <f>D28*2</f>
        <v>0</v>
      </c>
      <c r="E29" s="266" t="s">
        <v>361</v>
      </c>
      <c r="F29" s="87"/>
      <c r="G29" s="95"/>
      <c r="H29" s="97"/>
      <c r="I29" s="97"/>
      <c r="J29" s="97"/>
      <c r="R29" s="97" t="s">
        <v>665</v>
      </c>
      <c r="S29" s="256" t="s">
        <v>568</v>
      </c>
      <c r="T29" s="257" t="s">
        <v>531</v>
      </c>
    </row>
    <row r="30" spans="1:20" ht="13.5" customHeight="1">
      <c r="A30" s="930"/>
      <c r="B30" s="266">
        <v>4</v>
      </c>
      <c r="C30" s="266" t="s">
        <v>386</v>
      </c>
      <c r="D30" s="80">
        <f>D27</f>
        <v>0</v>
      </c>
      <c r="E30" s="266" t="s">
        <v>362</v>
      </c>
      <c r="F30" s="87"/>
      <c r="G30" s="95"/>
      <c r="H30" s="97"/>
      <c r="I30" s="97"/>
      <c r="J30" s="97"/>
      <c r="R30" s="97" t="s">
        <v>667</v>
      </c>
      <c r="S30" s="256" t="s">
        <v>569</v>
      </c>
      <c r="T30" s="257" t="s">
        <v>532</v>
      </c>
    </row>
    <row r="31" spans="1:20" ht="13.5" customHeight="1">
      <c r="A31" s="930"/>
      <c r="B31" s="266">
        <v>5</v>
      </c>
      <c r="C31" s="266" t="s">
        <v>641</v>
      </c>
      <c r="D31" s="80">
        <f>+$M$31/0.9</f>
        <v>0</v>
      </c>
      <c r="E31" s="266" t="s">
        <v>362</v>
      </c>
      <c r="F31" s="87"/>
      <c r="G31" s="95"/>
      <c r="H31" s="97"/>
      <c r="I31" s="97"/>
      <c r="J31" s="97"/>
      <c r="L31" s="105" t="s">
        <v>430</v>
      </c>
      <c r="M31" s="107">
        <f>+SUM(铝材玻璃单!O5:O18)/1000</f>
        <v>0</v>
      </c>
      <c r="R31" s="97"/>
      <c r="S31" s="256" t="s">
        <v>570</v>
      </c>
      <c r="T31" s="257" t="s">
        <v>533</v>
      </c>
    </row>
    <row r="32" spans="1:20" ht="13.5" customHeight="1">
      <c r="A32" s="930"/>
      <c r="B32" s="266">
        <v>6</v>
      </c>
      <c r="C32" s="266" t="str">
        <f>H32&amp;J32&amp;I32</f>
        <v>铝踢脚板（氧化铝80mm条纹形）6米/支</v>
      </c>
      <c r="D32" s="80">
        <f>+$M$32/0.9</f>
        <v>0</v>
      </c>
      <c r="E32" s="266" t="s">
        <v>362</v>
      </c>
      <c r="F32" s="266" t="str">
        <f>IF(J101="60mm（自制）","80改60","")</f>
        <v>80改60</v>
      </c>
      <c r="G32" s="95"/>
      <c r="H32" s="97" t="s">
        <v>424</v>
      </c>
      <c r="I32" s="97" t="s">
        <v>425</v>
      </c>
      <c r="J32" s="97" t="str">
        <f>IF(J101="60mm（自制）","80mm",J101)</f>
        <v>80mm</v>
      </c>
      <c r="L32" s="105" t="s">
        <v>431</v>
      </c>
      <c r="M32" s="107">
        <f>+SUM(铝材玻璃单!N5:N12)/1000</f>
        <v>0</v>
      </c>
      <c r="R32" s="97" t="s">
        <v>668</v>
      </c>
      <c r="S32" s="256" t="s">
        <v>571</v>
      </c>
      <c r="T32" s="257" t="s">
        <v>534</v>
      </c>
    </row>
    <row r="33" spans="1:20" ht="13.5" customHeight="1">
      <c r="A33" s="930"/>
      <c r="B33" s="266">
        <v>7</v>
      </c>
      <c r="C33" s="266" t="s">
        <v>426</v>
      </c>
      <c r="D33" s="80">
        <f>+$M$33/0.9</f>
        <v>0</v>
      </c>
      <c r="E33" s="266" t="s">
        <v>362</v>
      </c>
      <c r="F33" s="87"/>
      <c r="G33" s="95"/>
      <c r="H33" s="97"/>
      <c r="I33" s="97"/>
      <c r="J33" s="97"/>
      <c r="L33" s="105" t="s">
        <v>432</v>
      </c>
      <c r="M33" s="107">
        <f>+SUM(铝材玻璃单!P5:P9)/1000</f>
        <v>0</v>
      </c>
      <c r="R33" s="97" t="s">
        <v>666</v>
      </c>
      <c r="S33" s="256" t="s">
        <v>572</v>
      </c>
      <c r="T33" s="257" t="s">
        <v>535</v>
      </c>
    </row>
    <row r="34" spans="1:20" ht="13.5" customHeight="1">
      <c r="A34" s="930"/>
      <c r="B34" s="266">
        <v>8</v>
      </c>
      <c r="C34" s="266" t="s">
        <v>427</v>
      </c>
      <c r="D34" s="266"/>
      <c r="E34" s="266" t="s">
        <v>362</v>
      </c>
      <c r="F34" s="87"/>
      <c r="G34" s="95"/>
      <c r="H34" s="97"/>
      <c r="I34" s="97"/>
      <c r="J34" s="97"/>
      <c r="S34" s="256" t="s">
        <v>573</v>
      </c>
      <c r="T34" s="257" t="s">
        <v>536</v>
      </c>
    </row>
    <row r="35" spans="1:20" ht="13.5" customHeight="1">
      <c r="A35" s="914"/>
      <c r="B35" s="266">
        <v>9</v>
      </c>
      <c r="C35" s="266"/>
      <c r="D35" s="266"/>
      <c r="E35" s="266"/>
      <c r="F35" s="87"/>
      <c r="G35" s="95"/>
      <c r="H35" s="97"/>
      <c r="I35" s="97"/>
      <c r="J35" s="97"/>
      <c r="L35" s="70"/>
      <c r="S35" s="256" t="s">
        <v>574</v>
      </c>
      <c r="T35" s="257" t="s">
        <v>537</v>
      </c>
    </row>
    <row r="36" spans="1:20" ht="13.5" customHeight="1">
      <c r="A36" s="899" t="s">
        <v>365</v>
      </c>
      <c r="B36" s="266">
        <v>1</v>
      </c>
      <c r="C36" s="266" t="s">
        <v>631</v>
      </c>
      <c r="D36" s="266">
        <f>IF(F36&gt;15,3,IF(AND(F36&gt;9,F36&lt;16),2,IF(AND(F36&gt;2,F36&lt;10),1.5,IF(F36&lt;3,1,""))))</f>
        <v>1.5</v>
      </c>
      <c r="E36" s="266" t="s">
        <v>366</v>
      </c>
      <c r="F36" s="321">
        <f>下料单!$E$47</f>
        <v>6</v>
      </c>
      <c r="G36" s="95"/>
      <c r="H36" s="97"/>
      <c r="I36" s="97"/>
      <c r="J36" s="97"/>
      <c r="L36" s="70"/>
      <c r="S36" s="256" t="s">
        <v>575</v>
      </c>
      <c r="T36" s="257" t="s">
        <v>538</v>
      </c>
    </row>
    <row r="37" spans="1:20" ht="13.5" customHeight="1">
      <c r="A37" s="900"/>
      <c r="B37" s="266">
        <v>2</v>
      </c>
      <c r="C37" s="266" t="s">
        <v>435</v>
      </c>
      <c r="D37" s="80"/>
      <c r="E37" s="266" t="s">
        <v>361</v>
      </c>
      <c r="F37" s="266"/>
      <c r="G37" s="95"/>
      <c r="H37" s="97"/>
      <c r="I37" s="97"/>
      <c r="J37" s="97"/>
      <c r="L37" s="105" t="s">
        <v>434</v>
      </c>
      <c r="M37" s="71"/>
      <c r="S37" s="256" t="s">
        <v>576</v>
      </c>
      <c r="T37" s="257" t="s">
        <v>539</v>
      </c>
    </row>
    <row r="38" spans="1:20" ht="13.5" customHeight="1">
      <c r="A38" s="900"/>
      <c r="B38" s="266">
        <v>3</v>
      </c>
      <c r="C38" s="266" t="str">
        <f>+IF(F38=0,"","铝箔板")</f>
        <v>铝箔板</v>
      </c>
      <c r="D38" s="88">
        <f>IF(F38=0,"",F38*0.7/1000)</f>
        <v>0.63</v>
      </c>
      <c r="E38" s="266" t="str">
        <f>+IF(F38=0,"","平米")</f>
        <v>平米</v>
      </c>
      <c r="F38" s="89">
        <v>900</v>
      </c>
      <c r="G38" s="95"/>
      <c r="H38" s="97"/>
      <c r="I38" s="97"/>
      <c r="J38" s="97"/>
      <c r="L38" s="105" t="s">
        <v>435</v>
      </c>
      <c r="M38" s="71"/>
      <c r="S38" s="256" t="s">
        <v>577</v>
      </c>
      <c r="T38" s="257" t="s">
        <v>541</v>
      </c>
    </row>
    <row r="39" spans="1:20" ht="13.5" customHeight="1">
      <c r="A39" s="900"/>
      <c r="B39" s="266">
        <v>4</v>
      </c>
      <c r="C39" s="90" t="str">
        <f>+IF(F38=0,"","铝箔板压条(2.2M/支)")</f>
        <v>铝箔板压条(2.2M/支)</v>
      </c>
      <c r="D39" s="266">
        <f>++IF(F38=0,"",1)</f>
        <v>1</v>
      </c>
      <c r="E39" s="266" t="str">
        <f>+IF(F38=0,"","根")</f>
        <v>根</v>
      </c>
      <c r="F39" s="266"/>
      <c r="G39" s="95"/>
      <c r="H39" s="97"/>
      <c r="I39" s="97"/>
      <c r="J39" s="97"/>
      <c r="M39" s="71"/>
      <c r="S39" s="256" t="s">
        <v>578</v>
      </c>
      <c r="T39" s="257" t="s">
        <v>540</v>
      </c>
    </row>
    <row r="40" spans="1:20" ht="13.5" customHeight="1">
      <c r="A40" s="900"/>
      <c r="B40" s="266">
        <v>5</v>
      </c>
      <c r="C40" s="266" t="str">
        <f>+IF(F38=0,"","国产双面胶15mm")</f>
        <v>国产双面胶15mm</v>
      </c>
      <c r="D40" s="266" t="str">
        <f>+IF(F38=0,"","0.5")</f>
        <v>0.5</v>
      </c>
      <c r="E40" s="266" t="str">
        <f>+IF(F38=0,"","卷")</f>
        <v>卷</v>
      </c>
      <c r="F40" s="266"/>
      <c r="G40" s="95"/>
      <c r="H40" s="97"/>
      <c r="I40" s="97"/>
      <c r="J40" s="97"/>
      <c r="M40" s="71"/>
      <c r="S40" s="256" t="s">
        <v>579</v>
      </c>
      <c r="T40" s="254"/>
    </row>
    <row r="41" spans="1:20" ht="13.5" customHeight="1">
      <c r="A41" s="900"/>
      <c r="B41" s="266">
        <v>6</v>
      </c>
      <c r="C41" s="90" t="s">
        <v>433</v>
      </c>
      <c r="D41" s="266"/>
      <c r="E41" s="266" t="s">
        <v>361</v>
      </c>
      <c r="F41" s="266"/>
      <c r="G41" s="95"/>
      <c r="H41" s="97"/>
      <c r="I41" s="97"/>
      <c r="J41" s="97"/>
      <c r="M41" s="71"/>
      <c r="S41" s="256" t="s">
        <v>580</v>
      </c>
    </row>
    <row r="42" spans="1:20" ht="13.5" customHeight="1">
      <c r="A42" s="900"/>
      <c r="B42" s="266">
        <v>7</v>
      </c>
      <c r="C42" s="266" t="s">
        <v>405</v>
      </c>
      <c r="D42" s="266">
        <f>D41</f>
        <v>0</v>
      </c>
      <c r="E42" s="266" t="s">
        <v>361</v>
      </c>
      <c r="F42" s="266"/>
      <c r="G42" s="95"/>
      <c r="H42" s="97"/>
      <c r="I42" s="97"/>
      <c r="J42" s="97"/>
      <c r="M42" s="71"/>
      <c r="S42" s="256" t="s">
        <v>581</v>
      </c>
    </row>
    <row r="43" spans="1:20" ht="13.5" customHeight="1">
      <c r="A43" s="900"/>
      <c r="B43" s="266">
        <v>8</v>
      </c>
      <c r="C43" s="266" t="str">
        <f>+IF(下料单!AQ51&gt;0,"欧格风防滑垫（AGO-tex ）0.5m*2.1m
","")</f>
        <v xml:space="preserve">欧格风防滑垫（AGO-tex ）0.5m*2.1m
</v>
      </c>
      <c r="D43" s="88">
        <f>+IF(下料单!AQ51&gt;0,下料单!AQ51,"")</f>
        <v>9.0050420168067227</v>
      </c>
      <c r="E43" s="266" t="str">
        <f>+IF(下料单!AQ51&gt;0,"张","")</f>
        <v>张</v>
      </c>
      <c r="F43" s="266"/>
      <c r="G43" s="95"/>
      <c r="H43" s="97"/>
      <c r="I43" s="97"/>
      <c r="J43" s="97"/>
      <c r="M43" s="71"/>
      <c r="S43" s="256" t="s">
        <v>582</v>
      </c>
      <c r="T43" s="254"/>
    </row>
    <row r="44" spans="1:20" ht="13.5" customHeight="1">
      <c r="A44" s="900"/>
      <c r="B44" s="266">
        <v>9</v>
      </c>
      <c r="C44" s="266" t="s">
        <v>406</v>
      </c>
      <c r="D44" s="266">
        <f>(D54+D55+D56+D57)*26+(D62+D61)*4+(D63+D64+D65+D66)*20</f>
        <v>64</v>
      </c>
      <c r="E44" s="266" t="s">
        <v>361</v>
      </c>
      <c r="F44" s="266"/>
      <c r="G44" s="95"/>
      <c r="H44" s="97"/>
      <c r="I44" s="97"/>
      <c r="J44" s="97"/>
      <c r="M44" s="71"/>
      <c r="S44" s="256" t="s">
        <v>583</v>
      </c>
    </row>
    <row r="45" spans="1:20" ht="13.5" customHeight="1">
      <c r="A45" s="900"/>
      <c r="B45" s="266">
        <v>10</v>
      </c>
      <c r="C45" s="266" t="s">
        <v>407</v>
      </c>
      <c r="D45" s="266"/>
      <c r="E45" s="266" t="s">
        <v>361</v>
      </c>
      <c r="F45" s="266"/>
      <c r="G45" s="95"/>
      <c r="H45" s="97"/>
      <c r="I45" s="97"/>
      <c r="J45" s="97"/>
      <c r="M45" s="71"/>
      <c r="S45" s="256" t="s">
        <v>584</v>
      </c>
    </row>
    <row r="46" spans="1:20" ht="13.5" customHeight="1">
      <c r="A46" s="900"/>
      <c r="B46" s="266">
        <v>11</v>
      </c>
      <c r="C46" s="266" t="str">
        <f>H46&amp;J46</f>
        <v>U型阻水条（18板用）</v>
      </c>
      <c r="D46" s="80">
        <f>+D32</f>
        <v>0</v>
      </c>
      <c r="E46" s="266" t="str">
        <f>IF(D32&gt;0,"米","根")</f>
        <v>根</v>
      </c>
      <c r="F46" s="266"/>
      <c r="G46" s="95"/>
      <c r="H46" s="97" t="s">
        <v>411</v>
      </c>
      <c r="I46" s="97"/>
      <c r="J46" s="97" t="str">
        <f>IF(D32&gt;0,"铝制踢脚板用","（18板用）")</f>
        <v>（18板用）</v>
      </c>
      <c r="M46" s="71"/>
      <c r="S46" s="256" t="s">
        <v>585</v>
      </c>
    </row>
    <row r="47" spans="1:20" ht="13.5" customHeight="1">
      <c r="A47" s="900"/>
      <c r="B47" s="83"/>
      <c r="C47" s="84"/>
      <c r="D47" s="84"/>
      <c r="E47" s="83"/>
      <c r="F47" s="83"/>
      <c r="G47" s="95"/>
      <c r="H47" s="97"/>
      <c r="I47" s="97"/>
      <c r="J47" s="97"/>
      <c r="M47" s="71"/>
      <c r="S47" s="256" t="s">
        <v>586</v>
      </c>
    </row>
    <row r="48" spans="1:20" ht="13.5" customHeight="1">
      <c r="A48" s="900"/>
      <c r="B48" s="83"/>
      <c r="C48" s="84"/>
      <c r="D48" s="84"/>
      <c r="E48" s="83"/>
      <c r="F48" s="83"/>
      <c r="G48" s="95"/>
      <c r="H48" s="97"/>
      <c r="I48" s="97"/>
      <c r="J48" s="97"/>
      <c r="M48" s="71"/>
      <c r="S48" s="256" t="s">
        <v>587</v>
      </c>
    </row>
    <row r="49" spans="1:20" ht="13.5" customHeight="1">
      <c r="A49" s="901"/>
      <c r="B49" s="83"/>
      <c r="C49" s="84"/>
      <c r="D49" s="84"/>
      <c r="E49" s="83"/>
      <c r="F49" s="83"/>
      <c r="G49" s="95"/>
      <c r="H49" s="97"/>
      <c r="I49" s="97"/>
      <c r="J49" s="97"/>
      <c r="L49" s="76"/>
      <c r="M49" s="71"/>
      <c r="S49" s="256" t="s">
        <v>588</v>
      </c>
    </row>
    <row r="50" spans="1:20" ht="13.5" customHeight="1">
      <c r="A50" s="899" t="s">
        <v>370</v>
      </c>
      <c r="B50" s="154" t="s">
        <v>438</v>
      </c>
      <c r="C50" s="266"/>
      <c r="D50" s="85"/>
      <c r="E50" s="266"/>
      <c r="F50" s="87"/>
      <c r="G50" s="95"/>
      <c r="H50" s="97"/>
      <c r="I50" s="97"/>
      <c r="J50" s="97"/>
      <c r="L50" s="76"/>
      <c r="M50" s="71"/>
      <c r="S50" s="256" t="s">
        <v>589</v>
      </c>
    </row>
    <row r="51" spans="1:20" ht="13.5" customHeight="1">
      <c r="A51" s="900"/>
      <c r="B51" s="154" t="s">
        <v>439</v>
      </c>
      <c r="C51" s="266" t="str">
        <f>H51&amp;J51</f>
        <v>灯箱底板尺寸</v>
      </c>
      <c r="D51" s="85"/>
      <c r="E51" s="266"/>
      <c r="F51" s="87"/>
      <c r="G51" s="95"/>
      <c r="H51" s="97" t="s">
        <v>436</v>
      </c>
      <c r="I51" s="97"/>
      <c r="J51" s="106" t="s">
        <v>437</v>
      </c>
      <c r="M51" s="71"/>
      <c r="R51" s="166"/>
      <c r="S51" s="256" t="s">
        <v>590</v>
      </c>
    </row>
    <row r="52" spans="1:20" ht="13.5" customHeight="1">
      <c r="A52" s="900"/>
      <c r="B52" s="913" t="s">
        <v>690</v>
      </c>
      <c r="C52" s="266" t="s">
        <v>665</v>
      </c>
      <c r="D52" s="85"/>
      <c r="E52" s="266" t="s">
        <v>247</v>
      </c>
      <c r="F52" s="87"/>
      <c r="G52" s="95"/>
      <c r="H52" s="97"/>
      <c r="I52" s="97"/>
      <c r="J52" s="106"/>
      <c r="M52" s="71"/>
      <c r="R52" s="166"/>
      <c r="S52" s="256" t="s">
        <v>591</v>
      </c>
    </row>
    <row r="53" spans="1:20" ht="13.5" customHeight="1">
      <c r="A53" s="900"/>
      <c r="B53" s="914"/>
      <c r="C53" s="266" t="s">
        <v>667</v>
      </c>
      <c r="D53" s="85"/>
      <c r="E53" s="266" t="s">
        <v>247</v>
      </c>
      <c r="F53" s="87"/>
      <c r="G53" s="95"/>
      <c r="H53" s="97"/>
      <c r="I53" s="97"/>
      <c r="J53" s="106"/>
      <c r="M53" s="71"/>
      <c r="R53" s="166"/>
      <c r="S53" s="256" t="s">
        <v>592</v>
      </c>
    </row>
    <row r="54" spans="1:20" ht="13.5" customHeight="1">
      <c r="A54" s="900"/>
      <c r="B54" s="899" t="s">
        <v>2</v>
      </c>
      <c r="C54" s="266" t="s">
        <v>409</v>
      </c>
      <c r="D54" s="266"/>
      <c r="E54" s="266" t="s">
        <v>632</v>
      </c>
      <c r="F54" s="266"/>
      <c r="G54" s="95"/>
      <c r="H54" s="97"/>
      <c r="I54" s="97"/>
      <c r="J54" s="97"/>
      <c r="M54" s="71"/>
      <c r="R54" s="166"/>
      <c r="S54" s="256" t="s">
        <v>593</v>
      </c>
    </row>
    <row r="55" spans="1:20" ht="13.5" customHeight="1">
      <c r="A55" s="900"/>
      <c r="B55" s="900"/>
      <c r="C55" s="266" t="s">
        <v>410</v>
      </c>
      <c r="D55" s="266"/>
      <c r="E55" s="266" t="s">
        <v>632</v>
      </c>
      <c r="F55" s="266"/>
      <c r="G55" s="95"/>
      <c r="H55" s="97"/>
      <c r="I55" s="97"/>
      <c r="J55" s="97"/>
      <c r="L55" s="105" t="s">
        <v>88</v>
      </c>
      <c r="M55" s="105"/>
      <c r="R55" s="166"/>
      <c r="S55" s="256" t="s">
        <v>594</v>
      </c>
      <c r="T55" s="254"/>
    </row>
    <row r="56" spans="1:20" ht="13.5" customHeight="1">
      <c r="A56" s="900"/>
      <c r="B56" s="900"/>
      <c r="C56" s="266" t="s">
        <v>412</v>
      </c>
      <c r="D56" s="266"/>
      <c r="E56" s="266" t="s">
        <v>632</v>
      </c>
      <c r="F56" s="266"/>
      <c r="G56" s="95"/>
      <c r="H56" s="97"/>
      <c r="I56" s="97"/>
      <c r="J56" s="97"/>
      <c r="L56" s="105" t="s">
        <v>440</v>
      </c>
      <c r="M56" s="105"/>
      <c r="R56" s="166"/>
      <c r="S56" s="256" t="s">
        <v>595</v>
      </c>
      <c r="T56" s="254"/>
    </row>
    <row r="57" spans="1:20" ht="13.5" customHeight="1">
      <c r="A57" s="900"/>
      <c r="B57" s="900"/>
      <c r="C57" s="266" t="s">
        <v>413</v>
      </c>
      <c r="D57" s="266"/>
      <c r="E57" s="266" t="s">
        <v>632</v>
      </c>
      <c r="F57" s="266"/>
      <c r="G57" s="95"/>
      <c r="H57" s="97"/>
      <c r="I57" s="97"/>
      <c r="J57" s="97"/>
      <c r="R57" s="166"/>
      <c r="S57" s="256" t="s">
        <v>596</v>
      </c>
    </row>
    <row r="58" spans="1:20" ht="13.5" customHeight="1">
      <c r="A58" s="900"/>
      <c r="B58" s="900"/>
      <c r="C58" s="91" t="s">
        <v>621</v>
      </c>
      <c r="D58" s="91"/>
      <c r="E58" s="266" t="s">
        <v>632</v>
      </c>
      <c r="F58" s="266"/>
      <c r="G58" s="95"/>
      <c r="H58" s="97"/>
      <c r="I58" s="97"/>
      <c r="J58" s="97"/>
      <c r="R58" s="166"/>
      <c r="S58" s="256" t="s">
        <v>597</v>
      </c>
    </row>
    <row r="59" spans="1:20" ht="13.5" customHeight="1">
      <c r="A59" s="900"/>
      <c r="B59" s="901"/>
      <c r="C59" s="91" t="s">
        <v>622</v>
      </c>
      <c r="D59" s="91"/>
      <c r="E59" s="266" t="s">
        <v>632</v>
      </c>
      <c r="F59" s="87"/>
      <c r="G59" s="95"/>
      <c r="H59" s="97"/>
      <c r="I59" s="97"/>
      <c r="J59" s="97"/>
      <c r="R59" s="166"/>
      <c r="S59" s="256" t="s">
        <v>598</v>
      </c>
    </row>
    <row r="60" spans="1:20" ht="13.5" customHeight="1">
      <c r="A60" s="900"/>
      <c r="B60" s="154" t="s">
        <v>692</v>
      </c>
      <c r="C60" s="91" t="s">
        <v>668</v>
      </c>
      <c r="D60" s="91"/>
      <c r="E60" s="266" t="s">
        <v>247</v>
      </c>
      <c r="F60" s="87"/>
      <c r="G60" s="95"/>
      <c r="H60" s="97"/>
      <c r="I60" s="97"/>
      <c r="J60" s="97"/>
      <c r="R60" s="166"/>
      <c r="S60" s="256" t="s">
        <v>599</v>
      </c>
    </row>
    <row r="61" spans="1:20" ht="13.5" customHeight="1">
      <c r="A61" s="900"/>
      <c r="B61" s="902" t="s">
        <v>691</v>
      </c>
      <c r="C61" s="84"/>
      <c r="D61" s="83"/>
      <c r="E61" s="266"/>
      <c r="F61" s="89"/>
      <c r="G61" s="95"/>
      <c r="H61" s="97"/>
      <c r="I61" s="97"/>
      <c r="J61" s="97"/>
      <c r="R61" s="166"/>
      <c r="S61" s="256" t="s">
        <v>600</v>
      </c>
    </row>
    <row r="62" spans="1:20" ht="13.5" customHeight="1">
      <c r="A62" s="900"/>
      <c r="B62" s="903"/>
      <c r="C62" s="266" t="s">
        <v>374</v>
      </c>
      <c r="D62" s="266">
        <v>16</v>
      </c>
      <c r="E62" s="266" t="s">
        <v>360</v>
      </c>
      <c r="F62" s="89"/>
      <c r="G62" s="95"/>
      <c r="H62" s="97"/>
      <c r="I62" s="97"/>
      <c r="J62" s="97"/>
      <c r="R62" s="166"/>
      <c r="S62" s="256" t="s">
        <v>601</v>
      </c>
    </row>
    <row r="63" spans="1:20" ht="13.5" customHeight="1">
      <c r="A63" s="900"/>
      <c r="B63" s="902" t="s">
        <v>378</v>
      </c>
      <c r="C63" s="84"/>
      <c r="D63" s="83"/>
      <c r="E63" s="266"/>
      <c r="F63" s="87"/>
      <c r="G63" s="95"/>
      <c r="H63" s="97"/>
      <c r="I63" s="97"/>
      <c r="J63" s="97"/>
      <c r="R63" s="166"/>
      <c r="S63" s="256" t="s">
        <v>602</v>
      </c>
    </row>
    <row r="64" spans="1:20" ht="13.5" customHeight="1">
      <c r="A64" s="900"/>
      <c r="B64" s="904"/>
      <c r="C64" s="266" t="s">
        <v>441</v>
      </c>
      <c r="D64" s="266"/>
      <c r="E64" s="266" t="s">
        <v>360</v>
      </c>
      <c r="F64" s="87"/>
      <c r="G64" s="95"/>
      <c r="H64" s="97"/>
      <c r="I64" s="97"/>
      <c r="J64" s="97"/>
      <c r="M64" s="71"/>
      <c r="R64" s="166"/>
      <c r="S64" s="256" t="s">
        <v>603</v>
      </c>
    </row>
    <row r="65" spans="1:20" ht="13.5" customHeight="1">
      <c r="A65" s="900"/>
      <c r="B65" s="904"/>
      <c r="C65" s="266" t="s">
        <v>442</v>
      </c>
      <c r="D65" s="266"/>
      <c r="E65" s="266" t="s">
        <v>360</v>
      </c>
      <c r="F65" s="87"/>
      <c r="G65" s="95"/>
      <c r="H65" s="97"/>
      <c r="I65" s="97"/>
      <c r="J65" s="97"/>
      <c r="R65" s="166"/>
      <c r="S65" s="256" t="s">
        <v>604</v>
      </c>
    </row>
    <row r="66" spans="1:20" ht="13.5" customHeight="1">
      <c r="A66" s="901"/>
      <c r="B66" s="903"/>
      <c r="C66" s="266" t="s">
        <v>408</v>
      </c>
      <c r="D66" s="266"/>
      <c r="E66" s="266" t="s">
        <v>360</v>
      </c>
      <c r="F66" s="87"/>
      <c r="G66" s="95"/>
      <c r="H66" s="97"/>
      <c r="I66" s="97"/>
      <c r="J66" s="97"/>
      <c r="R66" s="166"/>
      <c r="S66" s="256" t="s">
        <v>605</v>
      </c>
    </row>
    <row r="67" spans="1:20" ht="13.5" customHeight="1">
      <c r="A67" s="896" t="s">
        <v>391</v>
      </c>
      <c r="B67" s="897"/>
      <c r="C67" s="897"/>
      <c r="D67" s="897"/>
      <c r="E67" s="897"/>
      <c r="F67" s="898"/>
      <c r="G67" s="95"/>
      <c r="H67" s="97"/>
      <c r="I67" s="97"/>
      <c r="J67" s="97"/>
      <c r="R67" s="166"/>
      <c r="S67" s="256" t="s">
        <v>606</v>
      </c>
    </row>
    <row r="68" spans="1:20" ht="13.5" customHeight="1">
      <c r="A68" s="905" t="str">
        <f>H68&amp;J68</f>
        <v>装箱清单——香草天空II</v>
      </c>
      <c r="B68" s="906"/>
      <c r="C68" s="906"/>
      <c r="D68" s="906"/>
      <c r="E68" s="906"/>
      <c r="F68" s="907"/>
      <c r="G68" s="95"/>
      <c r="H68" s="916" t="s">
        <v>423</v>
      </c>
      <c r="I68" s="917"/>
      <c r="J68" s="923" t="str">
        <f>柜体!B3</f>
        <v>香草天空II</v>
      </c>
    </row>
    <row r="69" spans="1:20" ht="13.5" customHeight="1">
      <c r="A69" s="908"/>
      <c r="B69" s="909"/>
      <c r="C69" s="909"/>
      <c r="D69" s="909"/>
      <c r="E69" s="909"/>
      <c r="F69" s="910"/>
      <c r="H69" s="918"/>
      <c r="I69" s="919"/>
      <c r="J69" s="924"/>
    </row>
    <row r="70" spans="1:20" ht="13.5" customHeight="1">
      <c r="A70" s="911" t="s">
        <v>351</v>
      </c>
      <c r="B70" s="912"/>
      <c r="C70" s="67" t="str">
        <f>C2</f>
        <v>赵蕊</v>
      </c>
      <c r="D70" s="67" t="s">
        <v>414</v>
      </c>
      <c r="E70" s="67" t="str">
        <f>E2</f>
        <v>廊坊</v>
      </c>
      <c r="F70" s="67"/>
      <c r="H70" s="97"/>
      <c r="I70" s="97"/>
      <c r="J70" s="97"/>
    </row>
    <row r="71" spans="1:20" ht="13.5" customHeight="1">
      <c r="A71" s="911" t="s">
        <v>352</v>
      </c>
      <c r="B71" s="912"/>
      <c r="C71" s="67">
        <f>C3</f>
        <v>15530608063</v>
      </c>
      <c r="D71" s="67" t="str">
        <f>D3</f>
        <v>版本型录号</v>
      </c>
      <c r="E71" s="67"/>
      <c r="F71" s="67"/>
      <c r="H71" s="97"/>
      <c r="I71" s="97"/>
      <c r="J71" s="97"/>
    </row>
    <row r="72" spans="1:20" ht="13.5" customHeight="1">
      <c r="A72" s="67" t="s">
        <v>353</v>
      </c>
      <c r="B72" s="67" t="s">
        <v>354</v>
      </c>
      <c r="C72" s="67" t="s">
        <v>68</v>
      </c>
      <c r="D72" s="67" t="s">
        <v>355</v>
      </c>
      <c r="E72" s="67" t="s">
        <v>356</v>
      </c>
      <c r="F72" s="67" t="s">
        <v>357</v>
      </c>
      <c r="H72" s="97"/>
      <c r="I72" s="97"/>
      <c r="J72" s="97"/>
    </row>
    <row r="73" spans="1:20" ht="13.5" customHeight="1">
      <c r="A73" s="899" t="s">
        <v>359</v>
      </c>
      <c r="B73" s="67">
        <v>1</v>
      </c>
      <c r="C73" s="266" t="s">
        <v>656</v>
      </c>
      <c r="D73" s="92">
        <f>$M$3-$O$3</f>
        <v>40</v>
      </c>
      <c r="E73" s="266" t="s">
        <v>360</v>
      </c>
      <c r="F73" s="67"/>
      <c r="H73" s="97"/>
      <c r="I73" s="97"/>
      <c r="J73" s="97"/>
    </row>
    <row r="74" spans="1:20" ht="13.5" customHeight="1">
      <c r="A74" s="900"/>
      <c r="B74" s="67">
        <v>2</v>
      </c>
      <c r="C74" s="266" t="s">
        <v>657</v>
      </c>
      <c r="D74" s="92">
        <f>$M$4-$O$4</f>
        <v>78</v>
      </c>
      <c r="E74" s="266" t="s">
        <v>361</v>
      </c>
      <c r="F74" s="67"/>
      <c r="H74" s="97"/>
      <c r="I74" s="97"/>
      <c r="J74" s="97"/>
      <c r="P74" s="62"/>
    </row>
    <row r="75" spans="1:20" ht="13.5" customHeight="1">
      <c r="A75" s="900"/>
      <c r="B75" s="67">
        <v>3</v>
      </c>
      <c r="C75" s="266" t="str">
        <f>下料单!BC3</f>
        <v>排孔塞（白色）</v>
      </c>
      <c r="D75" s="266">
        <f>下料单!$AD$47*12</f>
        <v>72</v>
      </c>
      <c r="E75" s="266" t="s">
        <v>361</v>
      </c>
      <c r="F75" s="67"/>
      <c r="H75" s="97"/>
      <c r="I75" s="97"/>
      <c r="J75" s="97"/>
      <c r="T75" s="254"/>
    </row>
    <row r="76" spans="1:20" ht="13.5" customHeight="1">
      <c r="A76" s="900"/>
      <c r="B76" s="67">
        <v>4</v>
      </c>
      <c r="C76" s="266" t="s">
        <v>658</v>
      </c>
      <c r="D76" s="266">
        <f>($D$110+$D$112+$D$111+$D$113+$D$114+D62+D61+$D$64+$D$65+$D$66+$D$116+$D$117)*4</f>
        <v>64</v>
      </c>
      <c r="E76" s="266" t="s">
        <v>361</v>
      </c>
      <c r="F76" s="67"/>
      <c r="H76" s="97"/>
      <c r="I76" s="97"/>
      <c r="J76" s="97"/>
      <c r="T76" s="254"/>
    </row>
    <row r="77" spans="1:20" ht="13.5" customHeight="1">
      <c r="A77" s="900"/>
      <c r="B77" s="67">
        <v>5</v>
      </c>
      <c r="C77" s="90"/>
      <c r="D77" s="92"/>
      <c r="E77" s="266"/>
      <c r="F77" s="67"/>
      <c r="H77" s="97"/>
      <c r="I77" s="97"/>
      <c r="J77" s="97"/>
      <c r="T77" s="254"/>
    </row>
    <row r="78" spans="1:20" ht="13.5" customHeight="1">
      <c r="A78" s="900"/>
      <c r="B78" s="67">
        <v>6</v>
      </c>
      <c r="C78" s="91" t="s">
        <v>396</v>
      </c>
      <c r="D78" s="285"/>
      <c r="E78" s="91" t="s">
        <v>397</v>
      </c>
      <c r="F78" s="81"/>
      <c r="H78" s="97"/>
      <c r="I78" s="97"/>
      <c r="J78" s="97"/>
      <c r="S78" s="253"/>
    </row>
    <row r="79" spans="1:20" ht="13.5" customHeight="1">
      <c r="A79" s="900"/>
      <c r="B79" s="67">
        <v>7</v>
      </c>
      <c r="C79" s="286" t="s">
        <v>398</v>
      </c>
      <c r="D79" s="285"/>
      <c r="E79" s="91" t="s">
        <v>399</v>
      </c>
      <c r="F79" s="67"/>
      <c r="H79" s="97"/>
      <c r="I79" s="97"/>
      <c r="J79" s="97"/>
      <c r="S79" s="253"/>
    </row>
    <row r="80" spans="1:20" ht="13.5" customHeight="1">
      <c r="A80" s="900"/>
      <c r="B80" s="67">
        <v>8</v>
      </c>
      <c r="C80" s="91" t="s">
        <v>637</v>
      </c>
      <c r="D80" s="285"/>
      <c r="E80" s="91" t="s">
        <v>397</v>
      </c>
      <c r="F80" s="81"/>
      <c r="H80" s="97"/>
      <c r="I80" s="97"/>
      <c r="J80" s="97"/>
      <c r="S80" s="253"/>
    </row>
    <row r="81" spans="1:20" ht="13.5" customHeight="1">
      <c r="A81" s="900"/>
      <c r="B81" s="67">
        <v>9</v>
      </c>
      <c r="C81" s="90"/>
      <c r="D81" s="92"/>
      <c r="E81" s="266"/>
      <c r="F81" s="67"/>
      <c r="H81" s="97"/>
      <c r="I81" s="97"/>
      <c r="J81" s="98"/>
      <c r="S81" s="253"/>
    </row>
    <row r="82" spans="1:20" ht="13.5" customHeight="1">
      <c r="A82" s="900"/>
      <c r="B82" s="67">
        <v>10</v>
      </c>
      <c r="C82" s="266" t="s">
        <v>638</v>
      </c>
      <c r="D82" s="266">
        <f>下料单!$AD$47*4</f>
        <v>24</v>
      </c>
      <c r="E82" s="266" t="s">
        <v>361</v>
      </c>
      <c r="F82" s="67"/>
      <c r="H82" s="97"/>
      <c r="I82" s="97"/>
      <c r="J82" s="97"/>
      <c r="S82" s="253"/>
    </row>
    <row r="83" spans="1:20" ht="13.5" customHeight="1">
      <c r="A83" s="900"/>
      <c r="B83" s="67">
        <v>11</v>
      </c>
      <c r="C83" s="266" t="s">
        <v>650</v>
      </c>
      <c r="D83" s="266">
        <f>D82-D84</f>
        <v>24</v>
      </c>
      <c r="E83" s="266" t="s">
        <v>361</v>
      </c>
      <c r="F83" s="67"/>
      <c r="H83" s="97"/>
      <c r="I83" s="97"/>
      <c r="J83" s="97"/>
      <c r="S83" s="253"/>
    </row>
    <row r="84" spans="1:20" ht="13.5" customHeight="1">
      <c r="A84" s="900"/>
      <c r="B84" s="67">
        <v>12</v>
      </c>
      <c r="C84" s="266" t="s">
        <v>651</v>
      </c>
      <c r="D84" s="266"/>
      <c r="E84" s="266" t="s">
        <v>652</v>
      </c>
      <c r="F84" s="89"/>
      <c r="H84" s="97"/>
      <c r="I84" s="97"/>
      <c r="J84" s="97"/>
      <c r="S84" s="253"/>
      <c r="T84" s="254"/>
    </row>
    <row r="85" spans="1:20" ht="13.5" customHeight="1">
      <c r="A85" s="900"/>
      <c r="B85" s="67">
        <v>13</v>
      </c>
      <c r="C85" s="266" t="s">
        <v>415</v>
      </c>
      <c r="D85" s="266">
        <f>D90*2+D99*1</f>
        <v>8</v>
      </c>
      <c r="E85" s="266" t="s">
        <v>361</v>
      </c>
      <c r="F85" s="67"/>
      <c r="H85" s="97"/>
      <c r="I85" s="97"/>
      <c r="J85" s="97"/>
      <c r="S85" s="253"/>
      <c r="T85" s="254"/>
    </row>
    <row r="86" spans="1:20" ht="13.5" customHeight="1">
      <c r="A86" s="900"/>
      <c r="B86" s="67">
        <v>14</v>
      </c>
      <c r="C86" s="266" t="s">
        <v>363</v>
      </c>
      <c r="D86" s="266">
        <f>下料单!$E$33*2</f>
        <v>4</v>
      </c>
      <c r="E86" s="266" t="s">
        <v>361</v>
      </c>
      <c r="F86" s="67"/>
      <c r="H86" s="97"/>
      <c r="I86" s="97"/>
      <c r="J86" s="97"/>
      <c r="K86" s="78"/>
      <c r="L86" s="78"/>
      <c r="M86" s="108"/>
      <c r="N86" s="78"/>
      <c r="S86" s="253"/>
      <c r="T86" s="254"/>
    </row>
    <row r="87" spans="1:20" ht="13.5" customHeight="1">
      <c r="A87" s="900"/>
      <c r="B87" s="67">
        <v>15</v>
      </c>
      <c r="C87" s="266" t="s">
        <v>649</v>
      </c>
      <c r="D87" s="266"/>
      <c r="E87" s="266" t="s">
        <v>361</v>
      </c>
      <c r="F87" s="67"/>
      <c r="H87" s="97"/>
      <c r="I87" s="97"/>
      <c r="J87" s="97"/>
      <c r="S87" s="253"/>
      <c r="T87" s="254"/>
    </row>
    <row r="88" spans="1:20" ht="13.5" customHeight="1">
      <c r="A88" s="900"/>
      <c r="B88" s="67">
        <v>16</v>
      </c>
      <c r="C88" s="266" t="s">
        <v>364</v>
      </c>
      <c r="D88" s="266">
        <f>D90</f>
        <v>4</v>
      </c>
      <c r="E88" s="266" t="s">
        <v>361</v>
      </c>
      <c r="F88" s="67"/>
      <c r="H88" s="97"/>
      <c r="I88" s="97"/>
      <c r="J88" s="97"/>
      <c r="T88" s="254"/>
    </row>
    <row r="89" spans="1:20" ht="13.5" customHeight="1">
      <c r="A89" s="900"/>
      <c r="B89" s="67">
        <v>17</v>
      </c>
      <c r="C89" s="266" t="str">
        <f>下料单!BA3</f>
        <v>吊码片盖（白色）</v>
      </c>
      <c r="D89" s="266">
        <f>D88*2</f>
        <v>8</v>
      </c>
      <c r="E89" s="266" t="s">
        <v>361</v>
      </c>
      <c r="F89" s="67"/>
      <c r="H89" s="97"/>
      <c r="I89" s="97"/>
      <c r="J89" s="97"/>
    </row>
    <row r="90" spans="1:20" ht="13.5" customHeight="1">
      <c r="A90" s="900"/>
      <c r="B90" s="67">
        <v>18</v>
      </c>
      <c r="C90" s="266" t="s">
        <v>633</v>
      </c>
      <c r="D90" s="266">
        <f>下料单!$E$33*2</f>
        <v>4</v>
      </c>
      <c r="E90" s="266" t="s">
        <v>361</v>
      </c>
      <c r="F90" s="67"/>
      <c r="H90" s="97"/>
      <c r="I90" s="97"/>
      <c r="J90" s="97"/>
      <c r="S90" s="253"/>
    </row>
    <row r="91" spans="1:20" ht="13.5" customHeight="1">
      <c r="A91" s="900"/>
      <c r="B91" s="67">
        <v>19</v>
      </c>
      <c r="C91" s="266" t="s">
        <v>367</v>
      </c>
      <c r="D91" s="266"/>
      <c r="E91" s="266" t="s">
        <v>361</v>
      </c>
      <c r="F91" s="93"/>
      <c r="H91" s="97"/>
      <c r="I91" s="97"/>
      <c r="J91" s="97"/>
      <c r="S91" s="253"/>
    </row>
    <row r="92" spans="1:20" ht="13.5" customHeight="1">
      <c r="A92" s="900"/>
      <c r="B92" s="67">
        <v>20</v>
      </c>
      <c r="C92" s="266" t="str">
        <f>下料单!BB3</f>
        <v>偏心件装饰盖（白色）</v>
      </c>
      <c r="D92" s="266">
        <f>下料单!E33*14</f>
        <v>28</v>
      </c>
      <c r="E92" s="266" t="s">
        <v>361</v>
      </c>
      <c r="F92" s="67"/>
      <c r="H92" s="97"/>
      <c r="I92" s="97"/>
      <c r="J92" s="97"/>
      <c r="S92" s="253"/>
      <c r="T92" s="254"/>
    </row>
    <row r="93" spans="1:20" ht="13.5" customHeight="1">
      <c r="A93" s="900"/>
      <c r="B93" s="67">
        <v>21</v>
      </c>
      <c r="C93" s="266" t="s">
        <v>368</v>
      </c>
      <c r="D93" s="266"/>
      <c r="E93" s="266" t="s">
        <v>361</v>
      </c>
      <c r="F93" s="67"/>
      <c r="H93" s="97"/>
      <c r="I93" s="97"/>
      <c r="J93" s="97"/>
      <c r="S93" s="253"/>
      <c r="T93" s="254"/>
    </row>
    <row r="94" spans="1:20" ht="13.5" customHeight="1">
      <c r="A94" s="900"/>
      <c r="B94" s="67">
        <v>22</v>
      </c>
      <c r="C94" s="266" t="s">
        <v>406</v>
      </c>
      <c r="D94" s="266">
        <f>D90*4+(D101+D110+D112+D111+D113+D114)*4+(D63+D64+D65+D66)*20+下料单!AN47*5</f>
        <v>47</v>
      </c>
      <c r="E94" s="266" t="s">
        <v>361</v>
      </c>
      <c r="F94" s="67"/>
      <c r="H94" s="97"/>
      <c r="I94" s="97"/>
      <c r="J94" s="97"/>
      <c r="T94" s="254"/>
    </row>
    <row r="95" spans="1:20" ht="13.5" customHeight="1">
      <c r="A95" s="900"/>
      <c r="B95" s="67">
        <v>23</v>
      </c>
      <c r="C95" s="266" t="s">
        <v>407</v>
      </c>
      <c r="D95" s="266"/>
      <c r="E95" s="266" t="s">
        <v>361</v>
      </c>
      <c r="F95" s="67"/>
      <c r="H95" s="97"/>
      <c r="I95" s="97"/>
      <c r="J95" s="97"/>
      <c r="S95" s="253"/>
    </row>
    <row r="96" spans="1:20" ht="13.5" customHeight="1">
      <c r="A96" s="900"/>
      <c r="B96" s="67">
        <v>24</v>
      </c>
      <c r="C96" s="266" t="s">
        <v>416</v>
      </c>
      <c r="D96" s="266">
        <f>D99*3</f>
        <v>0</v>
      </c>
      <c r="E96" s="266" t="s">
        <v>361</v>
      </c>
      <c r="F96" s="67"/>
      <c r="H96" s="97"/>
      <c r="I96" s="97"/>
      <c r="J96" s="97"/>
      <c r="M96" s="97" t="s">
        <v>647</v>
      </c>
      <c r="N96" s="166"/>
      <c r="T96" s="254"/>
    </row>
    <row r="97" spans="1:20" ht="13.5" customHeight="1">
      <c r="A97" s="900"/>
      <c r="B97" s="67">
        <v>25</v>
      </c>
      <c r="C97" s="266" t="str">
        <f>H97&amp;J97</f>
        <v>铝转角60mm高</v>
      </c>
      <c r="D97" s="266"/>
      <c r="E97" s="266" t="s">
        <v>361</v>
      </c>
      <c r="F97" s="67"/>
      <c r="H97" s="97" t="s">
        <v>636</v>
      </c>
      <c r="I97" s="97"/>
      <c r="J97" s="97" t="str">
        <f>J105</f>
        <v>60mm高</v>
      </c>
      <c r="M97" s="97" t="s">
        <v>642</v>
      </c>
      <c r="N97" s="166"/>
      <c r="S97" s="253"/>
      <c r="T97" s="254"/>
    </row>
    <row r="98" spans="1:20" ht="13.5" customHeight="1">
      <c r="A98" s="900"/>
      <c r="B98" s="67">
        <v>26</v>
      </c>
      <c r="C98" s="266" t="str">
        <f>IF(D32&gt;0,"踢脚板卡子","木制踢脚板卡子底座")</f>
        <v>木制踢脚板卡子底座</v>
      </c>
      <c r="D98" s="266">
        <f>D101/2+2</f>
        <v>4</v>
      </c>
      <c r="E98" s="266" t="s">
        <v>361</v>
      </c>
      <c r="F98" s="67"/>
      <c r="H98" s="97"/>
      <c r="I98" s="97"/>
      <c r="J98" s="97"/>
      <c r="M98" s="97" t="s">
        <v>646</v>
      </c>
      <c r="N98" s="166"/>
      <c r="S98" s="253"/>
      <c r="T98" s="254"/>
    </row>
    <row r="99" spans="1:20" ht="13.5" customHeight="1">
      <c r="A99" s="900"/>
      <c r="B99" s="67">
        <v>27</v>
      </c>
      <c r="C99" s="266" t="s">
        <v>634</v>
      </c>
      <c r="D99" s="266"/>
      <c r="E99" s="266" t="s">
        <v>360</v>
      </c>
      <c r="F99" s="67"/>
      <c r="H99" s="97"/>
      <c r="I99" s="97"/>
      <c r="J99" s="97"/>
      <c r="M99" s="97" t="s">
        <v>643</v>
      </c>
      <c r="N99" s="166"/>
      <c r="S99" s="253"/>
      <c r="T99" s="254"/>
    </row>
    <row r="100" spans="1:20" ht="13.5" customHeight="1">
      <c r="A100" s="900"/>
      <c r="B100" s="67">
        <v>28</v>
      </c>
      <c r="C100" s="266" t="s">
        <v>369</v>
      </c>
      <c r="D100" s="266"/>
      <c r="E100" s="266" t="s">
        <v>361</v>
      </c>
      <c r="F100" s="67"/>
      <c r="H100" s="97"/>
      <c r="I100" s="97"/>
      <c r="J100" s="97"/>
      <c r="M100" s="97" t="s">
        <v>644</v>
      </c>
      <c r="N100" s="166"/>
      <c r="S100" s="253"/>
      <c r="T100" s="254"/>
    </row>
    <row r="101" spans="1:20" ht="13.5" customHeight="1">
      <c r="A101" s="900"/>
      <c r="B101" s="67">
        <v>29</v>
      </c>
      <c r="C101" s="291" t="str">
        <f>H101&amp;J101</f>
        <v>塑料可调脚60mm（自制）</v>
      </c>
      <c r="D101" s="266">
        <f>下料单!$AP$47</f>
        <v>4</v>
      </c>
      <c r="E101" s="266" t="s">
        <v>361</v>
      </c>
      <c r="F101" s="89"/>
      <c r="H101" s="97" t="s">
        <v>647</v>
      </c>
      <c r="I101" s="97"/>
      <c r="J101" s="68" t="s">
        <v>645</v>
      </c>
      <c r="T101" s="254"/>
    </row>
    <row r="102" spans="1:20" ht="13.5" customHeight="1">
      <c r="A102" s="900"/>
      <c r="B102" s="67">
        <v>30</v>
      </c>
      <c r="C102" s="266" t="s">
        <v>648</v>
      </c>
      <c r="D102" s="266"/>
      <c r="E102" s="266" t="s">
        <v>361</v>
      </c>
      <c r="F102" s="67"/>
      <c r="H102" s="97"/>
      <c r="I102" s="97"/>
      <c r="J102" s="97"/>
      <c r="T102" s="254"/>
    </row>
    <row r="103" spans="1:20" ht="13.5" customHeight="1">
      <c r="A103" s="900"/>
      <c r="B103" s="67">
        <v>31</v>
      </c>
      <c r="C103" s="266" t="str">
        <f>J103&amp;H103</f>
        <v>瓷白中性玻璃胶</v>
      </c>
      <c r="D103" s="266">
        <v>1</v>
      </c>
      <c r="E103" s="266" t="s">
        <v>372</v>
      </c>
      <c r="F103" s="67"/>
      <c r="H103" s="97" t="s">
        <v>417</v>
      </c>
      <c r="I103" s="97"/>
      <c r="J103" s="68" t="s">
        <v>371</v>
      </c>
      <c r="L103" s="97" t="s">
        <v>344</v>
      </c>
      <c r="T103" s="254"/>
    </row>
    <row r="104" spans="1:20" ht="13.5" customHeight="1">
      <c r="A104" s="900"/>
      <c r="B104" s="67">
        <v>32</v>
      </c>
      <c r="C104" s="266" t="s">
        <v>635</v>
      </c>
      <c r="D104" s="266"/>
      <c r="E104" s="266" t="s">
        <v>361</v>
      </c>
      <c r="F104" s="87"/>
      <c r="H104" s="97"/>
      <c r="I104" s="97"/>
      <c r="J104" s="97"/>
      <c r="L104" s="97" t="s">
        <v>345</v>
      </c>
      <c r="T104" s="254"/>
    </row>
    <row r="105" spans="1:20" ht="13.5" customHeight="1">
      <c r="A105" s="900"/>
      <c r="B105" s="67">
        <v>33</v>
      </c>
      <c r="C105" s="266" t="str">
        <f>H105&amp;J105</f>
        <v>铝踢脚板连接件60mm高</v>
      </c>
      <c r="D105" s="83"/>
      <c r="E105" s="266" t="s">
        <v>361</v>
      </c>
      <c r="F105" s="87"/>
      <c r="H105" s="97" t="s">
        <v>418</v>
      </c>
      <c r="I105" s="97"/>
      <c r="J105" s="97" t="str">
        <f>IF(J101="60mm（自制）","60mm",J101)&amp;"高"</f>
        <v>60mm高</v>
      </c>
      <c r="T105" s="254"/>
    </row>
    <row r="106" spans="1:20" ht="13.5" customHeight="1">
      <c r="A106" s="900"/>
      <c r="B106" s="251"/>
      <c r="C106" s="260"/>
      <c r="D106" s="261"/>
      <c r="E106" s="269"/>
      <c r="F106" s="259"/>
      <c r="H106" s="97"/>
      <c r="I106" s="97"/>
      <c r="J106" s="97"/>
      <c r="T106" s="254"/>
    </row>
    <row r="107" spans="1:20" ht="13.5" customHeight="1">
      <c r="A107" s="899" t="s">
        <v>694</v>
      </c>
      <c r="B107" s="902" t="s">
        <v>693</v>
      </c>
      <c r="C107" s="266" t="s">
        <v>668</v>
      </c>
      <c r="D107" s="261"/>
      <c r="E107" s="266" t="s">
        <v>247</v>
      </c>
      <c r="F107" s="259"/>
      <c r="H107" s="97"/>
      <c r="I107" s="97"/>
      <c r="J107" s="97"/>
      <c r="T107" s="254"/>
    </row>
    <row r="108" spans="1:20" ht="13.5" customHeight="1">
      <c r="A108" s="900"/>
      <c r="B108" s="903"/>
      <c r="C108" s="266" t="s">
        <v>666</v>
      </c>
      <c r="D108" s="261"/>
      <c r="E108" s="266" t="s">
        <v>247</v>
      </c>
      <c r="F108" s="259"/>
      <c r="H108" s="97"/>
      <c r="I108" s="97"/>
      <c r="J108" s="97"/>
      <c r="T108" s="254"/>
    </row>
    <row r="109" spans="1:20" ht="13.5" customHeight="1">
      <c r="A109" s="900"/>
      <c r="B109" s="926" t="s">
        <v>373</v>
      </c>
      <c r="C109" s="329" t="s">
        <v>750</v>
      </c>
      <c r="D109" s="266"/>
      <c r="E109" s="266" t="s">
        <v>247</v>
      </c>
      <c r="F109" s="87"/>
      <c r="H109" s="97"/>
      <c r="I109" s="97"/>
      <c r="J109" s="97"/>
      <c r="T109" s="254"/>
    </row>
    <row r="110" spans="1:20" ht="13.5" customHeight="1">
      <c r="A110" s="900"/>
      <c r="B110" s="926"/>
      <c r="C110" s="266" t="s">
        <v>629</v>
      </c>
      <c r="D110" s="266"/>
      <c r="E110" s="266" t="s">
        <v>360</v>
      </c>
      <c r="F110" s="87"/>
      <c r="H110" s="97"/>
      <c r="I110" s="97"/>
      <c r="J110" s="97"/>
      <c r="T110" s="254"/>
    </row>
    <row r="111" spans="1:20" ht="13.5" customHeight="1">
      <c r="A111" s="900"/>
      <c r="B111" s="926"/>
      <c r="C111" s="266" t="s">
        <v>375</v>
      </c>
      <c r="D111" s="266"/>
      <c r="E111" s="266" t="s">
        <v>360</v>
      </c>
      <c r="F111" s="87"/>
      <c r="H111" s="97"/>
      <c r="I111" s="97"/>
      <c r="J111" s="97"/>
      <c r="T111" s="254"/>
    </row>
    <row r="112" spans="1:20" ht="13.5" customHeight="1">
      <c r="A112" s="900"/>
      <c r="B112" s="926"/>
      <c r="C112" s="266" t="s">
        <v>376</v>
      </c>
      <c r="D112" s="266"/>
      <c r="E112" s="266" t="s">
        <v>360</v>
      </c>
      <c r="F112" s="87"/>
      <c r="H112" s="97"/>
      <c r="I112" s="97"/>
      <c r="J112" s="97"/>
      <c r="T112" s="254"/>
    </row>
    <row r="113" spans="1:20" ht="13.5" customHeight="1">
      <c r="A113" s="900"/>
      <c r="B113" s="926"/>
      <c r="C113" s="266" t="s">
        <v>630</v>
      </c>
      <c r="D113" s="266"/>
      <c r="E113" s="266" t="s">
        <v>360</v>
      </c>
      <c r="F113" s="87"/>
      <c r="H113" s="97"/>
      <c r="I113" s="97"/>
      <c r="J113" s="97"/>
      <c r="T113" s="254"/>
    </row>
    <row r="114" spans="1:20" ht="13.5" customHeight="1">
      <c r="A114" s="900"/>
      <c r="B114" s="926"/>
      <c r="C114" s="266" t="s">
        <v>377</v>
      </c>
      <c r="D114" s="266"/>
      <c r="E114" s="266" t="s">
        <v>360</v>
      </c>
      <c r="F114" s="87"/>
      <c r="H114" s="97"/>
      <c r="I114" s="97"/>
      <c r="J114" s="97"/>
      <c r="T114" s="254"/>
    </row>
    <row r="115" spans="1:20" ht="13.5" customHeight="1">
      <c r="A115" s="900"/>
      <c r="B115" s="926"/>
      <c r="C115" s="91" t="s">
        <v>400</v>
      </c>
      <c r="D115" s="91"/>
      <c r="E115" s="91" t="s">
        <v>399</v>
      </c>
      <c r="F115" s="87"/>
      <c r="H115" s="97"/>
      <c r="I115" s="97"/>
      <c r="J115" s="97"/>
      <c r="S115" s="253"/>
      <c r="T115" s="254"/>
    </row>
    <row r="116" spans="1:20" ht="13.5" customHeight="1">
      <c r="A116" s="900"/>
      <c r="B116" s="926" t="s">
        <v>379</v>
      </c>
      <c r="C116" s="266" t="s">
        <v>380</v>
      </c>
      <c r="D116" s="266"/>
      <c r="E116" s="266" t="s">
        <v>247</v>
      </c>
      <c r="F116" s="87"/>
      <c r="H116" s="97"/>
      <c r="I116" s="97"/>
      <c r="J116" s="97"/>
      <c r="S116" s="253"/>
      <c r="T116" s="254"/>
    </row>
    <row r="117" spans="1:20" ht="13.5" customHeight="1">
      <c r="A117" s="900"/>
      <c r="B117" s="926"/>
      <c r="C117" s="266" t="s">
        <v>381</v>
      </c>
      <c r="D117" s="266"/>
      <c r="E117" s="266" t="s">
        <v>247</v>
      </c>
      <c r="F117" s="158"/>
      <c r="H117" s="97"/>
      <c r="I117" s="97"/>
      <c r="J117" s="97"/>
      <c r="S117" s="253"/>
      <c r="T117" s="254"/>
    </row>
    <row r="118" spans="1:20" ht="13.5" customHeight="1">
      <c r="A118" s="900"/>
      <c r="B118" s="926"/>
      <c r="C118" s="91" t="s">
        <v>401</v>
      </c>
      <c r="D118" s="94"/>
      <c r="E118" s="91" t="s">
        <v>399</v>
      </c>
      <c r="F118" s="158"/>
      <c r="H118" s="97"/>
      <c r="I118" s="97"/>
      <c r="J118" s="97"/>
      <c r="S118" s="253"/>
      <c r="T118" s="254"/>
    </row>
    <row r="119" spans="1:20" ht="13.5" customHeight="1">
      <c r="A119" s="900"/>
      <c r="B119" s="922" t="s">
        <v>383</v>
      </c>
      <c r="C119" s="266" t="s">
        <v>623</v>
      </c>
      <c r="D119" s="266"/>
      <c r="E119" s="266" t="s">
        <v>361</v>
      </c>
      <c r="F119" s="158"/>
      <c r="H119" s="97"/>
      <c r="I119" s="97"/>
      <c r="J119" s="97"/>
      <c r="S119" s="253"/>
      <c r="T119" s="254"/>
    </row>
    <row r="120" spans="1:20" ht="13.5" customHeight="1">
      <c r="A120" s="900"/>
      <c r="B120" s="922"/>
      <c r="C120" s="266" t="s">
        <v>419</v>
      </c>
      <c r="D120" s="266"/>
      <c r="E120" s="266" t="s">
        <v>361</v>
      </c>
      <c r="F120" s="87"/>
      <c r="H120" s="97"/>
      <c r="I120" s="97"/>
      <c r="J120" s="97"/>
      <c r="T120" s="254"/>
    </row>
    <row r="121" spans="1:20" ht="13.5" customHeight="1">
      <c r="A121" s="900"/>
      <c r="B121" s="922"/>
      <c r="C121" s="154" t="s">
        <v>751</v>
      </c>
      <c r="D121" s="266"/>
      <c r="E121" s="266" t="s">
        <v>361</v>
      </c>
      <c r="F121" s="87"/>
      <c r="H121" s="99"/>
      <c r="I121" s="99"/>
      <c r="J121" s="97"/>
      <c r="L121" s="57"/>
      <c r="M121" s="57"/>
      <c r="S121" s="253"/>
      <c r="T121" s="254"/>
    </row>
    <row r="122" spans="1:20" ht="13.5" customHeight="1">
      <c r="A122" s="900"/>
      <c r="B122" s="922" t="s">
        <v>395</v>
      </c>
      <c r="C122" s="266" t="s">
        <v>409</v>
      </c>
      <c r="D122" s="266"/>
      <c r="E122" s="266" t="s">
        <v>247</v>
      </c>
      <c r="F122" s="87"/>
      <c r="H122" s="97"/>
      <c r="I122" s="97"/>
      <c r="J122" s="97"/>
      <c r="L122" s="57"/>
      <c r="M122" s="57"/>
      <c r="S122" s="253"/>
      <c r="T122" s="254"/>
    </row>
    <row r="123" spans="1:20" ht="13.5" customHeight="1">
      <c r="A123" s="900"/>
      <c r="B123" s="922"/>
      <c r="C123" s="266" t="s">
        <v>410</v>
      </c>
      <c r="D123" s="266"/>
      <c r="E123" s="266" t="s">
        <v>247</v>
      </c>
      <c r="F123" s="87"/>
      <c r="H123" s="97"/>
      <c r="I123" s="97"/>
      <c r="J123" s="97"/>
      <c r="L123" s="105" t="s">
        <v>752</v>
      </c>
      <c r="M123" s="57"/>
      <c r="S123" s="253"/>
      <c r="T123" s="254"/>
    </row>
    <row r="124" spans="1:20" ht="13.5" customHeight="1">
      <c r="A124" s="900"/>
      <c r="B124" s="922"/>
      <c r="C124" s="266" t="s">
        <v>412</v>
      </c>
      <c r="D124" s="266"/>
      <c r="E124" s="266" t="s">
        <v>247</v>
      </c>
      <c r="F124" s="87"/>
      <c r="H124" s="97"/>
      <c r="I124" s="97"/>
      <c r="J124" s="97"/>
      <c r="L124" s="105" t="s">
        <v>753</v>
      </c>
      <c r="M124" s="57"/>
      <c r="S124" s="253"/>
      <c r="T124" s="254"/>
    </row>
    <row r="125" spans="1:20" ht="13.5" customHeight="1">
      <c r="A125" s="900"/>
      <c r="B125" s="922"/>
      <c r="C125" s="266" t="s">
        <v>413</v>
      </c>
      <c r="D125" s="266"/>
      <c r="E125" s="266" t="s">
        <v>247</v>
      </c>
      <c r="F125" s="87"/>
      <c r="H125" s="97"/>
      <c r="I125" s="97"/>
      <c r="J125" s="97"/>
      <c r="L125" s="105" t="s">
        <v>754</v>
      </c>
      <c r="M125" s="57"/>
      <c r="S125" s="253"/>
      <c r="T125" s="254"/>
    </row>
    <row r="126" spans="1:20" ht="13.5" customHeight="1">
      <c r="A126" s="900"/>
      <c r="B126" s="922" t="s">
        <v>387</v>
      </c>
      <c r="C126" s="266"/>
      <c r="D126" s="266"/>
      <c r="E126" s="266"/>
      <c r="F126" s="87"/>
      <c r="H126" s="97"/>
      <c r="I126" s="97"/>
      <c r="J126" s="97"/>
      <c r="L126" s="105" t="s">
        <v>755</v>
      </c>
      <c r="M126" s="57"/>
      <c r="S126" s="253"/>
    </row>
    <row r="127" spans="1:20" ht="13.5" customHeight="1">
      <c r="A127" s="900"/>
      <c r="B127" s="922"/>
      <c r="C127" s="266" t="s">
        <v>625</v>
      </c>
      <c r="D127" s="266"/>
      <c r="E127" s="266" t="s">
        <v>361</v>
      </c>
      <c r="F127" s="87"/>
      <c r="H127" s="97"/>
      <c r="I127" s="97"/>
      <c r="J127" s="97"/>
    </row>
    <row r="128" spans="1:20" ht="13.5" customHeight="1">
      <c r="A128" s="900"/>
      <c r="B128" s="922"/>
      <c r="C128" s="266" t="s">
        <v>626</v>
      </c>
      <c r="D128" s="266"/>
      <c r="E128" s="266" t="s">
        <v>362</v>
      </c>
      <c r="F128" s="87"/>
      <c r="H128" s="97"/>
      <c r="I128" s="97"/>
      <c r="J128" s="97"/>
      <c r="S128" s="253"/>
    </row>
    <row r="129" spans="1:19" ht="13.5" customHeight="1">
      <c r="A129" s="900"/>
      <c r="B129" s="922"/>
      <c r="C129" s="266" t="s">
        <v>627</v>
      </c>
      <c r="D129" s="266"/>
      <c r="E129" s="266" t="s">
        <v>361</v>
      </c>
      <c r="F129" s="87"/>
      <c r="H129" s="97"/>
      <c r="I129" s="97"/>
      <c r="J129" s="97"/>
      <c r="S129" s="253"/>
    </row>
    <row r="130" spans="1:19" ht="13.5" customHeight="1">
      <c r="A130" s="900"/>
      <c r="B130" s="922"/>
      <c r="C130" s="266" t="s">
        <v>628</v>
      </c>
      <c r="D130" s="266"/>
      <c r="E130" s="266" t="s">
        <v>361</v>
      </c>
      <c r="F130" s="87" t="s">
        <v>388</v>
      </c>
      <c r="H130" s="97"/>
      <c r="I130" s="97"/>
      <c r="J130" s="97"/>
      <c r="S130" s="253"/>
    </row>
    <row r="131" spans="1:19" ht="13.5" customHeight="1">
      <c r="A131" s="900"/>
      <c r="B131" s="922"/>
      <c r="C131" s="266" t="s">
        <v>389</v>
      </c>
      <c r="D131" s="266"/>
      <c r="E131" s="266" t="s">
        <v>247</v>
      </c>
      <c r="F131" s="87" t="s">
        <v>390</v>
      </c>
      <c r="H131" s="97"/>
      <c r="I131" s="97"/>
      <c r="J131" s="97"/>
      <c r="S131" s="253"/>
    </row>
    <row r="132" spans="1:19" ht="13.5" customHeight="1">
      <c r="A132" s="258"/>
      <c r="B132" s="258"/>
      <c r="C132" s="258"/>
      <c r="D132" s="258"/>
      <c r="E132" s="258"/>
      <c r="F132" s="258"/>
      <c r="H132" s="97"/>
      <c r="I132" s="97"/>
      <c r="J132" s="97"/>
      <c r="S132" s="253"/>
    </row>
    <row r="133" spans="1:19" ht="13.5" customHeight="1">
      <c r="A133" s="258"/>
      <c r="B133" s="258"/>
      <c r="C133" s="258"/>
      <c r="D133" s="258"/>
      <c r="E133" s="258"/>
      <c r="F133" s="258"/>
      <c r="H133" s="166"/>
      <c r="I133" s="166"/>
      <c r="J133" s="166"/>
      <c r="S133" s="253"/>
    </row>
    <row r="134" spans="1:19" ht="13.5" customHeight="1">
      <c r="C134" s="166"/>
      <c r="S134" s="253"/>
    </row>
    <row r="135" spans="1:19" ht="13.5" customHeight="1">
      <c r="A135" s="71" t="s">
        <v>346</v>
      </c>
      <c r="S135" s="253"/>
    </row>
    <row r="136" spans="1:19" ht="13.5" customHeight="1">
      <c r="A136" s="71" t="s">
        <v>327</v>
      </c>
      <c r="S136" s="253"/>
    </row>
    <row r="137" spans="1:19" ht="13.5" customHeight="1">
      <c r="A137" s="71" t="s">
        <v>328</v>
      </c>
      <c r="S137" s="253"/>
    </row>
    <row r="138" spans="1:19" ht="13.5" customHeight="1">
      <c r="S138" s="253"/>
    </row>
    <row r="139" spans="1:19" ht="13.5" customHeight="1">
      <c r="A139" s="895" t="s">
        <v>428</v>
      </c>
      <c r="B139" s="895"/>
      <c r="C139" s="895"/>
    </row>
    <row r="140" spans="1:19" ht="13.5" customHeight="1">
      <c r="S140" s="253"/>
    </row>
    <row r="141" spans="1:19" ht="13.5" customHeight="1">
      <c r="A141" s="68" t="s">
        <v>347</v>
      </c>
      <c r="B141" s="99"/>
      <c r="C141" s="68"/>
      <c r="D141" s="68"/>
      <c r="E141" s="102"/>
      <c r="F141" s="102"/>
      <c r="S141" s="253"/>
    </row>
    <row r="142" spans="1:19" ht="13.5" customHeight="1">
      <c r="A142" s="68"/>
      <c r="B142" s="99" t="s">
        <v>348</v>
      </c>
      <c r="C142" s="68"/>
      <c r="D142" s="68" t="s">
        <v>341</v>
      </c>
      <c r="E142" s="102"/>
      <c r="F142" s="102"/>
      <c r="S142" s="253"/>
    </row>
    <row r="143" spans="1:19" ht="13.5" customHeight="1">
      <c r="A143" s="68"/>
      <c r="B143" s="99" t="s">
        <v>349</v>
      </c>
      <c r="C143" s="104" t="s">
        <v>350</v>
      </c>
      <c r="D143" s="68" t="s">
        <v>341</v>
      </c>
      <c r="E143" s="103"/>
      <c r="F143" s="102"/>
      <c r="S143" s="253"/>
    </row>
    <row r="144" spans="1:19" ht="13.5" customHeight="1">
      <c r="A144" s="68"/>
      <c r="B144" s="99"/>
      <c r="C144" s="68"/>
      <c r="D144" s="68"/>
      <c r="E144" s="102"/>
      <c r="F144" s="102"/>
      <c r="S144" s="253"/>
    </row>
    <row r="145" spans="1:19" ht="13.5" customHeight="1">
      <c r="A145" s="68"/>
      <c r="B145" s="68"/>
      <c r="C145" s="68"/>
      <c r="D145" s="68"/>
      <c r="E145" s="102"/>
      <c r="F145" s="102"/>
      <c r="S145" s="253"/>
    </row>
    <row r="146" spans="1:19" ht="13.5" customHeight="1">
      <c r="S146" s="253"/>
    </row>
    <row r="147" spans="1:19" ht="13.5" customHeight="1">
      <c r="A147" s="69" t="s">
        <v>329</v>
      </c>
      <c r="B147" s="73">
        <f>+B148*2</f>
        <v>2</v>
      </c>
      <c r="C147" s="336" t="s">
        <v>330</v>
      </c>
      <c r="D147" s="71"/>
      <c r="J147" s="96" t="s">
        <v>420</v>
      </c>
      <c r="S147" s="253"/>
    </row>
    <row r="148" spans="1:19" ht="13.5" customHeight="1">
      <c r="A148" s="69" t="s">
        <v>332</v>
      </c>
      <c r="B148" s="73">
        <v>1</v>
      </c>
      <c r="C148" s="336" t="s">
        <v>333</v>
      </c>
      <c r="D148" s="71"/>
      <c r="J148" s="96"/>
      <c r="S148" s="253"/>
    </row>
    <row r="149" spans="1:19" ht="13.5" customHeight="1">
      <c r="A149" s="69" t="s">
        <v>335</v>
      </c>
      <c r="B149" s="73">
        <f>+B148</f>
        <v>1</v>
      </c>
      <c r="C149" s="74" t="s">
        <v>336</v>
      </c>
      <c r="D149" s="921" t="s">
        <v>337</v>
      </c>
      <c r="J149" s="96"/>
      <c r="S149" s="253"/>
    </row>
    <row r="150" spans="1:19" ht="13.5" customHeight="1">
      <c r="A150" s="69" t="s">
        <v>340</v>
      </c>
      <c r="B150" s="73">
        <f>+B148</f>
        <v>1</v>
      </c>
      <c r="C150" s="74" t="s">
        <v>336</v>
      </c>
      <c r="D150" s="921"/>
      <c r="J150" s="96"/>
      <c r="S150" s="253"/>
    </row>
    <row r="151" spans="1:19" ht="13.5" customHeight="1">
      <c r="C151" s="72"/>
      <c r="D151" s="71"/>
      <c r="J151" s="96"/>
    </row>
    <row r="152" spans="1:19" ht="13.5" customHeight="1">
      <c r="C152" s="72"/>
      <c r="D152" s="71"/>
      <c r="J152" s="96"/>
      <c r="K152" s="96"/>
      <c r="L152" s="96"/>
      <c r="M152" s="109"/>
      <c r="N152" s="96"/>
      <c r="S152" s="253"/>
    </row>
    <row r="153" spans="1:19" ht="13.5" customHeight="1">
      <c r="C153" s="72"/>
      <c r="D153" s="71"/>
      <c r="J153" s="96"/>
      <c r="K153" s="96"/>
      <c r="L153" s="96"/>
      <c r="M153" s="109"/>
      <c r="N153" s="96"/>
      <c r="S153" s="253"/>
    </row>
    <row r="154" spans="1:19" ht="13.5" customHeight="1">
      <c r="C154" s="72"/>
      <c r="D154" s="71"/>
      <c r="J154" s="96"/>
      <c r="K154" s="96"/>
      <c r="L154" s="96"/>
      <c r="M154" s="109"/>
      <c r="N154" s="96"/>
    </row>
    <row r="155" spans="1:19" ht="13.5" customHeight="1">
      <c r="C155" s="77"/>
      <c r="D155" s="79"/>
      <c r="E155" s="79"/>
      <c r="J155" s="96"/>
      <c r="K155" s="96"/>
      <c r="L155" s="96"/>
      <c r="M155" s="109"/>
      <c r="N155" s="96"/>
    </row>
    <row r="156" spans="1:19" ht="13.5" customHeight="1">
      <c r="C156" s="77"/>
      <c r="D156" s="79"/>
      <c r="E156" s="79"/>
      <c r="J156" s="96"/>
      <c r="K156" s="96"/>
      <c r="L156" s="96"/>
      <c r="M156" s="109"/>
      <c r="N156" s="96"/>
    </row>
    <row r="157" spans="1:19" ht="13.5" customHeight="1">
      <c r="B157" s="79"/>
      <c r="C157" s="77"/>
      <c r="D157" s="79"/>
      <c r="E157" s="79"/>
      <c r="J157" s="96"/>
      <c r="K157" s="96"/>
      <c r="L157" s="96"/>
      <c r="M157" s="109"/>
      <c r="N157" s="96"/>
    </row>
    <row r="158" spans="1:19" ht="13.5" customHeight="1">
      <c r="K158" s="96"/>
      <c r="L158" s="96"/>
      <c r="M158" s="109"/>
      <c r="N158" s="96"/>
    </row>
    <row r="159" spans="1:19" ht="13.5" customHeight="1">
      <c r="K159" s="96"/>
      <c r="L159" s="96"/>
      <c r="M159" s="109"/>
      <c r="N159" s="96"/>
      <c r="S159" s="253"/>
    </row>
    <row r="160" spans="1:19" ht="13.5" customHeight="1">
      <c r="K160" s="96"/>
      <c r="L160" s="96"/>
      <c r="M160" s="109"/>
      <c r="N160" s="96"/>
      <c r="S160" s="253"/>
    </row>
    <row r="161" spans="11:19" ht="13.5" customHeight="1">
      <c r="K161" s="96"/>
      <c r="L161" s="96"/>
      <c r="M161" s="109"/>
      <c r="N161" s="96"/>
    </row>
    <row r="162" spans="11:19" ht="13.5" customHeight="1">
      <c r="K162" s="96"/>
      <c r="L162" s="96"/>
      <c r="M162" s="109"/>
      <c r="N162" s="96"/>
      <c r="S162" s="253"/>
    </row>
    <row r="163" spans="11:19" ht="13.5" customHeight="1">
      <c r="S163" s="253"/>
    </row>
    <row r="164" spans="11:19" ht="13.5" customHeight="1">
      <c r="S164" s="253"/>
    </row>
    <row r="165" spans="11:19" ht="13.5" customHeight="1">
      <c r="S165" s="253"/>
    </row>
    <row r="166" spans="11:19" ht="13.5" customHeight="1">
      <c r="S166" s="253"/>
    </row>
    <row r="167" spans="11:19" ht="13.5" customHeight="1">
      <c r="S167" s="253"/>
    </row>
    <row r="168" spans="11:19" ht="13.5" customHeight="1">
      <c r="S168" s="253"/>
    </row>
    <row r="169" spans="11:19" ht="13.5" customHeight="1">
      <c r="S169" s="253"/>
    </row>
    <row r="170" spans="11:19" ht="13.5" customHeight="1">
      <c r="S170" s="253"/>
    </row>
    <row r="171" spans="11:19" ht="13.5" customHeight="1">
      <c r="S171" s="253"/>
    </row>
    <row r="172" spans="11:19" ht="13.5" customHeight="1">
      <c r="S172" s="253"/>
    </row>
    <row r="173" spans="11:19" ht="13.5" customHeight="1">
      <c r="S173" s="253"/>
    </row>
    <row r="174" spans="11:19" ht="13.5" customHeight="1">
      <c r="S174" s="253"/>
    </row>
    <row r="175" spans="11:19" ht="13.5" customHeight="1">
      <c r="S175" s="253"/>
    </row>
    <row r="176" spans="11:19" ht="13.5" customHeight="1">
      <c r="S176" s="253"/>
    </row>
    <row r="177" spans="19:19" ht="13.5" customHeight="1">
      <c r="S177" s="253"/>
    </row>
    <row r="178" spans="19:19" ht="13.5" customHeight="1">
      <c r="S178" s="253"/>
    </row>
    <row r="179" spans="19:19" ht="13.5" customHeight="1">
      <c r="S179" s="253"/>
    </row>
    <row r="180" spans="19:19" ht="13.5" customHeight="1">
      <c r="S180" s="253"/>
    </row>
    <row r="181" spans="19:19" ht="13.5" customHeight="1">
      <c r="S181" s="253"/>
    </row>
    <row r="182" spans="19:19" ht="13.5" customHeight="1">
      <c r="S182" s="253"/>
    </row>
    <row r="183" spans="19:19" ht="13.5" customHeight="1">
      <c r="S183" s="253"/>
    </row>
    <row r="184" spans="19:19" ht="13.5" customHeight="1">
      <c r="S184" s="253"/>
    </row>
    <row r="185" spans="19:19" ht="13.5" customHeight="1">
      <c r="S185" s="253"/>
    </row>
    <row r="186" spans="19:19" ht="13.5" customHeight="1">
      <c r="S186" s="253"/>
    </row>
    <row r="187" spans="19:19" ht="13.5" customHeight="1">
      <c r="S187" s="253"/>
    </row>
    <row r="188" spans="19:19" ht="13.5" customHeight="1">
      <c r="S188" s="253"/>
    </row>
    <row r="189" spans="19:19" ht="13.5" customHeight="1">
      <c r="S189" s="253"/>
    </row>
    <row r="190" spans="19:19" ht="13.5" customHeight="1">
      <c r="S190" s="253"/>
    </row>
    <row r="191" spans="19:19" ht="13.5" customHeight="1">
      <c r="S191" s="253"/>
    </row>
    <row r="193" spans="19:19" ht="13.5" customHeight="1">
      <c r="S193" s="253"/>
    </row>
    <row r="213" spans="19:19" ht="13.5" customHeight="1">
      <c r="S213" s="253"/>
    </row>
    <row r="214" spans="19:19" ht="13.5" customHeight="1">
      <c r="S214" s="253"/>
    </row>
    <row r="215" spans="19:19" ht="13.5" customHeight="1">
      <c r="S215" s="253"/>
    </row>
    <row r="216" spans="19:19" ht="13.5" customHeight="1">
      <c r="S216" s="253"/>
    </row>
    <row r="218" spans="19:19" ht="13.5" customHeight="1">
      <c r="S218" s="253"/>
    </row>
    <row r="219" spans="19:19" ht="13.5" customHeight="1">
      <c r="S219" s="253"/>
    </row>
    <row r="220" spans="19:19" ht="13.5" customHeight="1">
      <c r="S220" s="253"/>
    </row>
    <row r="221" spans="19:19" ht="13.5" customHeight="1">
      <c r="S221" s="253"/>
    </row>
    <row r="222" spans="19:19" ht="13.5" customHeight="1">
      <c r="S222" s="253"/>
    </row>
    <row r="223" spans="19:19" ht="13.5" customHeight="1">
      <c r="S223" s="253"/>
    </row>
    <row r="224" spans="19:19" ht="13.5" customHeight="1">
      <c r="S224" s="253"/>
    </row>
    <row r="225" spans="19:19" ht="13.5" customHeight="1">
      <c r="S225" s="253"/>
    </row>
    <row r="226" spans="19:19" ht="13.5" customHeight="1">
      <c r="S226" s="253"/>
    </row>
    <row r="230" spans="19:19" ht="13.5" customHeight="1">
      <c r="S230" s="253"/>
    </row>
    <row r="231" spans="19:19" ht="13.5" customHeight="1">
      <c r="S231" s="253"/>
    </row>
    <row r="232" spans="19:19" ht="13.5" customHeight="1">
      <c r="S232" s="253"/>
    </row>
    <row r="233" spans="19:19" ht="13.5" customHeight="1">
      <c r="S233" s="253"/>
    </row>
    <row r="235" spans="19:19" ht="13.5" customHeight="1">
      <c r="S235" s="253"/>
    </row>
    <row r="236" spans="19:19" ht="13.5" customHeight="1">
      <c r="S236" s="253"/>
    </row>
    <row r="237" spans="19:19" ht="13.5" customHeight="1">
      <c r="S237" s="253"/>
    </row>
    <row r="238" spans="19:19" ht="13.5" customHeight="1">
      <c r="S238" s="253"/>
    </row>
    <row r="239" spans="19:19" ht="13.5" customHeight="1">
      <c r="S239" s="253"/>
    </row>
    <row r="240" spans="19:19" ht="13.5" customHeight="1">
      <c r="S240" s="253"/>
    </row>
    <row r="246" spans="19:19" ht="13.5" customHeight="1">
      <c r="S246" s="253"/>
    </row>
    <row r="247" spans="19:19" ht="13.5" customHeight="1">
      <c r="S247" s="253"/>
    </row>
    <row r="248" spans="19:19" ht="13.5" customHeight="1">
      <c r="S248" s="253"/>
    </row>
    <row r="249" spans="19:19" ht="13.5" customHeight="1">
      <c r="S249" s="253"/>
    </row>
    <row r="250" spans="19:19" ht="13.5" customHeight="1">
      <c r="S250" s="253"/>
    </row>
    <row r="251" spans="19:19" ht="13.5" customHeight="1">
      <c r="S251" s="253"/>
    </row>
    <row r="252" spans="19:19" ht="13.5" customHeight="1">
      <c r="S252" s="253"/>
    </row>
    <row r="253" spans="19:19" ht="13.5" customHeight="1">
      <c r="S253" s="253"/>
    </row>
    <row r="254" spans="19:19" ht="13.5" customHeight="1">
      <c r="S254" s="253"/>
    </row>
    <row r="255" spans="19:19" ht="13.5" customHeight="1">
      <c r="S255" s="253"/>
    </row>
    <row r="256" spans="19:19" ht="13.5" customHeight="1">
      <c r="S256" s="253"/>
    </row>
    <row r="257" spans="19:19" ht="13.5" customHeight="1">
      <c r="S257" s="253"/>
    </row>
    <row r="258" spans="19:19" ht="13.5" customHeight="1">
      <c r="S258" s="253"/>
    </row>
    <row r="259" spans="19:19" ht="13.5" customHeight="1">
      <c r="S259" s="253"/>
    </row>
    <row r="260" spans="19:19" ht="13.5" customHeight="1">
      <c r="S260" s="253"/>
    </row>
    <row r="261" spans="19:19" ht="13.5" customHeight="1">
      <c r="S261" s="253"/>
    </row>
    <row r="262" spans="19:19" ht="13.5" customHeight="1">
      <c r="S262" s="253"/>
    </row>
    <row r="263" spans="19:19" ht="13.5" customHeight="1">
      <c r="S263" s="253"/>
    </row>
    <row r="264" spans="19:19" ht="13.5" customHeight="1">
      <c r="S264" s="253"/>
    </row>
    <row r="265" spans="19:19" ht="13.5" customHeight="1">
      <c r="S265" s="253"/>
    </row>
    <row r="266" spans="19:19" ht="13.5" customHeight="1">
      <c r="S266" s="253"/>
    </row>
    <row r="267" spans="19:19" ht="13.5" customHeight="1">
      <c r="S267" s="253"/>
    </row>
    <row r="268" spans="19:19" ht="13.5" customHeight="1">
      <c r="S268" s="253"/>
    </row>
    <row r="269" spans="19:19" ht="13.5" customHeight="1">
      <c r="S269" s="253"/>
    </row>
    <row r="270" spans="19:19" ht="13.5" customHeight="1">
      <c r="S270" s="253"/>
    </row>
    <row r="271" spans="19:19" ht="13.5" customHeight="1">
      <c r="S271" s="253"/>
    </row>
    <row r="272" spans="19:19" ht="13.5" customHeight="1">
      <c r="S272" s="253"/>
    </row>
    <row r="273" spans="4:19" ht="13.5" customHeight="1">
      <c r="S273" s="253"/>
    </row>
    <row r="274" spans="4:19" ht="13.5" customHeight="1">
      <c r="D274" s="71"/>
      <c r="S274" s="253"/>
    </row>
    <row r="275" spans="4:19" ht="13.5" customHeight="1">
      <c r="D275" s="71"/>
      <c r="S275" s="253"/>
    </row>
    <row r="276" spans="4:19" ht="13.5" customHeight="1">
      <c r="D276" s="71"/>
      <c r="S276" s="253"/>
    </row>
    <row r="277" spans="4:19" ht="13.5" customHeight="1">
      <c r="D277" s="71"/>
      <c r="S277" s="253"/>
    </row>
    <row r="278" spans="4:19" ht="13.5" customHeight="1">
      <c r="D278" s="71"/>
      <c r="S278" s="253"/>
    </row>
    <row r="279" spans="4:19" ht="13.5" customHeight="1">
      <c r="D279" s="71"/>
      <c r="S279" s="253"/>
    </row>
    <row r="280" spans="4:19" ht="13.5" customHeight="1">
      <c r="D280" s="71"/>
      <c r="S280" s="253"/>
    </row>
    <row r="281" spans="4:19" ht="13.5" customHeight="1">
      <c r="D281" s="71"/>
      <c r="S281" s="253"/>
    </row>
    <row r="282" spans="4:19" ht="13.5" customHeight="1">
      <c r="D282" s="71"/>
      <c r="S282" s="253"/>
    </row>
    <row r="283" spans="4:19" ht="13.5" customHeight="1">
      <c r="D283" s="71"/>
      <c r="S283" s="253"/>
    </row>
    <row r="284" spans="4:19" ht="13.5" customHeight="1">
      <c r="D284" s="71"/>
      <c r="S284" s="253"/>
    </row>
    <row r="285" spans="4:19" ht="13.5" customHeight="1">
      <c r="S285" s="253"/>
    </row>
    <row r="286" spans="4:19" ht="13.5" customHeight="1">
      <c r="S286" s="253"/>
    </row>
    <row r="287" spans="4:19" ht="13.5" customHeight="1">
      <c r="S287" s="253"/>
    </row>
    <row r="288" spans="4:19" ht="13.5" customHeight="1">
      <c r="S288" s="253"/>
    </row>
    <row r="289" spans="19:19" ht="13.5" customHeight="1">
      <c r="S289" s="253"/>
    </row>
    <row r="290" spans="19:19" ht="13.5" customHeight="1">
      <c r="S290" s="253"/>
    </row>
    <row r="291" spans="19:19" ht="13.5" customHeight="1">
      <c r="S291" s="253"/>
    </row>
    <row r="292" spans="19:19" ht="13.5" customHeight="1">
      <c r="S292" s="253"/>
    </row>
    <row r="293" spans="19:19" ht="13.5" customHeight="1">
      <c r="S293" s="253"/>
    </row>
    <row r="294" spans="19:19" ht="13.5" customHeight="1">
      <c r="S294" s="253"/>
    </row>
    <row r="295" spans="19:19" ht="13.5" customHeight="1">
      <c r="S295" s="253"/>
    </row>
    <row r="296" spans="19:19" ht="13.5" customHeight="1">
      <c r="S296" s="253"/>
    </row>
    <row r="297" spans="19:19" ht="13.5" customHeight="1">
      <c r="S297" s="253"/>
    </row>
    <row r="298" spans="19:19" ht="13.5" customHeight="1">
      <c r="S298" s="253"/>
    </row>
    <row r="299" spans="19:19" ht="13.5" customHeight="1">
      <c r="S299" s="253"/>
    </row>
    <row r="300" spans="19:19" ht="13.5" customHeight="1">
      <c r="S300" s="253"/>
    </row>
    <row r="301" spans="19:19" ht="13.5" customHeight="1">
      <c r="S301" s="253"/>
    </row>
  </sheetData>
  <dataConsolidate/>
  <mergeCells count="30">
    <mergeCell ref="H1:I1"/>
    <mergeCell ref="H68:I69"/>
    <mergeCell ref="L1:O1"/>
    <mergeCell ref="D149:D150"/>
    <mergeCell ref="B126:B131"/>
    <mergeCell ref="J68:J69"/>
    <mergeCell ref="H2:I2"/>
    <mergeCell ref="B109:B115"/>
    <mergeCell ref="B116:B118"/>
    <mergeCell ref="B119:B121"/>
    <mergeCell ref="B122:B125"/>
    <mergeCell ref="A1:F1"/>
    <mergeCell ref="A36:A49"/>
    <mergeCell ref="A27:A35"/>
    <mergeCell ref="A19:A26"/>
    <mergeCell ref="A5:A11"/>
    <mergeCell ref="A12:A18"/>
    <mergeCell ref="A139:C139"/>
    <mergeCell ref="A67:F67"/>
    <mergeCell ref="A50:A66"/>
    <mergeCell ref="B54:B59"/>
    <mergeCell ref="B61:B62"/>
    <mergeCell ref="B63:B66"/>
    <mergeCell ref="A68:F69"/>
    <mergeCell ref="A70:B70"/>
    <mergeCell ref="A71:B71"/>
    <mergeCell ref="A73:A106"/>
    <mergeCell ref="B52:B53"/>
    <mergeCell ref="B107:B108"/>
    <mergeCell ref="A107:A131"/>
  </mergeCells>
  <phoneticPr fontId="4" type="noConversion"/>
  <dataValidations disablePrompts="1" count="5">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H121:I121 C121">
      <formula1>$L$123:$L$126</formula1>
    </dataValidation>
    <dataValidation type="list" allowBlank="1" showInputMessage="1" showErrorMessage="1" sqref="C37">
      <formula1>$L$37:$L$38</formula1>
    </dataValidation>
    <dataValidation type="list" allowBlank="1" showInputMessage="1" showErrorMessage="1" sqref="C119">
      <formula1>$S:$S</formula1>
    </dataValidation>
  </dataValidations>
  <printOptions horizontalCentered="1"/>
  <pageMargins left="7.874015748031496E-2" right="7.874015748031496E-2" top="7.874015748031496E-2" bottom="7.874015748031496E-2" header="0" footer="0"/>
  <pageSetup paperSize="9" scale="85" orientation="portrait" horizontalDpi="180" verticalDpi="180" r:id="rId1"/>
  <headerFooter alignWithMargins="0">
    <oddFooter xml:space="preserve">&amp;L
&amp;C
</oddFooter>
  </headerFooter>
  <rowBreaks count="1" manualBreakCount="1">
    <brk id="67" max="5"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B19" workbookViewId="0">
      <selection activeCell="G32" sqref="G32"/>
    </sheetView>
  </sheetViews>
  <sheetFormatPr defaultRowHeight="21"/>
  <cols>
    <col min="1" max="1" width="12.25" style="4" customWidth="1"/>
    <col min="2" max="2" width="13.25" style="4" customWidth="1"/>
    <col min="3" max="3" width="9.25" style="4" customWidth="1"/>
    <col min="4" max="4" width="12.375" style="4" customWidth="1"/>
    <col min="5" max="5" width="9.625" style="4" customWidth="1"/>
    <col min="6" max="6" width="9.25" style="4" customWidth="1"/>
    <col min="7" max="7" width="13.125" style="4" customWidth="1"/>
    <col min="8" max="8" width="10.25" style="4" customWidth="1"/>
    <col min="9" max="16384" width="9" style="3"/>
  </cols>
  <sheetData>
    <row r="1" spans="1:8" ht="33">
      <c r="A1" s="934" t="s">
        <v>15</v>
      </c>
      <c r="B1" s="934"/>
      <c r="C1" s="934"/>
      <c r="D1" s="934"/>
      <c r="E1" s="934"/>
      <c r="F1" s="934"/>
      <c r="G1" s="934"/>
      <c r="H1" s="934"/>
    </row>
    <row r="2" spans="1:8" ht="21.95" customHeight="1">
      <c r="B2" s="13" t="s">
        <v>11</v>
      </c>
      <c r="E2" s="935" t="s">
        <v>16</v>
      </c>
      <c r="F2" s="935"/>
      <c r="G2" s="936">
        <f>下料单!I2</f>
        <v>0</v>
      </c>
      <c r="H2" s="936"/>
    </row>
    <row r="3" spans="1:8" ht="21" customHeight="1">
      <c r="A3" s="2" t="s">
        <v>6</v>
      </c>
      <c r="B3" s="937" t="str">
        <f>下料单!C2</f>
        <v>赵蕊</v>
      </c>
      <c r="C3" s="933"/>
      <c r="D3" s="2" t="s">
        <v>17</v>
      </c>
      <c r="E3" s="937"/>
      <c r="F3" s="933"/>
      <c r="G3" s="2" t="s">
        <v>18</v>
      </c>
      <c r="H3" s="6">
        <f>下料单!Y2</f>
        <v>0</v>
      </c>
    </row>
    <row r="4" spans="1:8" ht="21" customHeight="1">
      <c r="A4" s="2" t="s">
        <v>9</v>
      </c>
      <c r="B4" s="932">
        <f>下料单!AC2</f>
        <v>0</v>
      </c>
      <c r="C4" s="933"/>
      <c r="D4" s="2" t="s">
        <v>19</v>
      </c>
      <c r="E4" s="932"/>
      <c r="F4" s="933"/>
      <c r="G4" s="2" t="s">
        <v>20</v>
      </c>
      <c r="H4" s="6"/>
    </row>
    <row r="5" spans="1:8" ht="21" customHeight="1">
      <c r="A5" s="2" t="s">
        <v>21</v>
      </c>
      <c r="B5" s="2" t="s">
        <v>22</v>
      </c>
      <c r="C5" s="2" t="s">
        <v>23</v>
      </c>
      <c r="D5" s="2" t="s">
        <v>24</v>
      </c>
      <c r="E5" s="2" t="s">
        <v>25</v>
      </c>
      <c r="F5" s="2" t="s">
        <v>26</v>
      </c>
      <c r="G5" s="2" t="s">
        <v>27</v>
      </c>
      <c r="H5" s="2" t="s">
        <v>28</v>
      </c>
    </row>
    <row r="6" spans="1:8" ht="21" customHeight="1">
      <c r="A6" s="2" t="s">
        <v>29</v>
      </c>
      <c r="B6" s="938">
        <f>下料单!E21</f>
        <v>1</v>
      </c>
      <c r="C6" s="939"/>
      <c r="D6" s="2" t="s">
        <v>30</v>
      </c>
      <c r="E6" s="938">
        <f>下料单!E33</f>
        <v>2</v>
      </c>
      <c r="F6" s="939"/>
      <c r="G6" s="2" t="s">
        <v>31</v>
      </c>
      <c r="H6" s="2"/>
    </row>
    <row r="7" spans="1:8" ht="21" customHeight="1">
      <c r="A7" s="2" t="s">
        <v>32</v>
      </c>
      <c r="B7" s="938" t="str">
        <f>下料单!AN34</f>
        <v>数量</v>
      </c>
      <c r="C7" s="939"/>
      <c r="D7" s="2" t="s">
        <v>33</v>
      </c>
      <c r="E7" s="938"/>
      <c r="F7" s="939"/>
      <c r="G7" s="2" t="s">
        <v>34</v>
      </c>
      <c r="H7" s="2"/>
    </row>
    <row r="8" spans="1:8" s="4" customFormat="1" ht="21" customHeight="1">
      <c r="A8" s="2" t="s">
        <v>1</v>
      </c>
      <c r="B8" s="2" t="s">
        <v>35</v>
      </c>
      <c r="C8" s="2" t="s">
        <v>36</v>
      </c>
      <c r="D8" s="2" t="s">
        <v>37</v>
      </c>
      <c r="E8" s="2" t="s">
        <v>38</v>
      </c>
      <c r="F8" s="2" t="s">
        <v>39</v>
      </c>
      <c r="G8" s="2" t="s">
        <v>40</v>
      </c>
      <c r="H8" s="2" t="s">
        <v>0</v>
      </c>
    </row>
    <row r="9" spans="1:8" ht="21" customHeight="1">
      <c r="A9" s="7">
        <v>1</v>
      </c>
      <c r="B9" s="2" t="s">
        <v>41</v>
      </c>
      <c r="C9" s="8">
        <f>下料单!AN35</f>
        <v>3</v>
      </c>
      <c r="D9" s="9"/>
      <c r="E9" s="9"/>
      <c r="F9" s="9"/>
      <c r="G9" s="9"/>
      <c r="H9" s="9"/>
    </row>
    <row r="10" spans="1:8" ht="21" customHeight="1">
      <c r="A10" s="7">
        <v>2</v>
      </c>
      <c r="B10" s="2" t="s">
        <v>42</v>
      </c>
      <c r="C10" s="8">
        <f>下料单!AN36</f>
        <v>0</v>
      </c>
      <c r="D10" s="9"/>
      <c r="E10" s="9"/>
      <c r="F10" s="9"/>
      <c r="G10" s="9"/>
      <c r="H10" s="9"/>
    </row>
    <row r="11" spans="1:8" ht="21" customHeight="1">
      <c r="A11" s="7">
        <v>3</v>
      </c>
      <c r="B11" s="2" t="s">
        <v>43</v>
      </c>
      <c r="C11" s="8">
        <f>下料单!AN37</f>
        <v>0</v>
      </c>
      <c r="D11" s="9"/>
      <c r="E11" s="9"/>
      <c r="F11" s="9"/>
      <c r="G11" s="9"/>
      <c r="H11" s="9"/>
    </row>
    <row r="12" spans="1:8" ht="21" customHeight="1">
      <c r="A12" s="7">
        <v>4</v>
      </c>
      <c r="B12" s="2" t="s">
        <v>44</v>
      </c>
      <c r="C12" s="8" t="s">
        <v>64</v>
      </c>
      <c r="D12" s="9"/>
      <c r="E12" s="9"/>
      <c r="F12" s="9"/>
      <c r="G12" s="9"/>
      <c r="H12" s="9"/>
    </row>
    <row r="13" spans="1:8" ht="21" customHeight="1">
      <c r="A13" s="7">
        <v>5</v>
      </c>
      <c r="B13" s="2" t="s">
        <v>14</v>
      </c>
      <c r="C13" s="8"/>
      <c r="D13" s="9"/>
      <c r="E13" s="9"/>
      <c r="F13" s="9"/>
      <c r="G13" s="9"/>
      <c r="H13" s="9"/>
    </row>
    <row r="14" spans="1:8" ht="21" customHeight="1">
      <c r="A14" s="7">
        <v>6</v>
      </c>
      <c r="B14" s="2" t="s">
        <v>45</v>
      </c>
      <c r="C14" s="8"/>
      <c r="D14" s="9"/>
      <c r="E14" s="9"/>
      <c r="F14" s="9"/>
      <c r="G14" s="9"/>
      <c r="H14" s="9"/>
    </row>
    <row r="15" spans="1:8" ht="21" customHeight="1">
      <c r="A15" s="7">
        <v>7</v>
      </c>
      <c r="B15" s="2" t="s">
        <v>46</v>
      </c>
      <c r="C15" s="8"/>
      <c r="D15" s="9"/>
      <c r="E15" s="9"/>
      <c r="F15" s="9"/>
      <c r="G15" s="9"/>
      <c r="H15" s="9"/>
    </row>
    <row r="16" spans="1:8" ht="21" customHeight="1">
      <c r="A16" s="7">
        <v>8</v>
      </c>
      <c r="B16" s="2" t="s">
        <v>47</v>
      </c>
      <c r="C16" s="8"/>
      <c r="D16" s="9"/>
      <c r="E16" s="9"/>
      <c r="F16" s="9"/>
      <c r="G16" s="9"/>
      <c r="H16" s="9"/>
    </row>
    <row r="17" spans="1:8" ht="21" customHeight="1">
      <c r="A17" s="7">
        <v>9</v>
      </c>
      <c r="B17" s="2" t="s">
        <v>48</v>
      </c>
      <c r="C17" s="8"/>
      <c r="D17" s="9"/>
      <c r="E17" s="9"/>
      <c r="F17" s="9"/>
      <c r="G17" s="9"/>
      <c r="H17" s="9"/>
    </row>
    <row r="18" spans="1:8" ht="21" customHeight="1">
      <c r="A18" s="7">
        <v>10</v>
      </c>
      <c r="B18" s="2" t="s">
        <v>49</v>
      </c>
      <c r="C18" s="8">
        <f>B6+E6</f>
        <v>3</v>
      </c>
      <c r="D18" s="9"/>
      <c r="E18" s="9"/>
      <c r="F18" s="9"/>
      <c r="G18" s="9"/>
      <c r="H18" s="9"/>
    </row>
    <row r="19" spans="1:8" ht="21" customHeight="1">
      <c r="A19" s="7">
        <v>11</v>
      </c>
      <c r="B19" s="2" t="s">
        <v>50</v>
      </c>
      <c r="C19" s="8" t="e">
        <f>领料单!D114+领料单!#REF!+领料单!#REF!+领料单!D64+领料单!D65+领料单!D66</f>
        <v>#REF!</v>
      </c>
      <c r="D19" s="9"/>
      <c r="E19" s="9"/>
      <c r="F19" s="9"/>
      <c r="G19" s="9"/>
      <c r="H19" s="9"/>
    </row>
    <row r="20" spans="1:8" ht="21" customHeight="1">
      <c r="A20" s="7">
        <v>12</v>
      </c>
      <c r="B20" s="2" t="s">
        <v>51</v>
      </c>
      <c r="C20" s="8"/>
      <c r="D20" s="9"/>
      <c r="E20" s="9"/>
      <c r="F20" s="9"/>
      <c r="G20" s="9"/>
      <c r="H20" s="9"/>
    </row>
    <row r="21" spans="1:8" ht="21" customHeight="1">
      <c r="A21" s="7">
        <v>13</v>
      </c>
      <c r="B21" s="2" t="s">
        <v>52</v>
      </c>
      <c r="C21" s="8"/>
      <c r="D21" s="9"/>
      <c r="E21" s="9"/>
      <c r="F21" s="9"/>
      <c r="G21" s="9"/>
      <c r="H21" s="9"/>
    </row>
    <row r="22" spans="1:8" ht="21" customHeight="1">
      <c r="A22" s="7">
        <v>14</v>
      </c>
      <c r="B22" s="2" t="s">
        <v>53</v>
      </c>
      <c r="C22" s="8"/>
      <c r="D22" s="9"/>
      <c r="E22" s="9"/>
      <c r="F22" s="9"/>
      <c r="G22" s="9"/>
      <c r="H22" s="9"/>
    </row>
    <row r="23" spans="1:8" ht="21" customHeight="1">
      <c r="A23" s="7">
        <v>15</v>
      </c>
      <c r="B23" s="2" t="s">
        <v>54</v>
      </c>
      <c r="C23" s="8">
        <f>(领料单!D110+领料单!D112+领料单!D111)/2</f>
        <v>0</v>
      </c>
      <c r="D23" s="9"/>
      <c r="E23" s="9"/>
      <c r="F23" s="9"/>
      <c r="G23" s="9"/>
      <c r="H23" s="9"/>
    </row>
    <row r="24" spans="1:8" ht="21" customHeight="1">
      <c r="A24" s="7">
        <v>16</v>
      </c>
      <c r="B24" s="2" t="s">
        <v>55</v>
      </c>
      <c r="C24" s="8"/>
      <c r="D24" s="9"/>
      <c r="E24" s="9"/>
      <c r="F24" s="9"/>
      <c r="G24" s="9"/>
      <c r="H24" s="9"/>
    </row>
    <row r="25" spans="1:8" ht="21" customHeight="1">
      <c r="A25" s="7">
        <v>17</v>
      </c>
      <c r="B25" s="2" t="s">
        <v>56</v>
      </c>
      <c r="C25" s="8"/>
      <c r="D25" s="9"/>
      <c r="E25" s="9"/>
      <c r="F25" s="9"/>
      <c r="G25" s="9"/>
      <c r="H25" s="9"/>
    </row>
    <row r="26" spans="1:8" ht="21" customHeight="1">
      <c r="A26" s="7">
        <v>18</v>
      </c>
      <c r="B26" s="2" t="s">
        <v>57</v>
      </c>
      <c r="C26" s="8">
        <f>领料单!D20/2</f>
        <v>0</v>
      </c>
      <c r="D26" s="9"/>
      <c r="E26" s="9"/>
      <c r="F26" s="9"/>
      <c r="G26" s="9"/>
      <c r="H26" s="9"/>
    </row>
    <row r="27" spans="1:8" ht="21" customHeight="1">
      <c r="A27" s="7">
        <v>19</v>
      </c>
      <c r="B27" s="2" t="s">
        <v>58</v>
      </c>
      <c r="C27" s="8"/>
      <c r="D27" s="9"/>
      <c r="E27" s="9"/>
      <c r="F27" s="9"/>
      <c r="G27" s="9"/>
      <c r="H27" s="9"/>
    </row>
    <row r="28" spans="1:8" ht="21" customHeight="1">
      <c r="A28" s="7">
        <v>20</v>
      </c>
      <c r="B28" s="2" t="s">
        <v>59</v>
      </c>
      <c r="C28" s="8"/>
      <c r="D28" s="9"/>
      <c r="E28" s="9"/>
      <c r="F28" s="9"/>
      <c r="G28" s="9"/>
      <c r="H28" s="9"/>
    </row>
    <row r="29" spans="1:8" ht="21" customHeight="1">
      <c r="A29" s="7">
        <v>21</v>
      </c>
      <c r="B29" s="2" t="s">
        <v>60</v>
      </c>
      <c r="C29" s="8"/>
      <c r="D29" s="9"/>
      <c r="E29" s="9"/>
      <c r="F29" s="9"/>
      <c r="G29" s="9"/>
      <c r="H29" s="9"/>
    </row>
    <row r="30" spans="1:8" ht="21" customHeight="1">
      <c r="A30" s="7">
        <v>22</v>
      </c>
      <c r="B30" s="2" t="s">
        <v>61</v>
      </c>
      <c r="C30" s="16">
        <f>下料单!E47*1.2</f>
        <v>7.1999999999999993</v>
      </c>
      <c r="D30" s="9"/>
      <c r="E30" s="9"/>
      <c r="F30" s="9"/>
      <c r="G30" s="9"/>
      <c r="H30" s="9"/>
    </row>
    <row r="31" spans="1:8" ht="21" customHeight="1">
      <c r="A31" s="10"/>
      <c r="B31" s="10"/>
      <c r="C31" s="11"/>
      <c r="D31" s="11"/>
      <c r="E31" s="11"/>
      <c r="F31" s="11"/>
      <c r="G31" s="11"/>
      <c r="H31" s="10"/>
    </row>
    <row r="32" spans="1:8" ht="21" customHeight="1">
      <c r="A32" s="941" t="s">
        <v>62</v>
      </c>
      <c r="B32" s="941"/>
      <c r="C32" s="5"/>
      <c r="F32" s="4" t="s">
        <v>63</v>
      </c>
      <c r="G32" s="15" t="s">
        <v>70</v>
      </c>
    </row>
    <row r="33" spans="1:8" ht="21" customHeight="1">
      <c r="A33" s="12"/>
      <c r="B33" s="12"/>
      <c r="C33" s="10"/>
      <c r="G33" s="10"/>
    </row>
    <row r="34" spans="1:8" ht="21" customHeight="1">
      <c r="F34" s="4" t="s">
        <v>5</v>
      </c>
      <c r="G34" s="940">
        <f>B4</f>
        <v>0</v>
      </c>
      <c r="H34" s="940"/>
    </row>
  </sheetData>
  <mergeCells count="13">
    <mergeCell ref="B6:C6"/>
    <mergeCell ref="E6:F6"/>
    <mergeCell ref="G34:H34"/>
    <mergeCell ref="B7:C7"/>
    <mergeCell ref="E7:F7"/>
    <mergeCell ref="A32:B32"/>
    <mergeCell ref="E4:F4"/>
    <mergeCell ref="B4:C4"/>
    <mergeCell ref="A1:H1"/>
    <mergeCell ref="E2:F2"/>
    <mergeCell ref="G2:H2"/>
    <mergeCell ref="B3:C3"/>
    <mergeCell ref="E3:F3"/>
  </mergeCells>
  <phoneticPr fontId="4" type="noConversion"/>
  <printOptions horizontalCentered="1"/>
  <pageMargins left="7.874015748031496E-2" right="7.874015748031496E-2" top="0.78740157480314965" bottom="0.39370078740157483" header="0.51181102362204722" footer="0.51181102362204722"/>
  <pageSetup paperSize="9" orientation="portrait"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9"/>
  <sheetViews>
    <sheetView view="pageBreakPreview" zoomScaleSheetLayoutView="100" workbookViewId="0">
      <selection activeCell="O10" sqref="O10"/>
    </sheetView>
  </sheetViews>
  <sheetFormatPr defaultColWidth="8.875" defaultRowHeight="13.5" customHeight="1"/>
  <cols>
    <col min="1" max="4" width="6" style="359" customWidth="1"/>
    <col min="5" max="5" width="6" style="361" customWidth="1"/>
    <col min="6" max="6" width="8.125" style="359" customWidth="1"/>
    <col min="7" max="7" width="38.625" style="359" customWidth="1"/>
    <col min="8" max="8" width="1.125" style="359" hidden="1" customWidth="1"/>
    <col min="9" max="9" width="5.5" style="359" bestFit="1" customWidth="1"/>
    <col min="10" max="10" width="4.875" style="359" customWidth="1"/>
    <col min="11" max="11" width="13.75" style="360" customWidth="1"/>
    <col min="12" max="16384" width="8.875" style="18"/>
  </cols>
  <sheetData>
    <row r="1" spans="1:11" ht="21" customHeight="1">
      <c r="A1" s="969" t="s">
        <v>756</v>
      </c>
      <c r="B1" s="969"/>
      <c r="C1" s="969"/>
      <c r="D1" s="969"/>
      <c r="E1" s="969"/>
      <c r="F1" s="969"/>
      <c r="G1" s="969"/>
      <c r="H1" s="969"/>
      <c r="I1" s="969"/>
      <c r="J1" s="969"/>
      <c r="K1" s="969"/>
    </row>
    <row r="2" spans="1:11" ht="13.5" customHeight="1">
      <c r="A2" s="970" t="s">
        <v>757</v>
      </c>
      <c r="B2" s="970"/>
      <c r="C2" s="942">
        <f>下料单!H2</f>
        <v>15530608063</v>
      </c>
      <c r="D2" s="942"/>
      <c r="E2" s="942"/>
      <c r="F2" s="352"/>
      <c r="G2" s="352"/>
      <c r="H2" s="352"/>
      <c r="I2" s="970" t="s">
        <v>17</v>
      </c>
      <c r="J2" s="970"/>
      <c r="K2" s="320" t="str">
        <f>下料单!W2</f>
        <v>廊坊</v>
      </c>
    </row>
    <row r="3" spans="1:11" ht="13.5" customHeight="1">
      <c r="A3" s="966" t="s">
        <v>758</v>
      </c>
      <c r="B3" s="966"/>
      <c r="C3" s="966" t="str">
        <f>下料单!C2</f>
        <v>赵蕊</v>
      </c>
      <c r="D3" s="966"/>
      <c r="E3" s="966" t="s">
        <v>759</v>
      </c>
      <c r="F3" s="966"/>
      <c r="G3" s="967">
        <f>下料单!AB2</f>
        <v>43129</v>
      </c>
      <c r="H3" s="967"/>
      <c r="I3" s="966" t="s">
        <v>1158</v>
      </c>
      <c r="J3" s="966"/>
      <c r="K3" s="972" t="str">
        <f>[1]柜体转序单!B3</f>
        <v>简爱</v>
      </c>
    </row>
    <row r="4" spans="1:11" ht="13.5" customHeight="1">
      <c r="A4" s="966" t="str">
        <f>[1]下料单!P2</f>
        <v>版本型录号</v>
      </c>
      <c r="B4" s="966"/>
      <c r="C4" s="966">
        <f>下料单!R2</f>
        <v>123</v>
      </c>
      <c r="D4" s="966"/>
      <c r="E4" s="966" t="s">
        <v>760</v>
      </c>
      <c r="F4" s="966"/>
      <c r="G4" s="968">
        <f>下料单!AG2</f>
        <v>43169</v>
      </c>
      <c r="H4" s="968"/>
      <c r="I4" s="966"/>
      <c r="J4" s="966"/>
      <c r="K4" s="973"/>
    </row>
    <row r="5" spans="1:11" ht="13.5" customHeight="1">
      <c r="A5" s="958" t="s">
        <v>761</v>
      </c>
      <c r="B5" s="958"/>
      <c r="C5" s="958"/>
      <c r="D5" s="958"/>
      <c r="E5" s="958"/>
      <c r="F5" s="958"/>
      <c r="G5" s="958"/>
      <c r="H5" s="958"/>
      <c r="I5" s="958"/>
      <c r="J5" s="958"/>
      <c r="K5" s="958"/>
    </row>
    <row r="6" spans="1:11" ht="13.5" customHeight="1">
      <c r="A6" s="963" t="s">
        <v>762</v>
      </c>
      <c r="B6" s="964"/>
      <c r="C6" s="964"/>
      <c r="D6" s="964"/>
      <c r="E6" s="964"/>
      <c r="F6" s="964"/>
      <c r="G6" s="964"/>
      <c r="H6" s="964"/>
      <c r="I6" s="964"/>
      <c r="J6" s="964"/>
      <c r="K6" s="965"/>
    </row>
    <row r="7" spans="1:11" ht="13.5" customHeight="1">
      <c r="A7" s="341" t="s">
        <v>151</v>
      </c>
      <c r="B7" s="341" t="s">
        <v>763</v>
      </c>
      <c r="C7" s="341" t="s">
        <v>764</v>
      </c>
      <c r="D7" s="341" t="s">
        <v>765</v>
      </c>
      <c r="E7" s="21"/>
      <c r="F7" s="341" t="s">
        <v>766</v>
      </c>
      <c r="G7" s="341" t="s">
        <v>767</v>
      </c>
      <c r="H7" s="341" t="s">
        <v>768</v>
      </c>
      <c r="I7" s="341" t="s">
        <v>138</v>
      </c>
      <c r="J7" s="341" t="s">
        <v>137</v>
      </c>
      <c r="K7" s="341" t="s">
        <v>136</v>
      </c>
    </row>
    <row r="8" spans="1:11" ht="13.5" customHeight="1">
      <c r="A8" s="944">
        <v>1</v>
      </c>
      <c r="B8" s="944">
        <v>150</v>
      </c>
      <c r="C8" s="944">
        <v>720</v>
      </c>
      <c r="D8" s="944">
        <v>560</v>
      </c>
      <c r="E8" s="945"/>
      <c r="F8" s="944" t="s">
        <v>769</v>
      </c>
      <c r="G8" s="342" t="s">
        <v>770</v>
      </c>
      <c r="H8" s="342" t="s">
        <v>159</v>
      </c>
      <c r="I8" s="341">
        <f>+E8*1</f>
        <v>0</v>
      </c>
      <c r="J8" s="341" t="s">
        <v>771</v>
      </c>
      <c r="K8" s="944" t="s">
        <v>772</v>
      </c>
    </row>
    <row r="9" spans="1:11" ht="13.5" customHeight="1">
      <c r="A9" s="961"/>
      <c r="B9" s="961"/>
      <c r="C9" s="961"/>
      <c r="D9" s="961"/>
      <c r="E9" s="946"/>
      <c r="F9" s="961"/>
      <c r="G9" s="342" t="s">
        <v>101</v>
      </c>
      <c r="H9" s="342" t="s">
        <v>773</v>
      </c>
      <c r="I9" s="341">
        <f>+E8*8</f>
        <v>0</v>
      </c>
      <c r="J9" s="341" t="s">
        <v>771</v>
      </c>
      <c r="K9" s="961"/>
    </row>
    <row r="10" spans="1:11" ht="13.5" customHeight="1">
      <c r="A10" s="961"/>
      <c r="B10" s="961"/>
      <c r="C10" s="961"/>
      <c r="D10" s="961"/>
      <c r="E10" s="946"/>
      <c r="F10" s="961"/>
      <c r="G10" s="342" t="s">
        <v>774</v>
      </c>
      <c r="H10" s="342" t="s">
        <v>89</v>
      </c>
      <c r="I10" s="341">
        <f>+E8*1.6</f>
        <v>0</v>
      </c>
      <c r="J10" s="341" t="s">
        <v>75</v>
      </c>
      <c r="K10" s="961"/>
    </row>
    <row r="11" spans="1:11" ht="13.5" customHeight="1">
      <c r="A11" s="962"/>
      <c r="B11" s="962"/>
      <c r="C11" s="962"/>
      <c r="D11" s="962"/>
      <c r="E11" s="952"/>
      <c r="F11" s="962"/>
      <c r="G11" s="66" t="s">
        <v>775</v>
      </c>
      <c r="H11" s="342"/>
      <c r="I11" s="341">
        <f>E8*0.5</f>
        <v>0</v>
      </c>
      <c r="J11" s="341" t="s">
        <v>776</v>
      </c>
      <c r="K11" s="962"/>
    </row>
    <row r="12" spans="1:11" ht="13.5" customHeight="1">
      <c r="A12" s="944">
        <v>2</v>
      </c>
      <c r="B12" s="944">
        <v>150</v>
      </c>
      <c r="C12" s="944">
        <v>720</v>
      </c>
      <c r="D12" s="944">
        <v>560</v>
      </c>
      <c r="E12" s="945"/>
      <c r="F12" s="944" t="s">
        <v>769</v>
      </c>
      <c r="G12" s="342" t="s">
        <v>777</v>
      </c>
      <c r="H12" s="342" t="s">
        <v>159</v>
      </c>
      <c r="I12" s="341">
        <f>+E12*0.7</f>
        <v>0</v>
      </c>
      <c r="J12" s="341" t="s">
        <v>776</v>
      </c>
      <c r="K12" s="944" t="s">
        <v>778</v>
      </c>
    </row>
    <row r="13" spans="1:11" ht="13.5" customHeight="1">
      <c r="A13" s="961"/>
      <c r="B13" s="961"/>
      <c r="C13" s="961"/>
      <c r="D13" s="961"/>
      <c r="E13" s="946"/>
      <c r="F13" s="961"/>
      <c r="G13" s="342" t="s">
        <v>101</v>
      </c>
      <c r="H13" s="342" t="s">
        <v>773</v>
      </c>
      <c r="I13" s="341">
        <f>+E12*8</f>
        <v>0</v>
      </c>
      <c r="J13" s="341" t="s">
        <v>771</v>
      </c>
      <c r="K13" s="961"/>
    </row>
    <row r="14" spans="1:11" ht="13.5" customHeight="1">
      <c r="A14" s="961"/>
      <c r="B14" s="961"/>
      <c r="C14" s="961"/>
      <c r="D14" s="961"/>
      <c r="E14" s="946"/>
      <c r="F14" s="961"/>
      <c r="G14" s="342" t="s">
        <v>671</v>
      </c>
      <c r="H14" s="342" t="s">
        <v>89</v>
      </c>
      <c r="I14" s="341">
        <f>+E12*1.6</f>
        <v>0</v>
      </c>
      <c r="J14" s="341" t="s">
        <v>75</v>
      </c>
      <c r="K14" s="961"/>
    </row>
    <row r="15" spans="1:11" ht="13.5" customHeight="1">
      <c r="A15" s="962"/>
      <c r="B15" s="962"/>
      <c r="C15" s="962"/>
      <c r="D15" s="962"/>
      <c r="E15" s="952"/>
      <c r="F15" s="962"/>
      <c r="G15" s="66" t="s">
        <v>775</v>
      </c>
      <c r="H15" s="342"/>
      <c r="I15" s="341">
        <f>E12*0.5</f>
        <v>0</v>
      </c>
      <c r="J15" s="341" t="s">
        <v>776</v>
      </c>
      <c r="K15" s="962"/>
    </row>
    <row r="16" spans="1:11" ht="13.5" customHeight="1">
      <c r="A16" s="944">
        <v>3</v>
      </c>
      <c r="B16" s="944">
        <v>300</v>
      </c>
      <c r="C16" s="944">
        <v>720</v>
      </c>
      <c r="D16" s="944">
        <v>560</v>
      </c>
      <c r="E16" s="945"/>
      <c r="F16" s="944" t="s">
        <v>769</v>
      </c>
      <c r="G16" s="342" t="s">
        <v>779</v>
      </c>
      <c r="H16" s="342" t="s">
        <v>159</v>
      </c>
      <c r="I16" s="341">
        <f>+E16*1</f>
        <v>0</v>
      </c>
      <c r="J16" s="341" t="s">
        <v>771</v>
      </c>
      <c r="K16" s="341"/>
    </row>
    <row r="17" spans="1:11" ht="13.5" customHeight="1">
      <c r="A17" s="961"/>
      <c r="B17" s="961"/>
      <c r="C17" s="961"/>
      <c r="D17" s="961"/>
      <c r="E17" s="946"/>
      <c r="F17" s="961"/>
      <c r="G17" s="342" t="s">
        <v>101</v>
      </c>
      <c r="H17" s="342" t="s">
        <v>773</v>
      </c>
      <c r="I17" s="341">
        <f>+E16*8</f>
        <v>0</v>
      </c>
      <c r="J17" s="341" t="s">
        <v>771</v>
      </c>
      <c r="K17" s="341"/>
    </row>
    <row r="18" spans="1:11" ht="13.5" customHeight="1">
      <c r="A18" s="961"/>
      <c r="B18" s="961"/>
      <c r="C18" s="961"/>
      <c r="D18" s="961"/>
      <c r="E18" s="946"/>
      <c r="F18" s="961"/>
      <c r="G18" s="342" t="s">
        <v>774</v>
      </c>
      <c r="H18" s="342" t="s">
        <v>89</v>
      </c>
      <c r="I18" s="341">
        <f>+E16*1.9</f>
        <v>0</v>
      </c>
      <c r="J18" s="341" t="s">
        <v>75</v>
      </c>
      <c r="K18" s="341"/>
    </row>
    <row r="19" spans="1:11" ht="13.5" customHeight="1">
      <c r="A19" s="962"/>
      <c r="B19" s="962"/>
      <c r="C19" s="962"/>
      <c r="D19" s="962"/>
      <c r="E19" s="952"/>
      <c r="F19" s="962"/>
      <c r="G19" s="66" t="s">
        <v>775</v>
      </c>
      <c r="H19" s="342"/>
      <c r="I19" s="341">
        <f>E16*0.5</f>
        <v>0</v>
      </c>
      <c r="J19" s="341" t="s">
        <v>776</v>
      </c>
      <c r="K19" s="341"/>
    </row>
    <row r="20" spans="1:11" ht="13.5" customHeight="1">
      <c r="A20" s="944">
        <v>4</v>
      </c>
      <c r="B20" s="944">
        <v>450</v>
      </c>
      <c r="C20" s="944">
        <v>720</v>
      </c>
      <c r="D20" s="944">
        <v>560</v>
      </c>
      <c r="E20" s="945"/>
      <c r="F20" s="944" t="s">
        <v>780</v>
      </c>
      <c r="G20" s="342" t="s">
        <v>781</v>
      </c>
      <c r="H20" s="342" t="s">
        <v>159</v>
      </c>
      <c r="I20" s="341">
        <f>+E20*1</f>
        <v>0</v>
      </c>
      <c r="J20" s="341" t="s">
        <v>782</v>
      </c>
      <c r="K20" s="341"/>
    </row>
    <row r="21" spans="1:11" ht="13.5" customHeight="1">
      <c r="A21" s="961"/>
      <c r="B21" s="961"/>
      <c r="C21" s="961"/>
      <c r="D21" s="961"/>
      <c r="E21" s="946"/>
      <c r="F21" s="961"/>
      <c r="G21" s="342" t="s">
        <v>101</v>
      </c>
      <c r="H21" s="342" t="s">
        <v>783</v>
      </c>
      <c r="I21" s="341">
        <f>+E20*8</f>
        <v>0</v>
      </c>
      <c r="J21" s="341" t="s">
        <v>782</v>
      </c>
      <c r="K21" s="341"/>
    </row>
    <row r="22" spans="1:11" ht="13.5" customHeight="1">
      <c r="A22" s="961"/>
      <c r="B22" s="961"/>
      <c r="C22" s="961"/>
      <c r="D22" s="961"/>
      <c r="E22" s="946"/>
      <c r="F22" s="961"/>
      <c r="G22" s="342" t="s">
        <v>784</v>
      </c>
      <c r="H22" s="342" t="s">
        <v>89</v>
      </c>
      <c r="I22" s="341">
        <f>+E20*2.2</f>
        <v>0</v>
      </c>
      <c r="J22" s="341" t="s">
        <v>785</v>
      </c>
      <c r="K22" s="341"/>
    </row>
    <row r="23" spans="1:11" ht="13.5" customHeight="1">
      <c r="A23" s="962"/>
      <c r="B23" s="962"/>
      <c r="C23" s="962"/>
      <c r="D23" s="962"/>
      <c r="E23" s="952"/>
      <c r="F23" s="962"/>
      <c r="G23" s="66" t="s">
        <v>786</v>
      </c>
      <c r="H23" s="342"/>
      <c r="I23" s="341">
        <f>E20*0.5</f>
        <v>0</v>
      </c>
      <c r="J23" s="341" t="s">
        <v>787</v>
      </c>
      <c r="K23" s="341"/>
    </row>
    <row r="24" spans="1:11" ht="13.5" customHeight="1">
      <c r="A24" s="944">
        <v>5</v>
      </c>
      <c r="B24" s="944">
        <v>600</v>
      </c>
      <c r="C24" s="944">
        <v>720</v>
      </c>
      <c r="D24" s="944">
        <v>560</v>
      </c>
      <c r="E24" s="945"/>
      <c r="F24" s="944" t="s">
        <v>780</v>
      </c>
      <c r="G24" s="353" t="s">
        <v>788</v>
      </c>
      <c r="H24" s="342" t="s">
        <v>158</v>
      </c>
      <c r="I24" s="341">
        <f>+E24*1</f>
        <v>0</v>
      </c>
      <c r="J24" s="341" t="s">
        <v>782</v>
      </c>
      <c r="K24" s="341"/>
    </row>
    <row r="25" spans="1:11" ht="13.5" customHeight="1">
      <c r="A25" s="961"/>
      <c r="B25" s="961"/>
      <c r="C25" s="961"/>
      <c r="D25" s="961"/>
      <c r="E25" s="946"/>
      <c r="F25" s="961"/>
      <c r="G25" s="342" t="s">
        <v>101</v>
      </c>
      <c r="H25" s="342" t="s">
        <v>783</v>
      </c>
      <c r="I25" s="341">
        <f>+E24*8</f>
        <v>0</v>
      </c>
      <c r="J25" s="341" t="s">
        <v>782</v>
      </c>
      <c r="K25" s="341"/>
    </row>
    <row r="26" spans="1:11" ht="13.5" customHeight="1">
      <c r="A26" s="961"/>
      <c r="B26" s="961"/>
      <c r="C26" s="961"/>
      <c r="D26" s="961"/>
      <c r="E26" s="946"/>
      <c r="F26" s="961"/>
      <c r="G26" s="342" t="s">
        <v>671</v>
      </c>
      <c r="H26" s="342" t="s">
        <v>89</v>
      </c>
      <c r="I26" s="341">
        <f>+E24*2.5</f>
        <v>0</v>
      </c>
      <c r="J26" s="341" t="s">
        <v>75</v>
      </c>
      <c r="K26" s="341"/>
    </row>
    <row r="27" spans="1:11" ht="13.5" customHeight="1">
      <c r="A27" s="961"/>
      <c r="B27" s="961"/>
      <c r="C27" s="961"/>
      <c r="D27" s="961"/>
      <c r="E27" s="946"/>
      <c r="F27" s="961"/>
      <c r="G27" s="342" t="s">
        <v>789</v>
      </c>
      <c r="H27" s="19" t="s">
        <v>154</v>
      </c>
      <c r="I27" s="943" t="s">
        <v>790</v>
      </c>
      <c r="J27" s="943"/>
      <c r="K27" s="22" t="s">
        <v>791</v>
      </c>
    </row>
    <row r="28" spans="1:11" ht="13.5" customHeight="1">
      <c r="A28" s="962"/>
      <c r="B28" s="962"/>
      <c r="C28" s="962"/>
      <c r="D28" s="962"/>
      <c r="E28" s="952"/>
      <c r="F28" s="962"/>
      <c r="G28" s="66" t="s">
        <v>786</v>
      </c>
      <c r="H28" s="19"/>
      <c r="I28" s="341">
        <f>E24*0.5</f>
        <v>0</v>
      </c>
      <c r="J28" s="341" t="s">
        <v>787</v>
      </c>
      <c r="K28" s="22"/>
    </row>
    <row r="29" spans="1:11" ht="13.5" customHeight="1">
      <c r="A29" s="944">
        <v>6</v>
      </c>
      <c r="B29" s="944">
        <v>900</v>
      </c>
      <c r="C29" s="944">
        <v>720</v>
      </c>
      <c r="D29" s="944">
        <v>560</v>
      </c>
      <c r="E29" s="945"/>
      <c r="F29" s="944" t="s">
        <v>780</v>
      </c>
      <c r="G29" s="342" t="s">
        <v>792</v>
      </c>
      <c r="H29" s="342" t="s">
        <v>156</v>
      </c>
      <c r="I29" s="341">
        <f>+E29*1</f>
        <v>0</v>
      </c>
      <c r="J29" s="341" t="s">
        <v>782</v>
      </c>
      <c r="K29" s="341"/>
    </row>
    <row r="30" spans="1:11" ht="13.5" customHeight="1">
      <c r="A30" s="961"/>
      <c r="B30" s="961"/>
      <c r="C30" s="961"/>
      <c r="D30" s="961"/>
      <c r="E30" s="946"/>
      <c r="F30" s="961"/>
      <c r="G30" s="342" t="s">
        <v>101</v>
      </c>
      <c r="H30" s="342" t="s">
        <v>783</v>
      </c>
      <c r="I30" s="341">
        <f>+E29*8</f>
        <v>0</v>
      </c>
      <c r="J30" s="341" t="s">
        <v>782</v>
      </c>
      <c r="K30" s="341"/>
    </row>
    <row r="31" spans="1:11" ht="13.5" customHeight="1">
      <c r="A31" s="961"/>
      <c r="B31" s="961"/>
      <c r="C31" s="961"/>
      <c r="D31" s="961"/>
      <c r="E31" s="946"/>
      <c r="F31" s="961"/>
      <c r="G31" s="342" t="s">
        <v>671</v>
      </c>
      <c r="H31" s="342" t="s">
        <v>89</v>
      </c>
      <c r="I31" s="341">
        <f>+E29*3.1</f>
        <v>0</v>
      </c>
      <c r="J31" s="341" t="s">
        <v>75</v>
      </c>
      <c r="K31" s="341"/>
    </row>
    <row r="32" spans="1:11" ht="13.5" customHeight="1">
      <c r="A32" s="961"/>
      <c r="B32" s="961"/>
      <c r="C32" s="961"/>
      <c r="D32" s="961"/>
      <c r="E32" s="946"/>
      <c r="F32" s="961"/>
      <c r="G32" s="342" t="s">
        <v>789</v>
      </c>
      <c r="H32" s="19" t="s">
        <v>154</v>
      </c>
      <c r="I32" s="943" t="s">
        <v>790</v>
      </c>
      <c r="J32" s="943"/>
      <c r="K32" s="22" t="s">
        <v>791</v>
      </c>
    </row>
    <row r="33" spans="1:11" ht="13.5" customHeight="1">
      <c r="A33" s="962"/>
      <c r="B33" s="962"/>
      <c r="C33" s="962"/>
      <c r="D33" s="962"/>
      <c r="E33" s="952"/>
      <c r="F33" s="962"/>
      <c r="G33" s="66" t="s">
        <v>786</v>
      </c>
      <c r="H33" s="354"/>
      <c r="I33" s="341">
        <f>E29*1</f>
        <v>0</v>
      </c>
      <c r="J33" s="341" t="s">
        <v>787</v>
      </c>
      <c r="K33" s="355"/>
    </row>
    <row r="34" spans="1:11" ht="13.5" customHeight="1">
      <c r="A34" s="963" t="s">
        <v>793</v>
      </c>
      <c r="B34" s="964"/>
      <c r="C34" s="964"/>
      <c r="D34" s="964"/>
      <c r="E34" s="964"/>
      <c r="F34" s="964"/>
      <c r="G34" s="964"/>
      <c r="H34" s="964"/>
      <c r="I34" s="964"/>
      <c r="J34" s="964"/>
      <c r="K34" s="965"/>
    </row>
    <row r="35" spans="1:11" ht="13.5" customHeight="1">
      <c r="A35" s="341" t="s">
        <v>151</v>
      </c>
      <c r="B35" s="341" t="s">
        <v>794</v>
      </c>
      <c r="C35" s="341" t="s">
        <v>795</v>
      </c>
      <c r="D35" s="341" t="s">
        <v>796</v>
      </c>
      <c r="E35" s="21"/>
      <c r="F35" s="341" t="s">
        <v>797</v>
      </c>
      <c r="G35" s="341" t="s">
        <v>798</v>
      </c>
      <c r="H35" s="341" t="s">
        <v>799</v>
      </c>
      <c r="I35" s="341" t="s">
        <v>138</v>
      </c>
      <c r="J35" s="341" t="s">
        <v>137</v>
      </c>
      <c r="K35" s="341" t="s">
        <v>800</v>
      </c>
    </row>
    <row r="36" spans="1:11" ht="13.5" customHeight="1">
      <c r="A36" s="944">
        <v>1</v>
      </c>
      <c r="B36" s="944" t="s">
        <v>801</v>
      </c>
      <c r="C36" s="944" t="s">
        <v>802</v>
      </c>
      <c r="D36" s="944" t="s">
        <v>802</v>
      </c>
      <c r="E36" s="945"/>
      <c r="F36" s="944" t="s">
        <v>803</v>
      </c>
      <c r="G36" s="342" t="s">
        <v>804</v>
      </c>
      <c r="H36" s="19" t="s">
        <v>805</v>
      </c>
      <c r="I36" s="341">
        <f>+E36*1</f>
        <v>0</v>
      </c>
      <c r="J36" s="341" t="s">
        <v>787</v>
      </c>
      <c r="K36" s="341"/>
    </row>
    <row r="37" spans="1:11" ht="13.5" customHeight="1">
      <c r="A37" s="961"/>
      <c r="B37" s="961"/>
      <c r="C37" s="961"/>
      <c r="D37" s="961"/>
      <c r="E37" s="946"/>
      <c r="F37" s="961"/>
      <c r="G37" s="342" t="s">
        <v>101</v>
      </c>
      <c r="H37" s="342" t="s">
        <v>783</v>
      </c>
      <c r="I37" s="341">
        <f>+E36*8</f>
        <v>0</v>
      </c>
      <c r="J37" s="341" t="s">
        <v>782</v>
      </c>
      <c r="K37" s="341"/>
    </row>
    <row r="38" spans="1:11" ht="13.5" customHeight="1">
      <c r="A38" s="961"/>
      <c r="B38" s="961"/>
      <c r="C38" s="961"/>
      <c r="D38" s="961"/>
      <c r="E38" s="946"/>
      <c r="F38" s="961"/>
      <c r="G38" s="342" t="s">
        <v>671</v>
      </c>
      <c r="H38" s="342" t="s">
        <v>89</v>
      </c>
      <c r="I38" s="341">
        <f>+E36*2.5</f>
        <v>0</v>
      </c>
      <c r="J38" s="341" t="s">
        <v>75</v>
      </c>
      <c r="K38" s="341"/>
    </row>
    <row r="39" spans="1:11" ht="13.5" customHeight="1">
      <c r="A39" s="962"/>
      <c r="B39" s="962"/>
      <c r="C39" s="962"/>
      <c r="D39" s="962"/>
      <c r="E39" s="952"/>
      <c r="F39" s="962"/>
      <c r="G39" s="66" t="s">
        <v>786</v>
      </c>
      <c r="H39" s="342"/>
      <c r="I39" s="341">
        <f>E36*0.5</f>
        <v>0</v>
      </c>
      <c r="J39" s="341" t="s">
        <v>787</v>
      </c>
      <c r="K39" s="341"/>
    </row>
    <row r="40" spans="1:11" ht="13.5" customHeight="1">
      <c r="A40" s="944">
        <v>2</v>
      </c>
      <c r="B40" s="944" t="s">
        <v>806</v>
      </c>
      <c r="C40" s="944" t="s">
        <v>802</v>
      </c>
      <c r="D40" s="944" t="s">
        <v>802</v>
      </c>
      <c r="E40" s="945"/>
      <c r="F40" s="944" t="s">
        <v>803</v>
      </c>
      <c r="G40" s="342" t="s">
        <v>804</v>
      </c>
      <c r="H40" s="19" t="s">
        <v>805</v>
      </c>
      <c r="I40" s="341">
        <f>+E40*1.3</f>
        <v>0</v>
      </c>
      <c r="J40" s="341" t="s">
        <v>787</v>
      </c>
      <c r="K40" s="341"/>
    </row>
    <row r="41" spans="1:11" ht="13.5" customHeight="1">
      <c r="A41" s="961"/>
      <c r="B41" s="961"/>
      <c r="C41" s="961"/>
      <c r="D41" s="961"/>
      <c r="E41" s="946"/>
      <c r="F41" s="961"/>
      <c r="G41" s="342" t="s">
        <v>101</v>
      </c>
      <c r="H41" s="342" t="s">
        <v>783</v>
      </c>
      <c r="I41" s="341">
        <f>+E40*8</f>
        <v>0</v>
      </c>
      <c r="J41" s="341" t="s">
        <v>782</v>
      </c>
      <c r="K41" s="341"/>
    </row>
    <row r="42" spans="1:11" ht="13.5" customHeight="1">
      <c r="A42" s="961"/>
      <c r="B42" s="961"/>
      <c r="C42" s="961"/>
      <c r="D42" s="961"/>
      <c r="E42" s="946"/>
      <c r="F42" s="961"/>
      <c r="G42" s="342" t="s">
        <v>671</v>
      </c>
      <c r="H42" s="342" t="s">
        <v>89</v>
      </c>
      <c r="I42" s="341">
        <f>+E40*3.2</f>
        <v>0</v>
      </c>
      <c r="J42" s="341" t="s">
        <v>75</v>
      </c>
      <c r="K42" s="341"/>
    </row>
    <row r="43" spans="1:11" ht="13.5" customHeight="1">
      <c r="A43" s="962"/>
      <c r="B43" s="962"/>
      <c r="C43" s="962"/>
      <c r="D43" s="962"/>
      <c r="E43" s="952"/>
      <c r="F43" s="962"/>
      <c r="G43" s="66" t="s">
        <v>786</v>
      </c>
      <c r="H43" s="342"/>
      <c r="I43" s="341">
        <f>E40*1</f>
        <v>0</v>
      </c>
      <c r="J43" s="341" t="s">
        <v>787</v>
      </c>
      <c r="K43" s="341"/>
    </row>
    <row r="44" spans="1:11" ht="13.5" customHeight="1">
      <c r="A44" s="971" t="s">
        <v>807</v>
      </c>
      <c r="B44" s="971"/>
      <c r="C44" s="971"/>
      <c r="D44" s="971"/>
      <c r="E44" s="971"/>
      <c r="F44" s="971"/>
      <c r="G44" s="971"/>
      <c r="H44" s="971"/>
      <c r="I44" s="971"/>
      <c r="J44" s="971"/>
      <c r="K44" s="971"/>
    </row>
    <row r="45" spans="1:11" ht="13.5" customHeight="1">
      <c r="A45" s="341" t="s">
        <v>808</v>
      </c>
      <c r="B45" s="341" t="s">
        <v>794</v>
      </c>
      <c r="C45" s="341" t="s">
        <v>795</v>
      </c>
      <c r="D45" s="341" t="s">
        <v>796</v>
      </c>
      <c r="E45" s="21"/>
      <c r="F45" s="341" t="s">
        <v>809</v>
      </c>
      <c r="G45" s="341" t="s">
        <v>798</v>
      </c>
      <c r="H45" s="341" t="s">
        <v>799</v>
      </c>
      <c r="I45" s="341" t="s">
        <v>810</v>
      </c>
      <c r="J45" s="341" t="s">
        <v>811</v>
      </c>
      <c r="K45" s="341" t="s">
        <v>800</v>
      </c>
    </row>
    <row r="46" spans="1:11" ht="13.5" customHeight="1">
      <c r="A46" s="943" t="s">
        <v>812</v>
      </c>
      <c r="B46" s="943" t="s">
        <v>813</v>
      </c>
      <c r="C46" s="943">
        <v>720</v>
      </c>
      <c r="D46" s="943">
        <v>560</v>
      </c>
      <c r="E46" s="945"/>
      <c r="F46" s="960" t="s">
        <v>814</v>
      </c>
      <c r="G46" s="342" t="s">
        <v>815</v>
      </c>
      <c r="H46" s="342" t="s">
        <v>816</v>
      </c>
      <c r="I46" s="341">
        <f>+E46*1</f>
        <v>0</v>
      </c>
      <c r="J46" s="341" t="s">
        <v>782</v>
      </c>
      <c r="K46" s="944"/>
    </row>
    <row r="47" spans="1:11" ht="13.5" customHeight="1">
      <c r="A47" s="943"/>
      <c r="B47" s="943"/>
      <c r="C47" s="943"/>
      <c r="D47" s="943"/>
      <c r="E47" s="946"/>
      <c r="F47" s="960"/>
      <c r="G47" s="342" t="s">
        <v>671</v>
      </c>
      <c r="H47" s="342" t="s">
        <v>89</v>
      </c>
      <c r="I47" s="341">
        <f>+E46*1.3</f>
        <v>0</v>
      </c>
      <c r="J47" s="341" t="s">
        <v>75</v>
      </c>
      <c r="K47" s="961"/>
    </row>
    <row r="48" spans="1:11" ht="13.5" customHeight="1">
      <c r="A48" s="943"/>
      <c r="B48" s="943"/>
      <c r="C48" s="943"/>
      <c r="D48" s="943"/>
      <c r="E48" s="946"/>
      <c r="F48" s="960"/>
      <c r="G48" s="342" t="s">
        <v>789</v>
      </c>
      <c r="H48" s="342"/>
      <c r="I48" s="943" t="s">
        <v>790</v>
      </c>
      <c r="J48" s="943"/>
      <c r="K48" s="961"/>
    </row>
    <row r="49" spans="1:11" ht="13.5" customHeight="1">
      <c r="A49" s="943"/>
      <c r="B49" s="943"/>
      <c r="C49" s="943"/>
      <c r="D49" s="943"/>
      <c r="E49" s="952"/>
      <c r="F49" s="960"/>
      <c r="G49" s="342" t="s">
        <v>817</v>
      </c>
      <c r="H49" s="342" t="s">
        <v>783</v>
      </c>
      <c r="I49" s="341">
        <f>+E46*8</f>
        <v>0</v>
      </c>
      <c r="J49" s="341" t="s">
        <v>782</v>
      </c>
      <c r="K49" s="961"/>
    </row>
    <row r="50" spans="1:11" ht="13.5" customHeight="1">
      <c r="A50" s="943" t="s">
        <v>818</v>
      </c>
      <c r="B50" s="943" t="s">
        <v>819</v>
      </c>
      <c r="C50" s="943">
        <v>720</v>
      </c>
      <c r="D50" s="943">
        <v>560</v>
      </c>
      <c r="E50" s="945"/>
      <c r="F50" s="960" t="s">
        <v>814</v>
      </c>
      <c r="G50" s="342" t="s">
        <v>820</v>
      </c>
      <c r="H50" s="342" t="s">
        <v>821</v>
      </c>
      <c r="I50" s="341">
        <f>+E50*1</f>
        <v>0</v>
      </c>
      <c r="J50" s="341" t="s">
        <v>782</v>
      </c>
      <c r="K50" s="961"/>
    </row>
    <row r="51" spans="1:11" ht="13.5" customHeight="1">
      <c r="A51" s="943"/>
      <c r="B51" s="943"/>
      <c r="C51" s="943"/>
      <c r="D51" s="943"/>
      <c r="E51" s="946"/>
      <c r="F51" s="960"/>
      <c r="G51" s="342" t="s">
        <v>671</v>
      </c>
      <c r="H51" s="342" t="s">
        <v>89</v>
      </c>
      <c r="I51" s="341">
        <f>+E50*1.3</f>
        <v>0</v>
      </c>
      <c r="J51" s="341" t="s">
        <v>75</v>
      </c>
      <c r="K51" s="961"/>
    </row>
    <row r="52" spans="1:11" ht="13.5" customHeight="1">
      <c r="A52" s="943"/>
      <c r="B52" s="943"/>
      <c r="C52" s="943"/>
      <c r="D52" s="943"/>
      <c r="E52" s="946"/>
      <c r="F52" s="960"/>
      <c r="G52" s="342" t="s">
        <v>789</v>
      </c>
      <c r="H52" s="342"/>
      <c r="I52" s="943" t="s">
        <v>790</v>
      </c>
      <c r="J52" s="943"/>
      <c r="K52" s="961"/>
    </row>
    <row r="53" spans="1:11" ht="13.5" customHeight="1">
      <c r="A53" s="943"/>
      <c r="B53" s="943"/>
      <c r="C53" s="943"/>
      <c r="D53" s="943"/>
      <c r="E53" s="952"/>
      <c r="F53" s="960"/>
      <c r="G53" s="342" t="s">
        <v>101</v>
      </c>
      <c r="H53" s="342" t="s">
        <v>783</v>
      </c>
      <c r="I53" s="341">
        <f>+E50*8</f>
        <v>0</v>
      </c>
      <c r="J53" s="341" t="s">
        <v>782</v>
      </c>
      <c r="K53" s="961"/>
    </row>
    <row r="54" spans="1:11" ht="13.5" customHeight="1">
      <c r="A54" s="943" t="s">
        <v>822</v>
      </c>
      <c r="B54" s="943" t="s">
        <v>823</v>
      </c>
      <c r="C54" s="943">
        <v>720</v>
      </c>
      <c r="D54" s="943">
        <v>560</v>
      </c>
      <c r="E54" s="945"/>
      <c r="F54" s="960" t="s">
        <v>814</v>
      </c>
      <c r="G54" s="342" t="s">
        <v>824</v>
      </c>
      <c r="H54" s="342" t="s">
        <v>825</v>
      </c>
      <c r="I54" s="341">
        <f>+E54*1</f>
        <v>0</v>
      </c>
      <c r="J54" s="341" t="s">
        <v>782</v>
      </c>
      <c r="K54" s="961"/>
    </row>
    <row r="55" spans="1:11" ht="13.5" customHeight="1">
      <c r="A55" s="943"/>
      <c r="B55" s="943"/>
      <c r="C55" s="943"/>
      <c r="D55" s="943"/>
      <c r="E55" s="946"/>
      <c r="F55" s="960"/>
      <c r="G55" s="342" t="s">
        <v>671</v>
      </c>
      <c r="H55" s="342" t="s">
        <v>89</v>
      </c>
      <c r="I55" s="341">
        <f>+E54*1.5</f>
        <v>0</v>
      </c>
      <c r="J55" s="341" t="s">
        <v>75</v>
      </c>
      <c r="K55" s="961"/>
    </row>
    <row r="56" spans="1:11" ht="13.5" customHeight="1">
      <c r="A56" s="943"/>
      <c r="B56" s="943"/>
      <c r="C56" s="943"/>
      <c r="D56" s="943"/>
      <c r="E56" s="946"/>
      <c r="F56" s="960"/>
      <c r="G56" s="342" t="s">
        <v>789</v>
      </c>
      <c r="H56" s="342"/>
      <c r="I56" s="943" t="s">
        <v>790</v>
      </c>
      <c r="J56" s="943"/>
      <c r="K56" s="961"/>
    </row>
    <row r="57" spans="1:11" ht="13.5" customHeight="1">
      <c r="A57" s="943"/>
      <c r="B57" s="943"/>
      <c r="C57" s="943"/>
      <c r="D57" s="943"/>
      <c r="E57" s="952"/>
      <c r="F57" s="960"/>
      <c r="G57" s="342" t="s">
        <v>101</v>
      </c>
      <c r="H57" s="342" t="s">
        <v>783</v>
      </c>
      <c r="I57" s="341">
        <f>+E54*8</f>
        <v>0</v>
      </c>
      <c r="J57" s="341" t="s">
        <v>782</v>
      </c>
      <c r="K57" s="961"/>
    </row>
    <row r="58" spans="1:11" ht="13.5" customHeight="1">
      <c r="A58" s="943" t="s">
        <v>826</v>
      </c>
      <c r="B58" s="943" t="s">
        <v>827</v>
      </c>
      <c r="C58" s="943">
        <v>720</v>
      </c>
      <c r="D58" s="943">
        <v>300</v>
      </c>
      <c r="E58" s="945"/>
      <c r="F58" s="960" t="s">
        <v>828</v>
      </c>
      <c r="G58" s="342" t="s">
        <v>829</v>
      </c>
      <c r="H58" s="23" t="s">
        <v>830</v>
      </c>
      <c r="I58" s="341">
        <f>+E58*1</f>
        <v>0</v>
      </c>
      <c r="J58" s="341" t="s">
        <v>782</v>
      </c>
      <c r="K58" s="961"/>
    </row>
    <row r="59" spans="1:11" ht="13.5" customHeight="1">
      <c r="A59" s="943"/>
      <c r="B59" s="943"/>
      <c r="C59" s="943"/>
      <c r="D59" s="943"/>
      <c r="E59" s="946"/>
      <c r="F59" s="960"/>
      <c r="G59" s="342" t="s">
        <v>671</v>
      </c>
      <c r="H59" s="342" t="s">
        <v>89</v>
      </c>
      <c r="I59" s="341">
        <f>+E58*0.8</f>
        <v>0</v>
      </c>
      <c r="J59" s="341" t="s">
        <v>75</v>
      </c>
      <c r="K59" s="961"/>
    </row>
    <row r="60" spans="1:11" ht="13.5" customHeight="1">
      <c r="A60" s="943"/>
      <c r="B60" s="943"/>
      <c r="C60" s="943"/>
      <c r="D60" s="943"/>
      <c r="E60" s="946"/>
      <c r="F60" s="960"/>
      <c r="G60" s="342" t="s">
        <v>789</v>
      </c>
      <c r="H60" s="342"/>
      <c r="I60" s="943" t="s">
        <v>790</v>
      </c>
      <c r="J60" s="943"/>
      <c r="K60" s="961"/>
    </row>
    <row r="61" spans="1:11" ht="13.5" customHeight="1">
      <c r="A61" s="943"/>
      <c r="B61" s="943"/>
      <c r="C61" s="943"/>
      <c r="D61" s="943"/>
      <c r="E61" s="952"/>
      <c r="F61" s="960"/>
      <c r="G61" s="342" t="s">
        <v>101</v>
      </c>
      <c r="H61" s="342" t="s">
        <v>783</v>
      </c>
      <c r="I61" s="341">
        <f>+E58*8</f>
        <v>0</v>
      </c>
      <c r="J61" s="341" t="s">
        <v>782</v>
      </c>
      <c r="K61" s="961"/>
    </row>
    <row r="62" spans="1:11" ht="13.5" customHeight="1">
      <c r="A62" s="943" t="s">
        <v>831</v>
      </c>
      <c r="B62" s="943" t="s">
        <v>832</v>
      </c>
      <c r="C62" s="943">
        <v>720</v>
      </c>
      <c r="D62" s="943">
        <v>300</v>
      </c>
      <c r="E62" s="945"/>
      <c r="F62" s="960" t="s">
        <v>828</v>
      </c>
      <c r="G62" s="342" t="s">
        <v>833</v>
      </c>
      <c r="H62" s="23" t="s">
        <v>830</v>
      </c>
      <c r="I62" s="341">
        <f>+E62*1</f>
        <v>0</v>
      </c>
      <c r="J62" s="341" t="s">
        <v>782</v>
      </c>
      <c r="K62" s="961"/>
    </row>
    <row r="63" spans="1:11" ht="13.5" customHeight="1">
      <c r="A63" s="943"/>
      <c r="B63" s="943"/>
      <c r="C63" s="943"/>
      <c r="D63" s="943"/>
      <c r="E63" s="946"/>
      <c r="F63" s="960"/>
      <c r="G63" s="342" t="s">
        <v>671</v>
      </c>
      <c r="H63" s="342" t="s">
        <v>89</v>
      </c>
      <c r="I63" s="341">
        <f>+E62*0.8</f>
        <v>0</v>
      </c>
      <c r="J63" s="341" t="s">
        <v>785</v>
      </c>
      <c r="K63" s="961"/>
    </row>
    <row r="64" spans="1:11" ht="13.5" customHeight="1">
      <c r="A64" s="943"/>
      <c r="B64" s="943"/>
      <c r="C64" s="943"/>
      <c r="D64" s="943"/>
      <c r="E64" s="946"/>
      <c r="F64" s="960"/>
      <c r="G64" s="342" t="s">
        <v>789</v>
      </c>
      <c r="H64" s="342"/>
      <c r="I64" s="943" t="s">
        <v>790</v>
      </c>
      <c r="J64" s="943"/>
      <c r="K64" s="961"/>
    </row>
    <row r="65" spans="1:11" ht="13.5" customHeight="1">
      <c r="A65" s="943"/>
      <c r="B65" s="943"/>
      <c r="C65" s="943"/>
      <c r="D65" s="943"/>
      <c r="E65" s="952"/>
      <c r="F65" s="960"/>
      <c r="G65" s="342" t="s">
        <v>101</v>
      </c>
      <c r="H65" s="342" t="s">
        <v>783</v>
      </c>
      <c r="I65" s="341">
        <f>+E62*8</f>
        <v>0</v>
      </c>
      <c r="J65" s="341" t="s">
        <v>782</v>
      </c>
      <c r="K65" s="961"/>
    </row>
    <row r="66" spans="1:11" ht="13.5" customHeight="1">
      <c r="A66" s="943" t="s">
        <v>834</v>
      </c>
      <c r="B66" s="943" t="s">
        <v>819</v>
      </c>
      <c r="C66" s="943">
        <v>720</v>
      </c>
      <c r="D66" s="943">
        <v>300</v>
      </c>
      <c r="E66" s="945"/>
      <c r="F66" s="960" t="s">
        <v>835</v>
      </c>
      <c r="G66" s="342" t="s">
        <v>836</v>
      </c>
      <c r="H66" s="23" t="s">
        <v>837</v>
      </c>
      <c r="I66" s="341">
        <f>+E66*1</f>
        <v>0</v>
      </c>
      <c r="J66" s="341" t="s">
        <v>782</v>
      </c>
      <c r="K66" s="961"/>
    </row>
    <row r="67" spans="1:11" ht="13.5" customHeight="1">
      <c r="A67" s="943"/>
      <c r="B67" s="943"/>
      <c r="C67" s="943"/>
      <c r="D67" s="943"/>
      <c r="E67" s="946"/>
      <c r="F67" s="960"/>
      <c r="G67" s="342" t="s">
        <v>671</v>
      </c>
      <c r="H67" s="342" t="s">
        <v>89</v>
      </c>
      <c r="I67" s="341">
        <f>+E66*1</f>
        <v>0</v>
      </c>
      <c r="J67" s="341" t="s">
        <v>785</v>
      </c>
      <c r="K67" s="961"/>
    </row>
    <row r="68" spans="1:11" ht="13.5" customHeight="1">
      <c r="A68" s="943"/>
      <c r="B68" s="943"/>
      <c r="C68" s="943"/>
      <c r="D68" s="943"/>
      <c r="E68" s="946"/>
      <c r="F68" s="960"/>
      <c r="G68" s="342" t="s">
        <v>789</v>
      </c>
      <c r="H68" s="342"/>
      <c r="I68" s="943" t="s">
        <v>790</v>
      </c>
      <c r="J68" s="943"/>
      <c r="K68" s="961"/>
    </row>
    <row r="69" spans="1:11" ht="13.5" customHeight="1">
      <c r="A69" s="943"/>
      <c r="B69" s="943"/>
      <c r="C69" s="943"/>
      <c r="D69" s="943"/>
      <c r="E69" s="952"/>
      <c r="F69" s="960"/>
      <c r="G69" s="342" t="s">
        <v>101</v>
      </c>
      <c r="H69" s="342" t="s">
        <v>783</v>
      </c>
      <c r="I69" s="341">
        <f>+E66*8</f>
        <v>0</v>
      </c>
      <c r="J69" s="341" t="s">
        <v>782</v>
      </c>
      <c r="K69" s="961"/>
    </row>
    <row r="70" spans="1:11" ht="13.5" customHeight="1">
      <c r="A70" s="943" t="s">
        <v>838</v>
      </c>
      <c r="B70" s="943" t="s">
        <v>823</v>
      </c>
      <c r="C70" s="943">
        <v>720</v>
      </c>
      <c r="D70" s="943">
        <v>300</v>
      </c>
      <c r="E70" s="945"/>
      <c r="F70" s="960" t="s">
        <v>835</v>
      </c>
      <c r="G70" s="342" t="s">
        <v>839</v>
      </c>
      <c r="H70" s="23" t="s">
        <v>840</v>
      </c>
      <c r="I70" s="341">
        <f>+E70*1</f>
        <v>0</v>
      </c>
      <c r="J70" s="341" t="s">
        <v>782</v>
      </c>
      <c r="K70" s="961"/>
    </row>
    <row r="71" spans="1:11" ht="13.5" customHeight="1">
      <c r="A71" s="943"/>
      <c r="B71" s="943"/>
      <c r="C71" s="943"/>
      <c r="D71" s="943"/>
      <c r="E71" s="946"/>
      <c r="F71" s="960"/>
      <c r="G71" s="342" t="s">
        <v>671</v>
      </c>
      <c r="H71" s="342" t="s">
        <v>89</v>
      </c>
      <c r="I71" s="341">
        <f>+E70*1.4</f>
        <v>0</v>
      </c>
      <c r="J71" s="341" t="s">
        <v>785</v>
      </c>
      <c r="K71" s="961"/>
    </row>
    <row r="72" spans="1:11" ht="13.5" customHeight="1">
      <c r="A72" s="943"/>
      <c r="B72" s="943"/>
      <c r="C72" s="943"/>
      <c r="D72" s="943"/>
      <c r="E72" s="946"/>
      <c r="F72" s="960"/>
      <c r="G72" s="342" t="s">
        <v>789</v>
      </c>
      <c r="H72" s="342"/>
      <c r="I72" s="943" t="s">
        <v>790</v>
      </c>
      <c r="J72" s="943"/>
      <c r="K72" s="961"/>
    </row>
    <row r="73" spans="1:11" ht="13.5" customHeight="1">
      <c r="A73" s="943"/>
      <c r="B73" s="943"/>
      <c r="C73" s="943"/>
      <c r="D73" s="943"/>
      <c r="E73" s="952"/>
      <c r="F73" s="960"/>
      <c r="G73" s="342" t="s">
        <v>101</v>
      </c>
      <c r="H73" s="342" t="s">
        <v>783</v>
      </c>
      <c r="I73" s="341">
        <f>+E70*8</f>
        <v>0</v>
      </c>
      <c r="J73" s="341" t="s">
        <v>782</v>
      </c>
      <c r="K73" s="961"/>
    </row>
    <row r="74" spans="1:11" ht="13.5" customHeight="1">
      <c r="A74" s="943" t="s">
        <v>197</v>
      </c>
      <c r="B74" s="943" t="s">
        <v>196</v>
      </c>
      <c r="C74" s="943">
        <v>2160</v>
      </c>
      <c r="D74" s="943">
        <v>560</v>
      </c>
      <c r="E74" s="945"/>
      <c r="F74" s="960" t="s">
        <v>841</v>
      </c>
      <c r="G74" s="342" t="s">
        <v>842</v>
      </c>
      <c r="H74" s="19" t="s">
        <v>805</v>
      </c>
      <c r="I74" s="341">
        <f>+E74*1</f>
        <v>0</v>
      </c>
      <c r="J74" s="341" t="s">
        <v>787</v>
      </c>
      <c r="K74" s="961"/>
    </row>
    <row r="75" spans="1:11" ht="13.5" customHeight="1">
      <c r="A75" s="943"/>
      <c r="B75" s="943"/>
      <c r="C75" s="943"/>
      <c r="D75" s="943"/>
      <c r="E75" s="946"/>
      <c r="F75" s="960"/>
      <c r="G75" s="342" t="s">
        <v>671</v>
      </c>
      <c r="H75" s="342" t="s">
        <v>89</v>
      </c>
      <c r="I75" s="341">
        <f>+E74*2.5</f>
        <v>0</v>
      </c>
      <c r="J75" s="341" t="s">
        <v>75</v>
      </c>
      <c r="K75" s="961"/>
    </row>
    <row r="76" spans="1:11" ht="13.5" customHeight="1">
      <c r="A76" s="943"/>
      <c r="B76" s="943"/>
      <c r="C76" s="943"/>
      <c r="D76" s="943"/>
      <c r="E76" s="946"/>
      <c r="F76" s="960"/>
      <c r="G76" s="342" t="s">
        <v>789</v>
      </c>
      <c r="H76" s="342"/>
      <c r="I76" s="943" t="s">
        <v>790</v>
      </c>
      <c r="J76" s="943"/>
      <c r="K76" s="961"/>
    </row>
    <row r="77" spans="1:11" ht="13.5" customHeight="1">
      <c r="A77" s="943"/>
      <c r="B77" s="943"/>
      <c r="C77" s="943"/>
      <c r="D77" s="943"/>
      <c r="E77" s="952"/>
      <c r="F77" s="960"/>
      <c r="G77" s="342" t="s">
        <v>101</v>
      </c>
      <c r="H77" s="342" t="s">
        <v>783</v>
      </c>
      <c r="I77" s="341">
        <f>+E74*8</f>
        <v>0</v>
      </c>
      <c r="J77" s="341" t="s">
        <v>782</v>
      </c>
      <c r="K77" s="962"/>
    </row>
    <row r="78" spans="1:11" ht="13.5" customHeight="1">
      <c r="A78" s="960" t="s">
        <v>843</v>
      </c>
      <c r="B78" s="960"/>
      <c r="C78" s="960"/>
      <c r="D78" s="960"/>
      <c r="E78" s="960"/>
      <c r="F78" s="960"/>
      <c r="G78" s="960"/>
      <c r="H78" s="960"/>
      <c r="I78" s="960"/>
      <c r="J78" s="960"/>
      <c r="K78" s="960"/>
    </row>
    <row r="79" spans="1:11" ht="13.5" customHeight="1">
      <c r="A79" s="959" t="s">
        <v>844</v>
      </c>
      <c r="B79" s="959"/>
      <c r="C79" s="959"/>
      <c r="D79" s="959"/>
      <c r="E79" s="959"/>
      <c r="F79" s="959"/>
      <c r="G79" s="959"/>
      <c r="H79" s="959"/>
      <c r="I79" s="959"/>
      <c r="J79" s="959"/>
      <c r="K79" s="959"/>
    </row>
    <row r="80" spans="1:11" ht="13.5" customHeight="1">
      <c r="A80" s="341" t="s">
        <v>151</v>
      </c>
      <c r="B80" s="341" t="s">
        <v>794</v>
      </c>
      <c r="C80" s="341" t="s">
        <v>795</v>
      </c>
      <c r="D80" s="341" t="s">
        <v>796</v>
      </c>
      <c r="E80" s="21"/>
      <c r="F80" s="341" t="s">
        <v>809</v>
      </c>
      <c r="G80" s="341" t="s">
        <v>798</v>
      </c>
      <c r="H80" s="341" t="s">
        <v>799</v>
      </c>
      <c r="I80" s="341" t="s">
        <v>138</v>
      </c>
      <c r="J80" s="341" t="s">
        <v>137</v>
      </c>
      <c r="K80" s="341" t="s">
        <v>800</v>
      </c>
    </row>
    <row r="81" spans="1:11" ht="13.5" customHeight="1">
      <c r="A81" s="943">
        <v>1</v>
      </c>
      <c r="B81" s="943" t="s">
        <v>801</v>
      </c>
      <c r="C81" s="943" t="s">
        <v>802</v>
      </c>
      <c r="D81" s="943" t="s">
        <v>802</v>
      </c>
      <c r="E81" s="945"/>
      <c r="F81" s="943" t="s">
        <v>845</v>
      </c>
      <c r="G81" s="342" t="s">
        <v>804</v>
      </c>
      <c r="H81" s="19" t="s">
        <v>805</v>
      </c>
      <c r="I81" s="341">
        <f>+E81*0.3</f>
        <v>0</v>
      </c>
      <c r="J81" s="341" t="s">
        <v>787</v>
      </c>
      <c r="K81" s="943"/>
    </row>
    <row r="82" spans="1:11" ht="13.5" customHeight="1">
      <c r="A82" s="943"/>
      <c r="B82" s="943"/>
      <c r="C82" s="943"/>
      <c r="D82" s="943"/>
      <c r="E82" s="946"/>
      <c r="F82" s="943"/>
      <c r="G82" s="342" t="s">
        <v>671</v>
      </c>
      <c r="H82" s="342" t="s">
        <v>89</v>
      </c>
      <c r="I82" s="341">
        <f>+E81*1</f>
        <v>0</v>
      </c>
      <c r="J82" s="341" t="s">
        <v>75</v>
      </c>
      <c r="K82" s="943"/>
    </row>
    <row r="83" spans="1:11" ht="13.5" customHeight="1">
      <c r="A83" s="943"/>
      <c r="B83" s="943"/>
      <c r="C83" s="943"/>
      <c r="D83" s="943"/>
      <c r="E83" s="952"/>
      <c r="F83" s="943"/>
      <c r="G83" s="342" t="s">
        <v>101</v>
      </c>
      <c r="H83" s="342" t="s">
        <v>783</v>
      </c>
      <c r="I83" s="341">
        <f>+E81*8</f>
        <v>0</v>
      </c>
      <c r="J83" s="341" t="s">
        <v>782</v>
      </c>
      <c r="K83" s="943"/>
    </row>
    <row r="84" spans="1:11" ht="13.5" customHeight="1">
      <c r="A84" s="943">
        <v>2</v>
      </c>
      <c r="B84" s="943" t="s">
        <v>806</v>
      </c>
      <c r="C84" s="943" t="s">
        <v>802</v>
      </c>
      <c r="D84" s="943" t="s">
        <v>802</v>
      </c>
      <c r="E84" s="945"/>
      <c r="F84" s="943" t="s">
        <v>845</v>
      </c>
      <c r="G84" s="342" t="s">
        <v>804</v>
      </c>
      <c r="H84" s="19" t="s">
        <v>805</v>
      </c>
      <c r="I84" s="341">
        <f>+E84*0.4</f>
        <v>0</v>
      </c>
      <c r="J84" s="341" t="s">
        <v>787</v>
      </c>
      <c r="K84" s="943"/>
    </row>
    <row r="85" spans="1:11" ht="13.5" customHeight="1">
      <c r="A85" s="943"/>
      <c r="B85" s="943"/>
      <c r="C85" s="943"/>
      <c r="D85" s="943"/>
      <c r="E85" s="946"/>
      <c r="F85" s="943"/>
      <c r="G85" s="342" t="s">
        <v>671</v>
      </c>
      <c r="H85" s="342" t="s">
        <v>89</v>
      </c>
      <c r="I85" s="341">
        <f>+E84*1.5</f>
        <v>0</v>
      </c>
      <c r="J85" s="341" t="s">
        <v>75</v>
      </c>
      <c r="K85" s="943"/>
    </row>
    <row r="86" spans="1:11" ht="13.5" customHeight="1">
      <c r="A86" s="943"/>
      <c r="B86" s="943"/>
      <c r="C86" s="943"/>
      <c r="D86" s="943"/>
      <c r="E86" s="952"/>
      <c r="F86" s="943"/>
      <c r="G86" s="342" t="s">
        <v>101</v>
      </c>
      <c r="H86" s="342" t="s">
        <v>783</v>
      </c>
      <c r="I86" s="341">
        <f>+E84*8</f>
        <v>0</v>
      </c>
      <c r="J86" s="341" t="s">
        <v>782</v>
      </c>
      <c r="K86" s="943"/>
    </row>
    <row r="87" spans="1:11" ht="13.5" customHeight="1">
      <c r="A87" s="943">
        <v>3</v>
      </c>
      <c r="B87" s="943" t="s">
        <v>801</v>
      </c>
      <c r="C87" s="943" t="s">
        <v>802</v>
      </c>
      <c r="D87" s="943" t="s">
        <v>802</v>
      </c>
      <c r="E87" s="945"/>
      <c r="F87" s="943" t="s">
        <v>846</v>
      </c>
      <c r="G87" s="342" t="s">
        <v>804</v>
      </c>
      <c r="H87" s="19" t="s">
        <v>805</v>
      </c>
      <c r="I87" s="341">
        <f>+E87*0.4</f>
        <v>0</v>
      </c>
      <c r="J87" s="341" t="s">
        <v>787</v>
      </c>
      <c r="K87" s="943"/>
    </row>
    <row r="88" spans="1:11" ht="13.5" customHeight="1">
      <c r="A88" s="943"/>
      <c r="B88" s="943"/>
      <c r="C88" s="943"/>
      <c r="D88" s="943"/>
      <c r="E88" s="946"/>
      <c r="F88" s="943"/>
      <c r="G88" s="342" t="s">
        <v>671</v>
      </c>
      <c r="H88" s="342" t="s">
        <v>89</v>
      </c>
      <c r="I88" s="341">
        <f>+E87*1.5</f>
        <v>0</v>
      </c>
      <c r="J88" s="341" t="s">
        <v>75</v>
      </c>
      <c r="K88" s="943"/>
    </row>
    <row r="89" spans="1:11" ht="13.5" customHeight="1">
      <c r="A89" s="943"/>
      <c r="B89" s="943"/>
      <c r="C89" s="943"/>
      <c r="D89" s="943"/>
      <c r="E89" s="952"/>
      <c r="F89" s="943"/>
      <c r="G89" s="342" t="s">
        <v>101</v>
      </c>
      <c r="H89" s="342" t="s">
        <v>783</v>
      </c>
      <c r="I89" s="341">
        <f>+E87*8</f>
        <v>0</v>
      </c>
      <c r="J89" s="341" t="s">
        <v>782</v>
      </c>
      <c r="K89" s="943"/>
    </row>
    <row r="90" spans="1:11" ht="13.5" customHeight="1">
      <c r="A90" s="943">
        <v>4</v>
      </c>
      <c r="B90" s="943" t="s">
        <v>806</v>
      </c>
      <c r="C90" s="943" t="s">
        <v>802</v>
      </c>
      <c r="D90" s="943" t="s">
        <v>802</v>
      </c>
      <c r="E90" s="945"/>
      <c r="F90" s="943" t="s">
        <v>846</v>
      </c>
      <c r="G90" s="342" t="s">
        <v>804</v>
      </c>
      <c r="H90" s="19" t="s">
        <v>805</v>
      </c>
      <c r="I90" s="341">
        <f>+E90*0.6</f>
        <v>0</v>
      </c>
      <c r="J90" s="341" t="s">
        <v>787</v>
      </c>
      <c r="K90" s="943"/>
    </row>
    <row r="91" spans="1:11" ht="13.5" customHeight="1">
      <c r="A91" s="943"/>
      <c r="B91" s="943"/>
      <c r="C91" s="943"/>
      <c r="D91" s="943"/>
      <c r="E91" s="946"/>
      <c r="F91" s="943"/>
      <c r="G91" s="342" t="s">
        <v>671</v>
      </c>
      <c r="H91" s="342" t="s">
        <v>89</v>
      </c>
      <c r="I91" s="341">
        <f>+E90*1.5</f>
        <v>0</v>
      </c>
      <c r="J91" s="341" t="s">
        <v>75</v>
      </c>
      <c r="K91" s="943"/>
    </row>
    <row r="92" spans="1:11" ht="13.5" customHeight="1">
      <c r="A92" s="943"/>
      <c r="B92" s="943"/>
      <c r="C92" s="943"/>
      <c r="D92" s="943"/>
      <c r="E92" s="952"/>
      <c r="F92" s="943"/>
      <c r="G92" s="342" t="s">
        <v>101</v>
      </c>
      <c r="H92" s="342" t="s">
        <v>783</v>
      </c>
      <c r="I92" s="341">
        <f>+E90*8</f>
        <v>0</v>
      </c>
      <c r="J92" s="341" t="s">
        <v>782</v>
      </c>
      <c r="K92" s="943"/>
    </row>
    <row r="93" spans="1:11" ht="13.5" customHeight="1">
      <c r="A93" s="943">
        <v>5</v>
      </c>
      <c r="B93" s="943" t="s">
        <v>802</v>
      </c>
      <c r="C93" s="943" t="s">
        <v>802</v>
      </c>
      <c r="D93" s="943" t="s">
        <v>847</v>
      </c>
      <c r="E93" s="945"/>
      <c r="F93" s="960" t="s">
        <v>848</v>
      </c>
      <c r="G93" s="342" t="s">
        <v>804</v>
      </c>
      <c r="H93" s="19" t="s">
        <v>805</v>
      </c>
      <c r="I93" s="341">
        <f>+E93*0.5</f>
        <v>0</v>
      </c>
      <c r="J93" s="341" t="s">
        <v>787</v>
      </c>
      <c r="K93" s="943"/>
    </row>
    <row r="94" spans="1:11" ht="13.5" customHeight="1">
      <c r="A94" s="943"/>
      <c r="B94" s="943"/>
      <c r="C94" s="943"/>
      <c r="D94" s="943"/>
      <c r="E94" s="946"/>
      <c r="F94" s="960"/>
      <c r="G94" s="342" t="s">
        <v>671</v>
      </c>
      <c r="H94" s="342" t="s">
        <v>89</v>
      </c>
      <c r="I94" s="341">
        <f>+E93*2</f>
        <v>0</v>
      </c>
      <c r="J94" s="341" t="s">
        <v>75</v>
      </c>
      <c r="K94" s="943"/>
    </row>
    <row r="95" spans="1:11" ht="13.5" customHeight="1">
      <c r="A95" s="943"/>
      <c r="B95" s="943"/>
      <c r="C95" s="943"/>
      <c r="D95" s="943"/>
      <c r="E95" s="952"/>
      <c r="F95" s="960"/>
      <c r="G95" s="342" t="s">
        <v>101</v>
      </c>
      <c r="H95" s="342" t="s">
        <v>783</v>
      </c>
      <c r="I95" s="341">
        <f>+E93*8</f>
        <v>0</v>
      </c>
      <c r="J95" s="341" t="s">
        <v>782</v>
      </c>
      <c r="K95" s="943"/>
    </row>
    <row r="96" spans="1:11" ht="13.5" customHeight="1">
      <c r="A96" s="943">
        <v>6</v>
      </c>
      <c r="B96" s="943" t="s">
        <v>802</v>
      </c>
      <c r="C96" s="943" t="s">
        <v>802</v>
      </c>
      <c r="D96" s="943" t="s">
        <v>849</v>
      </c>
      <c r="E96" s="945"/>
      <c r="F96" s="960" t="s">
        <v>848</v>
      </c>
      <c r="G96" s="342" t="s">
        <v>804</v>
      </c>
      <c r="H96" s="19" t="s">
        <v>805</v>
      </c>
      <c r="I96" s="341">
        <f>+E96*0.8</f>
        <v>0</v>
      </c>
      <c r="J96" s="341" t="s">
        <v>787</v>
      </c>
      <c r="K96" s="943"/>
    </row>
    <row r="97" spans="1:11" ht="13.5" customHeight="1">
      <c r="A97" s="943"/>
      <c r="B97" s="943"/>
      <c r="C97" s="943"/>
      <c r="D97" s="943"/>
      <c r="E97" s="946"/>
      <c r="F97" s="960"/>
      <c r="G97" s="342" t="s">
        <v>671</v>
      </c>
      <c r="H97" s="342" t="s">
        <v>89</v>
      </c>
      <c r="I97" s="341">
        <f>+E96*2</f>
        <v>0</v>
      </c>
      <c r="J97" s="341" t="s">
        <v>75</v>
      </c>
      <c r="K97" s="943"/>
    </row>
    <row r="98" spans="1:11" ht="13.5" customHeight="1">
      <c r="A98" s="943"/>
      <c r="B98" s="943"/>
      <c r="C98" s="943"/>
      <c r="D98" s="943"/>
      <c r="E98" s="952"/>
      <c r="F98" s="960"/>
      <c r="G98" s="342" t="s">
        <v>101</v>
      </c>
      <c r="H98" s="342" t="s">
        <v>783</v>
      </c>
      <c r="I98" s="341">
        <f>+E96*8</f>
        <v>0</v>
      </c>
      <c r="J98" s="341" t="s">
        <v>782</v>
      </c>
      <c r="K98" s="943"/>
    </row>
    <row r="99" spans="1:11" ht="13.5" customHeight="1">
      <c r="A99" s="943">
        <v>7</v>
      </c>
      <c r="B99" s="943" t="s">
        <v>802</v>
      </c>
      <c r="C99" s="943" t="s">
        <v>802</v>
      </c>
      <c r="D99" s="943" t="s">
        <v>847</v>
      </c>
      <c r="E99" s="945"/>
      <c r="F99" s="943" t="s">
        <v>850</v>
      </c>
      <c r="G99" s="342" t="s">
        <v>804</v>
      </c>
      <c r="H99" s="19" t="s">
        <v>805</v>
      </c>
      <c r="I99" s="341">
        <f>+E99*0.5</f>
        <v>0</v>
      </c>
      <c r="J99" s="341" t="s">
        <v>787</v>
      </c>
      <c r="K99" s="943"/>
    </row>
    <row r="100" spans="1:11" ht="13.5" customHeight="1">
      <c r="A100" s="943"/>
      <c r="B100" s="943"/>
      <c r="C100" s="943"/>
      <c r="D100" s="943"/>
      <c r="E100" s="946"/>
      <c r="F100" s="943"/>
      <c r="G100" s="342" t="s">
        <v>671</v>
      </c>
      <c r="H100" s="342" t="s">
        <v>89</v>
      </c>
      <c r="I100" s="341">
        <f>+E99*2.5</f>
        <v>0</v>
      </c>
      <c r="J100" s="341" t="s">
        <v>75</v>
      </c>
      <c r="K100" s="943"/>
    </row>
    <row r="101" spans="1:11" ht="13.5" customHeight="1">
      <c r="A101" s="943"/>
      <c r="B101" s="943"/>
      <c r="C101" s="943"/>
      <c r="D101" s="943"/>
      <c r="E101" s="952"/>
      <c r="F101" s="943"/>
      <c r="G101" s="342" t="s">
        <v>101</v>
      </c>
      <c r="H101" s="342" t="s">
        <v>783</v>
      </c>
      <c r="I101" s="341">
        <f>+E99*8</f>
        <v>0</v>
      </c>
      <c r="J101" s="341" t="s">
        <v>782</v>
      </c>
      <c r="K101" s="943"/>
    </row>
    <row r="102" spans="1:11" ht="13.5" customHeight="1">
      <c r="A102" s="943">
        <v>8</v>
      </c>
      <c r="B102" s="943" t="s">
        <v>802</v>
      </c>
      <c r="C102" s="943" t="s">
        <v>802</v>
      </c>
      <c r="D102" s="943" t="s">
        <v>849</v>
      </c>
      <c r="E102" s="945"/>
      <c r="F102" s="943" t="s">
        <v>850</v>
      </c>
      <c r="G102" s="342" t="s">
        <v>804</v>
      </c>
      <c r="H102" s="19" t="s">
        <v>805</v>
      </c>
      <c r="I102" s="341">
        <f>+E102*1</f>
        <v>0</v>
      </c>
      <c r="J102" s="341" t="s">
        <v>787</v>
      </c>
      <c r="K102" s="943"/>
    </row>
    <row r="103" spans="1:11" ht="13.5" customHeight="1">
      <c r="A103" s="943"/>
      <c r="B103" s="943"/>
      <c r="C103" s="943"/>
      <c r="D103" s="943"/>
      <c r="E103" s="946"/>
      <c r="F103" s="943"/>
      <c r="G103" s="342" t="s">
        <v>671</v>
      </c>
      <c r="H103" s="342" t="s">
        <v>89</v>
      </c>
      <c r="I103" s="341">
        <f>+E102*2.5</f>
        <v>0</v>
      </c>
      <c r="J103" s="341" t="s">
        <v>75</v>
      </c>
      <c r="K103" s="943"/>
    </row>
    <row r="104" spans="1:11" ht="13.5" customHeight="1">
      <c r="A104" s="943"/>
      <c r="B104" s="943"/>
      <c r="C104" s="943"/>
      <c r="D104" s="943"/>
      <c r="E104" s="952"/>
      <c r="F104" s="943"/>
      <c r="G104" s="342" t="s">
        <v>101</v>
      </c>
      <c r="H104" s="342" t="s">
        <v>783</v>
      </c>
      <c r="I104" s="341">
        <f>+E102*8</f>
        <v>0</v>
      </c>
      <c r="J104" s="341" t="s">
        <v>782</v>
      </c>
      <c r="K104" s="943"/>
    </row>
    <row r="105" spans="1:11" ht="13.5" customHeight="1">
      <c r="A105" s="959" t="s">
        <v>851</v>
      </c>
      <c r="B105" s="959"/>
      <c r="C105" s="959"/>
      <c r="D105" s="959"/>
      <c r="E105" s="959"/>
      <c r="F105" s="959"/>
      <c r="G105" s="959"/>
      <c r="H105" s="959"/>
      <c r="I105" s="959"/>
      <c r="J105" s="959"/>
      <c r="K105" s="959"/>
    </row>
    <row r="106" spans="1:11" ht="13.5" customHeight="1">
      <c r="A106" s="341" t="s">
        <v>151</v>
      </c>
      <c r="B106" s="341" t="s">
        <v>794</v>
      </c>
      <c r="C106" s="341" t="s">
        <v>795</v>
      </c>
      <c r="D106" s="341" t="s">
        <v>810</v>
      </c>
      <c r="E106" s="21"/>
      <c r="F106" s="341" t="s">
        <v>809</v>
      </c>
      <c r="G106" s="341" t="s">
        <v>798</v>
      </c>
      <c r="H106" s="341" t="s">
        <v>799</v>
      </c>
      <c r="I106" s="341" t="s">
        <v>138</v>
      </c>
      <c r="J106" s="341" t="s">
        <v>137</v>
      </c>
      <c r="K106" s="341" t="s">
        <v>136</v>
      </c>
    </row>
    <row r="107" spans="1:11" ht="13.5" customHeight="1">
      <c r="A107" s="943">
        <v>1</v>
      </c>
      <c r="B107" s="943" t="s">
        <v>852</v>
      </c>
      <c r="C107" s="943" t="s">
        <v>853</v>
      </c>
      <c r="D107" s="943" t="s">
        <v>854</v>
      </c>
      <c r="E107" s="945"/>
      <c r="F107" s="943" t="s">
        <v>855</v>
      </c>
      <c r="G107" s="342" t="s">
        <v>804</v>
      </c>
      <c r="H107" s="19" t="s">
        <v>805</v>
      </c>
      <c r="I107" s="341">
        <f>+E107*0.7</f>
        <v>0</v>
      </c>
      <c r="J107" s="341" t="s">
        <v>787</v>
      </c>
      <c r="K107" s="943" t="s">
        <v>856</v>
      </c>
    </row>
    <row r="108" spans="1:11" ht="13.5" customHeight="1">
      <c r="A108" s="943"/>
      <c r="B108" s="943"/>
      <c r="C108" s="943"/>
      <c r="D108" s="943"/>
      <c r="E108" s="946"/>
      <c r="F108" s="943"/>
      <c r="G108" s="342" t="s">
        <v>857</v>
      </c>
      <c r="H108" s="19"/>
      <c r="I108" s="341">
        <f>E107*1</f>
        <v>0</v>
      </c>
      <c r="J108" s="341" t="s">
        <v>787</v>
      </c>
      <c r="K108" s="943"/>
    </row>
    <row r="109" spans="1:11" ht="13.5" customHeight="1">
      <c r="A109" s="943"/>
      <c r="B109" s="943"/>
      <c r="C109" s="943"/>
      <c r="D109" s="943"/>
      <c r="E109" s="952"/>
      <c r="F109" s="943"/>
      <c r="G109" s="342" t="s">
        <v>671</v>
      </c>
      <c r="H109" s="342" t="s">
        <v>89</v>
      </c>
      <c r="I109" s="341">
        <f>+E107*2</f>
        <v>0</v>
      </c>
      <c r="J109" s="341" t="s">
        <v>785</v>
      </c>
      <c r="K109" s="943"/>
    </row>
    <row r="110" spans="1:11" ht="13.5" customHeight="1">
      <c r="A110" s="943">
        <v>2</v>
      </c>
      <c r="B110" s="943" t="s">
        <v>852</v>
      </c>
      <c r="C110" s="943" t="s">
        <v>858</v>
      </c>
      <c r="D110" s="943" t="s">
        <v>854</v>
      </c>
      <c r="E110" s="945"/>
      <c r="F110" s="943" t="s">
        <v>859</v>
      </c>
      <c r="G110" s="342" t="s">
        <v>804</v>
      </c>
      <c r="H110" s="19" t="s">
        <v>805</v>
      </c>
      <c r="I110" s="341">
        <f>+E110*1</f>
        <v>0</v>
      </c>
      <c r="J110" s="341" t="s">
        <v>787</v>
      </c>
      <c r="K110" s="943"/>
    </row>
    <row r="111" spans="1:11" ht="13.5" customHeight="1">
      <c r="A111" s="943"/>
      <c r="B111" s="943"/>
      <c r="C111" s="943"/>
      <c r="D111" s="943"/>
      <c r="E111" s="946"/>
      <c r="F111" s="943"/>
      <c r="G111" s="342" t="s">
        <v>860</v>
      </c>
      <c r="H111" s="19"/>
      <c r="I111" s="341">
        <f>E110*1</f>
        <v>0</v>
      </c>
      <c r="J111" s="341" t="s">
        <v>787</v>
      </c>
      <c r="K111" s="943"/>
    </row>
    <row r="112" spans="1:11" ht="13.5" customHeight="1">
      <c r="A112" s="943"/>
      <c r="B112" s="943"/>
      <c r="C112" s="943"/>
      <c r="D112" s="943"/>
      <c r="E112" s="952"/>
      <c r="F112" s="943"/>
      <c r="G112" s="342" t="s">
        <v>671</v>
      </c>
      <c r="H112" s="342" t="s">
        <v>89</v>
      </c>
      <c r="I112" s="341">
        <f>+E110*2.5</f>
        <v>0</v>
      </c>
      <c r="J112" s="341" t="s">
        <v>785</v>
      </c>
      <c r="K112" s="943"/>
    </row>
    <row r="113" spans="1:11" ht="13.5" customHeight="1">
      <c r="A113" s="958" t="s">
        <v>861</v>
      </c>
      <c r="B113" s="958"/>
      <c r="C113" s="958"/>
      <c r="D113" s="958"/>
      <c r="E113" s="958"/>
      <c r="F113" s="958"/>
      <c r="G113" s="958"/>
      <c r="H113" s="958"/>
      <c r="I113" s="958"/>
      <c r="J113" s="958"/>
      <c r="K113" s="958"/>
    </row>
    <row r="114" spans="1:11" ht="13.5" customHeight="1">
      <c r="A114" s="959" t="s">
        <v>862</v>
      </c>
      <c r="B114" s="959"/>
      <c r="C114" s="959"/>
      <c r="D114" s="959"/>
      <c r="E114" s="959"/>
      <c r="F114" s="959"/>
      <c r="G114" s="959"/>
      <c r="H114" s="959"/>
      <c r="I114" s="959"/>
      <c r="J114" s="959"/>
      <c r="K114" s="959"/>
    </row>
    <row r="115" spans="1:11" ht="13.5" customHeight="1">
      <c r="A115" s="341" t="s">
        <v>808</v>
      </c>
      <c r="B115" s="341" t="s">
        <v>794</v>
      </c>
      <c r="C115" s="341" t="s">
        <v>795</v>
      </c>
      <c r="D115" s="341" t="s">
        <v>863</v>
      </c>
      <c r="E115" s="21"/>
      <c r="F115" s="341" t="s">
        <v>864</v>
      </c>
      <c r="G115" s="341" t="s">
        <v>798</v>
      </c>
      <c r="H115" s="341" t="s">
        <v>799</v>
      </c>
      <c r="I115" s="341" t="s">
        <v>810</v>
      </c>
      <c r="J115" s="341" t="s">
        <v>811</v>
      </c>
      <c r="K115" s="341" t="s">
        <v>800</v>
      </c>
    </row>
    <row r="116" spans="1:11" ht="13.5" customHeight="1">
      <c r="A116" s="943" t="s">
        <v>865</v>
      </c>
      <c r="B116" s="943" t="s">
        <v>866</v>
      </c>
      <c r="C116" s="943" t="s">
        <v>867</v>
      </c>
      <c r="D116" s="943" t="s">
        <v>868</v>
      </c>
      <c r="E116" s="945"/>
      <c r="F116" s="960" t="s">
        <v>869</v>
      </c>
      <c r="G116" s="342" t="s">
        <v>870</v>
      </c>
      <c r="H116" s="342" t="s">
        <v>163</v>
      </c>
      <c r="I116" s="341">
        <f>+E116*1</f>
        <v>0</v>
      </c>
      <c r="J116" s="341" t="s">
        <v>782</v>
      </c>
      <c r="K116" s="960" t="s">
        <v>871</v>
      </c>
    </row>
    <row r="117" spans="1:11" ht="13.5" customHeight="1">
      <c r="A117" s="943"/>
      <c r="B117" s="943"/>
      <c r="C117" s="943"/>
      <c r="D117" s="943"/>
      <c r="E117" s="946"/>
      <c r="F117" s="960"/>
      <c r="G117" s="342" t="s">
        <v>671</v>
      </c>
      <c r="H117" s="342" t="s">
        <v>89</v>
      </c>
      <c r="I117" s="341">
        <f>+E116*2.6</f>
        <v>0</v>
      </c>
      <c r="J117" s="341" t="s">
        <v>75</v>
      </c>
      <c r="K117" s="960"/>
    </row>
    <row r="118" spans="1:11" ht="13.5" customHeight="1">
      <c r="A118" s="943"/>
      <c r="B118" s="943"/>
      <c r="C118" s="943"/>
      <c r="D118" s="943"/>
      <c r="E118" s="946"/>
      <c r="F118" s="960"/>
      <c r="G118" s="342" t="s">
        <v>872</v>
      </c>
      <c r="H118" s="342"/>
      <c r="I118" s="943" t="s">
        <v>790</v>
      </c>
      <c r="J118" s="943"/>
      <c r="K118" s="960"/>
    </row>
    <row r="119" spans="1:11" ht="13.5" customHeight="1">
      <c r="A119" s="943"/>
      <c r="B119" s="943"/>
      <c r="C119" s="943"/>
      <c r="D119" s="943"/>
      <c r="E119" s="952"/>
      <c r="F119" s="960"/>
      <c r="G119" s="342" t="s">
        <v>101</v>
      </c>
      <c r="H119" s="342" t="s">
        <v>783</v>
      </c>
      <c r="I119" s="341">
        <f>+E116*8</f>
        <v>0</v>
      </c>
      <c r="J119" s="341" t="s">
        <v>782</v>
      </c>
      <c r="K119" s="960"/>
    </row>
    <row r="120" spans="1:11" ht="13.5" customHeight="1">
      <c r="A120" s="943" t="s">
        <v>175</v>
      </c>
      <c r="B120" s="943" t="s">
        <v>873</v>
      </c>
      <c r="C120" s="943" t="s">
        <v>867</v>
      </c>
      <c r="D120" s="943" t="s">
        <v>868</v>
      </c>
      <c r="E120" s="945"/>
      <c r="F120" s="960"/>
      <c r="G120" s="342" t="s">
        <v>874</v>
      </c>
      <c r="H120" s="342" t="s">
        <v>172</v>
      </c>
      <c r="I120" s="341">
        <f>+E120*1</f>
        <v>0</v>
      </c>
      <c r="J120" s="341" t="s">
        <v>782</v>
      </c>
      <c r="K120" s="960"/>
    </row>
    <row r="121" spans="1:11" ht="13.5" customHeight="1">
      <c r="A121" s="943"/>
      <c r="B121" s="943"/>
      <c r="C121" s="943"/>
      <c r="D121" s="943"/>
      <c r="E121" s="946"/>
      <c r="F121" s="960"/>
      <c r="G121" s="342" t="s">
        <v>671</v>
      </c>
      <c r="H121" s="342" t="s">
        <v>89</v>
      </c>
      <c r="I121" s="341">
        <f>+E120*3.4</f>
        <v>0</v>
      </c>
      <c r="J121" s="341" t="s">
        <v>75</v>
      </c>
      <c r="K121" s="960"/>
    </row>
    <row r="122" spans="1:11" ht="13.5" customHeight="1">
      <c r="A122" s="943"/>
      <c r="B122" s="943"/>
      <c r="C122" s="943"/>
      <c r="D122" s="943"/>
      <c r="E122" s="946"/>
      <c r="F122" s="960"/>
      <c r="G122" s="342" t="s">
        <v>872</v>
      </c>
      <c r="H122" s="342"/>
      <c r="I122" s="943" t="s">
        <v>790</v>
      </c>
      <c r="J122" s="943"/>
      <c r="K122" s="960"/>
    </row>
    <row r="123" spans="1:11" ht="13.5" customHeight="1">
      <c r="A123" s="943"/>
      <c r="B123" s="943"/>
      <c r="C123" s="943"/>
      <c r="D123" s="943"/>
      <c r="E123" s="952"/>
      <c r="F123" s="960"/>
      <c r="G123" s="342" t="s">
        <v>101</v>
      </c>
      <c r="H123" s="342" t="s">
        <v>783</v>
      </c>
      <c r="I123" s="341">
        <f>+E120*8</f>
        <v>0</v>
      </c>
      <c r="J123" s="341" t="s">
        <v>782</v>
      </c>
      <c r="K123" s="960"/>
    </row>
    <row r="124" spans="1:11" ht="13.5" customHeight="1">
      <c r="A124" s="959" t="s">
        <v>875</v>
      </c>
      <c r="B124" s="959"/>
      <c r="C124" s="959"/>
      <c r="D124" s="959"/>
      <c r="E124" s="959"/>
      <c r="F124" s="959"/>
      <c r="G124" s="959"/>
      <c r="H124" s="959"/>
      <c r="I124" s="959"/>
      <c r="J124" s="959"/>
      <c r="K124" s="959"/>
    </row>
    <row r="125" spans="1:11" ht="13.5" customHeight="1">
      <c r="A125" s="341" t="s">
        <v>151</v>
      </c>
      <c r="B125" s="341" t="s">
        <v>794</v>
      </c>
      <c r="C125" s="341" t="s">
        <v>795</v>
      </c>
      <c r="D125" s="341" t="s">
        <v>863</v>
      </c>
      <c r="E125" s="21"/>
      <c r="F125" s="341" t="s">
        <v>809</v>
      </c>
      <c r="G125" s="341" t="s">
        <v>798</v>
      </c>
      <c r="H125" s="341" t="s">
        <v>799</v>
      </c>
      <c r="I125" s="341" t="s">
        <v>138</v>
      </c>
      <c r="J125" s="341" t="s">
        <v>137</v>
      </c>
      <c r="K125" s="341" t="s">
        <v>800</v>
      </c>
    </row>
    <row r="126" spans="1:11" ht="13.5" customHeight="1">
      <c r="A126" s="943">
        <v>1</v>
      </c>
      <c r="B126" s="943" t="s">
        <v>876</v>
      </c>
      <c r="C126" s="943" t="s">
        <v>853</v>
      </c>
      <c r="D126" s="943" t="s">
        <v>868</v>
      </c>
      <c r="E126" s="945"/>
      <c r="F126" s="960" t="s">
        <v>877</v>
      </c>
      <c r="G126" s="342" t="s">
        <v>804</v>
      </c>
      <c r="H126" s="342" t="s">
        <v>163</v>
      </c>
      <c r="I126" s="341">
        <f>+E126*0.4</f>
        <v>0</v>
      </c>
      <c r="J126" s="341" t="s">
        <v>787</v>
      </c>
      <c r="K126" s="960"/>
    </row>
    <row r="127" spans="1:11" ht="13.5" customHeight="1">
      <c r="A127" s="943"/>
      <c r="B127" s="943"/>
      <c r="C127" s="943"/>
      <c r="D127" s="943"/>
      <c r="E127" s="946"/>
      <c r="F127" s="960"/>
      <c r="G127" s="342" t="s">
        <v>671</v>
      </c>
      <c r="H127" s="342" t="s">
        <v>89</v>
      </c>
      <c r="I127" s="341">
        <f>+E126*3.5</f>
        <v>0</v>
      </c>
      <c r="J127" s="341" t="s">
        <v>75</v>
      </c>
      <c r="K127" s="960"/>
    </row>
    <row r="128" spans="1:11" s="20" customFormat="1" ht="13.5" customHeight="1">
      <c r="A128" s="943"/>
      <c r="B128" s="943"/>
      <c r="C128" s="943"/>
      <c r="D128" s="943"/>
      <c r="E128" s="946"/>
      <c r="F128" s="960"/>
      <c r="G128" s="342" t="s">
        <v>872</v>
      </c>
      <c r="H128" s="342"/>
      <c r="I128" s="943" t="s">
        <v>790</v>
      </c>
      <c r="J128" s="943"/>
      <c r="K128" s="960"/>
    </row>
    <row r="129" spans="1:11" s="20" customFormat="1" ht="13.5" customHeight="1">
      <c r="A129" s="943"/>
      <c r="B129" s="943"/>
      <c r="C129" s="943"/>
      <c r="D129" s="943"/>
      <c r="E129" s="952"/>
      <c r="F129" s="960"/>
      <c r="G129" s="342" t="s">
        <v>101</v>
      </c>
      <c r="H129" s="342" t="s">
        <v>783</v>
      </c>
      <c r="I129" s="341">
        <f>+E126*8</f>
        <v>0</v>
      </c>
      <c r="J129" s="341" t="s">
        <v>782</v>
      </c>
      <c r="K129" s="960"/>
    </row>
    <row r="130" spans="1:11" s="20" customFormat="1" ht="13.5" customHeight="1">
      <c r="A130" s="943">
        <v>2</v>
      </c>
      <c r="B130" s="943" t="s">
        <v>876</v>
      </c>
      <c r="C130" s="943" t="s">
        <v>858</v>
      </c>
      <c r="D130" s="943" t="s">
        <v>868</v>
      </c>
      <c r="E130" s="945"/>
      <c r="F130" s="960"/>
      <c r="G130" s="342" t="s">
        <v>804</v>
      </c>
      <c r="H130" s="342" t="s">
        <v>163</v>
      </c>
      <c r="I130" s="341">
        <f>+E130*0.7</f>
        <v>0</v>
      </c>
      <c r="J130" s="341" t="s">
        <v>787</v>
      </c>
      <c r="K130" s="960"/>
    </row>
    <row r="131" spans="1:11" s="20" customFormat="1" ht="13.5" customHeight="1">
      <c r="A131" s="943"/>
      <c r="B131" s="943"/>
      <c r="C131" s="943"/>
      <c r="D131" s="943"/>
      <c r="E131" s="946"/>
      <c r="F131" s="960"/>
      <c r="G131" s="342" t="s">
        <v>872</v>
      </c>
      <c r="H131" s="342"/>
      <c r="I131" s="943" t="s">
        <v>790</v>
      </c>
      <c r="J131" s="943"/>
      <c r="K131" s="960"/>
    </row>
    <row r="132" spans="1:11" s="20" customFormat="1" ht="13.5" customHeight="1">
      <c r="A132" s="943"/>
      <c r="B132" s="943"/>
      <c r="C132" s="943"/>
      <c r="D132" s="943"/>
      <c r="E132" s="946"/>
      <c r="F132" s="960"/>
      <c r="G132" s="342" t="s">
        <v>671</v>
      </c>
      <c r="H132" s="342" t="s">
        <v>89</v>
      </c>
      <c r="I132" s="341">
        <f>+E130*5</f>
        <v>0</v>
      </c>
      <c r="J132" s="341" t="s">
        <v>75</v>
      </c>
      <c r="K132" s="960"/>
    </row>
    <row r="133" spans="1:11" s="20" customFormat="1" ht="13.5" customHeight="1">
      <c r="A133" s="943"/>
      <c r="B133" s="943"/>
      <c r="C133" s="943"/>
      <c r="D133" s="943"/>
      <c r="E133" s="952"/>
      <c r="F133" s="960"/>
      <c r="G133" s="342" t="s">
        <v>101</v>
      </c>
      <c r="H133" s="342" t="s">
        <v>783</v>
      </c>
      <c r="I133" s="341">
        <f>+E130*8</f>
        <v>0</v>
      </c>
      <c r="J133" s="341" t="s">
        <v>782</v>
      </c>
      <c r="K133" s="960"/>
    </row>
    <row r="134" spans="1:11" s="20" customFormat="1" ht="13.5" customHeight="1">
      <c r="A134" s="958" t="s">
        <v>878</v>
      </c>
      <c r="B134" s="958"/>
      <c r="C134" s="958"/>
      <c r="D134" s="958"/>
      <c r="E134" s="958"/>
      <c r="F134" s="958"/>
      <c r="G134" s="958"/>
      <c r="H134" s="958"/>
      <c r="I134" s="958"/>
      <c r="J134" s="958"/>
      <c r="K134" s="958"/>
    </row>
    <row r="135" spans="1:11" s="20" customFormat="1" ht="13.5" customHeight="1">
      <c r="A135" s="341" t="s">
        <v>879</v>
      </c>
      <c r="B135" s="341" t="s">
        <v>794</v>
      </c>
      <c r="C135" s="341" t="s">
        <v>795</v>
      </c>
      <c r="D135" s="341" t="s">
        <v>796</v>
      </c>
      <c r="E135" s="21"/>
      <c r="F135" s="341" t="s">
        <v>810</v>
      </c>
      <c r="G135" s="341" t="s">
        <v>798</v>
      </c>
      <c r="H135" s="341" t="s">
        <v>799</v>
      </c>
      <c r="I135" s="341" t="s">
        <v>138</v>
      </c>
      <c r="J135" s="341" t="s">
        <v>137</v>
      </c>
      <c r="K135" s="341" t="s">
        <v>136</v>
      </c>
    </row>
    <row r="136" spans="1:11" s="20" customFormat="1" ht="13.5" customHeight="1">
      <c r="A136" s="953" t="s">
        <v>880</v>
      </c>
      <c r="B136" s="953">
        <v>50</v>
      </c>
      <c r="C136" s="953" t="s">
        <v>881</v>
      </c>
      <c r="D136" s="953" t="s">
        <v>882</v>
      </c>
      <c r="E136" s="954"/>
      <c r="F136" s="953" t="s">
        <v>883</v>
      </c>
      <c r="G136" s="318" t="s">
        <v>884</v>
      </c>
      <c r="H136" s="319" t="s">
        <v>93</v>
      </c>
      <c r="I136" s="348">
        <f>+E136*0.7</f>
        <v>0</v>
      </c>
      <c r="J136" s="348" t="s">
        <v>81</v>
      </c>
      <c r="K136" s="953"/>
    </row>
    <row r="137" spans="1:11" s="20" customFormat="1" ht="13.5" customHeight="1">
      <c r="A137" s="953"/>
      <c r="B137" s="953"/>
      <c r="C137" s="953"/>
      <c r="D137" s="953"/>
      <c r="E137" s="955"/>
      <c r="F137" s="953"/>
      <c r="G137" s="342" t="s">
        <v>885</v>
      </c>
      <c r="H137" s="342" t="s">
        <v>783</v>
      </c>
      <c r="I137" s="341">
        <f>+E136*4</f>
        <v>0</v>
      </c>
      <c r="J137" s="341" t="s">
        <v>782</v>
      </c>
      <c r="K137" s="953"/>
    </row>
    <row r="138" spans="1:11" s="20" customFormat="1" ht="13.5" customHeight="1">
      <c r="A138" s="953"/>
      <c r="B138" s="953"/>
      <c r="C138" s="953"/>
      <c r="D138" s="953"/>
      <c r="E138" s="956"/>
      <c r="F138" s="953"/>
      <c r="G138" s="318" t="s">
        <v>671</v>
      </c>
      <c r="H138" s="318" t="s">
        <v>89</v>
      </c>
      <c r="I138" s="348">
        <f>+E136*1</f>
        <v>0</v>
      </c>
      <c r="J138" s="348" t="s">
        <v>785</v>
      </c>
      <c r="K138" s="953"/>
    </row>
    <row r="139" spans="1:11" s="20" customFormat="1" ht="13.5" customHeight="1">
      <c r="A139" s="953" t="s">
        <v>880</v>
      </c>
      <c r="B139" s="953">
        <v>50</v>
      </c>
      <c r="C139" s="953" t="s">
        <v>881</v>
      </c>
      <c r="D139" s="953" t="s">
        <v>886</v>
      </c>
      <c r="E139" s="954"/>
      <c r="F139" s="953" t="s">
        <v>883</v>
      </c>
      <c r="G139" s="318" t="s">
        <v>887</v>
      </c>
      <c r="H139" s="319" t="s">
        <v>93</v>
      </c>
      <c r="I139" s="348">
        <f>+E139*0.7</f>
        <v>0</v>
      </c>
      <c r="J139" s="348" t="s">
        <v>81</v>
      </c>
      <c r="K139" s="953"/>
    </row>
    <row r="140" spans="1:11" s="20" customFormat="1" ht="13.5" customHeight="1">
      <c r="A140" s="953"/>
      <c r="B140" s="953"/>
      <c r="C140" s="953"/>
      <c r="D140" s="953"/>
      <c r="E140" s="955"/>
      <c r="F140" s="953"/>
      <c r="G140" s="342" t="s">
        <v>885</v>
      </c>
      <c r="H140" s="342" t="s">
        <v>783</v>
      </c>
      <c r="I140" s="341">
        <f>+E139*4</f>
        <v>0</v>
      </c>
      <c r="J140" s="341" t="s">
        <v>782</v>
      </c>
      <c r="K140" s="953"/>
    </row>
    <row r="141" spans="1:11" s="20" customFormat="1" ht="13.5" customHeight="1">
      <c r="A141" s="953"/>
      <c r="B141" s="953"/>
      <c r="C141" s="953"/>
      <c r="D141" s="953"/>
      <c r="E141" s="956"/>
      <c r="F141" s="953"/>
      <c r="G141" s="318" t="s">
        <v>671</v>
      </c>
      <c r="H141" s="318" t="s">
        <v>89</v>
      </c>
      <c r="I141" s="348">
        <f>+E139*2</f>
        <v>0</v>
      </c>
      <c r="J141" s="348" t="s">
        <v>785</v>
      </c>
      <c r="K141" s="953"/>
    </row>
    <row r="142" spans="1:11" s="20" customFormat="1" ht="13.5" customHeight="1">
      <c r="A142" s="953" t="s">
        <v>880</v>
      </c>
      <c r="B142" s="953">
        <v>50</v>
      </c>
      <c r="C142" s="953" t="s">
        <v>888</v>
      </c>
      <c r="D142" s="953" t="s">
        <v>801</v>
      </c>
      <c r="E142" s="954"/>
      <c r="F142" s="953" t="s">
        <v>883</v>
      </c>
      <c r="G142" s="318" t="s">
        <v>887</v>
      </c>
      <c r="H142" s="319" t="s">
        <v>93</v>
      </c>
      <c r="I142" s="348">
        <f>+E142*2</f>
        <v>0</v>
      </c>
      <c r="J142" s="348" t="s">
        <v>81</v>
      </c>
      <c r="K142" s="953"/>
    </row>
    <row r="143" spans="1:11" s="20" customFormat="1" ht="13.5" customHeight="1">
      <c r="A143" s="953"/>
      <c r="B143" s="953"/>
      <c r="C143" s="953"/>
      <c r="D143" s="953"/>
      <c r="E143" s="955"/>
      <c r="F143" s="953"/>
      <c r="G143" s="342" t="s">
        <v>885</v>
      </c>
      <c r="H143" s="342" t="s">
        <v>783</v>
      </c>
      <c r="I143" s="341">
        <f>+E142*4</f>
        <v>0</v>
      </c>
      <c r="J143" s="341" t="s">
        <v>782</v>
      </c>
      <c r="K143" s="953"/>
    </row>
    <row r="144" spans="1:11" s="20" customFormat="1" ht="13.5" customHeight="1">
      <c r="A144" s="953"/>
      <c r="B144" s="953"/>
      <c r="C144" s="953"/>
      <c r="D144" s="953"/>
      <c r="E144" s="956"/>
      <c r="F144" s="953"/>
      <c r="G144" s="318" t="s">
        <v>671</v>
      </c>
      <c r="H144" s="318" t="s">
        <v>89</v>
      </c>
      <c r="I144" s="348">
        <f>+E142*2.5</f>
        <v>0</v>
      </c>
      <c r="J144" s="348" t="s">
        <v>785</v>
      </c>
      <c r="K144" s="953"/>
    </row>
    <row r="145" spans="1:11" s="20" customFormat="1" ht="13.5" customHeight="1">
      <c r="A145" s="953" t="s">
        <v>880</v>
      </c>
      <c r="B145" s="953">
        <v>75</v>
      </c>
      <c r="C145" s="953" t="s">
        <v>881</v>
      </c>
      <c r="D145" s="953" t="s">
        <v>889</v>
      </c>
      <c r="E145" s="954"/>
      <c r="F145" s="953" t="s">
        <v>890</v>
      </c>
      <c r="G145" s="318" t="s">
        <v>804</v>
      </c>
      <c r="H145" s="319" t="s">
        <v>93</v>
      </c>
      <c r="I145" s="348">
        <f>+E145*0.5</f>
        <v>0</v>
      </c>
      <c r="J145" s="348" t="s">
        <v>81</v>
      </c>
      <c r="K145" s="953"/>
    </row>
    <row r="146" spans="1:11" s="20" customFormat="1" ht="13.5" customHeight="1">
      <c r="A146" s="953"/>
      <c r="B146" s="953"/>
      <c r="C146" s="953"/>
      <c r="D146" s="953"/>
      <c r="E146" s="955"/>
      <c r="F146" s="953"/>
      <c r="G146" s="342" t="s">
        <v>101</v>
      </c>
      <c r="H146" s="342" t="s">
        <v>783</v>
      </c>
      <c r="I146" s="341">
        <f>+E145*8</f>
        <v>0</v>
      </c>
      <c r="J146" s="341" t="s">
        <v>782</v>
      </c>
      <c r="K146" s="953"/>
    </row>
    <row r="147" spans="1:11" s="20" customFormat="1" ht="13.5" customHeight="1">
      <c r="A147" s="953"/>
      <c r="B147" s="953"/>
      <c r="C147" s="953"/>
      <c r="D147" s="953"/>
      <c r="E147" s="956"/>
      <c r="F147" s="953"/>
      <c r="G147" s="318" t="s">
        <v>671</v>
      </c>
      <c r="H147" s="318" t="s">
        <v>89</v>
      </c>
      <c r="I147" s="348">
        <f>+E145*1.5</f>
        <v>0</v>
      </c>
      <c r="J147" s="348" t="s">
        <v>785</v>
      </c>
      <c r="K147" s="953"/>
    </row>
    <row r="148" spans="1:11" s="20" customFormat="1" ht="13.5" customHeight="1">
      <c r="A148" s="953" t="s">
        <v>880</v>
      </c>
      <c r="B148" s="953">
        <v>75</v>
      </c>
      <c r="C148" s="953" t="s">
        <v>881</v>
      </c>
      <c r="D148" s="953" t="s">
        <v>886</v>
      </c>
      <c r="E148" s="954"/>
      <c r="F148" s="953" t="s">
        <v>890</v>
      </c>
      <c r="G148" s="318" t="s">
        <v>804</v>
      </c>
      <c r="H148" s="319" t="s">
        <v>93</v>
      </c>
      <c r="I148" s="348">
        <f>+E148*0.5</f>
        <v>0</v>
      </c>
      <c r="J148" s="348" t="s">
        <v>81</v>
      </c>
      <c r="K148" s="953"/>
    </row>
    <row r="149" spans="1:11" s="20" customFormat="1" ht="13.5" customHeight="1">
      <c r="A149" s="953"/>
      <c r="B149" s="953"/>
      <c r="C149" s="953"/>
      <c r="D149" s="953"/>
      <c r="E149" s="955"/>
      <c r="F149" s="953"/>
      <c r="G149" s="342" t="s">
        <v>101</v>
      </c>
      <c r="H149" s="342" t="s">
        <v>783</v>
      </c>
      <c r="I149" s="341">
        <f>+E148*8</f>
        <v>0</v>
      </c>
      <c r="J149" s="341" t="s">
        <v>782</v>
      </c>
      <c r="K149" s="953"/>
    </row>
    <row r="150" spans="1:11" s="20" customFormat="1" ht="13.5" customHeight="1">
      <c r="A150" s="953"/>
      <c r="B150" s="953"/>
      <c r="C150" s="953"/>
      <c r="D150" s="953"/>
      <c r="E150" s="956"/>
      <c r="F150" s="953"/>
      <c r="G150" s="318" t="s">
        <v>671</v>
      </c>
      <c r="H150" s="318" t="s">
        <v>89</v>
      </c>
      <c r="I150" s="348">
        <f>+E148*2</f>
        <v>0</v>
      </c>
      <c r="J150" s="348" t="s">
        <v>785</v>
      </c>
      <c r="K150" s="953"/>
    </row>
    <row r="151" spans="1:11" s="20" customFormat="1" ht="13.5" customHeight="1">
      <c r="A151" s="953" t="s">
        <v>880</v>
      </c>
      <c r="B151" s="953">
        <v>75</v>
      </c>
      <c r="C151" s="953" t="s">
        <v>888</v>
      </c>
      <c r="D151" s="953" t="s">
        <v>801</v>
      </c>
      <c r="E151" s="954"/>
      <c r="F151" s="953" t="s">
        <v>883</v>
      </c>
      <c r="G151" s="318" t="s">
        <v>804</v>
      </c>
      <c r="H151" s="319" t="s">
        <v>93</v>
      </c>
      <c r="I151" s="348">
        <f>+E151*2</f>
        <v>0</v>
      </c>
      <c r="J151" s="348" t="s">
        <v>81</v>
      </c>
      <c r="K151" s="953"/>
    </row>
    <row r="152" spans="1:11" s="20" customFormat="1" ht="13.5" customHeight="1">
      <c r="A152" s="953"/>
      <c r="B152" s="953"/>
      <c r="C152" s="953"/>
      <c r="D152" s="953"/>
      <c r="E152" s="955"/>
      <c r="F152" s="953"/>
      <c r="G152" s="342" t="s">
        <v>101</v>
      </c>
      <c r="H152" s="342" t="s">
        <v>783</v>
      </c>
      <c r="I152" s="341">
        <f>+E151*8</f>
        <v>0</v>
      </c>
      <c r="J152" s="341" t="s">
        <v>782</v>
      </c>
      <c r="K152" s="953"/>
    </row>
    <row r="153" spans="1:11" s="20" customFormat="1" ht="13.5" customHeight="1">
      <c r="A153" s="953"/>
      <c r="B153" s="953"/>
      <c r="C153" s="953"/>
      <c r="D153" s="953"/>
      <c r="E153" s="956"/>
      <c r="F153" s="953"/>
      <c r="G153" s="318" t="s">
        <v>671</v>
      </c>
      <c r="H153" s="318" t="s">
        <v>89</v>
      </c>
      <c r="I153" s="348">
        <f>+E151*2.5</f>
        <v>0</v>
      </c>
      <c r="J153" s="348" t="s">
        <v>785</v>
      </c>
      <c r="K153" s="953"/>
    </row>
    <row r="154" spans="1:11" s="20" customFormat="1" ht="13.5" customHeight="1">
      <c r="A154" s="953" t="s">
        <v>880</v>
      </c>
      <c r="B154" s="953">
        <v>150</v>
      </c>
      <c r="C154" s="953" t="s">
        <v>881</v>
      </c>
      <c r="D154" s="953" t="s">
        <v>889</v>
      </c>
      <c r="E154" s="954"/>
      <c r="F154" s="953" t="s">
        <v>883</v>
      </c>
      <c r="G154" s="318" t="s">
        <v>804</v>
      </c>
      <c r="H154" s="319" t="s">
        <v>93</v>
      </c>
      <c r="I154" s="348">
        <f>+E154*0.5</f>
        <v>0</v>
      </c>
      <c r="J154" s="348" t="s">
        <v>81</v>
      </c>
      <c r="K154" s="953"/>
    </row>
    <row r="155" spans="1:11" ht="13.5" customHeight="1">
      <c r="A155" s="953"/>
      <c r="B155" s="953"/>
      <c r="C155" s="953"/>
      <c r="D155" s="953"/>
      <c r="E155" s="955"/>
      <c r="F155" s="953"/>
      <c r="G155" s="342" t="s">
        <v>101</v>
      </c>
      <c r="H155" s="342" t="s">
        <v>783</v>
      </c>
      <c r="I155" s="341">
        <f>+E154*8</f>
        <v>0</v>
      </c>
      <c r="J155" s="341" t="s">
        <v>782</v>
      </c>
      <c r="K155" s="953"/>
    </row>
    <row r="156" spans="1:11" ht="13.5" customHeight="1">
      <c r="A156" s="953"/>
      <c r="B156" s="953"/>
      <c r="C156" s="953"/>
      <c r="D156" s="953"/>
      <c r="E156" s="956"/>
      <c r="F156" s="953"/>
      <c r="G156" s="318" t="s">
        <v>671</v>
      </c>
      <c r="H156" s="318" t="s">
        <v>89</v>
      </c>
      <c r="I156" s="348">
        <f>+E154*1</f>
        <v>0</v>
      </c>
      <c r="J156" s="348" t="s">
        <v>785</v>
      </c>
      <c r="K156" s="953"/>
    </row>
    <row r="157" spans="1:11" ht="13.5" customHeight="1">
      <c r="A157" s="953" t="s">
        <v>880</v>
      </c>
      <c r="B157" s="953">
        <v>150</v>
      </c>
      <c r="C157" s="953" t="s">
        <v>881</v>
      </c>
      <c r="D157" s="953" t="s">
        <v>886</v>
      </c>
      <c r="E157" s="954"/>
      <c r="F157" s="953" t="s">
        <v>883</v>
      </c>
      <c r="G157" s="318" t="s">
        <v>804</v>
      </c>
      <c r="H157" s="319" t="s">
        <v>93</v>
      </c>
      <c r="I157" s="348">
        <f>+E157*0.5</f>
        <v>0</v>
      </c>
      <c r="J157" s="348" t="s">
        <v>81</v>
      </c>
      <c r="K157" s="953"/>
    </row>
    <row r="158" spans="1:11" ht="13.5" customHeight="1">
      <c r="A158" s="953"/>
      <c r="B158" s="953"/>
      <c r="C158" s="953"/>
      <c r="D158" s="953"/>
      <c r="E158" s="955"/>
      <c r="F158" s="953"/>
      <c r="G158" s="342" t="s">
        <v>101</v>
      </c>
      <c r="H158" s="342" t="s">
        <v>783</v>
      </c>
      <c r="I158" s="341">
        <f>+E157*8</f>
        <v>0</v>
      </c>
      <c r="J158" s="341" t="s">
        <v>782</v>
      </c>
      <c r="K158" s="953"/>
    </row>
    <row r="159" spans="1:11" ht="13.5" customHeight="1">
      <c r="A159" s="953"/>
      <c r="B159" s="953"/>
      <c r="C159" s="953"/>
      <c r="D159" s="953"/>
      <c r="E159" s="956"/>
      <c r="F159" s="953"/>
      <c r="G159" s="318" t="s">
        <v>671</v>
      </c>
      <c r="H159" s="318" t="s">
        <v>89</v>
      </c>
      <c r="I159" s="348">
        <f>+E157*1.5</f>
        <v>0</v>
      </c>
      <c r="J159" s="348" t="s">
        <v>785</v>
      </c>
      <c r="K159" s="953"/>
    </row>
    <row r="160" spans="1:11" ht="13.5" customHeight="1">
      <c r="A160" s="953" t="s">
        <v>880</v>
      </c>
      <c r="B160" s="953">
        <v>150</v>
      </c>
      <c r="C160" s="953" t="s">
        <v>888</v>
      </c>
      <c r="D160" s="953" t="s">
        <v>801</v>
      </c>
      <c r="E160" s="954"/>
      <c r="F160" s="953" t="s">
        <v>883</v>
      </c>
      <c r="G160" s="318" t="s">
        <v>804</v>
      </c>
      <c r="H160" s="319" t="s">
        <v>93</v>
      </c>
      <c r="I160" s="348">
        <f>+E160*2</f>
        <v>0</v>
      </c>
      <c r="J160" s="348" t="s">
        <v>81</v>
      </c>
      <c r="K160" s="953"/>
    </row>
    <row r="161" spans="1:11" ht="13.5" customHeight="1">
      <c r="A161" s="953"/>
      <c r="B161" s="953"/>
      <c r="C161" s="953"/>
      <c r="D161" s="953"/>
      <c r="E161" s="955"/>
      <c r="F161" s="953"/>
      <c r="G161" s="342" t="s">
        <v>101</v>
      </c>
      <c r="H161" s="342" t="s">
        <v>783</v>
      </c>
      <c r="I161" s="341">
        <f>+E160*8</f>
        <v>0</v>
      </c>
      <c r="J161" s="341" t="s">
        <v>782</v>
      </c>
      <c r="K161" s="953"/>
    </row>
    <row r="162" spans="1:11" ht="13.5" customHeight="1">
      <c r="A162" s="953"/>
      <c r="B162" s="953"/>
      <c r="C162" s="953"/>
      <c r="D162" s="953"/>
      <c r="E162" s="956"/>
      <c r="F162" s="953"/>
      <c r="G162" s="318" t="s">
        <v>671</v>
      </c>
      <c r="H162" s="318" t="s">
        <v>89</v>
      </c>
      <c r="I162" s="348">
        <f>+E160*2.5</f>
        <v>0</v>
      </c>
      <c r="J162" s="348" t="s">
        <v>785</v>
      </c>
      <c r="K162" s="953"/>
    </row>
    <row r="163" spans="1:11" ht="13.5" customHeight="1">
      <c r="A163" s="943" t="s">
        <v>880</v>
      </c>
      <c r="B163" s="943" t="s">
        <v>891</v>
      </c>
      <c r="C163" s="943" t="s">
        <v>881</v>
      </c>
      <c r="D163" s="943" t="s">
        <v>806</v>
      </c>
      <c r="E163" s="945"/>
      <c r="F163" s="943" t="s">
        <v>883</v>
      </c>
      <c r="G163" s="318" t="s">
        <v>804</v>
      </c>
      <c r="H163" s="319" t="s">
        <v>93</v>
      </c>
      <c r="I163" s="348">
        <f>+E163*1</f>
        <v>0</v>
      </c>
      <c r="J163" s="348" t="s">
        <v>81</v>
      </c>
      <c r="K163" s="957"/>
    </row>
    <row r="164" spans="1:11" ht="13.5" customHeight="1">
      <c r="A164" s="943"/>
      <c r="B164" s="943"/>
      <c r="C164" s="943"/>
      <c r="D164" s="943"/>
      <c r="E164" s="946"/>
      <c r="F164" s="943"/>
      <c r="G164" s="342" t="s">
        <v>101</v>
      </c>
      <c r="H164" s="342" t="s">
        <v>783</v>
      </c>
      <c r="I164" s="341">
        <f>+E163*8</f>
        <v>0</v>
      </c>
      <c r="J164" s="341" t="s">
        <v>782</v>
      </c>
      <c r="K164" s="957"/>
    </row>
    <row r="165" spans="1:11" ht="13.5" customHeight="1">
      <c r="A165" s="943"/>
      <c r="B165" s="943"/>
      <c r="C165" s="943"/>
      <c r="D165" s="943"/>
      <c r="E165" s="952"/>
      <c r="F165" s="943"/>
      <c r="G165" s="318" t="s">
        <v>671</v>
      </c>
      <c r="H165" s="318" t="s">
        <v>89</v>
      </c>
      <c r="I165" s="348">
        <f>+E163*2.5</f>
        <v>0</v>
      </c>
      <c r="J165" s="348" t="s">
        <v>785</v>
      </c>
      <c r="K165" s="957"/>
    </row>
    <row r="166" spans="1:11" ht="13.5" customHeight="1">
      <c r="A166" s="943" t="s">
        <v>892</v>
      </c>
      <c r="B166" s="943" t="s">
        <v>893</v>
      </c>
      <c r="C166" s="943" t="s">
        <v>802</v>
      </c>
      <c r="D166" s="943" t="s">
        <v>802</v>
      </c>
      <c r="E166" s="945"/>
      <c r="F166" s="943" t="s">
        <v>894</v>
      </c>
      <c r="G166" s="342" t="s">
        <v>804</v>
      </c>
      <c r="H166" s="19" t="s">
        <v>93</v>
      </c>
      <c r="I166" s="341">
        <f>+E166*0.5</f>
        <v>0</v>
      </c>
      <c r="J166" s="341" t="s">
        <v>787</v>
      </c>
      <c r="K166" s="943"/>
    </row>
    <row r="167" spans="1:11" ht="13.5" customHeight="1">
      <c r="A167" s="943"/>
      <c r="B167" s="943"/>
      <c r="C167" s="943"/>
      <c r="D167" s="943"/>
      <c r="E167" s="946"/>
      <c r="F167" s="943"/>
      <c r="G167" s="342" t="s">
        <v>895</v>
      </c>
      <c r="H167" s="19"/>
      <c r="I167" s="341">
        <f>+E166*5</f>
        <v>0</v>
      </c>
      <c r="J167" s="341" t="s">
        <v>896</v>
      </c>
      <c r="K167" s="943"/>
    </row>
    <row r="168" spans="1:11" ht="13.5" customHeight="1">
      <c r="A168" s="943"/>
      <c r="B168" s="943"/>
      <c r="C168" s="943"/>
      <c r="D168" s="943"/>
      <c r="E168" s="952"/>
      <c r="F168" s="943"/>
      <c r="G168" s="342" t="s">
        <v>671</v>
      </c>
      <c r="H168" s="342" t="s">
        <v>89</v>
      </c>
      <c r="I168" s="341">
        <f>+E166*2.5</f>
        <v>0</v>
      </c>
      <c r="J168" s="341" t="s">
        <v>785</v>
      </c>
      <c r="K168" s="943"/>
    </row>
    <row r="169" spans="1:11" ht="13.5" customHeight="1">
      <c r="A169" s="943" t="s">
        <v>897</v>
      </c>
      <c r="B169" s="943" t="s">
        <v>898</v>
      </c>
      <c r="C169" s="943" t="s">
        <v>899</v>
      </c>
      <c r="D169" s="943" t="s">
        <v>802</v>
      </c>
      <c r="E169" s="945"/>
      <c r="F169" s="943" t="s">
        <v>900</v>
      </c>
      <c r="G169" s="342" t="s">
        <v>804</v>
      </c>
      <c r="H169" s="319" t="s">
        <v>93</v>
      </c>
      <c r="I169" s="341">
        <f>+E169*1</f>
        <v>0</v>
      </c>
      <c r="J169" s="341" t="s">
        <v>81</v>
      </c>
      <c r="K169" s="943" t="s">
        <v>901</v>
      </c>
    </row>
    <row r="170" spans="1:11" ht="13.5" customHeight="1">
      <c r="A170" s="943"/>
      <c r="B170" s="943"/>
      <c r="C170" s="943"/>
      <c r="D170" s="943"/>
      <c r="E170" s="946"/>
      <c r="F170" s="943"/>
      <c r="G170" s="342" t="s">
        <v>101</v>
      </c>
      <c r="H170" s="342" t="s">
        <v>783</v>
      </c>
      <c r="I170" s="341">
        <f>+E169*4</f>
        <v>0</v>
      </c>
      <c r="J170" s="341" t="s">
        <v>782</v>
      </c>
      <c r="K170" s="943"/>
    </row>
    <row r="171" spans="1:11" ht="13.5" customHeight="1">
      <c r="A171" s="943"/>
      <c r="B171" s="943"/>
      <c r="C171" s="943"/>
      <c r="D171" s="943"/>
      <c r="E171" s="952"/>
      <c r="F171" s="943"/>
      <c r="G171" s="342" t="s">
        <v>671</v>
      </c>
      <c r="H171" s="342" t="s">
        <v>89</v>
      </c>
      <c r="I171" s="341">
        <f>+E169*3</f>
        <v>0</v>
      </c>
      <c r="J171" s="341" t="s">
        <v>785</v>
      </c>
      <c r="K171" s="943"/>
    </row>
    <row r="172" spans="1:11" ht="13.5" customHeight="1">
      <c r="A172" s="943" t="s">
        <v>897</v>
      </c>
      <c r="B172" s="943" t="s">
        <v>902</v>
      </c>
      <c r="C172" s="943" t="s">
        <v>899</v>
      </c>
      <c r="D172" s="943" t="s">
        <v>802</v>
      </c>
      <c r="E172" s="945"/>
      <c r="F172" s="943" t="s">
        <v>900</v>
      </c>
      <c r="G172" s="342" t="s">
        <v>804</v>
      </c>
      <c r="H172" s="319" t="s">
        <v>93</v>
      </c>
      <c r="I172" s="341">
        <f>+E172*1.5</f>
        <v>0</v>
      </c>
      <c r="J172" s="341" t="s">
        <v>81</v>
      </c>
      <c r="K172" s="943" t="s">
        <v>901</v>
      </c>
    </row>
    <row r="173" spans="1:11" ht="13.5" customHeight="1">
      <c r="A173" s="943"/>
      <c r="B173" s="943"/>
      <c r="C173" s="943"/>
      <c r="D173" s="943"/>
      <c r="E173" s="946"/>
      <c r="F173" s="943"/>
      <c r="G173" s="342" t="s">
        <v>101</v>
      </c>
      <c r="H173" s="342" t="s">
        <v>783</v>
      </c>
      <c r="I173" s="341">
        <f>+E172*4</f>
        <v>0</v>
      </c>
      <c r="J173" s="341" t="s">
        <v>782</v>
      </c>
      <c r="K173" s="943"/>
    </row>
    <row r="174" spans="1:11" ht="13.5" customHeight="1">
      <c r="A174" s="943"/>
      <c r="B174" s="943"/>
      <c r="C174" s="943"/>
      <c r="D174" s="943"/>
      <c r="E174" s="952"/>
      <c r="F174" s="943"/>
      <c r="G174" s="342" t="s">
        <v>671</v>
      </c>
      <c r="H174" s="342" t="s">
        <v>89</v>
      </c>
      <c r="I174" s="341">
        <f>+E172*4</f>
        <v>0</v>
      </c>
      <c r="J174" s="341" t="s">
        <v>785</v>
      </c>
      <c r="K174" s="943"/>
    </row>
    <row r="175" spans="1:11" ht="13.5" customHeight="1">
      <c r="A175" s="943" t="s">
        <v>903</v>
      </c>
      <c r="B175" s="943" t="s">
        <v>904</v>
      </c>
      <c r="C175" s="943"/>
      <c r="D175" s="943"/>
      <c r="E175" s="945"/>
      <c r="F175" s="943" t="s">
        <v>883</v>
      </c>
      <c r="G175" s="342" t="s">
        <v>804</v>
      </c>
      <c r="H175" s="319" t="s">
        <v>93</v>
      </c>
      <c r="I175" s="341">
        <f>+E175*1.5</f>
        <v>0</v>
      </c>
      <c r="J175" s="341" t="s">
        <v>81</v>
      </c>
      <c r="K175" s="943" t="s">
        <v>901</v>
      </c>
    </row>
    <row r="176" spans="1:11" ht="13.5" customHeight="1">
      <c r="A176" s="943"/>
      <c r="B176" s="943"/>
      <c r="C176" s="943"/>
      <c r="D176" s="943"/>
      <c r="E176" s="952"/>
      <c r="F176" s="943"/>
      <c r="G176" s="342" t="s">
        <v>671</v>
      </c>
      <c r="H176" s="342" t="s">
        <v>89</v>
      </c>
      <c r="I176" s="341">
        <f>+E175*4</f>
        <v>0</v>
      </c>
      <c r="J176" s="341" t="s">
        <v>785</v>
      </c>
      <c r="K176" s="943"/>
    </row>
    <row r="177" spans="1:11" ht="13.5" customHeight="1">
      <c r="A177" s="943" t="s">
        <v>905</v>
      </c>
      <c r="B177" s="943" t="s">
        <v>906</v>
      </c>
      <c r="C177" s="943">
        <v>50</v>
      </c>
      <c r="D177" s="943" t="s">
        <v>907</v>
      </c>
      <c r="E177" s="945"/>
      <c r="F177" s="943" t="s">
        <v>908</v>
      </c>
      <c r="G177" s="342" t="s">
        <v>884</v>
      </c>
      <c r="H177" s="19"/>
      <c r="I177" s="341">
        <f>+E177*1</f>
        <v>0</v>
      </c>
      <c r="J177" s="341" t="s">
        <v>782</v>
      </c>
      <c r="K177" s="943"/>
    </row>
    <row r="178" spans="1:11" ht="13.5" customHeight="1">
      <c r="A178" s="943"/>
      <c r="B178" s="943"/>
      <c r="C178" s="943"/>
      <c r="D178" s="943"/>
      <c r="E178" s="946"/>
      <c r="F178" s="943"/>
      <c r="G178" s="342" t="s">
        <v>885</v>
      </c>
      <c r="H178" s="342" t="s">
        <v>783</v>
      </c>
      <c r="I178" s="341">
        <f>+E177*4</f>
        <v>0</v>
      </c>
      <c r="J178" s="341" t="s">
        <v>782</v>
      </c>
      <c r="K178" s="943"/>
    </row>
    <row r="179" spans="1:11" ht="13.5" customHeight="1">
      <c r="A179" s="943"/>
      <c r="B179" s="943"/>
      <c r="C179" s="943"/>
      <c r="D179" s="943"/>
      <c r="E179" s="952"/>
      <c r="F179" s="943"/>
      <c r="G179" s="342" t="s">
        <v>671</v>
      </c>
      <c r="H179" s="342" t="s">
        <v>89</v>
      </c>
      <c r="I179" s="341">
        <f>+E177*1.5</f>
        <v>0</v>
      </c>
      <c r="J179" s="341" t="s">
        <v>785</v>
      </c>
      <c r="K179" s="943"/>
    </row>
    <row r="180" spans="1:11" ht="13.5" customHeight="1">
      <c r="A180" s="943" t="s">
        <v>905</v>
      </c>
      <c r="B180" s="943" t="s">
        <v>909</v>
      </c>
      <c r="C180" s="943">
        <v>50</v>
      </c>
      <c r="D180" s="943" t="s">
        <v>907</v>
      </c>
      <c r="E180" s="945"/>
      <c r="F180" s="943" t="s">
        <v>908</v>
      </c>
      <c r="G180" s="342" t="s">
        <v>884</v>
      </c>
      <c r="H180" s="19"/>
      <c r="I180" s="341">
        <f>+E180*2</f>
        <v>0</v>
      </c>
      <c r="J180" s="341" t="s">
        <v>782</v>
      </c>
      <c r="K180" s="943"/>
    </row>
    <row r="181" spans="1:11" ht="13.5" customHeight="1">
      <c r="A181" s="943"/>
      <c r="B181" s="943"/>
      <c r="C181" s="943"/>
      <c r="D181" s="943"/>
      <c r="E181" s="946"/>
      <c r="F181" s="943"/>
      <c r="G181" s="342" t="s">
        <v>885</v>
      </c>
      <c r="H181" s="342" t="s">
        <v>783</v>
      </c>
      <c r="I181" s="341">
        <f>+E180*4</f>
        <v>0</v>
      </c>
      <c r="J181" s="341" t="s">
        <v>782</v>
      </c>
      <c r="K181" s="943"/>
    </row>
    <row r="182" spans="1:11" ht="13.5" customHeight="1">
      <c r="A182" s="943"/>
      <c r="B182" s="943"/>
      <c r="C182" s="943"/>
      <c r="D182" s="943"/>
      <c r="E182" s="952"/>
      <c r="F182" s="943"/>
      <c r="G182" s="342" t="s">
        <v>671</v>
      </c>
      <c r="H182" s="342" t="s">
        <v>89</v>
      </c>
      <c r="I182" s="341">
        <f>+E180*2.5</f>
        <v>0</v>
      </c>
      <c r="J182" s="341" t="s">
        <v>785</v>
      </c>
      <c r="K182" s="943"/>
    </row>
    <row r="183" spans="1:11" ht="13.5" customHeight="1">
      <c r="A183" s="943" t="s">
        <v>905</v>
      </c>
      <c r="B183" s="943" t="s">
        <v>906</v>
      </c>
      <c r="C183" s="943">
        <v>50</v>
      </c>
      <c r="D183" s="943" t="s">
        <v>910</v>
      </c>
      <c r="E183" s="945"/>
      <c r="F183" s="943" t="s">
        <v>908</v>
      </c>
      <c r="G183" s="342" t="s">
        <v>887</v>
      </c>
      <c r="H183" s="19"/>
      <c r="I183" s="341">
        <f>+E183*1</f>
        <v>0</v>
      </c>
      <c r="J183" s="341" t="s">
        <v>782</v>
      </c>
      <c r="K183" s="943"/>
    </row>
    <row r="184" spans="1:11" ht="13.5" customHeight="1">
      <c r="A184" s="943"/>
      <c r="B184" s="943"/>
      <c r="C184" s="943"/>
      <c r="D184" s="943"/>
      <c r="E184" s="946"/>
      <c r="F184" s="943"/>
      <c r="G184" s="342" t="s">
        <v>885</v>
      </c>
      <c r="H184" s="342" t="s">
        <v>783</v>
      </c>
      <c r="I184" s="341">
        <f>+E183*4</f>
        <v>0</v>
      </c>
      <c r="J184" s="341" t="s">
        <v>782</v>
      </c>
      <c r="K184" s="943"/>
    </row>
    <row r="185" spans="1:11" ht="13.5" customHeight="1">
      <c r="A185" s="943"/>
      <c r="B185" s="943"/>
      <c r="C185" s="943"/>
      <c r="D185" s="943"/>
      <c r="E185" s="952"/>
      <c r="F185" s="943"/>
      <c r="G185" s="342" t="s">
        <v>671</v>
      </c>
      <c r="H185" s="342" t="s">
        <v>89</v>
      </c>
      <c r="I185" s="341">
        <f>+E183*1.5</f>
        <v>0</v>
      </c>
      <c r="J185" s="341" t="s">
        <v>785</v>
      </c>
      <c r="K185" s="943"/>
    </row>
    <row r="186" spans="1:11" ht="13.5" customHeight="1">
      <c r="A186" s="943" t="s">
        <v>905</v>
      </c>
      <c r="B186" s="943" t="s">
        <v>909</v>
      </c>
      <c r="C186" s="943">
        <v>50</v>
      </c>
      <c r="D186" s="943" t="s">
        <v>910</v>
      </c>
      <c r="E186" s="945"/>
      <c r="F186" s="943" t="s">
        <v>908</v>
      </c>
      <c r="G186" s="342" t="s">
        <v>887</v>
      </c>
      <c r="H186" s="19"/>
      <c r="I186" s="341">
        <f>+E186*2</f>
        <v>0</v>
      </c>
      <c r="J186" s="341" t="s">
        <v>782</v>
      </c>
      <c r="K186" s="943"/>
    </row>
    <row r="187" spans="1:11" ht="13.5" customHeight="1">
      <c r="A187" s="943"/>
      <c r="B187" s="943"/>
      <c r="C187" s="943"/>
      <c r="D187" s="943"/>
      <c r="E187" s="946"/>
      <c r="F187" s="943"/>
      <c r="G187" s="342" t="s">
        <v>885</v>
      </c>
      <c r="H187" s="342" t="s">
        <v>783</v>
      </c>
      <c r="I187" s="341">
        <f>+E186*4</f>
        <v>0</v>
      </c>
      <c r="J187" s="341" t="s">
        <v>782</v>
      </c>
      <c r="K187" s="943"/>
    </row>
    <row r="188" spans="1:11" ht="13.5" customHeight="1">
      <c r="A188" s="943"/>
      <c r="B188" s="943"/>
      <c r="C188" s="943"/>
      <c r="D188" s="943"/>
      <c r="E188" s="952"/>
      <c r="F188" s="943"/>
      <c r="G188" s="342" t="s">
        <v>671</v>
      </c>
      <c r="H188" s="342" t="s">
        <v>89</v>
      </c>
      <c r="I188" s="341">
        <f>+E186*2.5</f>
        <v>0</v>
      </c>
      <c r="J188" s="341" t="s">
        <v>785</v>
      </c>
      <c r="K188" s="943"/>
    </row>
    <row r="189" spans="1:11" ht="13.5" customHeight="1">
      <c r="A189" s="943" t="s">
        <v>911</v>
      </c>
      <c r="B189" s="943" t="s">
        <v>904</v>
      </c>
      <c r="C189" s="943" t="s">
        <v>904</v>
      </c>
      <c r="D189" s="943" t="s">
        <v>904</v>
      </c>
      <c r="E189" s="945"/>
      <c r="F189" s="943" t="s">
        <v>883</v>
      </c>
      <c r="G189" s="342" t="s">
        <v>804</v>
      </c>
      <c r="H189" s="319" t="s">
        <v>93</v>
      </c>
      <c r="I189" s="341">
        <f>+E189*1</f>
        <v>0</v>
      </c>
      <c r="J189" s="341" t="s">
        <v>81</v>
      </c>
      <c r="K189" s="943" t="s">
        <v>901</v>
      </c>
    </row>
    <row r="190" spans="1:11" ht="13.5" customHeight="1">
      <c r="A190" s="943"/>
      <c r="B190" s="943"/>
      <c r="C190" s="943"/>
      <c r="D190" s="943"/>
      <c r="E190" s="952"/>
      <c r="F190" s="943"/>
      <c r="G190" s="342" t="s">
        <v>671</v>
      </c>
      <c r="H190" s="342" t="s">
        <v>89</v>
      </c>
      <c r="I190" s="341">
        <f>+E189*3</f>
        <v>0</v>
      </c>
      <c r="J190" s="341" t="s">
        <v>785</v>
      </c>
      <c r="K190" s="943"/>
    </row>
    <row r="191" spans="1:11" ht="13.5" customHeight="1">
      <c r="A191" s="943" t="s">
        <v>912</v>
      </c>
      <c r="B191" s="943" t="s">
        <v>906</v>
      </c>
      <c r="C191" s="943" t="s">
        <v>904</v>
      </c>
      <c r="D191" s="943" t="s">
        <v>847</v>
      </c>
      <c r="E191" s="945"/>
      <c r="F191" s="947" t="s">
        <v>913</v>
      </c>
      <c r="G191" s="342" t="s">
        <v>804</v>
      </c>
      <c r="H191" s="319" t="s">
        <v>93</v>
      </c>
      <c r="I191" s="341">
        <f>+E191*0.3</f>
        <v>0</v>
      </c>
      <c r="J191" s="341" t="s">
        <v>81</v>
      </c>
      <c r="K191" s="943"/>
    </row>
    <row r="192" spans="1:11" ht="18" customHeight="1">
      <c r="A192" s="943"/>
      <c r="B192" s="943"/>
      <c r="C192" s="943"/>
      <c r="D192" s="943"/>
      <c r="E192" s="946"/>
      <c r="F192" s="947"/>
      <c r="G192" s="342" t="s">
        <v>101</v>
      </c>
      <c r="H192" s="342" t="s">
        <v>783</v>
      </c>
      <c r="I192" s="341">
        <f>+E191*8</f>
        <v>0</v>
      </c>
      <c r="J192" s="341" t="s">
        <v>782</v>
      </c>
      <c r="K192" s="943"/>
    </row>
    <row r="193" spans="1:11" ht="13.5" customHeight="1">
      <c r="A193" s="943"/>
      <c r="B193" s="943"/>
      <c r="C193" s="943"/>
      <c r="D193" s="943"/>
      <c r="E193" s="952"/>
      <c r="F193" s="947"/>
      <c r="G193" s="342" t="s">
        <v>671</v>
      </c>
      <c r="H193" s="342" t="s">
        <v>89</v>
      </c>
      <c r="I193" s="341">
        <f>+E191*1.5</f>
        <v>0</v>
      </c>
      <c r="J193" s="341" t="s">
        <v>785</v>
      </c>
      <c r="K193" s="943"/>
    </row>
    <row r="194" spans="1:11" ht="13.5" customHeight="1">
      <c r="A194" s="943" t="s">
        <v>914</v>
      </c>
      <c r="B194" s="943" t="s">
        <v>801</v>
      </c>
      <c r="C194" s="943" t="s">
        <v>915</v>
      </c>
      <c r="D194" s="943" t="s">
        <v>904</v>
      </c>
      <c r="E194" s="945"/>
      <c r="F194" s="947" t="s">
        <v>916</v>
      </c>
      <c r="G194" s="342" t="s">
        <v>804</v>
      </c>
      <c r="H194" s="319" t="s">
        <v>93</v>
      </c>
      <c r="I194" s="341">
        <f>+E194*1</f>
        <v>0</v>
      </c>
      <c r="J194" s="341" t="s">
        <v>81</v>
      </c>
      <c r="K194" s="943" t="s">
        <v>917</v>
      </c>
    </row>
    <row r="195" spans="1:11" ht="13.5" customHeight="1">
      <c r="A195" s="943"/>
      <c r="B195" s="943"/>
      <c r="C195" s="943"/>
      <c r="D195" s="943"/>
      <c r="E195" s="946"/>
      <c r="F195" s="947"/>
      <c r="G195" s="342" t="s">
        <v>918</v>
      </c>
      <c r="H195" s="342" t="s">
        <v>783</v>
      </c>
      <c r="I195" s="341">
        <f>+E194*4</f>
        <v>0</v>
      </c>
      <c r="J195" s="341" t="s">
        <v>782</v>
      </c>
      <c r="K195" s="943"/>
    </row>
    <row r="196" spans="1:11" ht="13.5" customHeight="1">
      <c r="A196" s="944"/>
      <c r="B196" s="944"/>
      <c r="C196" s="944"/>
      <c r="D196" s="944"/>
      <c r="E196" s="946"/>
      <c r="F196" s="948"/>
      <c r="G196" s="24" t="s">
        <v>671</v>
      </c>
      <c r="H196" s="24" t="s">
        <v>89</v>
      </c>
      <c r="I196" s="343">
        <f>+E194*5</f>
        <v>0</v>
      </c>
      <c r="J196" s="343" t="s">
        <v>785</v>
      </c>
      <c r="K196" s="944"/>
    </row>
    <row r="197" spans="1:11" ht="13.5" customHeight="1">
      <c r="A197" s="949" t="s">
        <v>914</v>
      </c>
      <c r="B197" s="949" t="s">
        <v>919</v>
      </c>
      <c r="C197" s="949" t="s">
        <v>915</v>
      </c>
      <c r="D197" s="949" t="s">
        <v>904</v>
      </c>
      <c r="E197" s="950"/>
      <c r="F197" s="951" t="s">
        <v>908</v>
      </c>
      <c r="G197" s="327" t="s">
        <v>804</v>
      </c>
      <c r="H197" s="328" t="s">
        <v>93</v>
      </c>
      <c r="I197" s="347">
        <f>+E197*1.5</f>
        <v>0</v>
      </c>
      <c r="J197" s="347" t="s">
        <v>81</v>
      </c>
      <c r="K197" s="949" t="s">
        <v>917</v>
      </c>
    </row>
    <row r="198" spans="1:11" ht="13.5" customHeight="1">
      <c r="A198" s="949"/>
      <c r="B198" s="949"/>
      <c r="C198" s="949"/>
      <c r="D198" s="949"/>
      <c r="E198" s="950"/>
      <c r="F198" s="951"/>
      <c r="G198" s="327" t="s">
        <v>918</v>
      </c>
      <c r="H198" s="327" t="s">
        <v>783</v>
      </c>
      <c r="I198" s="347">
        <f>+E197*4</f>
        <v>0</v>
      </c>
      <c r="J198" s="347" t="s">
        <v>782</v>
      </c>
      <c r="K198" s="949"/>
    </row>
    <row r="199" spans="1:11" ht="13.5" customHeight="1">
      <c r="A199" s="949"/>
      <c r="B199" s="949"/>
      <c r="C199" s="949"/>
      <c r="D199" s="949"/>
      <c r="E199" s="950"/>
      <c r="F199" s="951"/>
      <c r="G199" s="327" t="s">
        <v>671</v>
      </c>
      <c r="H199" s="327" t="s">
        <v>89</v>
      </c>
      <c r="I199" s="347">
        <f>+E197*5</f>
        <v>0</v>
      </c>
      <c r="J199" s="347" t="s">
        <v>785</v>
      </c>
      <c r="K199" s="949"/>
    </row>
    <row r="200" spans="1:11" ht="13.5" customHeight="1">
      <c r="A200" s="356"/>
      <c r="B200" s="356"/>
      <c r="C200" s="356"/>
      <c r="D200" s="356"/>
      <c r="E200" s="357"/>
      <c r="F200" s="347" t="s">
        <v>920</v>
      </c>
      <c r="G200" s="327" t="s">
        <v>921</v>
      </c>
      <c r="H200" s="356"/>
      <c r="I200" s="356"/>
      <c r="J200" s="347" t="s">
        <v>896</v>
      </c>
      <c r="K200" s="358"/>
    </row>
    <row r="201" spans="1:11" ht="13.5" customHeight="1">
      <c r="A201" s="356"/>
      <c r="B201" s="356"/>
      <c r="C201" s="356"/>
      <c r="D201" s="356"/>
      <c r="E201" s="357"/>
      <c r="F201" s="347"/>
      <c r="G201" s="66" t="s">
        <v>922</v>
      </c>
      <c r="H201" s="357"/>
      <c r="I201" s="66"/>
      <c r="J201" s="66" t="s">
        <v>896</v>
      </c>
      <c r="K201" s="358"/>
    </row>
    <row r="202" spans="1:11" ht="13.5" customHeight="1">
      <c r="A202" s="63" t="s">
        <v>923</v>
      </c>
      <c r="B202" s="64"/>
      <c r="C202" s="64"/>
      <c r="D202" s="64"/>
      <c r="E202" s="65"/>
      <c r="F202" s="64"/>
      <c r="G202" s="64"/>
    </row>
    <row r="209" spans="7:7" ht="13.5" customHeight="1">
      <c r="G209" s="66"/>
    </row>
  </sheetData>
  <mergeCells count="383">
    <mergeCell ref="A1:K1"/>
    <mergeCell ref="A2:B2"/>
    <mergeCell ref="I2:J2"/>
    <mergeCell ref="D54:D57"/>
    <mergeCell ref="F54:F57"/>
    <mergeCell ref="A46:A49"/>
    <mergeCell ref="B46:B49"/>
    <mergeCell ref="C46:C49"/>
    <mergeCell ref="D46:D49"/>
    <mergeCell ref="F46:F49"/>
    <mergeCell ref="C40:C43"/>
    <mergeCell ref="D40:D43"/>
    <mergeCell ref="E40:E43"/>
    <mergeCell ref="F40:F43"/>
    <mergeCell ref="A44:K44"/>
    <mergeCell ref="K3:K4"/>
    <mergeCell ref="C12:C15"/>
    <mergeCell ref="D12:D15"/>
    <mergeCell ref="E12:E15"/>
    <mergeCell ref="F12:F15"/>
    <mergeCell ref="K12:K15"/>
    <mergeCell ref="A16:A19"/>
    <mergeCell ref="B16:B19"/>
    <mergeCell ref="C16:C19"/>
    <mergeCell ref="G3:H3"/>
    <mergeCell ref="I3:J4"/>
    <mergeCell ref="A4:B4"/>
    <mergeCell ref="A66:A69"/>
    <mergeCell ref="B66:B69"/>
    <mergeCell ref="C66:C69"/>
    <mergeCell ref="I48:J48"/>
    <mergeCell ref="I52:J52"/>
    <mergeCell ref="I64:J64"/>
    <mergeCell ref="I68:J68"/>
    <mergeCell ref="A54:A57"/>
    <mergeCell ref="B54:B57"/>
    <mergeCell ref="C54:C57"/>
    <mergeCell ref="A6:K6"/>
    <mergeCell ref="C4:D4"/>
    <mergeCell ref="E4:F4"/>
    <mergeCell ref="G4:H4"/>
    <mergeCell ref="A40:A43"/>
    <mergeCell ref="B40:B43"/>
    <mergeCell ref="E62:E65"/>
    <mergeCell ref="F62:F65"/>
    <mergeCell ref="A62:A65"/>
    <mergeCell ref="B62:B65"/>
    <mergeCell ref="D66:D69"/>
    <mergeCell ref="F66:F69"/>
    <mergeCell ref="C62:C65"/>
    <mergeCell ref="D62:D65"/>
    <mergeCell ref="A3:B3"/>
    <mergeCell ref="C3:D3"/>
    <mergeCell ref="E3:F3"/>
    <mergeCell ref="I60:J60"/>
    <mergeCell ref="A50:A53"/>
    <mergeCell ref="B50:B53"/>
    <mergeCell ref="C50:C53"/>
    <mergeCell ref="D50:D53"/>
    <mergeCell ref="F50:F53"/>
    <mergeCell ref="A58:A61"/>
    <mergeCell ref="B58:B61"/>
    <mergeCell ref="C58:C61"/>
    <mergeCell ref="D58:D61"/>
    <mergeCell ref="F58:F61"/>
    <mergeCell ref="A5:K5"/>
    <mergeCell ref="I27:J27"/>
    <mergeCell ref="A8:A11"/>
    <mergeCell ref="B8:B11"/>
    <mergeCell ref="C8:C11"/>
    <mergeCell ref="D8:D11"/>
    <mergeCell ref="E8:E11"/>
    <mergeCell ref="K90:K92"/>
    <mergeCell ref="C74:C77"/>
    <mergeCell ref="D74:D77"/>
    <mergeCell ref="E74:E77"/>
    <mergeCell ref="F74:F77"/>
    <mergeCell ref="I76:J76"/>
    <mergeCell ref="A78:K78"/>
    <mergeCell ref="A79:K79"/>
    <mergeCell ref="A81:A83"/>
    <mergeCell ref="B81:B83"/>
    <mergeCell ref="C81:C83"/>
    <mergeCell ref="D81:D83"/>
    <mergeCell ref="E81:E83"/>
    <mergeCell ref="F81:F83"/>
    <mergeCell ref="K81:K83"/>
    <mergeCell ref="K46:K77"/>
    <mergeCell ref="A70:A73"/>
    <mergeCell ref="B70:B73"/>
    <mergeCell ref="E66:E69"/>
    <mergeCell ref="E46:E49"/>
    <mergeCell ref="E50:E53"/>
    <mergeCell ref="E54:E57"/>
    <mergeCell ref="E58:E61"/>
    <mergeCell ref="I56:J56"/>
    <mergeCell ref="F99:F101"/>
    <mergeCell ref="B99:B101"/>
    <mergeCell ref="C99:C101"/>
    <mergeCell ref="D99:D101"/>
    <mergeCell ref="E99:E101"/>
    <mergeCell ref="E102:E104"/>
    <mergeCell ref="K172:K174"/>
    <mergeCell ref="K169:K171"/>
    <mergeCell ref="A142:A144"/>
    <mergeCell ref="B142:B144"/>
    <mergeCell ref="K99:K101"/>
    <mergeCell ref="K102:K104"/>
    <mergeCell ref="A105:K105"/>
    <mergeCell ref="A99:A101"/>
    <mergeCell ref="A102:A104"/>
    <mergeCell ref="B102:B104"/>
    <mergeCell ref="C102:C104"/>
    <mergeCell ref="D102:D104"/>
    <mergeCell ref="F102:F104"/>
    <mergeCell ref="E169:E171"/>
    <mergeCell ref="C169:C171"/>
    <mergeCell ref="D169:D171"/>
    <mergeCell ref="A107:A109"/>
    <mergeCell ref="B107:B109"/>
    <mergeCell ref="C186:C188"/>
    <mergeCell ref="D186:D188"/>
    <mergeCell ref="F186:F188"/>
    <mergeCell ref="K186:K188"/>
    <mergeCell ref="A183:A185"/>
    <mergeCell ref="B183:B185"/>
    <mergeCell ref="C183:C185"/>
    <mergeCell ref="D183:D185"/>
    <mergeCell ref="E186:E188"/>
    <mergeCell ref="F8:F11"/>
    <mergeCell ref="K8:K11"/>
    <mergeCell ref="A12:A15"/>
    <mergeCell ref="B12:B15"/>
    <mergeCell ref="A93:A95"/>
    <mergeCell ref="B93:B95"/>
    <mergeCell ref="C93:C95"/>
    <mergeCell ref="D93:D95"/>
    <mergeCell ref="D16:D19"/>
    <mergeCell ref="E16:E19"/>
    <mergeCell ref="F16:F19"/>
    <mergeCell ref="A24:A28"/>
    <mergeCell ref="B24:B28"/>
    <mergeCell ref="C24:C28"/>
    <mergeCell ref="D24:D28"/>
    <mergeCell ref="E24:E28"/>
    <mergeCell ref="F24:F28"/>
    <mergeCell ref="E20:E23"/>
    <mergeCell ref="A20:A23"/>
    <mergeCell ref="B20:B23"/>
    <mergeCell ref="C20:C23"/>
    <mergeCell ref="D20:D23"/>
    <mergeCell ref="F20:F23"/>
    <mergeCell ref="A29:A33"/>
    <mergeCell ref="B29:B33"/>
    <mergeCell ref="C29:C33"/>
    <mergeCell ref="D29:D33"/>
    <mergeCell ref="E29:E33"/>
    <mergeCell ref="F29:F33"/>
    <mergeCell ref="I32:J32"/>
    <mergeCell ref="A34:K34"/>
    <mergeCell ref="A36:A39"/>
    <mergeCell ref="B36:B39"/>
    <mergeCell ref="C36:C39"/>
    <mergeCell ref="D36:D39"/>
    <mergeCell ref="E36:E39"/>
    <mergeCell ref="F36:F39"/>
    <mergeCell ref="C70:C73"/>
    <mergeCell ref="D70:D73"/>
    <mergeCell ref="E70:E73"/>
    <mergeCell ref="F70:F73"/>
    <mergeCell ref="I72:J72"/>
    <mergeCell ref="A74:A77"/>
    <mergeCell ref="B74:B77"/>
    <mergeCell ref="A84:A86"/>
    <mergeCell ref="B84:B86"/>
    <mergeCell ref="C84:C86"/>
    <mergeCell ref="D84:D86"/>
    <mergeCell ref="E84:E86"/>
    <mergeCell ref="F84:F86"/>
    <mergeCell ref="K84:K86"/>
    <mergeCell ref="A87:A89"/>
    <mergeCell ref="B87:B89"/>
    <mergeCell ref="C87:C89"/>
    <mergeCell ref="D87:D89"/>
    <mergeCell ref="E87:E89"/>
    <mergeCell ref="F87:F89"/>
    <mergeCell ref="K87:K89"/>
    <mergeCell ref="B96:B98"/>
    <mergeCell ref="C96:C98"/>
    <mergeCell ref="D96:D98"/>
    <mergeCell ref="E96:E98"/>
    <mergeCell ref="F96:F98"/>
    <mergeCell ref="K96:K98"/>
    <mergeCell ref="A96:A98"/>
    <mergeCell ref="E93:E95"/>
    <mergeCell ref="F93:F95"/>
    <mergeCell ref="K93:K95"/>
    <mergeCell ref="A90:A92"/>
    <mergeCell ref="B90:B92"/>
    <mergeCell ref="C90:C92"/>
    <mergeCell ref="D90:D92"/>
    <mergeCell ref="E90:E92"/>
    <mergeCell ref="F90:F92"/>
    <mergeCell ref="C107:C109"/>
    <mergeCell ref="D107:D109"/>
    <mergeCell ref="E107:E109"/>
    <mergeCell ref="F107:F109"/>
    <mergeCell ref="K107:K112"/>
    <mergeCell ref="A110:A112"/>
    <mergeCell ref="B110:B112"/>
    <mergeCell ref="C110:C112"/>
    <mergeCell ref="D110:D112"/>
    <mergeCell ref="E110:E112"/>
    <mergeCell ref="F110:F112"/>
    <mergeCell ref="A113:K113"/>
    <mergeCell ref="A114:K114"/>
    <mergeCell ref="A116:A119"/>
    <mergeCell ref="B116:B119"/>
    <mergeCell ref="C116:C119"/>
    <mergeCell ref="D116:D119"/>
    <mergeCell ref="E116:E119"/>
    <mergeCell ref="F116:F123"/>
    <mergeCell ref="K116:K123"/>
    <mergeCell ref="I118:J118"/>
    <mergeCell ref="A120:A123"/>
    <mergeCell ref="B120:B123"/>
    <mergeCell ref="C120:C123"/>
    <mergeCell ref="D120:D123"/>
    <mergeCell ref="E120:E123"/>
    <mergeCell ref="I122:J122"/>
    <mergeCell ref="A124:K124"/>
    <mergeCell ref="A126:A129"/>
    <mergeCell ref="B126:B129"/>
    <mergeCell ref="C126:C129"/>
    <mergeCell ref="D126:D129"/>
    <mergeCell ref="E126:E129"/>
    <mergeCell ref="F126:F133"/>
    <mergeCell ref="K126:K133"/>
    <mergeCell ref="I128:J128"/>
    <mergeCell ref="A130:A133"/>
    <mergeCell ref="B130:B133"/>
    <mergeCell ref="C130:C133"/>
    <mergeCell ref="D130:D133"/>
    <mergeCell ref="E130:E133"/>
    <mergeCell ref="I131:J131"/>
    <mergeCell ref="A134:K134"/>
    <mergeCell ref="A136:A138"/>
    <mergeCell ref="B136:B138"/>
    <mergeCell ref="C136:C138"/>
    <mergeCell ref="D136:D138"/>
    <mergeCell ref="E136:E138"/>
    <mergeCell ref="F136:F138"/>
    <mergeCell ref="K136:K138"/>
    <mergeCell ref="A139:A141"/>
    <mergeCell ref="B139:B141"/>
    <mergeCell ref="C139:C141"/>
    <mergeCell ref="D139:D141"/>
    <mergeCell ref="E139:E141"/>
    <mergeCell ref="F139:F141"/>
    <mergeCell ref="K139:K141"/>
    <mergeCell ref="C142:C144"/>
    <mergeCell ref="D142:D144"/>
    <mergeCell ref="E142:E144"/>
    <mergeCell ref="F142:F144"/>
    <mergeCell ref="K142:K144"/>
    <mergeCell ref="A145:A147"/>
    <mergeCell ref="B145:B147"/>
    <mergeCell ref="C145:C147"/>
    <mergeCell ref="D145:D147"/>
    <mergeCell ref="E145:E147"/>
    <mergeCell ref="F145:F147"/>
    <mergeCell ref="K145:K147"/>
    <mergeCell ref="E148:E150"/>
    <mergeCell ref="F148:F150"/>
    <mergeCell ref="K148:K150"/>
    <mergeCell ref="A151:A153"/>
    <mergeCell ref="B151:B153"/>
    <mergeCell ref="C151:C153"/>
    <mergeCell ref="D151:D153"/>
    <mergeCell ref="E151:E153"/>
    <mergeCell ref="F151:F153"/>
    <mergeCell ref="K151:K153"/>
    <mergeCell ref="A148:A150"/>
    <mergeCell ref="B148:B150"/>
    <mergeCell ref="C148:C150"/>
    <mergeCell ref="D148:D150"/>
    <mergeCell ref="C154:C156"/>
    <mergeCell ref="D154:D156"/>
    <mergeCell ref="E154:E156"/>
    <mergeCell ref="F154:F156"/>
    <mergeCell ref="K154:K156"/>
    <mergeCell ref="A157:A159"/>
    <mergeCell ref="B157:B159"/>
    <mergeCell ref="C157:C159"/>
    <mergeCell ref="D157:D159"/>
    <mergeCell ref="E157:E159"/>
    <mergeCell ref="F157:F159"/>
    <mergeCell ref="K157:K159"/>
    <mergeCell ref="A154:A156"/>
    <mergeCell ref="B154:B156"/>
    <mergeCell ref="C160:C162"/>
    <mergeCell ref="D160:D162"/>
    <mergeCell ref="E160:E162"/>
    <mergeCell ref="F160:F162"/>
    <mergeCell ref="K160:K162"/>
    <mergeCell ref="A163:A165"/>
    <mergeCell ref="B163:B165"/>
    <mergeCell ref="C163:C165"/>
    <mergeCell ref="D163:D165"/>
    <mergeCell ref="E163:E165"/>
    <mergeCell ref="F163:F165"/>
    <mergeCell ref="K163:K165"/>
    <mergeCell ref="A160:A162"/>
    <mergeCell ref="B160:B162"/>
    <mergeCell ref="A166:A168"/>
    <mergeCell ref="B166:B168"/>
    <mergeCell ref="C166:C168"/>
    <mergeCell ref="D166:D168"/>
    <mergeCell ref="E166:E168"/>
    <mergeCell ref="F166:F168"/>
    <mergeCell ref="K166:K168"/>
    <mergeCell ref="A175:A176"/>
    <mergeCell ref="B175:D176"/>
    <mergeCell ref="E175:E176"/>
    <mergeCell ref="F175:F176"/>
    <mergeCell ref="K175:K176"/>
    <mergeCell ref="A172:A174"/>
    <mergeCell ref="A169:A171"/>
    <mergeCell ref="B169:B171"/>
    <mergeCell ref="B172:B174"/>
    <mergeCell ref="C172:C174"/>
    <mergeCell ref="F172:F174"/>
    <mergeCell ref="F169:F171"/>
    <mergeCell ref="E172:E174"/>
    <mergeCell ref="D172:D174"/>
    <mergeCell ref="C191:C193"/>
    <mergeCell ref="D191:D193"/>
    <mergeCell ref="E191:E193"/>
    <mergeCell ref="F191:F193"/>
    <mergeCell ref="K191:K193"/>
    <mergeCell ref="A177:A179"/>
    <mergeCell ref="B177:B179"/>
    <mergeCell ref="C177:C179"/>
    <mergeCell ref="D177:D179"/>
    <mergeCell ref="E177:E179"/>
    <mergeCell ref="F177:F179"/>
    <mergeCell ref="K177:K179"/>
    <mergeCell ref="A180:A182"/>
    <mergeCell ref="B180:B182"/>
    <mergeCell ref="C180:C182"/>
    <mergeCell ref="D180:D182"/>
    <mergeCell ref="E180:E182"/>
    <mergeCell ref="F180:F182"/>
    <mergeCell ref="K180:K182"/>
    <mergeCell ref="K183:K185"/>
    <mergeCell ref="E183:E185"/>
    <mergeCell ref="F183:F185"/>
    <mergeCell ref="A186:A188"/>
    <mergeCell ref="B186:B188"/>
    <mergeCell ref="C2:E2"/>
    <mergeCell ref="A194:A196"/>
    <mergeCell ref="B194:B196"/>
    <mergeCell ref="C194:C196"/>
    <mergeCell ref="D194:D196"/>
    <mergeCell ref="E194:E196"/>
    <mergeCell ref="F194:F196"/>
    <mergeCell ref="K194:K196"/>
    <mergeCell ref="A197:A199"/>
    <mergeCell ref="B197:B199"/>
    <mergeCell ref="C197:C199"/>
    <mergeCell ref="D197:D199"/>
    <mergeCell ref="E197:E199"/>
    <mergeCell ref="F197:F199"/>
    <mergeCell ref="K197:K199"/>
    <mergeCell ref="A189:A190"/>
    <mergeCell ref="B189:B190"/>
    <mergeCell ref="C189:C190"/>
    <mergeCell ref="D189:D190"/>
    <mergeCell ref="E189:E190"/>
    <mergeCell ref="F189:F190"/>
    <mergeCell ref="K189:K190"/>
    <mergeCell ref="A191:A193"/>
    <mergeCell ref="B191:B193"/>
  </mergeCells>
  <phoneticPr fontId="24" type="noConversion"/>
  <printOptions horizontalCentered="1" verticalCentered="1"/>
  <pageMargins left="0.19685039370078741" right="0.19685039370078741" top="0.59055118110236227" bottom="0.23622047244094491" header="0.15748031496062992" footer="0.23622047244094491"/>
  <pageSetup paperSize="9" scale="90"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4"/>
  <sheetViews>
    <sheetView view="pageBreakPreview" topLeftCell="A193" zoomScaleSheetLayoutView="100" workbookViewId="0">
      <selection activeCell="E215" sqref="E215"/>
    </sheetView>
  </sheetViews>
  <sheetFormatPr defaultRowHeight="14.25"/>
  <cols>
    <col min="1" max="1" width="7.25" style="359" customWidth="1"/>
    <col min="2" max="4" width="5.875" style="359" customWidth="1"/>
    <col min="5" max="5" width="4.75" style="361" customWidth="1"/>
    <col min="6" max="6" width="6.875" style="359" customWidth="1"/>
    <col min="7" max="7" width="38.5" style="359" customWidth="1"/>
    <col min="8" max="8" width="16.125" style="359" hidden="1" customWidth="1"/>
    <col min="9" max="9" width="4.125" style="359" customWidth="1"/>
    <col min="10" max="10" width="4.875" style="359" customWidth="1"/>
    <col min="11" max="11" width="13.75" style="360" customWidth="1"/>
  </cols>
  <sheetData>
    <row r="1" spans="1:13" ht="20.25">
      <c r="A1" s="969" t="s">
        <v>924</v>
      </c>
      <c r="B1" s="969"/>
      <c r="C1" s="969"/>
      <c r="D1" s="969"/>
      <c r="E1" s="969"/>
      <c r="F1" s="969"/>
      <c r="G1" s="969"/>
      <c r="H1" s="969"/>
      <c r="I1" s="969"/>
      <c r="J1" s="969"/>
      <c r="K1" s="969"/>
    </row>
    <row r="2" spans="1:13">
      <c r="A2" s="970" t="s">
        <v>8</v>
      </c>
      <c r="B2" s="970"/>
      <c r="C2" s="942">
        <f>A6包装!C2</f>
        <v>15530608063</v>
      </c>
      <c r="D2" s="942"/>
      <c r="E2" s="942"/>
      <c r="F2" s="352"/>
      <c r="G2" s="352"/>
      <c r="H2" s="352"/>
      <c r="I2" s="970" t="s">
        <v>17</v>
      </c>
      <c r="J2" s="970"/>
      <c r="K2" s="320" t="str">
        <f>A6包装!K2</f>
        <v>廊坊</v>
      </c>
    </row>
    <row r="3" spans="1:13">
      <c r="A3" s="966" t="s">
        <v>6</v>
      </c>
      <c r="B3" s="966"/>
      <c r="C3" s="966" t="str">
        <f>A6包装!C3</f>
        <v>赵蕊</v>
      </c>
      <c r="D3" s="966"/>
      <c r="E3" s="966" t="str">
        <f>A6包装!E3</f>
        <v>下单日期</v>
      </c>
      <c r="F3" s="966"/>
      <c r="G3" s="968">
        <f>A6包装!G3</f>
        <v>43129</v>
      </c>
      <c r="H3" s="968"/>
      <c r="I3" s="966" t="s">
        <v>230</v>
      </c>
      <c r="J3" s="966"/>
      <c r="K3" s="974" t="str">
        <f>[1]铝材玻璃单!L2</f>
        <v>简爱</v>
      </c>
    </row>
    <row r="4" spans="1:13">
      <c r="A4" s="966" t="str">
        <f>[2]下料单!L2</f>
        <v>版本型录号</v>
      </c>
      <c r="B4" s="966"/>
      <c r="C4" s="966">
        <f>A6包装!C4</f>
        <v>123</v>
      </c>
      <c r="D4" s="966"/>
      <c r="E4" s="966" t="s">
        <v>19</v>
      </c>
      <c r="F4" s="966"/>
      <c r="G4" s="968">
        <f>A6包装!G4</f>
        <v>43169</v>
      </c>
      <c r="H4" s="968"/>
      <c r="I4" s="966"/>
      <c r="J4" s="966"/>
      <c r="K4" s="973"/>
    </row>
    <row r="5" spans="1:13">
      <c r="A5" s="958" t="s">
        <v>161</v>
      </c>
      <c r="B5" s="958"/>
      <c r="C5" s="958"/>
      <c r="D5" s="958"/>
      <c r="E5" s="958"/>
      <c r="F5" s="958"/>
      <c r="G5" s="958"/>
      <c r="H5" s="958"/>
      <c r="I5" s="958"/>
      <c r="J5" s="958"/>
      <c r="K5" s="958"/>
    </row>
    <row r="6" spans="1:13" ht="30.75" customHeight="1">
      <c r="A6" s="963" t="s">
        <v>925</v>
      </c>
      <c r="B6" s="964"/>
      <c r="C6" s="964"/>
      <c r="D6" s="964"/>
      <c r="E6" s="964"/>
      <c r="F6" s="964"/>
      <c r="G6" s="964"/>
      <c r="H6" s="964"/>
      <c r="I6" s="964"/>
      <c r="J6" s="964"/>
      <c r="K6" s="965"/>
    </row>
    <row r="7" spans="1:13">
      <c r="A7" s="341" t="s">
        <v>151</v>
      </c>
      <c r="B7" s="341" t="s">
        <v>144</v>
      </c>
      <c r="C7" s="341" t="s">
        <v>143</v>
      </c>
      <c r="D7" s="341" t="s">
        <v>142</v>
      </c>
      <c r="E7" s="21"/>
      <c r="F7" s="341" t="s">
        <v>150</v>
      </c>
      <c r="G7" s="341" t="s">
        <v>140</v>
      </c>
      <c r="H7" s="341" t="s">
        <v>139</v>
      </c>
      <c r="I7" s="341" t="s">
        <v>138</v>
      </c>
      <c r="J7" s="341" t="s">
        <v>137</v>
      </c>
      <c r="K7" s="341" t="s">
        <v>136</v>
      </c>
    </row>
    <row r="8" spans="1:13">
      <c r="A8" s="944">
        <v>1</v>
      </c>
      <c r="B8" s="944">
        <v>150</v>
      </c>
      <c r="C8" s="944">
        <v>720</v>
      </c>
      <c r="D8" s="944">
        <v>560</v>
      </c>
      <c r="E8" s="945"/>
      <c r="F8" s="944" t="s">
        <v>160</v>
      </c>
      <c r="G8" s="342" t="s">
        <v>402</v>
      </c>
      <c r="H8" s="66" t="s">
        <v>698</v>
      </c>
      <c r="I8" s="341">
        <f>+E8*1</f>
        <v>0</v>
      </c>
      <c r="J8" s="341" t="s">
        <v>83</v>
      </c>
      <c r="K8" s="944"/>
    </row>
    <row r="9" spans="1:13">
      <c r="A9" s="961"/>
      <c r="B9" s="961"/>
      <c r="C9" s="961"/>
      <c r="D9" s="961"/>
      <c r="E9" s="946"/>
      <c r="F9" s="961"/>
      <c r="G9" s="342" t="s">
        <v>101</v>
      </c>
      <c r="H9" s="342" t="s">
        <v>90</v>
      </c>
      <c r="I9" s="341">
        <f>+E8*8</f>
        <v>0</v>
      </c>
      <c r="J9" s="341" t="s">
        <v>83</v>
      </c>
      <c r="K9" s="961"/>
    </row>
    <row r="10" spans="1:13">
      <c r="A10" s="961"/>
      <c r="B10" s="961"/>
      <c r="C10" s="961"/>
      <c r="D10" s="961"/>
      <c r="E10" s="946"/>
      <c r="F10" s="961"/>
      <c r="G10" s="342" t="s">
        <v>699</v>
      </c>
      <c r="H10" s="342" t="s">
        <v>89</v>
      </c>
      <c r="I10" s="341">
        <f>+E8*1.6</f>
        <v>0</v>
      </c>
      <c r="J10" s="341" t="s">
        <v>75</v>
      </c>
      <c r="K10" s="961"/>
      <c r="M10" t="s">
        <v>926</v>
      </c>
    </row>
    <row r="11" spans="1:13">
      <c r="A11" s="961"/>
      <c r="B11" s="961"/>
      <c r="C11" s="961"/>
      <c r="D11" s="961"/>
      <c r="E11" s="946"/>
      <c r="F11" s="961"/>
      <c r="G11" s="66" t="s">
        <v>927</v>
      </c>
      <c r="H11" s="362"/>
      <c r="I11" s="341">
        <f>E8*0.5</f>
        <v>0</v>
      </c>
      <c r="J11" s="341" t="s">
        <v>76</v>
      </c>
      <c r="K11" s="962"/>
      <c r="M11" s="363" t="s">
        <v>928</v>
      </c>
    </row>
    <row r="12" spans="1:13">
      <c r="A12" s="962"/>
      <c r="B12" s="962"/>
      <c r="C12" s="962"/>
      <c r="D12" s="962"/>
      <c r="E12" s="952"/>
      <c r="F12" s="962"/>
      <c r="G12" s="66"/>
      <c r="H12" s="362"/>
      <c r="I12" s="341">
        <f>E8</f>
        <v>0</v>
      </c>
      <c r="J12" s="341" t="s">
        <v>84</v>
      </c>
      <c r="K12" s="344" t="s">
        <v>929</v>
      </c>
    </row>
    <row r="13" spans="1:13">
      <c r="A13" s="944">
        <v>2</v>
      </c>
      <c r="B13" s="944">
        <v>300</v>
      </c>
      <c r="C13" s="944">
        <v>720</v>
      </c>
      <c r="D13" s="944">
        <v>560</v>
      </c>
      <c r="E13" s="945"/>
      <c r="F13" s="944" t="s">
        <v>160</v>
      </c>
      <c r="G13" s="342" t="s">
        <v>700</v>
      </c>
      <c r="H13" s="66" t="s">
        <v>701</v>
      </c>
      <c r="I13" s="341">
        <f>+E13*1</f>
        <v>0</v>
      </c>
      <c r="J13" s="341" t="s">
        <v>83</v>
      </c>
      <c r="K13" s="341"/>
    </row>
    <row r="14" spans="1:13">
      <c r="A14" s="961"/>
      <c r="B14" s="961"/>
      <c r="C14" s="961"/>
      <c r="D14" s="961"/>
      <c r="E14" s="946"/>
      <c r="F14" s="961"/>
      <c r="G14" s="342" t="s">
        <v>101</v>
      </c>
      <c r="H14" s="342" t="s">
        <v>90</v>
      </c>
      <c r="I14" s="341">
        <f>+E13*8</f>
        <v>0</v>
      </c>
      <c r="J14" s="341" t="s">
        <v>83</v>
      </c>
      <c r="K14" s="341"/>
    </row>
    <row r="15" spans="1:13">
      <c r="A15" s="961"/>
      <c r="B15" s="961"/>
      <c r="C15" s="961"/>
      <c r="D15" s="961"/>
      <c r="E15" s="946"/>
      <c r="F15" s="961"/>
      <c r="G15" s="342" t="s">
        <v>699</v>
      </c>
      <c r="H15" s="342" t="s">
        <v>89</v>
      </c>
      <c r="I15" s="341">
        <f>+E13*1.9</f>
        <v>0</v>
      </c>
      <c r="J15" s="341" t="s">
        <v>75</v>
      </c>
      <c r="K15" s="341"/>
    </row>
    <row r="16" spans="1:13">
      <c r="A16" s="961"/>
      <c r="B16" s="961"/>
      <c r="C16" s="961"/>
      <c r="D16" s="961"/>
      <c r="E16" s="946"/>
      <c r="F16" s="961"/>
      <c r="G16" s="66" t="s">
        <v>927</v>
      </c>
      <c r="H16" s="362"/>
      <c r="I16" s="341">
        <f>E13*0.5</f>
        <v>0</v>
      </c>
      <c r="J16" s="341" t="s">
        <v>76</v>
      </c>
      <c r="K16" s="341"/>
    </row>
    <row r="17" spans="1:11" ht="14.25" customHeight="1">
      <c r="A17" s="962"/>
      <c r="B17" s="962"/>
      <c r="C17" s="962"/>
      <c r="D17" s="962"/>
      <c r="E17" s="952"/>
      <c r="F17" s="962"/>
      <c r="G17" s="66"/>
      <c r="H17" s="362"/>
      <c r="I17" s="341">
        <f>E13</f>
        <v>0</v>
      </c>
      <c r="J17" s="341" t="s">
        <v>84</v>
      </c>
      <c r="K17" s="344" t="s">
        <v>929</v>
      </c>
    </row>
    <row r="18" spans="1:11">
      <c r="A18" s="944">
        <v>3</v>
      </c>
      <c r="B18" s="944">
        <v>450</v>
      </c>
      <c r="C18" s="944">
        <v>720</v>
      </c>
      <c r="D18" s="944">
        <v>560</v>
      </c>
      <c r="E18" s="945"/>
      <c r="F18" s="944" t="s">
        <v>157</v>
      </c>
      <c r="G18" s="342" t="s">
        <v>403</v>
      </c>
      <c r="H18" s="66" t="s">
        <v>702</v>
      </c>
      <c r="I18" s="341">
        <f>+E18*1</f>
        <v>0</v>
      </c>
      <c r="J18" s="341" t="s">
        <v>83</v>
      </c>
      <c r="K18" s="341"/>
    </row>
    <row r="19" spans="1:11">
      <c r="A19" s="961"/>
      <c r="B19" s="961"/>
      <c r="C19" s="961"/>
      <c r="D19" s="961"/>
      <c r="E19" s="946"/>
      <c r="F19" s="961"/>
      <c r="G19" s="342" t="s">
        <v>101</v>
      </c>
      <c r="H19" s="342" t="s">
        <v>90</v>
      </c>
      <c r="I19" s="341">
        <f>+E18*8</f>
        <v>0</v>
      </c>
      <c r="J19" s="341" t="s">
        <v>83</v>
      </c>
      <c r="K19" s="341"/>
    </row>
    <row r="20" spans="1:11" ht="14.25" customHeight="1">
      <c r="A20" s="961"/>
      <c r="B20" s="961"/>
      <c r="C20" s="961"/>
      <c r="D20" s="961"/>
      <c r="E20" s="946"/>
      <c r="F20" s="961"/>
      <c r="G20" s="342" t="s">
        <v>699</v>
      </c>
      <c r="H20" s="342" t="s">
        <v>89</v>
      </c>
      <c r="I20" s="341">
        <f>+E18*2.2</f>
        <v>0</v>
      </c>
      <c r="J20" s="341" t="s">
        <v>82</v>
      </c>
      <c r="K20" s="341"/>
    </row>
    <row r="21" spans="1:11" ht="14.25" customHeight="1">
      <c r="A21" s="961"/>
      <c r="B21" s="961"/>
      <c r="C21" s="961"/>
      <c r="D21" s="961"/>
      <c r="E21" s="946"/>
      <c r="F21" s="961"/>
      <c r="G21" s="66" t="s">
        <v>927</v>
      </c>
      <c r="H21" s="342"/>
      <c r="I21" s="341">
        <f>E18*0.5</f>
        <v>0</v>
      </c>
      <c r="J21" s="341" t="s">
        <v>76</v>
      </c>
      <c r="K21" s="341"/>
    </row>
    <row r="22" spans="1:11">
      <c r="A22" s="962"/>
      <c r="B22" s="962"/>
      <c r="C22" s="962"/>
      <c r="D22" s="962"/>
      <c r="E22" s="952"/>
      <c r="F22" s="962"/>
      <c r="G22" s="66"/>
      <c r="H22" s="342"/>
      <c r="I22" s="341">
        <f>E18</f>
        <v>0</v>
      </c>
      <c r="J22" s="341" t="s">
        <v>84</v>
      </c>
      <c r="K22" s="344" t="s">
        <v>929</v>
      </c>
    </row>
    <row r="23" spans="1:11">
      <c r="A23" s="944">
        <v>4</v>
      </c>
      <c r="B23" s="944">
        <v>600</v>
      </c>
      <c r="C23" s="944">
        <v>720</v>
      </c>
      <c r="D23" s="944">
        <v>560</v>
      </c>
      <c r="E23" s="945"/>
      <c r="F23" s="944" t="s">
        <v>157</v>
      </c>
      <c r="G23" s="342" t="s">
        <v>404</v>
      </c>
      <c r="H23" s="66" t="s">
        <v>703</v>
      </c>
      <c r="I23" s="341">
        <f>+E23*1</f>
        <v>0</v>
      </c>
      <c r="J23" s="341" t="s">
        <v>83</v>
      </c>
      <c r="K23" s="341"/>
    </row>
    <row r="24" spans="1:11" ht="14.25" customHeight="1">
      <c r="A24" s="961"/>
      <c r="B24" s="961"/>
      <c r="C24" s="961"/>
      <c r="D24" s="961"/>
      <c r="E24" s="946"/>
      <c r="F24" s="961"/>
      <c r="G24" s="342" t="s">
        <v>101</v>
      </c>
      <c r="H24" s="342" t="s">
        <v>90</v>
      </c>
      <c r="I24" s="341">
        <f>+E23*8</f>
        <v>0</v>
      </c>
      <c r="J24" s="341" t="s">
        <v>83</v>
      </c>
      <c r="K24" s="341"/>
    </row>
    <row r="25" spans="1:11">
      <c r="A25" s="961"/>
      <c r="B25" s="961"/>
      <c r="C25" s="961"/>
      <c r="D25" s="961"/>
      <c r="E25" s="946"/>
      <c r="F25" s="961"/>
      <c r="G25" s="342" t="s">
        <v>699</v>
      </c>
      <c r="H25" s="342" t="s">
        <v>89</v>
      </c>
      <c r="I25" s="341">
        <f>+E23*2.5</f>
        <v>0</v>
      </c>
      <c r="J25" s="341" t="s">
        <v>75</v>
      </c>
      <c r="K25" s="341"/>
    </row>
    <row r="26" spans="1:11" ht="14.25" customHeight="1">
      <c r="A26" s="961"/>
      <c r="B26" s="961"/>
      <c r="C26" s="961"/>
      <c r="D26" s="961"/>
      <c r="E26" s="946"/>
      <c r="F26" s="961"/>
      <c r="G26" s="342" t="s">
        <v>155</v>
      </c>
      <c r="H26" s="19" t="s">
        <v>154</v>
      </c>
      <c r="I26" s="943" t="s">
        <v>153</v>
      </c>
      <c r="J26" s="943"/>
      <c r="K26" s="22" t="s">
        <v>152</v>
      </c>
    </row>
    <row r="27" spans="1:11">
      <c r="A27" s="961"/>
      <c r="B27" s="961"/>
      <c r="C27" s="961"/>
      <c r="D27" s="961"/>
      <c r="E27" s="946"/>
      <c r="F27" s="961"/>
      <c r="G27" s="66" t="s">
        <v>927</v>
      </c>
      <c r="H27" s="342"/>
      <c r="I27" s="341">
        <f>E23*0.5</f>
        <v>0</v>
      </c>
      <c r="J27" s="341" t="s">
        <v>76</v>
      </c>
      <c r="K27" s="22"/>
    </row>
    <row r="28" spans="1:11" ht="14.25" customHeight="1">
      <c r="A28" s="962"/>
      <c r="B28" s="962"/>
      <c r="C28" s="962"/>
      <c r="D28" s="962"/>
      <c r="E28" s="952"/>
      <c r="F28" s="962"/>
      <c r="G28" s="66"/>
      <c r="H28" s="342"/>
      <c r="I28" s="341">
        <f>E23</f>
        <v>0</v>
      </c>
      <c r="J28" s="341" t="s">
        <v>84</v>
      </c>
      <c r="K28" s="344" t="s">
        <v>929</v>
      </c>
    </row>
    <row r="29" spans="1:11">
      <c r="A29" s="944">
        <v>5</v>
      </c>
      <c r="B29" s="944">
        <v>900</v>
      </c>
      <c r="C29" s="944">
        <v>720</v>
      </c>
      <c r="D29" s="944">
        <v>560</v>
      </c>
      <c r="E29" s="945"/>
      <c r="F29" s="944" t="s">
        <v>157</v>
      </c>
      <c r="G29" s="342" t="s">
        <v>700</v>
      </c>
      <c r="H29" s="66" t="s">
        <v>704</v>
      </c>
      <c r="I29" s="341">
        <f>+E29*1</f>
        <v>0</v>
      </c>
      <c r="J29" s="341" t="s">
        <v>83</v>
      </c>
      <c r="K29" s="341"/>
    </row>
    <row r="30" spans="1:11">
      <c r="A30" s="961"/>
      <c r="B30" s="961"/>
      <c r="C30" s="961"/>
      <c r="D30" s="961"/>
      <c r="E30" s="946"/>
      <c r="F30" s="961"/>
      <c r="G30" s="342" t="s">
        <v>101</v>
      </c>
      <c r="H30" s="342" t="s">
        <v>90</v>
      </c>
      <c r="I30" s="341">
        <f>+E29*8</f>
        <v>0</v>
      </c>
      <c r="J30" s="341" t="s">
        <v>83</v>
      </c>
      <c r="K30" s="341"/>
    </row>
    <row r="31" spans="1:11" ht="14.25" customHeight="1">
      <c r="A31" s="961"/>
      <c r="B31" s="961"/>
      <c r="C31" s="961"/>
      <c r="D31" s="961"/>
      <c r="E31" s="946"/>
      <c r="F31" s="961"/>
      <c r="G31" s="342" t="s">
        <v>699</v>
      </c>
      <c r="H31" s="342" t="s">
        <v>89</v>
      </c>
      <c r="I31" s="341">
        <f>+E29*3.1</f>
        <v>0</v>
      </c>
      <c r="J31" s="341" t="s">
        <v>75</v>
      </c>
      <c r="K31" s="341"/>
    </row>
    <row r="32" spans="1:11">
      <c r="A32" s="961"/>
      <c r="B32" s="961"/>
      <c r="C32" s="961"/>
      <c r="D32" s="961"/>
      <c r="E32" s="946"/>
      <c r="F32" s="961"/>
      <c r="G32" s="342" t="s">
        <v>155</v>
      </c>
      <c r="H32" s="19" t="s">
        <v>154</v>
      </c>
      <c r="I32" s="943" t="s">
        <v>153</v>
      </c>
      <c r="J32" s="943"/>
      <c r="K32" s="22" t="s">
        <v>152</v>
      </c>
    </row>
    <row r="33" spans="1:11">
      <c r="A33" s="961"/>
      <c r="B33" s="961"/>
      <c r="C33" s="961"/>
      <c r="D33" s="961"/>
      <c r="E33" s="946"/>
      <c r="F33" s="961"/>
      <c r="G33" s="66" t="s">
        <v>927</v>
      </c>
      <c r="H33" s="342"/>
      <c r="I33" s="341">
        <f>E29*1</f>
        <v>0</v>
      </c>
      <c r="J33" s="341" t="s">
        <v>76</v>
      </c>
      <c r="K33" s="22"/>
    </row>
    <row r="34" spans="1:11" ht="14.25" customHeight="1">
      <c r="A34" s="962"/>
      <c r="B34" s="962"/>
      <c r="C34" s="962"/>
      <c r="D34" s="962"/>
      <c r="E34" s="952"/>
      <c r="F34" s="962"/>
      <c r="G34" s="66"/>
      <c r="H34" s="342"/>
      <c r="I34" s="341">
        <f>E29</f>
        <v>0</v>
      </c>
      <c r="J34" s="341" t="s">
        <v>84</v>
      </c>
      <c r="K34" s="344" t="s">
        <v>929</v>
      </c>
    </row>
    <row r="35" spans="1:11">
      <c r="A35" s="959" t="s">
        <v>930</v>
      </c>
      <c r="B35" s="959"/>
      <c r="C35" s="959"/>
      <c r="D35" s="959"/>
      <c r="E35" s="959"/>
      <c r="F35" s="959"/>
      <c r="G35" s="959"/>
      <c r="H35" s="959"/>
      <c r="I35" s="959"/>
      <c r="J35" s="959"/>
      <c r="K35" s="959"/>
    </row>
    <row r="36" spans="1:11" ht="14.25" customHeight="1">
      <c r="A36" s="341" t="s">
        <v>151</v>
      </c>
      <c r="B36" s="341" t="s">
        <v>144</v>
      </c>
      <c r="C36" s="341" t="s">
        <v>143</v>
      </c>
      <c r="D36" s="341" t="s">
        <v>142</v>
      </c>
      <c r="E36" s="21"/>
      <c r="F36" s="341" t="s">
        <v>150</v>
      </c>
      <c r="G36" s="341" t="s">
        <v>140</v>
      </c>
      <c r="H36" s="341" t="s">
        <v>139</v>
      </c>
      <c r="I36" s="341" t="s">
        <v>138</v>
      </c>
      <c r="J36" s="341" t="s">
        <v>137</v>
      </c>
      <c r="K36" s="341" t="s">
        <v>149</v>
      </c>
    </row>
    <row r="37" spans="1:11">
      <c r="A37" s="944">
        <v>1</v>
      </c>
      <c r="B37" s="944" t="s">
        <v>100</v>
      </c>
      <c r="C37" s="944" t="s">
        <v>118</v>
      </c>
      <c r="D37" s="944" t="s">
        <v>118</v>
      </c>
      <c r="E37" s="945"/>
      <c r="F37" s="944" t="s">
        <v>148</v>
      </c>
      <c r="G37" s="342" t="s">
        <v>931</v>
      </c>
      <c r="H37" s="19" t="s">
        <v>147</v>
      </c>
      <c r="I37" s="341">
        <f>+E37*1</f>
        <v>0</v>
      </c>
      <c r="J37" s="341" t="s">
        <v>76</v>
      </c>
      <c r="K37" s="341"/>
    </row>
    <row r="38" spans="1:11" ht="14.25" customHeight="1">
      <c r="A38" s="961"/>
      <c r="B38" s="961"/>
      <c r="C38" s="961"/>
      <c r="D38" s="961"/>
      <c r="E38" s="946"/>
      <c r="F38" s="961"/>
      <c r="G38" s="342" t="s">
        <v>101</v>
      </c>
      <c r="H38" s="342" t="s">
        <v>90</v>
      </c>
      <c r="I38" s="341">
        <f>+E37*8</f>
        <v>0</v>
      </c>
      <c r="J38" s="341" t="s">
        <v>83</v>
      </c>
      <c r="K38" s="341"/>
    </row>
    <row r="39" spans="1:11">
      <c r="A39" s="961"/>
      <c r="B39" s="961"/>
      <c r="C39" s="961"/>
      <c r="D39" s="961"/>
      <c r="E39" s="946"/>
      <c r="F39" s="961"/>
      <c r="G39" s="342" t="s">
        <v>699</v>
      </c>
      <c r="H39" s="342" t="s">
        <v>89</v>
      </c>
      <c r="I39" s="341">
        <f>+E37*2.5</f>
        <v>0</v>
      </c>
      <c r="J39" s="341" t="s">
        <v>75</v>
      </c>
      <c r="K39" s="341"/>
    </row>
    <row r="40" spans="1:11" ht="14.25" customHeight="1">
      <c r="A40" s="961"/>
      <c r="B40" s="961"/>
      <c r="C40" s="961"/>
      <c r="D40" s="961"/>
      <c r="E40" s="946"/>
      <c r="F40" s="961"/>
      <c r="G40" s="66" t="s">
        <v>927</v>
      </c>
      <c r="H40" s="342"/>
      <c r="I40" s="341">
        <f>E37*0.5</f>
        <v>0</v>
      </c>
      <c r="J40" s="341" t="s">
        <v>76</v>
      </c>
      <c r="K40" s="341"/>
    </row>
    <row r="41" spans="1:11">
      <c r="A41" s="962"/>
      <c r="B41" s="962"/>
      <c r="C41" s="962"/>
      <c r="D41" s="962"/>
      <c r="E41" s="952"/>
      <c r="F41" s="962"/>
      <c r="G41" s="66"/>
      <c r="H41" s="342"/>
      <c r="I41" s="341">
        <f>E37</f>
        <v>0</v>
      </c>
      <c r="J41" s="341" t="s">
        <v>84</v>
      </c>
      <c r="K41" s="344" t="s">
        <v>929</v>
      </c>
    </row>
    <row r="42" spans="1:11" ht="14.25" customHeight="1">
      <c r="A42" s="944">
        <v>2</v>
      </c>
      <c r="B42" s="944" t="s">
        <v>127</v>
      </c>
      <c r="C42" s="944" t="s">
        <v>118</v>
      </c>
      <c r="D42" s="944" t="s">
        <v>118</v>
      </c>
      <c r="E42" s="945"/>
      <c r="F42" s="944" t="s">
        <v>148</v>
      </c>
      <c r="G42" s="342" t="s">
        <v>932</v>
      </c>
      <c r="H42" s="19" t="s">
        <v>147</v>
      </c>
      <c r="I42" s="341">
        <f>+E42*1.3</f>
        <v>0</v>
      </c>
      <c r="J42" s="341" t="s">
        <v>76</v>
      </c>
      <c r="K42" s="341"/>
    </row>
    <row r="43" spans="1:11">
      <c r="A43" s="961"/>
      <c r="B43" s="961"/>
      <c r="C43" s="961"/>
      <c r="D43" s="961"/>
      <c r="E43" s="946"/>
      <c r="F43" s="961"/>
      <c r="G43" s="342" t="s">
        <v>101</v>
      </c>
      <c r="H43" s="342" t="s">
        <v>90</v>
      </c>
      <c r="I43" s="341">
        <f>+E42*8</f>
        <v>0</v>
      </c>
      <c r="J43" s="341" t="s">
        <v>83</v>
      </c>
      <c r="K43" s="341"/>
    </row>
    <row r="44" spans="1:11" ht="14.25" customHeight="1">
      <c r="A44" s="961"/>
      <c r="B44" s="961"/>
      <c r="C44" s="961"/>
      <c r="D44" s="961"/>
      <c r="E44" s="946"/>
      <c r="F44" s="961"/>
      <c r="G44" s="342" t="s">
        <v>699</v>
      </c>
      <c r="H44" s="342" t="s">
        <v>89</v>
      </c>
      <c r="I44" s="341">
        <f>+E42*3.2</f>
        <v>0</v>
      </c>
      <c r="J44" s="341" t="s">
        <v>75</v>
      </c>
      <c r="K44" s="341"/>
    </row>
    <row r="45" spans="1:11">
      <c r="A45" s="961"/>
      <c r="B45" s="961"/>
      <c r="C45" s="961"/>
      <c r="D45" s="961"/>
      <c r="E45" s="946"/>
      <c r="F45" s="961"/>
      <c r="G45" s="66" t="s">
        <v>927</v>
      </c>
      <c r="H45" s="342"/>
      <c r="I45" s="341">
        <f>E42*1</f>
        <v>0</v>
      </c>
      <c r="J45" s="341" t="s">
        <v>76</v>
      </c>
      <c r="K45" s="341"/>
    </row>
    <row r="46" spans="1:11" ht="14.25" customHeight="1">
      <c r="A46" s="962"/>
      <c r="B46" s="962"/>
      <c r="C46" s="962"/>
      <c r="D46" s="962"/>
      <c r="E46" s="952"/>
      <c r="F46" s="962"/>
      <c r="G46" s="66"/>
      <c r="H46" s="342"/>
      <c r="I46" s="341">
        <f>E42</f>
        <v>0</v>
      </c>
      <c r="J46" s="341" t="s">
        <v>84</v>
      </c>
      <c r="K46" s="344" t="s">
        <v>929</v>
      </c>
    </row>
    <row r="47" spans="1:11">
      <c r="A47" s="971" t="s">
        <v>224</v>
      </c>
      <c r="B47" s="971"/>
      <c r="C47" s="971"/>
      <c r="D47" s="971"/>
      <c r="E47" s="971"/>
      <c r="F47" s="971"/>
      <c r="G47" s="971"/>
      <c r="H47" s="971"/>
      <c r="I47" s="971"/>
      <c r="J47" s="971"/>
      <c r="K47" s="971"/>
    </row>
    <row r="48" spans="1:11" ht="14.25" customHeight="1">
      <c r="A48" s="341" t="s">
        <v>182</v>
      </c>
      <c r="B48" s="341" t="s">
        <v>144</v>
      </c>
      <c r="C48" s="341" t="s">
        <v>143</v>
      </c>
      <c r="D48" s="341" t="s">
        <v>142</v>
      </c>
      <c r="E48" s="21"/>
      <c r="F48" s="341" t="s">
        <v>169</v>
      </c>
      <c r="G48" s="341" t="s">
        <v>140</v>
      </c>
      <c r="H48" s="341" t="s">
        <v>139</v>
      </c>
      <c r="I48" s="341" t="s">
        <v>141</v>
      </c>
      <c r="J48" s="341" t="s">
        <v>180</v>
      </c>
      <c r="K48" s="341" t="s">
        <v>149</v>
      </c>
    </row>
    <row r="49" spans="1:11">
      <c r="A49" s="943" t="s">
        <v>223</v>
      </c>
      <c r="B49" s="943" t="s">
        <v>222</v>
      </c>
      <c r="C49" s="943">
        <v>720</v>
      </c>
      <c r="D49" s="943">
        <v>560</v>
      </c>
      <c r="E49" s="945"/>
      <c r="F49" s="960" t="s">
        <v>214</v>
      </c>
      <c r="G49" s="342" t="s">
        <v>221</v>
      </c>
      <c r="H49" s="342" t="s">
        <v>220</v>
      </c>
      <c r="I49" s="341">
        <f>+E49*1</f>
        <v>0</v>
      </c>
      <c r="J49" s="341" t="s">
        <v>83</v>
      </c>
      <c r="K49" s="944"/>
    </row>
    <row r="50" spans="1:11" ht="14.25" customHeight="1">
      <c r="A50" s="943"/>
      <c r="B50" s="943"/>
      <c r="C50" s="943"/>
      <c r="D50" s="943"/>
      <c r="E50" s="946"/>
      <c r="F50" s="960"/>
      <c r="G50" s="342" t="s">
        <v>699</v>
      </c>
      <c r="H50" s="342" t="s">
        <v>89</v>
      </c>
      <c r="I50" s="341">
        <f>+E49*1.3</f>
        <v>0</v>
      </c>
      <c r="J50" s="341" t="s">
        <v>75</v>
      </c>
      <c r="K50" s="961"/>
    </row>
    <row r="51" spans="1:11">
      <c r="A51" s="943"/>
      <c r="B51" s="943"/>
      <c r="C51" s="943"/>
      <c r="D51" s="943"/>
      <c r="E51" s="946"/>
      <c r="F51" s="960"/>
      <c r="G51" s="342" t="s">
        <v>155</v>
      </c>
      <c r="H51" s="342"/>
      <c r="I51" s="943" t="s">
        <v>153</v>
      </c>
      <c r="J51" s="943"/>
      <c r="K51" s="961"/>
    </row>
    <row r="52" spans="1:11" ht="14.25" customHeight="1">
      <c r="A52" s="943"/>
      <c r="B52" s="943"/>
      <c r="C52" s="943"/>
      <c r="D52" s="943"/>
      <c r="E52" s="952"/>
      <c r="F52" s="960"/>
      <c r="G52" s="342" t="s">
        <v>219</v>
      </c>
      <c r="H52" s="342" t="s">
        <v>90</v>
      </c>
      <c r="I52" s="341">
        <f>+E49*8</f>
        <v>0</v>
      </c>
      <c r="J52" s="341" t="s">
        <v>83</v>
      </c>
      <c r="K52" s="961"/>
    </row>
    <row r="53" spans="1:11">
      <c r="A53" s="943" t="s">
        <v>218</v>
      </c>
      <c r="B53" s="943" t="s">
        <v>77</v>
      </c>
      <c r="C53" s="943">
        <v>720</v>
      </c>
      <c r="D53" s="943">
        <v>560</v>
      </c>
      <c r="E53" s="945"/>
      <c r="F53" s="960" t="s">
        <v>214</v>
      </c>
      <c r="G53" s="342" t="s">
        <v>217</v>
      </c>
      <c r="H53" s="342" t="s">
        <v>216</v>
      </c>
      <c r="I53" s="341">
        <f>+E53*1</f>
        <v>0</v>
      </c>
      <c r="J53" s="341" t="s">
        <v>83</v>
      </c>
      <c r="K53" s="961"/>
    </row>
    <row r="54" spans="1:11" ht="14.25" customHeight="1">
      <c r="A54" s="943"/>
      <c r="B54" s="943"/>
      <c r="C54" s="943"/>
      <c r="D54" s="943"/>
      <c r="E54" s="946"/>
      <c r="F54" s="960"/>
      <c r="G54" s="342" t="s">
        <v>699</v>
      </c>
      <c r="H54" s="342" t="s">
        <v>89</v>
      </c>
      <c r="I54" s="341">
        <f>+E53*1.3</f>
        <v>0</v>
      </c>
      <c r="J54" s="341" t="s">
        <v>75</v>
      </c>
      <c r="K54" s="961"/>
    </row>
    <row r="55" spans="1:11">
      <c r="A55" s="943"/>
      <c r="B55" s="943"/>
      <c r="C55" s="943"/>
      <c r="D55" s="943"/>
      <c r="E55" s="946"/>
      <c r="F55" s="960"/>
      <c r="G55" s="342" t="s">
        <v>155</v>
      </c>
      <c r="H55" s="342"/>
      <c r="I55" s="943" t="s">
        <v>153</v>
      </c>
      <c r="J55" s="943"/>
      <c r="K55" s="961"/>
    </row>
    <row r="56" spans="1:11" ht="14.25" customHeight="1">
      <c r="A56" s="943"/>
      <c r="B56" s="943"/>
      <c r="C56" s="943"/>
      <c r="D56" s="943"/>
      <c r="E56" s="952"/>
      <c r="F56" s="960"/>
      <c r="G56" s="342" t="s">
        <v>101</v>
      </c>
      <c r="H56" s="342" t="s">
        <v>90</v>
      </c>
      <c r="I56" s="341">
        <f>+E53*8</f>
        <v>0</v>
      </c>
      <c r="J56" s="341" t="s">
        <v>83</v>
      </c>
      <c r="K56" s="961"/>
    </row>
    <row r="57" spans="1:11">
      <c r="A57" s="943" t="s">
        <v>215</v>
      </c>
      <c r="B57" s="943" t="s">
        <v>78</v>
      </c>
      <c r="C57" s="943">
        <v>720</v>
      </c>
      <c r="D57" s="943">
        <v>560</v>
      </c>
      <c r="E57" s="945"/>
      <c r="F57" s="960" t="s">
        <v>214</v>
      </c>
      <c r="G57" s="342" t="s">
        <v>213</v>
      </c>
      <c r="H57" s="342" t="s">
        <v>212</v>
      </c>
      <c r="I57" s="341">
        <f>+E57*1</f>
        <v>0</v>
      </c>
      <c r="J57" s="341" t="s">
        <v>83</v>
      </c>
      <c r="K57" s="961"/>
    </row>
    <row r="58" spans="1:11" ht="14.25" customHeight="1">
      <c r="A58" s="943"/>
      <c r="B58" s="943"/>
      <c r="C58" s="943"/>
      <c r="D58" s="943"/>
      <c r="E58" s="946"/>
      <c r="F58" s="960"/>
      <c r="G58" s="342" t="s">
        <v>699</v>
      </c>
      <c r="H58" s="342" t="s">
        <v>89</v>
      </c>
      <c r="I58" s="341">
        <f>+E57*1.5</f>
        <v>0</v>
      </c>
      <c r="J58" s="341" t="s">
        <v>75</v>
      </c>
      <c r="K58" s="961"/>
    </row>
    <row r="59" spans="1:11">
      <c r="A59" s="943"/>
      <c r="B59" s="943"/>
      <c r="C59" s="943"/>
      <c r="D59" s="943"/>
      <c r="E59" s="946"/>
      <c r="F59" s="960"/>
      <c r="G59" s="342" t="s">
        <v>155</v>
      </c>
      <c r="H59" s="342"/>
      <c r="I59" s="943" t="s">
        <v>153</v>
      </c>
      <c r="J59" s="943"/>
      <c r="K59" s="961"/>
    </row>
    <row r="60" spans="1:11" ht="14.25" customHeight="1">
      <c r="A60" s="943"/>
      <c r="B60" s="943"/>
      <c r="C60" s="943"/>
      <c r="D60" s="943"/>
      <c r="E60" s="952"/>
      <c r="F60" s="960"/>
      <c r="G60" s="342" t="s">
        <v>101</v>
      </c>
      <c r="H60" s="342" t="s">
        <v>90</v>
      </c>
      <c r="I60" s="341">
        <f>+E57*8</f>
        <v>0</v>
      </c>
      <c r="J60" s="341" t="s">
        <v>83</v>
      </c>
      <c r="K60" s="961"/>
    </row>
    <row r="61" spans="1:11">
      <c r="A61" s="943" t="s">
        <v>211</v>
      </c>
      <c r="B61" s="943" t="s">
        <v>210</v>
      </c>
      <c r="C61" s="943">
        <v>720</v>
      </c>
      <c r="D61" s="943">
        <v>300</v>
      </c>
      <c r="E61" s="945"/>
      <c r="F61" s="960" t="s">
        <v>207</v>
      </c>
      <c r="G61" s="342" t="s">
        <v>209</v>
      </c>
      <c r="H61" s="23" t="s">
        <v>205</v>
      </c>
      <c r="I61" s="341">
        <f>+E61*1</f>
        <v>0</v>
      </c>
      <c r="J61" s="341" t="s">
        <v>83</v>
      </c>
      <c r="K61" s="961"/>
    </row>
    <row r="62" spans="1:11" ht="14.25" customHeight="1">
      <c r="A62" s="943"/>
      <c r="B62" s="943"/>
      <c r="C62" s="943"/>
      <c r="D62" s="943"/>
      <c r="E62" s="946"/>
      <c r="F62" s="960"/>
      <c r="G62" s="342" t="s">
        <v>699</v>
      </c>
      <c r="H62" s="342" t="s">
        <v>89</v>
      </c>
      <c r="I62" s="341">
        <f>+E61*0.8</f>
        <v>0</v>
      </c>
      <c r="J62" s="341" t="s">
        <v>75</v>
      </c>
      <c r="K62" s="961"/>
    </row>
    <row r="63" spans="1:11">
      <c r="A63" s="943"/>
      <c r="B63" s="943"/>
      <c r="C63" s="943"/>
      <c r="D63" s="943"/>
      <c r="E63" s="946"/>
      <c r="F63" s="960"/>
      <c r="G63" s="342" t="s">
        <v>155</v>
      </c>
      <c r="H63" s="342"/>
      <c r="I63" s="943" t="s">
        <v>153</v>
      </c>
      <c r="J63" s="943"/>
      <c r="K63" s="961"/>
    </row>
    <row r="64" spans="1:11" ht="14.25" customHeight="1">
      <c r="A64" s="943"/>
      <c r="B64" s="943"/>
      <c r="C64" s="943"/>
      <c r="D64" s="943"/>
      <c r="E64" s="952"/>
      <c r="F64" s="960"/>
      <c r="G64" s="342" t="s">
        <v>101</v>
      </c>
      <c r="H64" s="342" t="s">
        <v>90</v>
      </c>
      <c r="I64" s="341">
        <f>+E61*8</f>
        <v>0</v>
      </c>
      <c r="J64" s="341" t="s">
        <v>83</v>
      </c>
      <c r="K64" s="961"/>
    </row>
    <row r="65" spans="1:11">
      <c r="A65" s="943" t="s">
        <v>208</v>
      </c>
      <c r="B65" s="943" t="s">
        <v>226</v>
      </c>
      <c r="C65" s="943">
        <v>720</v>
      </c>
      <c r="D65" s="943">
        <v>300</v>
      </c>
      <c r="E65" s="945"/>
      <c r="F65" s="960" t="s">
        <v>207</v>
      </c>
      <c r="G65" s="342" t="s">
        <v>206</v>
      </c>
      <c r="H65" s="23" t="s">
        <v>205</v>
      </c>
      <c r="I65" s="341">
        <f>+E65*1</f>
        <v>0</v>
      </c>
      <c r="J65" s="341" t="s">
        <v>83</v>
      </c>
      <c r="K65" s="961"/>
    </row>
    <row r="66" spans="1:11" ht="14.25" customHeight="1">
      <c r="A66" s="943"/>
      <c r="B66" s="943"/>
      <c r="C66" s="943"/>
      <c r="D66" s="943"/>
      <c r="E66" s="946"/>
      <c r="F66" s="960"/>
      <c r="G66" s="342" t="s">
        <v>699</v>
      </c>
      <c r="H66" s="342" t="s">
        <v>89</v>
      </c>
      <c r="I66" s="341">
        <f>+E65*0.8</f>
        <v>0</v>
      </c>
      <c r="J66" s="341" t="s">
        <v>82</v>
      </c>
      <c r="K66" s="961"/>
    </row>
    <row r="67" spans="1:11">
      <c r="A67" s="943"/>
      <c r="B67" s="943"/>
      <c r="C67" s="943"/>
      <c r="D67" s="943"/>
      <c r="E67" s="946"/>
      <c r="F67" s="960"/>
      <c r="G67" s="342" t="s">
        <v>155</v>
      </c>
      <c r="H67" s="342"/>
      <c r="I67" s="943" t="s">
        <v>153</v>
      </c>
      <c r="J67" s="943"/>
      <c r="K67" s="961"/>
    </row>
    <row r="68" spans="1:11" ht="14.25" customHeight="1">
      <c r="A68" s="943"/>
      <c r="B68" s="943"/>
      <c r="C68" s="943"/>
      <c r="D68" s="943"/>
      <c r="E68" s="952"/>
      <c r="F68" s="960"/>
      <c r="G68" s="342" t="s">
        <v>101</v>
      </c>
      <c r="H68" s="342" t="s">
        <v>90</v>
      </c>
      <c r="I68" s="341">
        <f>+E65*8</f>
        <v>0</v>
      </c>
      <c r="J68" s="341" t="s">
        <v>83</v>
      </c>
      <c r="K68" s="961"/>
    </row>
    <row r="69" spans="1:11" ht="14.25" customHeight="1">
      <c r="A69" s="943" t="s">
        <v>204</v>
      </c>
      <c r="B69" s="943" t="s">
        <v>77</v>
      </c>
      <c r="C69" s="943">
        <v>720</v>
      </c>
      <c r="D69" s="943">
        <v>300</v>
      </c>
      <c r="E69" s="945"/>
      <c r="F69" s="960" t="s">
        <v>200</v>
      </c>
      <c r="G69" s="342" t="s">
        <v>203</v>
      </c>
      <c r="H69" s="23" t="s">
        <v>202</v>
      </c>
      <c r="I69" s="341">
        <f>+E69*1</f>
        <v>0</v>
      </c>
      <c r="J69" s="341" t="s">
        <v>83</v>
      </c>
      <c r="K69" s="961"/>
    </row>
    <row r="70" spans="1:11">
      <c r="A70" s="943"/>
      <c r="B70" s="943"/>
      <c r="C70" s="943"/>
      <c r="D70" s="943"/>
      <c r="E70" s="946"/>
      <c r="F70" s="960"/>
      <c r="G70" s="342" t="s">
        <v>699</v>
      </c>
      <c r="H70" s="342" t="s">
        <v>89</v>
      </c>
      <c r="I70" s="341">
        <f>+E69*1</f>
        <v>0</v>
      </c>
      <c r="J70" s="341" t="s">
        <v>82</v>
      </c>
      <c r="K70" s="961"/>
    </row>
    <row r="71" spans="1:11">
      <c r="A71" s="943"/>
      <c r="B71" s="943"/>
      <c r="C71" s="943"/>
      <c r="D71" s="943"/>
      <c r="E71" s="946"/>
      <c r="F71" s="960"/>
      <c r="G71" s="342" t="s">
        <v>155</v>
      </c>
      <c r="H71" s="342"/>
      <c r="I71" s="943" t="s">
        <v>153</v>
      </c>
      <c r="J71" s="943"/>
      <c r="K71" s="961"/>
    </row>
    <row r="72" spans="1:11">
      <c r="A72" s="943"/>
      <c r="B72" s="943"/>
      <c r="C72" s="943"/>
      <c r="D72" s="943"/>
      <c r="E72" s="952"/>
      <c r="F72" s="960"/>
      <c r="G72" s="342" t="s">
        <v>101</v>
      </c>
      <c r="H72" s="342" t="s">
        <v>90</v>
      </c>
      <c r="I72" s="341">
        <f>+E69*8</f>
        <v>0</v>
      </c>
      <c r="J72" s="341" t="s">
        <v>83</v>
      </c>
      <c r="K72" s="961"/>
    </row>
    <row r="73" spans="1:11">
      <c r="A73" s="943" t="s">
        <v>201</v>
      </c>
      <c r="B73" s="943" t="s">
        <v>78</v>
      </c>
      <c r="C73" s="943">
        <v>720</v>
      </c>
      <c r="D73" s="943">
        <v>300</v>
      </c>
      <c r="E73" s="945"/>
      <c r="F73" s="960" t="s">
        <v>200</v>
      </c>
      <c r="G73" s="342" t="s">
        <v>199</v>
      </c>
      <c r="H73" s="23" t="s">
        <v>198</v>
      </c>
      <c r="I73" s="341">
        <f>+E73*1</f>
        <v>0</v>
      </c>
      <c r="J73" s="341" t="s">
        <v>83</v>
      </c>
      <c r="K73" s="961"/>
    </row>
    <row r="74" spans="1:11">
      <c r="A74" s="943"/>
      <c r="B74" s="943"/>
      <c r="C74" s="943"/>
      <c r="D74" s="943"/>
      <c r="E74" s="946"/>
      <c r="F74" s="960"/>
      <c r="G74" s="342" t="s">
        <v>699</v>
      </c>
      <c r="H74" s="342" t="s">
        <v>89</v>
      </c>
      <c r="I74" s="341">
        <f>+E73*1.4</f>
        <v>0</v>
      </c>
      <c r="J74" s="341" t="s">
        <v>82</v>
      </c>
      <c r="K74" s="961"/>
    </row>
    <row r="75" spans="1:11">
      <c r="A75" s="943"/>
      <c r="B75" s="943"/>
      <c r="C75" s="943"/>
      <c r="D75" s="943"/>
      <c r="E75" s="946"/>
      <c r="F75" s="960"/>
      <c r="G75" s="342" t="s">
        <v>155</v>
      </c>
      <c r="H75" s="342"/>
      <c r="I75" s="943" t="s">
        <v>153</v>
      </c>
      <c r="J75" s="943"/>
      <c r="K75" s="961"/>
    </row>
    <row r="76" spans="1:11">
      <c r="A76" s="943"/>
      <c r="B76" s="943"/>
      <c r="C76" s="943"/>
      <c r="D76" s="943"/>
      <c r="E76" s="952"/>
      <c r="F76" s="960"/>
      <c r="G76" s="342" t="s">
        <v>101</v>
      </c>
      <c r="H76" s="342" t="s">
        <v>90</v>
      </c>
      <c r="I76" s="341">
        <f>+E73*8</f>
        <v>0</v>
      </c>
      <c r="J76" s="341" t="s">
        <v>83</v>
      </c>
      <c r="K76" s="961"/>
    </row>
    <row r="77" spans="1:11">
      <c r="A77" s="943" t="s">
        <v>197</v>
      </c>
      <c r="B77" s="943" t="s">
        <v>196</v>
      </c>
      <c r="C77" s="943">
        <v>2160</v>
      </c>
      <c r="D77" s="943">
        <v>560</v>
      </c>
      <c r="E77" s="945"/>
      <c r="F77" s="960" t="s">
        <v>195</v>
      </c>
      <c r="G77" s="342" t="s">
        <v>194</v>
      </c>
      <c r="H77" s="19" t="s">
        <v>147</v>
      </c>
      <c r="I77" s="341">
        <f>+E77*1</f>
        <v>0</v>
      </c>
      <c r="J77" s="341" t="s">
        <v>76</v>
      </c>
      <c r="K77" s="961"/>
    </row>
    <row r="78" spans="1:11">
      <c r="A78" s="943"/>
      <c r="B78" s="943"/>
      <c r="C78" s="943"/>
      <c r="D78" s="943"/>
      <c r="E78" s="946"/>
      <c r="F78" s="960"/>
      <c r="G78" s="342" t="s">
        <v>699</v>
      </c>
      <c r="H78" s="342" t="s">
        <v>89</v>
      </c>
      <c r="I78" s="341">
        <f>+E77*2.5</f>
        <v>0</v>
      </c>
      <c r="J78" s="341" t="s">
        <v>75</v>
      </c>
      <c r="K78" s="961"/>
    </row>
    <row r="79" spans="1:11">
      <c r="A79" s="943"/>
      <c r="B79" s="943"/>
      <c r="C79" s="943"/>
      <c r="D79" s="943"/>
      <c r="E79" s="946"/>
      <c r="F79" s="960"/>
      <c r="G79" s="342" t="s">
        <v>155</v>
      </c>
      <c r="H79" s="342"/>
      <c r="I79" s="943" t="s">
        <v>153</v>
      </c>
      <c r="J79" s="943"/>
      <c r="K79" s="961"/>
    </row>
    <row r="80" spans="1:11">
      <c r="A80" s="943"/>
      <c r="B80" s="943"/>
      <c r="C80" s="943"/>
      <c r="D80" s="943"/>
      <c r="E80" s="952"/>
      <c r="F80" s="960"/>
      <c r="G80" s="342" t="s">
        <v>101</v>
      </c>
      <c r="H80" s="342" t="s">
        <v>90</v>
      </c>
      <c r="I80" s="341">
        <f>+E77*8</f>
        <v>0</v>
      </c>
      <c r="J80" s="341" t="s">
        <v>83</v>
      </c>
      <c r="K80" s="962"/>
    </row>
    <row r="81" spans="1:11">
      <c r="A81" s="960" t="s">
        <v>193</v>
      </c>
      <c r="B81" s="960"/>
      <c r="C81" s="960"/>
      <c r="D81" s="960"/>
      <c r="E81" s="960"/>
      <c r="F81" s="960"/>
      <c r="G81" s="960"/>
      <c r="H81" s="960"/>
      <c r="I81" s="960"/>
      <c r="J81" s="960"/>
      <c r="K81" s="960"/>
    </row>
    <row r="82" spans="1:11">
      <c r="A82" s="959" t="s">
        <v>192</v>
      </c>
      <c r="B82" s="959"/>
      <c r="C82" s="959"/>
      <c r="D82" s="959"/>
      <c r="E82" s="959"/>
      <c r="F82" s="959"/>
      <c r="G82" s="959"/>
      <c r="H82" s="959"/>
      <c r="I82" s="959"/>
      <c r="J82" s="959"/>
      <c r="K82" s="959"/>
    </row>
    <row r="83" spans="1:11" ht="14.25" customHeight="1">
      <c r="A83" s="341" t="s">
        <v>151</v>
      </c>
      <c r="B83" s="341" t="s">
        <v>144</v>
      </c>
      <c r="C83" s="341" t="s">
        <v>143</v>
      </c>
      <c r="D83" s="341" t="s">
        <v>142</v>
      </c>
      <c r="E83" s="21"/>
      <c r="F83" s="341" t="s">
        <v>169</v>
      </c>
      <c r="G83" s="341" t="s">
        <v>140</v>
      </c>
      <c r="H83" s="341" t="s">
        <v>139</v>
      </c>
      <c r="I83" s="341" t="s">
        <v>138</v>
      </c>
      <c r="J83" s="341" t="s">
        <v>137</v>
      </c>
      <c r="K83" s="341" t="s">
        <v>149</v>
      </c>
    </row>
    <row r="84" spans="1:11">
      <c r="A84" s="943">
        <v>1</v>
      </c>
      <c r="B84" s="943" t="s">
        <v>100</v>
      </c>
      <c r="C84" s="943" t="s">
        <v>118</v>
      </c>
      <c r="D84" s="943" t="s">
        <v>118</v>
      </c>
      <c r="E84" s="945"/>
      <c r="F84" s="943" t="s">
        <v>86</v>
      </c>
      <c r="G84" s="342" t="s">
        <v>932</v>
      </c>
      <c r="H84" s="19" t="s">
        <v>147</v>
      </c>
      <c r="I84" s="341">
        <f>+E84*0.3</f>
        <v>0</v>
      </c>
      <c r="J84" s="341" t="s">
        <v>76</v>
      </c>
      <c r="K84" s="943"/>
    </row>
    <row r="85" spans="1:11">
      <c r="A85" s="943"/>
      <c r="B85" s="943"/>
      <c r="C85" s="943"/>
      <c r="D85" s="943"/>
      <c r="E85" s="946"/>
      <c r="F85" s="943"/>
      <c r="G85" s="342" t="s">
        <v>699</v>
      </c>
      <c r="H85" s="342" t="s">
        <v>89</v>
      </c>
      <c r="I85" s="341">
        <f>+E84*1</f>
        <v>0</v>
      </c>
      <c r="J85" s="341" t="s">
        <v>75</v>
      </c>
      <c r="K85" s="943"/>
    </row>
    <row r="86" spans="1:11" ht="14.25" customHeight="1">
      <c r="A86" s="943"/>
      <c r="B86" s="943"/>
      <c r="C86" s="943"/>
      <c r="D86" s="943"/>
      <c r="E86" s="952"/>
      <c r="F86" s="943"/>
      <c r="G86" s="342" t="s">
        <v>101</v>
      </c>
      <c r="H86" s="342" t="s">
        <v>90</v>
      </c>
      <c r="I86" s="341">
        <f>+E84*8</f>
        <v>0</v>
      </c>
      <c r="J86" s="341" t="s">
        <v>83</v>
      </c>
      <c r="K86" s="943"/>
    </row>
    <row r="87" spans="1:11">
      <c r="A87" s="943">
        <v>2</v>
      </c>
      <c r="B87" s="943" t="s">
        <v>127</v>
      </c>
      <c r="C87" s="943" t="s">
        <v>118</v>
      </c>
      <c r="D87" s="943" t="s">
        <v>118</v>
      </c>
      <c r="E87" s="945"/>
      <c r="F87" s="943" t="s">
        <v>86</v>
      </c>
      <c r="G87" s="342" t="s">
        <v>932</v>
      </c>
      <c r="H87" s="19" t="s">
        <v>147</v>
      </c>
      <c r="I87" s="341">
        <f>+E87*0.4</f>
        <v>0</v>
      </c>
      <c r="J87" s="341" t="s">
        <v>76</v>
      </c>
      <c r="K87" s="943"/>
    </row>
    <row r="88" spans="1:11">
      <c r="A88" s="943"/>
      <c r="B88" s="943"/>
      <c r="C88" s="943"/>
      <c r="D88" s="943"/>
      <c r="E88" s="946"/>
      <c r="F88" s="943"/>
      <c r="G88" s="342" t="s">
        <v>699</v>
      </c>
      <c r="H88" s="342" t="s">
        <v>89</v>
      </c>
      <c r="I88" s="341">
        <f>+E87*1.5</f>
        <v>0</v>
      </c>
      <c r="J88" s="341" t="s">
        <v>75</v>
      </c>
      <c r="K88" s="943"/>
    </row>
    <row r="89" spans="1:11">
      <c r="A89" s="943"/>
      <c r="B89" s="943"/>
      <c r="C89" s="943"/>
      <c r="D89" s="943"/>
      <c r="E89" s="952"/>
      <c r="F89" s="943"/>
      <c r="G89" s="342" t="s">
        <v>101</v>
      </c>
      <c r="H89" s="342" t="s">
        <v>90</v>
      </c>
      <c r="I89" s="341">
        <f>+E87*8</f>
        <v>0</v>
      </c>
      <c r="J89" s="341" t="s">
        <v>83</v>
      </c>
      <c r="K89" s="943"/>
    </row>
    <row r="90" spans="1:11">
      <c r="A90" s="943">
        <v>3</v>
      </c>
      <c r="B90" s="943" t="s">
        <v>100</v>
      </c>
      <c r="C90" s="943" t="s">
        <v>118</v>
      </c>
      <c r="D90" s="943" t="s">
        <v>118</v>
      </c>
      <c r="E90" s="945"/>
      <c r="F90" s="943" t="s">
        <v>74</v>
      </c>
      <c r="G90" s="342" t="s">
        <v>932</v>
      </c>
      <c r="H90" s="19" t="s">
        <v>147</v>
      </c>
      <c r="I90" s="341">
        <f>+E90*0.4</f>
        <v>0</v>
      </c>
      <c r="J90" s="341" t="s">
        <v>76</v>
      </c>
      <c r="K90" s="943"/>
    </row>
    <row r="91" spans="1:11">
      <c r="A91" s="943"/>
      <c r="B91" s="943"/>
      <c r="C91" s="943"/>
      <c r="D91" s="943"/>
      <c r="E91" s="946"/>
      <c r="F91" s="943"/>
      <c r="G91" s="342" t="s">
        <v>699</v>
      </c>
      <c r="H91" s="342" t="s">
        <v>89</v>
      </c>
      <c r="I91" s="341">
        <f>+E90*1.5</f>
        <v>0</v>
      </c>
      <c r="J91" s="341" t="s">
        <v>75</v>
      </c>
      <c r="K91" s="943"/>
    </row>
    <row r="92" spans="1:11">
      <c r="A92" s="943"/>
      <c r="B92" s="943"/>
      <c r="C92" s="943"/>
      <c r="D92" s="943"/>
      <c r="E92" s="952"/>
      <c r="F92" s="943"/>
      <c r="G92" s="342" t="s">
        <v>101</v>
      </c>
      <c r="H92" s="342" t="s">
        <v>90</v>
      </c>
      <c r="I92" s="341">
        <f>+E90*8</f>
        <v>0</v>
      </c>
      <c r="J92" s="341" t="s">
        <v>83</v>
      </c>
      <c r="K92" s="943"/>
    </row>
    <row r="93" spans="1:11">
      <c r="A93" s="943">
        <v>4</v>
      </c>
      <c r="B93" s="943" t="s">
        <v>127</v>
      </c>
      <c r="C93" s="943" t="s">
        <v>118</v>
      </c>
      <c r="D93" s="943" t="s">
        <v>118</v>
      </c>
      <c r="E93" s="945"/>
      <c r="F93" s="943" t="s">
        <v>74</v>
      </c>
      <c r="G93" s="342" t="s">
        <v>932</v>
      </c>
      <c r="H93" s="19" t="s">
        <v>147</v>
      </c>
      <c r="I93" s="341">
        <f>+E93*0.6</f>
        <v>0</v>
      </c>
      <c r="J93" s="341" t="s">
        <v>76</v>
      </c>
      <c r="K93" s="943"/>
    </row>
    <row r="94" spans="1:11">
      <c r="A94" s="943"/>
      <c r="B94" s="943"/>
      <c r="C94" s="943"/>
      <c r="D94" s="943"/>
      <c r="E94" s="946"/>
      <c r="F94" s="943"/>
      <c r="G94" s="342" t="s">
        <v>699</v>
      </c>
      <c r="H94" s="342" t="s">
        <v>89</v>
      </c>
      <c r="I94" s="341">
        <f>+E93*1.5</f>
        <v>0</v>
      </c>
      <c r="J94" s="341" t="s">
        <v>75</v>
      </c>
      <c r="K94" s="943"/>
    </row>
    <row r="95" spans="1:11" ht="14.25" customHeight="1">
      <c r="A95" s="943"/>
      <c r="B95" s="943"/>
      <c r="C95" s="943"/>
      <c r="D95" s="943"/>
      <c r="E95" s="952"/>
      <c r="F95" s="943"/>
      <c r="G95" s="342" t="s">
        <v>101</v>
      </c>
      <c r="H95" s="342" t="s">
        <v>90</v>
      </c>
      <c r="I95" s="341">
        <f>+E93*8</f>
        <v>0</v>
      </c>
      <c r="J95" s="341" t="s">
        <v>83</v>
      </c>
      <c r="K95" s="943"/>
    </row>
    <row r="96" spans="1:11">
      <c r="A96" s="943">
        <v>5</v>
      </c>
      <c r="B96" s="943" t="s">
        <v>118</v>
      </c>
      <c r="C96" s="943" t="s">
        <v>118</v>
      </c>
      <c r="D96" s="943" t="s">
        <v>103</v>
      </c>
      <c r="E96" s="945"/>
      <c r="F96" s="960" t="s">
        <v>191</v>
      </c>
      <c r="G96" s="342" t="s">
        <v>932</v>
      </c>
      <c r="H96" s="19" t="s">
        <v>147</v>
      </c>
      <c r="I96" s="341">
        <f>+E96*0.5</f>
        <v>0</v>
      </c>
      <c r="J96" s="341" t="s">
        <v>76</v>
      </c>
      <c r="K96" s="943"/>
    </row>
    <row r="97" spans="1:11" ht="14.25" customHeight="1">
      <c r="A97" s="943"/>
      <c r="B97" s="943"/>
      <c r="C97" s="943"/>
      <c r="D97" s="943"/>
      <c r="E97" s="946"/>
      <c r="F97" s="960"/>
      <c r="G97" s="342" t="s">
        <v>699</v>
      </c>
      <c r="H97" s="342" t="s">
        <v>89</v>
      </c>
      <c r="I97" s="341">
        <f>+E96*2</f>
        <v>0</v>
      </c>
      <c r="J97" s="341" t="s">
        <v>75</v>
      </c>
      <c r="K97" s="943"/>
    </row>
    <row r="98" spans="1:11">
      <c r="A98" s="943"/>
      <c r="B98" s="943"/>
      <c r="C98" s="943"/>
      <c r="D98" s="943"/>
      <c r="E98" s="952"/>
      <c r="F98" s="960"/>
      <c r="G98" s="342" t="s">
        <v>101</v>
      </c>
      <c r="H98" s="342" t="s">
        <v>90</v>
      </c>
      <c r="I98" s="341">
        <f>+E96*8</f>
        <v>0</v>
      </c>
      <c r="J98" s="341" t="s">
        <v>83</v>
      </c>
      <c r="K98" s="943"/>
    </row>
    <row r="99" spans="1:11">
      <c r="A99" s="943">
        <v>6</v>
      </c>
      <c r="B99" s="943" t="s">
        <v>118</v>
      </c>
      <c r="C99" s="943" t="s">
        <v>118</v>
      </c>
      <c r="D99" s="943" t="s">
        <v>190</v>
      </c>
      <c r="E99" s="945"/>
      <c r="F99" s="960" t="s">
        <v>191</v>
      </c>
      <c r="G99" s="342" t="s">
        <v>932</v>
      </c>
      <c r="H99" s="19" t="s">
        <v>147</v>
      </c>
      <c r="I99" s="341">
        <f>+E99*0.8</f>
        <v>0</v>
      </c>
      <c r="J99" s="341" t="s">
        <v>76</v>
      </c>
      <c r="K99" s="943"/>
    </row>
    <row r="100" spans="1:11" ht="14.25" customHeight="1">
      <c r="A100" s="943"/>
      <c r="B100" s="943"/>
      <c r="C100" s="943"/>
      <c r="D100" s="943"/>
      <c r="E100" s="946"/>
      <c r="F100" s="960"/>
      <c r="G100" s="342" t="s">
        <v>699</v>
      </c>
      <c r="H100" s="342" t="s">
        <v>89</v>
      </c>
      <c r="I100" s="341">
        <f>+E99*2</f>
        <v>0</v>
      </c>
      <c r="J100" s="341" t="s">
        <v>75</v>
      </c>
      <c r="K100" s="943"/>
    </row>
    <row r="101" spans="1:11">
      <c r="A101" s="943"/>
      <c r="B101" s="943"/>
      <c r="C101" s="943"/>
      <c r="D101" s="943"/>
      <c r="E101" s="952"/>
      <c r="F101" s="960"/>
      <c r="G101" s="342" t="s">
        <v>101</v>
      </c>
      <c r="H101" s="342" t="s">
        <v>90</v>
      </c>
      <c r="I101" s="341">
        <f>+E99*8</f>
        <v>0</v>
      </c>
      <c r="J101" s="341" t="s">
        <v>83</v>
      </c>
      <c r="K101" s="943"/>
    </row>
    <row r="102" spans="1:11">
      <c r="A102" s="943">
        <v>7</v>
      </c>
      <c r="B102" s="943" t="s">
        <v>118</v>
      </c>
      <c r="C102" s="943" t="s">
        <v>118</v>
      </c>
      <c r="D102" s="943" t="s">
        <v>103</v>
      </c>
      <c r="E102" s="945"/>
      <c r="F102" s="943" t="s">
        <v>79</v>
      </c>
      <c r="G102" s="342" t="s">
        <v>932</v>
      </c>
      <c r="H102" s="19" t="s">
        <v>147</v>
      </c>
      <c r="I102" s="341">
        <f>+E102*0.5</f>
        <v>0</v>
      </c>
      <c r="J102" s="341" t="s">
        <v>76</v>
      </c>
      <c r="K102" s="943"/>
    </row>
    <row r="103" spans="1:11">
      <c r="A103" s="943"/>
      <c r="B103" s="943"/>
      <c r="C103" s="943"/>
      <c r="D103" s="943"/>
      <c r="E103" s="946"/>
      <c r="F103" s="943"/>
      <c r="G103" s="342" t="s">
        <v>699</v>
      </c>
      <c r="H103" s="342" t="s">
        <v>89</v>
      </c>
      <c r="I103" s="341">
        <f>+E102*2.5</f>
        <v>0</v>
      </c>
      <c r="J103" s="341" t="s">
        <v>75</v>
      </c>
      <c r="K103" s="943"/>
    </row>
    <row r="104" spans="1:11" ht="14.25" customHeight="1">
      <c r="A104" s="943"/>
      <c r="B104" s="943"/>
      <c r="C104" s="943"/>
      <c r="D104" s="943"/>
      <c r="E104" s="952"/>
      <c r="F104" s="943"/>
      <c r="G104" s="342" t="s">
        <v>101</v>
      </c>
      <c r="H104" s="342" t="s">
        <v>90</v>
      </c>
      <c r="I104" s="341">
        <f>+E102*8</f>
        <v>0</v>
      </c>
      <c r="J104" s="341" t="s">
        <v>83</v>
      </c>
      <c r="K104" s="943"/>
    </row>
    <row r="105" spans="1:11">
      <c r="A105" s="943">
        <v>8</v>
      </c>
      <c r="B105" s="943" t="s">
        <v>118</v>
      </c>
      <c r="C105" s="943" t="s">
        <v>118</v>
      </c>
      <c r="D105" s="943" t="s">
        <v>190</v>
      </c>
      <c r="E105" s="945"/>
      <c r="F105" s="943" t="s">
        <v>79</v>
      </c>
      <c r="G105" s="342" t="s">
        <v>932</v>
      </c>
      <c r="H105" s="19" t="s">
        <v>147</v>
      </c>
      <c r="I105" s="341">
        <f>+E105*1</f>
        <v>0</v>
      </c>
      <c r="J105" s="341" t="s">
        <v>76</v>
      </c>
      <c r="K105" s="943"/>
    </row>
    <row r="106" spans="1:11" ht="14.25" customHeight="1">
      <c r="A106" s="943"/>
      <c r="B106" s="943"/>
      <c r="C106" s="943"/>
      <c r="D106" s="943"/>
      <c r="E106" s="946"/>
      <c r="F106" s="943"/>
      <c r="G106" s="342" t="s">
        <v>699</v>
      </c>
      <c r="H106" s="342" t="s">
        <v>89</v>
      </c>
      <c r="I106" s="341">
        <f>+E105*2.5</f>
        <v>0</v>
      </c>
      <c r="J106" s="341" t="s">
        <v>75</v>
      </c>
      <c r="K106" s="943"/>
    </row>
    <row r="107" spans="1:11">
      <c r="A107" s="943"/>
      <c r="B107" s="943"/>
      <c r="C107" s="943"/>
      <c r="D107" s="943"/>
      <c r="E107" s="952"/>
      <c r="F107" s="943"/>
      <c r="G107" s="342" t="s">
        <v>101</v>
      </c>
      <c r="H107" s="342" t="s">
        <v>90</v>
      </c>
      <c r="I107" s="341">
        <f>+E105*8</f>
        <v>0</v>
      </c>
      <c r="J107" s="341" t="s">
        <v>83</v>
      </c>
      <c r="K107" s="943"/>
    </row>
    <row r="108" spans="1:11">
      <c r="A108" s="959" t="s">
        <v>189</v>
      </c>
      <c r="B108" s="959"/>
      <c r="C108" s="959"/>
      <c r="D108" s="959"/>
      <c r="E108" s="959"/>
      <c r="F108" s="959"/>
      <c r="G108" s="959"/>
      <c r="H108" s="959"/>
      <c r="I108" s="959"/>
      <c r="J108" s="959"/>
      <c r="K108" s="959"/>
    </row>
    <row r="109" spans="1:11" ht="14.25" customHeight="1">
      <c r="A109" s="341" t="s">
        <v>151</v>
      </c>
      <c r="B109" s="341" t="s">
        <v>144</v>
      </c>
      <c r="C109" s="341" t="s">
        <v>143</v>
      </c>
      <c r="D109" s="341" t="s">
        <v>141</v>
      </c>
      <c r="E109" s="21"/>
      <c r="F109" s="341" t="s">
        <v>169</v>
      </c>
      <c r="G109" s="341" t="s">
        <v>140</v>
      </c>
      <c r="H109" s="341" t="s">
        <v>139</v>
      </c>
      <c r="I109" s="341" t="s">
        <v>138</v>
      </c>
      <c r="J109" s="341" t="s">
        <v>137</v>
      </c>
      <c r="K109" s="341" t="s">
        <v>136</v>
      </c>
    </row>
    <row r="110" spans="1:11">
      <c r="A110" s="943">
        <v>1</v>
      </c>
      <c r="B110" s="943" t="s">
        <v>187</v>
      </c>
      <c r="C110" s="943" t="s">
        <v>168</v>
      </c>
      <c r="D110" s="943" t="s">
        <v>186</v>
      </c>
      <c r="E110" s="945"/>
      <c r="F110" s="943" t="s">
        <v>188</v>
      </c>
      <c r="G110" s="342" t="s">
        <v>932</v>
      </c>
      <c r="H110" s="19" t="s">
        <v>147</v>
      </c>
      <c r="I110" s="341">
        <f>+E110*0.7</f>
        <v>0</v>
      </c>
      <c r="J110" s="341" t="s">
        <v>76</v>
      </c>
      <c r="K110" s="943" t="s">
        <v>705</v>
      </c>
    </row>
    <row r="111" spans="1:11" ht="14.25" customHeight="1">
      <c r="A111" s="943"/>
      <c r="B111" s="943"/>
      <c r="C111" s="943"/>
      <c r="D111" s="943"/>
      <c r="E111" s="946"/>
      <c r="F111" s="943"/>
      <c r="G111" s="342" t="s">
        <v>706</v>
      </c>
      <c r="H111" s="317" t="s">
        <v>707</v>
      </c>
      <c r="I111" s="341">
        <f>E110*1</f>
        <v>0</v>
      </c>
      <c r="J111" s="341" t="s">
        <v>13</v>
      </c>
      <c r="K111" s="943"/>
    </row>
    <row r="112" spans="1:11">
      <c r="A112" s="943"/>
      <c r="B112" s="943"/>
      <c r="C112" s="943"/>
      <c r="D112" s="943"/>
      <c r="E112" s="952"/>
      <c r="F112" s="943"/>
      <c r="G112" s="342" t="s">
        <v>699</v>
      </c>
      <c r="H112" s="342" t="s">
        <v>89</v>
      </c>
      <c r="I112" s="341">
        <f>+E110*2</f>
        <v>0</v>
      </c>
      <c r="J112" s="341" t="s">
        <v>82</v>
      </c>
      <c r="K112" s="943"/>
    </row>
    <row r="113" spans="1:11">
      <c r="A113" s="943">
        <v>2</v>
      </c>
      <c r="B113" s="943" t="s">
        <v>187</v>
      </c>
      <c r="C113" s="943" t="s">
        <v>165</v>
      </c>
      <c r="D113" s="943" t="s">
        <v>186</v>
      </c>
      <c r="E113" s="945"/>
      <c r="F113" s="943" t="s">
        <v>185</v>
      </c>
      <c r="G113" s="342" t="s">
        <v>932</v>
      </c>
      <c r="H113" s="19" t="s">
        <v>147</v>
      </c>
      <c r="I113" s="341">
        <f>+E113*1</f>
        <v>0</v>
      </c>
      <c r="J113" s="341" t="s">
        <v>76</v>
      </c>
      <c r="K113" s="943"/>
    </row>
    <row r="114" spans="1:11" ht="14.25" customHeight="1">
      <c r="A114" s="943"/>
      <c r="B114" s="943"/>
      <c r="C114" s="943"/>
      <c r="D114" s="943"/>
      <c r="E114" s="946"/>
      <c r="F114" s="943"/>
      <c r="G114" s="342" t="s">
        <v>708</v>
      </c>
      <c r="H114" s="317" t="s">
        <v>709</v>
      </c>
      <c r="I114" s="341">
        <f>E113*1</f>
        <v>0</v>
      </c>
      <c r="J114" s="341" t="s">
        <v>13</v>
      </c>
      <c r="K114" s="943"/>
    </row>
    <row r="115" spans="1:11">
      <c r="A115" s="943"/>
      <c r="B115" s="943"/>
      <c r="C115" s="943"/>
      <c r="D115" s="943"/>
      <c r="E115" s="952"/>
      <c r="F115" s="943"/>
      <c r="G115" s="342" t="s">
        <v>699</v>
      </c>
      <c r="H115" s="342" t="s">
        <v>89</v>
      </c>
      <c r="I115" s="341">
        <f>+E113*2.5</f>
        <v>0</v>
      </c>
      <c r="J115" s="341" t="s">
        <v>82</v>
      </c>
      <c r="K115" s="943"/>
    </row>
    <row r="116" spans="1:11" ht="14.25" customHeight="1">
      <c r="A116" s="958" t="s">
        <v>184</v>
      </c>
      <c r="B116" s="958"/>
      <c r="C116" s="958"/>
      <c r="D116" s="958"/>
      <c r="E116" s="958"/>
      <c r="F116" s="958"/>
      <c r="G116" s="958"/>
      <c r="H116" s="958"/>
      <c r="I116" s="958"/>
      <c r="J116" s="958"/>
      <c r="K116" s="958"/>
    </row>
    <row r="117" spans="1:11">
      <c r="A117" s="959" t="s">
        <v>183</v>
      </c>
      <c r="B117" s="959"/>
      <c r="C117" s="959"/>
      <c r="D117" s="959"/>
      <c r="E117" s="959"/>
      <c r="F117" s="959"/>
      <c r="G117" s="959"/>
      <c r="H117" s="959"/>
      <c r="I117" s="959"/>
      <c r="J117" s="959"/>
      <c r="K117" s="959"/>
    </row>
    <row r="118" spans="1:11" ht="14.25" customHeight="1">
      <c r="A118" s="341" t="s">
        <v>182</v>
      </c>
      <c r="B118" s="341" t="s">
        <v>144</v>
      </c>
      <c r="C118" s="341" t="s">
        <v>143</v>
      </c>
      <c r="D118" s="341" t="s">
        <v>170</v>
      </c>
      <c r="E118" s="21"/>
      <c r="F118" s="341" t="s">
        <v>181</v>
      </c>
      <c r="G118" s="341" t="s">
        <v>140</v>
      </c>
      <c r="H118" s="341" t="s">
        <v>139</v>
      </c>
      <c r="I118" s="341" t="s">
        <v>141</v>
      </c>
      <c r="J118" s="341" t="s">
        <v>180</v>
      </c>
      <c r="K118" s="341" t="s">
        <v>149</v>
      </c>
    </row>
    <row r="119" spans="1:11">
      <c r="A119" s="943" t="s">
        <v>179</v>
      </c>
      <c r="B119" s="943" t="s">
        <v>178</v>
      </c>
      <c r="C119" s="943" t="s">
        <v>173</v>
      </c>
      <c r="D119" s="943" t="s">
        <v>164</v>
      </c>
      <c r="E119" s="945"/>
      <c r="F119" s="960" t="s">
        <v>177</v>
      </c>
      <c r="G119" s="342" t="s">
        <v>933</v>
      </c>
      <c r="H119" s="342" t="s">
        <v>163</v>
      </c>
      <c r="I119" s="341">
        <f>+E119*1</f>
        <v>0</v>
      </c>
      <c r="J119" s="341" t="s">
        <v>83</v>
      </c>
      <c r="K119" s="960" t="s">
        <v>176</v>
      </c>
    </row>
    <row r="120" spans="1:11" ht="14.25" customHeight="1">
      <c r="A120" s="943"/>
      <c r="B120" s="943"/>
      <c r="C120" s="943"/>
      <c r="D120" s="943"/>
      <c r="E120" s="946"/>
      <c r="F120" s="960"/>
      <c r="G120" s="66"/>
      <c r="H120" s="317"/>
      <c r="I120" s="341"/>
      <c r="J120" s="341"/>
      <c r="K120" s="960"/>
    </row>
    <row r="121" spans="1:11">
      <c r="A121" s="943"/>
      <c r="B121" s="943"/>
      <c r="C121" s="943"/>
      <c r="D121" s="943"/>
      <c r="E121" s="946"/>
      <c r="F121" s="960"/>
      <c r="G121" s="342" t="s">
        <v>699</v>
      </c>
      <c r="H121" s="342" t="s">
        <v>89</v>
      </c>
      <c r="I121" s="341">
        <f>+E119*2.6</f>
        <v>0</v>
      </c>
      <c r="J121" s="341" t="s">
        <v>75</v>
      </c>
      <c r="K121" s="960"/>
    </row>
    <row r="122" spans="1:11" ht="14.25" customHeight="1">
      <c r="A122" s="943"/>
      <c r="B122" s="943"/>
      <c r="C122" s="943"/>
      <c r="D122" s="943"/>
      <c r="E122" s="946"/>
      <c r="F122" s="960"/>
      <c r="G122" s="342" t="s">
        <v>162</v>
      </c>
      <c r="H122" s="342"/>
      <c r="I122" s="943" t="s">
        <v>153</v>
      </c>
      <c r="J122" s="943"/>
      <c r="K122" s="960"/>
    </row>
    <row r="123" spans="1:11" ht="14.25" customHeight="1">
      <c r="A123" s="943"/>
      <c r="B123" s="943"/>
      <c r="C123" s="943"/>
      <c r="D123" s="943"/>
      <c r="E123" s="952"/>
      <c r="F123" s="960"/>
      <c r="G123" s="342" t="s">
        <v>101</v>
      </c>
      <c r="H123" s="342" t="s">
        <v>90</v>
      </c>
      <c r="I123" s="341">
        <f>+E119*8</f>
        <v>0</v>
      </c>
      <c r="J123" s="341" t="s">
        <v>83</v>
      </c>
      <c r="K123" s="960"/>
    </row>
    <row r="124" spans="1:11">
      <c r="A124" s="943" t="s">
        <v>175</v>
      </c>
      <c r="B124" s="943" t="s">
        <v>174</v>
      </c>
      <c r="C124" s="943" t="s">
        <v>173</v>
      </c>
      <c r="D124" s="943" t="s">
        <v>164</v>
      </c>
      <c r="E124" s="945"/>
      <c r="F124" s="960"/>
      <c r="G124" s="342" t="s">
        <v>934</v>
      </c>
      <c r="H124" s="342" t="s">
        <v>172</v>
      </c>
      <c r="I124" s="341">
        <f>+E124*1</f>
        <v>0</v>
      </c>
      <c r="J124" s="341" t="s">
        <v>83</v>
      </c>
      <c r="K124" s="960"/>
    </row>
    <row r="125" spans="1:11">
      <c r="A125" s="943"/>
      <c r="B125" s="943"/>
      <c r="C125" s="943"/>
      <c r="D125" s="943"/>
      <c r="E125" s="946"/>
      <c r="F125" s="960"/>
      <c r="G125" s="66"/>
      <c r="H125" s="317"/>
      <c r="I125" s="341"/>
      <c r="J125" s="341"/>
      <c r="K125" s="960"/>
    </row>
    <row r="126" spans="1:11">
      <c r="A126" s="943"/>
      <c r="B126" s="943"/>
      <c r="C126" s="943"/>
      <c r="D126" s="943"/>
      <c r="E126" s="946"/>
      <c r="F126" s="960"/>
      <c r="G126" s="342" t="s">
        <v>699</v>
      </c>
      <c r="H126" s="342" t="s">
        <v>89</v>
      </c>
      <c r="I126" s="341">
        <f>+E124*3.4</f>
        <v>0</v>
      </c>
      <c r="J126" s="341" t="s">
        <v>75</v>
      </c>
      <c r="K126" s="960"/>
    </row>
    <row r="127" spans="1:11">
      <c r="A127" s="943"/>
      <c r="B127" s="943"/>
      <c r="C127" s="943"/>
      <c r="D127" s="943"/>
      <c r="E127" s="946"/>
      <c r="F127" s="960"/>
      <c r="G127" s="342" t="s">
        <v>162</v>
      </c>
      <c r="H127" s="342"/>
      <c r="I127" s="943" t="s">
        <v>153</v>
      </c>
      <c r="J127" s="943"/>
      <c r="K127" s="960"/>
    </row>
    <row r="128" spans="1:11" ht="14.25" customHeight="1">
      <c r="A128" s="943"/>
      <c r="B128" s="943"/>
      <c r="C128" s="943"/>
      <c r="D128" s="943"/>
      <c r="E128" s="952"/>
      <c r="F128" s="960"/>
      <c r="G128" s="342" t="s">
        <v>101</v>
      </c>
      <c r="H128" s="342" t="s">
        <v>90</v>
      </c>
      <c r="I128" s="341">
        <f>+E124*8</f>
        <v>0</v>
      </c>
      <c r="J128" s="341" t="s">
        <v>83</v>
      </c>
      <c r="K128" s="960"/>
    </row>
    <row r="129" spans="1:11">
      <c r="A129" s="959" t="s">
        <v>171</v>
      </c>
      <c r="B129" s="959"/>
      <c r="C129" s="959"/>
      <c r="D129" s="959"/>
      <c r="E129" s="959"/>
      <c r="F129" s="959"/>
      <c r="G129" s="959"/>
      <c r="H129" s="959"/>
      <c r="I129" s="959"/>
      <c r="J129" s="959"/>
      <c r="K129" s="959"/>
    </row>
    <row r="130" spans="1:11" ht="24">
      <c r="A130" s="341" t="s">
        <v>151</v>
      </c>
      <c r="B130" s="341" t="s">
        <v>144</v>
      </c>
      <c r="C130" s="341" t="s">
        <v>143</v>
      </c>
      <c r="D130" s="341" t="s">
        <v>170</v>
      </c>
      <c r="E130" s="21"/>
      <c r="F130" s="341" t="s">
        <v>169</v>
      </c>
      <c r="G130" s="341" t="s">
        <v>140</v>
      </c>
      <c r="H130" s="341" t="s">
        <v>139</v>
      </c>
      <c r="I130" s="341" t="s">
        <v>138</v>
      </c>
      <c r="J130" s="341" t="s">
        <v>137</v>
      </c>
      <c r="K130" s="341" t="s">
        <v>149</v>
      </c>
    </row>
    <row r="131" spans="1:11" ht="14.25" customHeight="1">
      <c r="A131" s="943">
        <v>1</v>
      </c>
      <c r="B131" s="943" t="s">
        <v>166</v>
      </c>
      <c r="C131" s="943" t="s">
        <v>168</v>
      </c>
      <c r="D131" s="943" t="s">
        <v>164</v>
      </c>
      <c r="E131" s="945"/>
      <c r="F131" s="960" t="s">
        <v>167</v>
      </c>
      <c r="G131" s="342" t="s">
        <v>932</v>
      </c>
      <c r="H131" s="342" t="s">
        <v>163</v>
      </c>
      <c r="I131" s="341">
        <f>+E131*0.4*2</f>
        <v>0</v>
      </c>
      <c r="J131" s="341" t="s">
        <v>76</v>
      </c>
      <c r="K131" s="960"/>
    </row>
    <row r="132" spans="1:11">
      <c r="A132" s="943"/>
      <c r="B132" s="943"/>
      <c r="C132" s="943"/>
      <c r="D132" s="943"/>
      <c r="E132" s="946"/>
      <c r="F132" s="960"/>
      <c r="G132" s="342" t="s">
        <v>699</v>
      </c>
      <c r="H132" s="342" t="s">
        <v>89</v>
      </c>
      <c r="I132" s="341">
        <f>+E131*3.5</f>
        <v>0</v>
      </c>
      <c r="J132" s="341" t="s">
        <v>75</v>
      </c>
      <c r="K132" s="960"/>
    </row>
    <row r="133" spans="1:11">
      <c r="A133" s="943"/>
      <c r="B133" s="943"/>
      <c r="C133" s="943"/>
      <c r="D133" s="943"/>
      <c r="E133" s="946"/>
      <c r="F133" s="960"/>
      <c r="G133" s="342" t="s">
        <v>162</v>
      </c>
      <c r="H133" s="342"/>
      <c r="I133" s="943" t="s">
        <v>153</v>
      </c>
      <c r="J133" s="943"/>
      <c r="K133" s="960"/>
    </row>
    <row r="134" spans="1:11" ht="14.25" customHeight="1">
      <c r="A134" s="943"/>
      <c r="B134" s="943"/>
      <c r="C134" s="943"/>
      <c r="D134" s="943"/>
      <c r="E134" s="952"/>
      <c r="F134" s="960"/>
      <c r="G134" s="342" t="s">
        <v>101</v>
      </c>
      <c r="H134" s="342" t="s">
        <v>90</v>
      </c>
      <c r="I134" s="341">
        <f>+E131*8</f>
        <v>0</v>
      </c>
      <c r="J134" s="341" t="s">
        <v>83</v>
      </c>
      <c r="K134" s="960"/>
    </row>
    <row r="135" spans="1:11">
      <c r="A135" s="943">
        <v>2</v>
      </c>
      <c r="B135" s="943" t="s">
        <v>166</v>
      </c>
      <c r="C135" s="943" t="s">
        <v>165</v>
      </c>
      <c r="D135" s="943" t="s">
        <v>164</v>
      </c>
      <c r="E135" s="945"/>
      <c r="F135" s="960"/>
      <c r="G135" s="342" t="s">
        <v>932</v>
      </c>
      <c r="H135" s="342" t="s">
        <v>163</v>
      </c>
      <c r="I135" s="341">
        <f>+E135*0.7*2</f>
        <v>0</v>
      </c>
      <c r="J135" s="341" t="s">
        <v>76</v>
      </c>
      <c r="K135" s="960"/>
    </row>
    <row r="136" spans="1:11">
      <c r="A136" s="943"/>
      <c r="B136" s="943"/>
      <c r="C136" s="943"/>
      <c r="D136" s="943"/>
      <c r="E136" s="946"/>
      <c r="F136" s="960"/>
      <c r="G136" s="342" t="s">
        <v>162</v>
      </c>
      <c r="H136" s="342"/>
      <c r="I136" s="943" t="s">
        <v>153</v>
      </c>
      <c r="J136" s="943"/>
      <c r="K136" s="960"/>
    </row>
    <row r="137" spans="1:11" ht="14.25" customHeight="1">
      <c r="A137" s="943"/>
      <c r="B137" s="943"/>
      <c r="C137" s="943"/>
      <c r="D137" s="943"/>
      <c r="E137" s="946"/>
      <c r="F137" s="960"/>
      <c r="G137" s="342" t="s">
        <v>699</v>
      </c>
      <c r="H137" s="342" t="s">
        <v>89</v>
      </c>
      <c r="I137" s="341">
        <f>+E135*5</f>
        <v>0</v>
      </c>
      <c r="J137" s="341" t="s">
        <v>75</v>
      </c>
      <c r="K137" s="960"/>
    </row>
    <row r="138" spans="1:11">
      <c r="A138" s="943"/>
      <c r="B138" s="943"/>
      <c r="C138" s="943"/>
      <c r="D138" s="943"/>
      <c r="E138" s="952"/>
      <c r="F138" s="960"/>
      <c r="G138" s="342" t="s">
        <v>101</v>
      </c>
      <c r="H138" s="342" t="s">
        <v>90</v>
      </c>
      <c r="I138" s="341">
        <f>+E135*8</f>
        <v>0</v>
      </c>
      <c r="J138" s="341" t="s">
        <v>83</v>
      </c>
      <c r="K138" s="960"/>
    </row>
    <row r="139" spans="1:11">
      <c r="A139" s="958" t="s">
        <v>146</v>
      </c>
      <c r="B139" s="958"/>
      <c r="C139" s="958"/>
      <c r="D139" s="958"/>
      <c r="E139" s="958"/>
      <c r="F139" s="958"/>
      <c r="G139" s="958"/>
      <c r="H139" s="958"/>
      <c r="I139" s="958"/>
      <c r="J139" s="958"/>
      <c r="K139" s="958"/>
    </row>
    <row r="140" spans="1:11" ht="14.25" customHeight="1">
      <c r="A140" s="341" t="s">
        <v>145</v>
      </c>
      <c r="B140" s="341" t="s">
        <v>144</v>
      </c>
      <c r="C140" s="341" t="s">
        <v>143</v>
      </c>
      <c r="D140" s="341" t="s">
        <v>142</v>
      </c>
      <c r="E140" s="21"/>
      <c r="F140" s="341" t="s">
        <v>141</v>
      </c>
      <c r="G140" s="341" t="s">
        <v>140</v>
      </c>
      <c r="H140" s="341" t="s">
        <v>139</v>
      </c>
      <c r="I140" s="341" t="s">
        <v>138</v>
      </c>
      <c r="J140" s="341" t="s">
        <v>137</v>
      </c>
      <c r="K140" s="341" t="s">
        <v>136</v>
      </c>
    </row>
    <row r="141" spans="1:11">
      <c r="A141" s="953" t="s">
        <v>130</v>
      </c>
      <c r="B141" s="953">
        <v>50</v>
      </c>
      <c r="C141" s="953" t="s">
        <v>128</v>
      </c>
      <c r="D141" s="953" t="s">
        <v>135</v>
      </c>
      <c r="E141" s="954"/>
      <c r="F141" s="953" t="s">
        <v>107</v>
      </c>
      <c r="G141" s="318" t="s">
        <v>114</v>
      </c>
      <c r="H141" s="319" t="s">
        <v>93</v>
      </c>
      <c r="I141" s="348">
        <f>+E141*0.7</f>
        <v>0</v>
      </c>
      <c r="J141" s="348" t="s">
        <v>81</v>
      </c>
      <c r="K141" s="953"/>
    </row>
    <row r="142" spans="1:11">
      <c r="A142" s="953"/>
      <c r="B142" s="953"/>
      <c r="C142" s="953"/>
      <c r="D142" s="953"/>
      <c r="E142" s="955"/>
      <c r="F142" s="953"/>
      <c r="G142" s="342" t="s">
        <v>109</v>
      </c>
      <c r="H142" s="342" t="s">
        <v>90</v>
      </c>
      <c r="I142" s="341">
        <f>+E141*4</f>
        <v>0</v>
      </c>
      <c r="J142" s="341" t="s">
        <v>83</v>
      </c>
      <c r="K142" s="953"/>
    </row>
    <row r="143" spans="1:11" ht="14.25" customHeight="1">
      <c r="A143" s="953"/>
      <c r="B143" s="953"/>
      <c r="C143" s="953"/>
      <c r="D143" s="953"/>
      <c r="E143" s="956"/>
      <c r="F143" s="953"/>
      <c r="G143" s="318" t="s">
        <v>699</v>
      </c>
      <c r="H143" s="318" t="s">
        <v>89</v>
      </c>
      <c r="I143" s="348">
        <f>+E141*1</f>
        <v>0</v>
      </c>
      <c r="J143" s="348" t="s">
        <v>82</v>
      </c>
      <c r="K143" s="953"/>
    </row>
    <row r="144" spans="1:11">
      <c r="A144" s="953" t="s">
        <v>130</v>
      </c>
      <c r="B144" s="953">
        <v>50</v>
      </c>
      <c r="C144" s="953" t="s">
        <v>128</v>
      </c>
      <c r="D144" s="953" t="s">
        <v>132</v>
      </c>
      <c r="E144" s="954"/>
      <c r="F144" s="953" t="s">
        <v>107</v>
      </c>
      <c r="G144" s="318" t="s">
        <v>110</v>
      </c>
      <c r="H144" s="319" t="s">
        <v>93</v>
      </c>
      <c r="I144" s="348">
        <f>+E144*0.7</f>
        <v>0</v>
      </c>
      <c r="J144" s="348" t="s">
        <v>81</v>
      </c>
      <c r="K144" s="953"/>
    </row>
    <row r="145" spans="1:11">
      <c r="A145" s="953"/>
      <c r="B145" s="953"/>
      <c r="C145" s="953"/>
      <c r="D145" s="953"/>
      <c r="E145" s="955"/>
      <c r="F145" s="953"/>
      <c r="G145" s="342" t="s">
        <v>109</v>
      </c>
      <c r="H145" s="342" t="s">
        <v>90</v>
      </c>
      <c r="I145" s="341">
        <f>+E144*4</f>
        <v>0</v>
      </c>
      <c r="J145" s="341" t="s">
        <v>83</v>
      </c>
      <c r="K145" s="953"/>
    </row>
    <row r="146" spans="1:11" ht="14.25" customHeight="1">
      <c r="A146" s="953"/>
      <c r="B146" s="953"/>
      <c r="C146" s="953"/>
      <c r="D146" s="953"/>
      <c r="E146" s="956"/>
      <c r="F146" s="953"/>
      <c r="G146" s="318" t="s">
        <v>699</v>
      </c>
      <c r="H146" s="318" t="s">
        <v>89</v>
      </c>
      <c r="I146" s="348">
        <f>+E144*2</f>
        <v>0</v>
      </c>
      <c r="J146" s="348" t="s">
        <v>82</v>
      </c>
      <c r="K146" s="953"/>
    </row>
    <row r="147" spans="1:11">
      <c r="A147" s="953" t="s">
        <v>130</v>
      </c>
      <c r="B147" s="953">
        <v>50</v>
      </c>
      <c r="C147" s="953" t="s">
        <v>131</v>
      </c>
      <c r="D147" s="953" t="s">
        <v>100</v>
      </c>
      <c r="E147" s="954"/>
      <c r="F147" s="953" t="s">
        <v>107</v>
      </c>
      <c r="G147" s="318" t="s">
        <v>110</v>
      </c>
      <c r="H147" s="319" t="s">
        <v>93</v>
      </c>
      <c r="I147" s="348">
        <f>+E147*2</f>
        <v>0</v>
      </c>
      <c r="J147" s="348" t="s">
        <v>81</v>
      </c>
      <c r="K147" s="953"/>
    </row>
    <row r="148" spans="1:11">
      <c r="A148" s="953"/>
      <c r="B148" s="953"/>
      <c r="C148" s="953"/>
      <c r="D148" s="953"/>
      <c r="E148" s="955"/>
      <c r="F148" s="953"/>
      <c r="G148" s="342" t="s">
        <v>109</v>
      </c>
      <c r="H148" s="342" t="s">
        <v>90</v>
      </c>
      <c r="I148" s="341">
        <f>+E147*4</f>
        <v>0</v>
      </c>
      <c r="J148" s="341" t="s">
        <v>83</v>
      </c>
      <c r="K148" s="953"/>
    </row>
    <row r="149" spans="1:11" ht="14.25" customHeight="1">
      <c r="A149" s="953"/>
      <c r="B149" s="953"/>
      <c r="C149" s="953"/>
      <c r="D149" s="953"/>
      <c r="E149" s="956"/>
      <c r="F149" s="953"/>
      <c r="G149" s="318" t="s">
        <v>699</v>
      </c>
      <c r="H149" s="318" t="s">
        <v>89</v>
      </c>
      <c r="I149" s="348">
        <f>+E147*2.5</f>
        <v>0</v>
      </c>
      <c r="J149" s="348" t="s">
        <v>82</v>
      </c>
      <c r="K149" s="953"/>
    </row>
    <row r="150" spans="1:11">
      <c r="A150" s="953" t="s">
        <v>130</v>
      </c>
      <c r="B150" s="953">
        <v>75</v>
      </c>
      <c r="C150" s="953" t="s">
        <v>128</v>
      </c>
      <c r="D150" s="953" t="s">
        <v>133</v>
      </c>
      <c r="E150" s="954"/>
      <c r="F150" s="953" t="s">
        <v>134</v>
      </c>
      <c r="G150" s="318" t="s">
        <v>932</v>
      </c>
      <c r="H150" s="319" t="s">
        <v>93</v>
      </c>
      <c r="I150" s="348">
        <f>+E150*0.5</f>
        <v>0</v>
      </c>
      <c r="J150" s="348" t="s">
        <v>81</v>
      </c>
      <c r="K150" s="953"/>
    </row>
    <row r="151" spans="1:11">
      <c r="A151" s="953"/>
      <c r="B151" s="953"/>
      <c r="C151" s="953"/>
      <c r="D151" s="953"/>
      <c r="E151" s="955"/>
      <c r="F151" s="953"/>
      <c r="G151" s="342" t="s">
        <v>101</v>
      </c>
      <c r="H151" s="342" t="s">
        <v>90</v>
      </c>
      <c r="I151" s="341">
        <f>+E150*8</f>
        <v>0</v>
      </c>
      <c r="J151" s="341" t="s">
        <v>83</v>
      </c>
      <c r="K151" s="953"/>
    </row>
    <row r="152" spans="1:11" ht="14.25" customHeight="1">
      <c r="A152" s="953"/>
      <c r="B152" s="953"/>
      <c r="C152" s="953"/>
      <c r="D152" s="953"/>
      <c r="E152" s="956"/>
      <c r="F152" s="953"/>
      <c r="G152" s="318" t="s">
        <v>699</v>
      </c>
      <c r="H152" s="318" t="s">
        <v>89</v>
      </c>
      <c r="I152" s="348">
        <f>+E150*1.5</f>
        <v>0</v>
      </c>
      <c r="J152" s="348" t="s">
        <v>82</v>
      </c>
      <c r="K152" s="953"/>
    </row>
    <row r="153" spans="1:11">
      <c r="A153" s="953" t="s">
        <v>130</v>
      </c>
      <c r="B153" s="953">
        <v>75</v>
      </c>
      <c r="C153" s="953" t="s">
        <v>128</v>
      </c>
      <c r="D153" s="953" t="s">
        <v>132</v>
      </c>
      <c r="E153" s="954"/>
      <c r="F153" s="953" t="s">
        <v>134</v>
      </c>
      <c r="G153" s="318" t="s">
        <v>932</v>
      </c>
      <c r="H153" s="319" t="s">
        <v>93</v>
      </c>
      <c r="I153" s="348">
        <f>+E153*0.5</f>
        <v>0</v>
      </c>
      <c r="J153" s="348" t="s">
        <v>81</v>
      </c>
      <c r="K153" s="953"/>
    </row>
    <row r="154" spans="1:11">
      <c r="A154" s="953"/>
      <c r="B154" s="953"/>
      <c r="C154" s="953"/>
      <c r="D154" s="953"/>
      <c r="E154" s="955"/>
      <c r="F154" s="953"/>
      <c r="G154" s="342" t="s">
        <v>101</v>
      </c>
      <c r="H154" s="342" t="s">
        <v>90</v>
      </c>
      <c r="I154" s="341">
        <f>+E153*8</f>
        <v>0</v>
      </c>
      <c r="J154" s="341" t="s">
        <v>83</v>
      </c>
      <c r="K154" s="953"/>
    </row>
    <row r="155" spans="1:11" ht="14.25" customHeight="1">
      <c r="A155" s="953"/>
      <c r="B155" s="953"/>
      <c r="C155" s="953"/>
      <c r="D155" s="953"/>
      <c r="E155" s="956"/>
      <c r="F155" s="953"/>
      <c r="G155" s="318" t="s">
        <v>699</v>
      </c>
      <c r="H155" s="318" t="s">
        <v>89</v>
      </c>
      <c r="I155" s="348">
        <f>+E153*2</f>
        <v>0</v>
      </c>
      <c r="J155" s="348" t="s">
        <v>82</v>
      </c>
      <c r="K155" s="953"/>
    </row>
    <row r="156" spans="1:11">
      <c r="A156" s="953" t="s">
        <v>130</v>
      </c>
      <c r="B156" s="953">
        <v>75</v>
      </c>
      <c r="C156" s="953" t="s">
        <v>131</v>
      </c>
      <c r="D156" s="953" t="s">
        <v>100</v>
      </c>
      <c r="E156" s="954"/>
      <c r="F156" s="953" t="s">
        <v>107</v>
      </c>
      <c r="G156" s="318" t="s">
        <v>932</v>
      </c>
      <c r="H156" s="319" t="s">
        <v>93</v>
      </c>
      <c r="I156" s="348">
        <f>+E156*2</f>
        <v>0</v>
      </c>
      <c r="J156" s="348" t="s">
        <v>81</v>
      </c>
      <c r="K156" s="953"/>
    </row>
    <row r="157" spans="1:11">
      <c r="A157" s="953"/>
      <c r="B157" s="953"/>
      <c r="C157" s="953"/>
      <c r="D157" s="953"/>
      <c r="E157" s="955"/>
      <c r="F157" s="953"/>
      <c r="G157" s="342" t="s">
        <v>101</v>
      </c>
      <c r="H157" s="342" t="s">
        <v>90</v>
      </c>
      <c r="I157" s="341">
        <f>+E156*8</f>
        <v>0</v>
      </c>
      <c r="J157" s="341" t="s">
        <v>83</v>
      </c>
      <c r="K157" s="953"/>
    </row>
    <row r="158" spans="1:11" ht="14.25" customHeight="1">
      <c r="A158" s="953"/>
      <c r="B158" s="953"/>
      <c r="C158" s="953"/>
      <c r="D158" s="953"/>
      <c r="E158" s="956"/>
      <c r="F158" s="953"/>
      <c r="G158" s="318" t="s">
        <v>699</v>
      </c>
      <c r="H158" s="318" t="s">
        <v>89</v>
      </c>
      <c r="I158" s="348">
        <f>+E156*2.5</f>
        <v>0</v>
      </c>
      <c r="J158" s="348" t="s">
        <v>82</v>
      </c>
      <c r="K158" s="953"/>
    </row>
    <row r="159" spans="1:11">
      <c r="A159" s="953" t="s">
        <v>130</v>
      </c>
      <c r="B159" s="953">
        <v>150</v>
      </c>
      <c r="C159" s="953" t="s">
        <v>128</v>
      </c>
      <c r="D159" s="953" t="s">
        <v>133</v>
      </c>
      <c r="E159" s="954"/>
      <c r="F159" s="953" t="s">
        <v>107</v>
      </c>
      <c r="G159" s="318" t="s">
        <v>932</v>
      </c>
      <c r="H159" s="319" t="s">
        <v>93</v>
      </c>
      <c r="I159" s="348">
        <f>+E159*0.5</f>
        <v>0</v>
      </c>
      <c r="J159" s="348" t="s">
        <v>81</v>
      </c>
      <c r="K159" s="953"/>
    </row>
    <row r="160" spans="1:11">
      <c r="A160" s="953"/>
      <c r="B160" s="953"/>
      <c r="C160" s="953"/>
      <c r="D160" s="953"/>
      <c r="E160" s="955"/>
      <c r="F160" s="953"/>
      <c r="G160" s="342" t="s">
        <v>101</v>
      </c>
      <c r="H160" s="342" t="s">
        <v>90</v>
      </c>
      <c r="I160" s="341">
        <f>+E159*8</f>
        <v>0</v>
      </c>
      <c r="J160" s="341" t="s">
        <v>83</v>
      </c>
      <c r="K160" s="953"/>
    </row>
    <row r="161" spans="1:11">
      <c r="A161" s="953"/>
      <c r="B161" s="953"/>
      <c r="C161" s="953"/>
      <c r="D161" s="953"/>
      <c r="E161" s="956"/>
      <c r="F161" s="953"/>
      <c r="G161" s="318" t="s">
        <v>699</v>
      </c>
      <c r="H161" s="318" t="s">
        <v>89</v>
      </c>
      <c r="I161" s="348">
        <f>+E159*1</f>
        <v>0</v>
      </c>
      <c r="J161" s="348" t="s">
        <v>82</v>
      </c>
      <c r="K161" s="953"/>
    </row>
    <row r="162" spans="1:11">
      <c r="A162" s="953" t="s">
        <v>130</v>
      </c>
      <c r="B162" s="953">
        <v>150</v>
      </c>
      <c r="C162" s="953" t="s">
        <v>128</v>
      </c>
      <c r="D162" s="953" t="s">
        <v>132</v>
      </c>
      <c r="E162" s="954"/>
      <c r="F162" s="953" t="s">
        <v>107</v>
      </c>
      <c r="G162" s="318" t="s">
        <v>932</v>
      </c>
      <c r="H162" s="319" t="s">
        <v>93</v>
      </c>
      <c r="I162" s="348">
        <f>+E162*0.5</f>
        <v>0</v>
      </c>
      <c r="J162" s="348" t="s">
        <v>81</v>
      </c>
      <c r="K162" s="953"/>
    </row>
    <row r="163" spans="1:11">
      <c r="A163" s="953"/>
      <c r="B163" s="953"/>
      <c r="C163" s="953"/>
      <c r="D163" s="953"/>
      <c r="E163" s="955"/>
      <c r="F163" s="953"/>
      <c r="G163" s="342" t="s">
        <v>101</v>
      </c>
      <c r="H163" s="342" t="s">
        <v>90</v>
      </c>
      <c r="I163" s="341">
        <f>+E162*8</f>
        <v>0</v>
      </c>
      <c r="J163" s="341" t="s">
        <v>83</v>
      </c>
      <c r="K163" s="953"/>
    </row>
    <row r="164" spans="1:11" ht="14.25" customHeight="1">
      <c r="A164" s="953"/>
      <c r="B164" s="953"/>
      <c r="C164" s="953"/>
      <c r="D164" s="953"/>
      <c r="E164" s="956"/>
      <c r="F164" s="953"/>
      <c r="G164" s="318" t="s">
        <v>699</v>
      </c>
      <c r="H164" s="318" t="s">
        <v>89</v>
      </c>
      <c r="I164" s="348">
        <f>+E162*1.5</f>
        <v>0</v>
      </c>
      <c r="J164" s="348" t="s">
        <v>82</v>
      </c>
      <c r="K164" s="953"/>
    </row>
    <row r="165" spans="1:11">
      <c r="A165" s="953" t="s">
        <v>130</v>
      </c>
      <c r="B165" s="953">
        <v>150</v>
      </c>
      <c r="C165" s="953" t="s">
        <v>131</v>
      </c>
      <c r="D165" s="953" t="s">
        <v>100</v>
      </c>
      <c r="E165" s="954"/>
      <c r="F165" s="953" t="s">
        <v>107</v>
      </c>
      <c r="G165" s="318" t="s">
        <v>932</v>
      </c>
      <c r="H165" s="319" t="s">
        <v>93</v>
      </c>
      <c r="I165" s="348">
        <f>+E165*2</f>
        <v>0</v>
      </c>
      <c r="J165" s="348" t="s">
        <v>81</v>
      </c>
      <c r="K165" s="953"/>
    </row>
    <row r="166" spans="1:11">
      <c r="A166" s="953"/>
      <c r="B166" s="953"/>
      <c r="C166" s="953"/>
      <c r="D166" s="953"/>
      <c r="E166" s="955"/>
      <c r="F166" s="953"/>
      <c r="G166" s="342" t="s">
        <v>101</v>
      </c>
      <c r="H166" s="342" t="s">
        <v>90</v>
      </c>
      <c r="I166" s="341">
        <f>+E165*8</f>
        <v>0</v>
      </c>
      <c r="J166" s="341" t="s">
        <v>83</v>
      </c>
      <c r="K166" s="953"/>
    </row>
    <row r="167" spans="1:11">
      <c r="A167" s="953"/>
      <c r="B167" s="953"/>
      <c r="C167" s="953"/>
      <c r="D167" s="953"/>
      <c r="E167" s="956"/>
      <c r="F167" s="953"/>
      <c r="G167" s="318" t="s">
        <v>699</v>
      </c>
      <c r="H167" s="318" t="s">
        <v>89</v>
      </c>
      <c r="I167" s="348">
        <f>+E165*2.5</f>
        <v>0</v>
      </c>
      <c r="J167" s="348" t="s">
        <v>82</v>
      </c>
      <c r="K167" s="953"/>
    </row>
    <row r="168" spans="1:11">
      <c r="A168" s="943" t="s">
        <v>130</v>
      </c>
      <c r="B168" s="943" t="s">
        <v>129</v>
      </c>
      <c r="C168" s="943" t="s">
        <v>128</v>
      </c>
      <c r="D168" s="943" t="s">
        <v>127</v>
      </c>
      <c r="E168" s="945"/>
      <c r="F168" s="943" t="s">
        <v>107</v>
      </c>
      <c r="G168" s="318" t="s">
        <v>932</v>
      </c>
      <c r="H168" s="319" t="s">
        <v>93</v>
      </c>
      <c r="I168" s="348">
        <f>+E168*1</f>
        <v>0</v>
      </c>
      <c r="J168" s="348" t="s">
        <v>81</v>
      </c>
      <c r="K168" s="957"/>
    </row>
    <row r="169" spans="1:11" ht="14.25" customHeight="1">
      <c r="A169" s="943"/>
      <c r="B169" s="943"/>
      <c r="C169" s="943"/>
      <c r="D169" s="943"/>
      <c r="E169" s="946"/>
      <c r="F169" s="943"/>
      <c r="G169" s="342" t="s">
        <v>101</v>
      </c>
      <c r="H169" s="342" t="s">
        <v>90</v>
      </c>
      <c r="I169" s="341">
        <f>+E168*8</f>
        <v>0</v>
      </c>
      <c r="J169" s="341" t="s">
        <v>83</v>
      </c>
      <c r="K169" s="957"/>
    </row>
    <row r="170" spans="1:11">
      <c r="A170" s="943"/>
      <c r="B170" s="943"/>
      <c r="C170" s="943"/>
      <c r="D170" s="943"/>
      <c r="E170" s="952"/>
      <c r="F170" s="943"/>
      <c r="G170" s="318" t="s">
        <v>699</v>
      </c>
      <c r="H170" s="318" t="s">
        <v>89</v>
      </c>
      <c r="I170" s="348">
        <f>+E168*2.5</f>
        <v>0</v>
      </c>
      <c r="J170" s="348" t="s">
        <v>82</v>
      </c>
      <c r="K170" s="957"/>
    </row>
    <row r="171" spans="1:11">
      <c r="A171" s="943" t="s">
        <v>126</v>
      </c>
      <c r="B171" s="943" t="s">
        <v>125</v>
      </c>
      <c r="C171" s="943" t="s">
        <v>118</v>
      </c>
      <c r="D171" s="943" t="s">
        <v>118</v>
      </c>
      <c r="E171" s="945"/>
      <c r="F171" s="943" t="s">
        <v>124</v>
      </c>
      <c r="G171" s="342" t="s">
        <v>932</v>
      </c>
      <c r="H171" s="19" t="s">
        <v>93</v>
      </c>
      <c r="I171" s="341">
        <f>+E171*0.5</f>
        <v>0</v>
      </c>
      <c r="J171" s="341" t="s">
        <v>76</v>
      </c>
      <c r="K171" s="943"/>
    </row>
    <row r="172" spans="1:11" ht="14.25" customHeight="1">
      <c r="A172" s="943"/>
      <c r="B172" s="943"/>
      <c r="C172" s="943"/>
      <c r="D172" s="943"/>
      <c r="E172" s="946"/>
      <c r="F172" s="943"/>
      <c r="G172" s="342" t="s">
        <v>123</v>
      </c>
      <c r="H172" s="19"/>
      <c r="I172" s="341">
        <f>+E171*5</f>
        <v>0</v>
      </c>
      <c r="J172" s="341" t="s">
        <v>84</v>
      </c>
      <c r="K172" s="943"/>
    </row>
    <row r="173" spans="1:11">
      <c r="A173" s="943"/>
      <c r="B173" s="943"/>
      <c r="C173" s="943"/>
      <c r="D173" s="943"/>
      <c r="E173" s="952"/>
      <c r="F173" s="943"/>
      <c r="G173" s="342" t="s">
        <v>699</v>
      </c>
      <c r="H173" s="342" t="s">
        <v>89</v>
      </c>
      <c r="I173" s="341">
        <f>+E171*2.5</f>
        <v>0</v>
      </c>
      <c r="J173" s="341" t="s">
        <v>82</v>
      </c>
      <c r="K173" s="943"/>
    </row>
    <row r="174" spans="1:11">
      <c r="A174" s="943" t="s">
        <v>121</v>
      </c>
      <c r="B174" s="943" t="s">
        <v>122</v>
      </c>
      <c r="C174" s="943" t="s">
        <v>119</v>
      </c>
      <c r="D174" s="943" t="s">
        <v>118</v>
      </c>
      <c r="E174" s="945"/>
      <c r="F174" s="943" t="s">
        <v>117</v>
      </c>
      <c r="G174" s="342" t="s">
        <v>932</v>
      </c>
      <c r="H174" s="319" t="s">
        <v>93</v>
      </c>
      <c r="I174" s="341">
        <f>+E174*1</f>
        <v>0</v>
      </c>
      <c r="J174" s="341" t="s">
        <v>81</v>
      </c>
      <c r="K174" s="943" t="s">
        <v>106</v>
      </c>
    </row>
    <row r="175" spans="1:11" ht="14.25" customHeight="1">
      <c r="A175" s="943"/>
      <c r="B175" s="943"/>
      <c r="C175" s="943"/>
      <c r="D175" s="943"/>
      <c r="E175" s="946"/>
      <c r="F175" s="943"/>
      <c r="G175" s="342" t="s">
        <v>101</v>
      </c>
      <c r="H175" s="342" t="s">
        <v>90</v>
      </c>
      <c r="I175" s="341">
        <f>+E174*4</f>
        <v>0</v>
      </c>
      <c r="J175" s="341" t="s">
        <v>83</v>
      </c>
      <c r="K175" s="943"/>
    </row>
    <row r="176" spans="1:11">
      <c r="A176" s="943"/>
      <c r="B176" s="943"/>
      <c r="C176" s="943"/>
      <c r="D176" s="943"/>
      <c r="E176" s="952"/>
      <c r="F176" s="943"/>
      <c r="G176" s="342" t="s">
        <v>699</v>
      </c>
      <c r="H176" s="342" t="s">
        <v>89</v>
      </c>
      <c r="I176" s="341">
        <f>+E174*3</f>
        <v>0</v>
      </c>
      <c r="J176" s="341" t="s">
        <v>82</v>
      </c>
      <c r="K176" s="943"/>
    </row>
    <row r="177" spans="1:11">
      <c r="A177" s="943" t="s">
        <v>121</v>
      </c>
      <c r="B177" s="943" t="s">
        <v>120</v>
      </c>
      <c r="C177" s="943" t="s">
        <v>119</v>
      </c>
      <c r="D177" s="943" t="s">
        <v>118</v>
      </c>
      <c r="E177" s="945"/>
      <c r="F177" s="943" t="s">
        <v>117</v>
      </c>
      <c r="G177" s="342" t="s">
        <v>932</v>
      </c>
      <c r="H177" s="319" t="s">
        <v>93</v>
      </c>
      <c r="I177" s="341">
        <f>+E177*1.5</f>
        <v>0</v>
      </c>
      <c r="J177" s="341" t="s">
        <v>81</v>
      </c>
      <c r="K177" s="943" t="s">
        <v>106</v>
      </c>
    </row>
    <row r="178" spans="1:11" ht="14.25" customHeight="1">
      <c r="A178" s="943"/>
      <c r="B178" s="943"/>
      <c r="C178" s="943"/>
      <c r="D178" s="943"/>
      <c r="E178" s="946"/>
      <c r="F178" s="943"/>
      <c r="G178" s="342" t="s">
        <v>101</v>
      </c>
      <c r="H178" s="342" t="s">
        <v>90</v>
      </c>
      <c r="I178" s="341">
        <f>+E177*4</f>
        <v>0</v>
      </c>
      <c r="J178" s="341" t="s">
        <v>83</v>
      </c>
      <c r="K178" s="943"/>
    </row>
    <row r="179" spans="1:11">
      <c r="A179" s="943"/>
      <c r="B179" s="943"/>
      <c r="C179" s="943"/>
      <c r="D179" s="943"/>
      <c r="E179" s="952"/>
      <c r="F179" s="943"/>
      <c r="G179" s="342" t="s">
        <v>699</v>
      </c>
      <c r="H179" s="342" t="s">
        <v>89</v>
      </c>
      <c r="I179" s="341">
        <f>+E177*4</f>
        <v>0</v>
      </c>
      <c r="J179" s="341" t="s">
        <v>82</v>
      </c>
      <c r="K179" s="943"/>
    </row>
    <row r="180" spans="1:11">
      <c r="A180" s="943" t="s">
        <v>116</v>
      </c>
      <c r="B180" s="943" t="s">
        <v>95</v>
      </c>
      <c r="C180" s="943"/>
      <c r="D180" s="943"/>
      <c r="E180" s="945"/>
      <c r="F180" s="943" t="s">
        <v>107</v>
      </c>
      <c r="G180" s="342" t="s">
        <v>932</v>
      </c>
      <c r="H180" s="319" t="s">
        <v>93</v>
      </c>
      <c r="I180" s="341">
        <f>+E180*1.5</f>
        <v>0</v>
      </c>
      <c r="J180" s="341" t="s">
        <v>81</v>
      </c>
      <c r="K180" s="943" t="s">
        <v>106</v>
      </c>
    </row>
    <row r="181" spans="1:11" ht="14.25" customHeight="1">
      <c r="A181" s="943"/>
      <c r="B181" s="943"/>
      <c r="C181" s="943"/>
      <c r="D181" s="943"/>
      <c r="E181" s="952"/>
      <c r="F181" s="943"/>
      <c r="G181" s="342" t="s">
        <v>699</v>
      </c>
      <c r="H181" s="342" t="s">
        <v>89</v>
      </c>
      <c r="I181" s="341">
        <f>+E180*4</f>
        <v>0</v>
      </c>
      <c r="J181" s="341" t="s">
        <v>82</v>
      </c>
      <c r="K181" s="943"/>
    </row>
    <row r="182" spans="1:11">
      <c r="A182" s="943" t="s">
        <v>113</v>
      </c>
      <c r="B182" s="943" t="s">
        <v>104</v>
      </c>
      <c r="C182" s="943">
        <v>50</v>
      </c>
      <c r="D182" s="943" t="s">
        <v>115</v>
      </c>
      <c r="E182" s="945"/>
      <c r="F182" s="943" t="s">
        <v>94</v>
      </c>
      <c r="G182" s="342" t="s">
        <v>114</v>
      </c>
      <c r="H182" s="19"/>
      <c r="I182" s="341">
        <f>+E182*1</f>
        <v>0</v>
      </c>
      <c r="J182" s="341" t="s">
        <v>83</v>
      </c>
      <c r="K182" s="943"/>
    </row>
    <row r="183" spans="1:11" ht="14.25" customHeight="1">
      <c r="A183" s="943"/>
      <c r="B183" s="943"/>
      <c r="C183" s="943"/>
      <c r="D183" s="943"/>
      <c r="E183" s="946"/>
      <c r="F183" s="943"/>
      <c r="G183" s="342" t="s">
        <v>109</v>
      </c>
      <c r="H183" s="342" t="s">
        <v>90</v>
      </c>
      <c r="I183" s="341">
        <f>+E182*4</f>
        <v>0</v>
      </c>
      <c r="J183" s="341" t="s">
        <v>83</v>
      </c>
      <c r="K183" s="943"/>
    </row>
    <row r="184" spans="1:11">
      <c r="A184" s="943"/>
      <c r="B184" s="943"/>
      <c r="C184" s="943"/>
      <c r="D184" s="943"/>
      <c r="E184" s="952"/>
      <c r="F184" s="943"/>
      <c r="G184" s="342" t="s">
        <v>699</v>
      </c>
      <c r="H184" s="342" t="s">
        <v>89</v>
      </c>
      <c r="I184" s="341">
        <f>+E182*1.5</f>
        <v>0</v>
      </c>
      <c r="J184" s="341" t="s">
        <v>82</v>
      </c>
      <c r="K184" s="943"/>
    </row>
    <row r="185" spans="1:11">
      <c r="A185" s="943" t="s">
        <v>113</v>
      </c>
      <c r="B185" s="943" t="s">
        <v>112</v>
      </c>
      <c r="C185" s="943">
        <v>50</v>
      </c>
      <c r="D185" s="943" t="s">
        <v>115</v>
      </c>
      <c r="E185" s="945"/>
      <c r="F185" s="943" t="s">
        <v>94</v>
      </c>
      <c r="G185" s="342" t="s">
        <v>114</v>
      </c>
      <c r="H185" s="19"/>
      <c r="I185" s="341">
        <f>+E185*2</f>
        <v>0</v>
      </c>
      <c r="J185" s="341" t="s">
        <v>83</v>
      </c>
      <c r="K185" s="943"/>
    </row>
    <row r="186" spans="1:11" ht="14.25" customHeight="1">
      <c r="A186" s="943"/>
      <c r="B186" s="943"/>
      <c r="C186" s="943"/>
      <c r="D186" s="943"/>
      <c r="E186" s="946"/>
      <c r="F186" s="943"/>
      <c r="G186" s="342" t="s">
        <v>109</v>
      </c>
      <c r="H186" s="342" t="s">
        <v>90</v>
      </c>
      <c r="I186" s="341">
        <f>+E185*4</f>
        <v>0</v>
      </c>
      <c r="J186" s="341" t="s">
        <v>83</v>
      </c>
      <c r="K186" s="943"/>
    </row>
    <row r="187" spans="1:11">
      <c r="A187" s="943"/>
      <c r="B187" s="943"/>
      <c r="C187" s="943"/>
      <c r="D187" s="943"/>
      <c r="E187" s="952"/>
      <c r="F187" s="943"/>
      <c r="G187" s="342" t="s">
        <v>699</v>
      </c>
      <c r="H187" s="342" t="s">
        <v>89</v>
      </c>
      <c r="I187" s="341">
        <f>+E185*2.5</f>
        <v>0</v>
      </c>
      <c r="J187" s="341" t="s">
        <v>82</v>
      </c>
      <c r="K187" s="943"/>
    </row>
    <row r="188" spans="1:11">
      <c r="A188" s="943" t="s">
        <v>113</v>
      </c>
      <c r="B188" s="943" t="s">
        <v>104</v>
      </c>
      <c r="C188" s="943">
        <v>50</v>
      </c>
      <c r="D188" s="943" t="s">
        <v>111</v>
      </c>
      <c r="E188" s="945"/>
      <c r="F188" s="943" t="s">
        <v>94</v>
      </c>
      <c r="G188" s="342" t="s">
        <v>110</v>
      </c>
      <c r="H188" s="19"/>
      <c r="I188" s="341">
        <f>+E188*1</f>
        <v>0</v>
      </c>
      <c r="J188" s="341" t="s">
        <v>83</v>
      </c>
      <c r="K188" s="943"/>
    </row>
    <row r="189" spans="1:11" ht="14.25" customHeight="1">
      <c r="A189" s="943"/>
      <c r="B189" s="943"/>
      <c r="C189" s="943"/>
      <c r="D189" s="943"/>
      <c r="E189" s="946"/>
      <c r="F189" s="943"/>
      <c r="G189" s="342" t="s">
        <v>109</v>
      </c>
      <c r="H189" s="342" t="s">
        <v>90</v>
      </c>
      <c r="I189" s="341">
        <f>+E188*4</f>
        <v>0</v>
      </c>
      <c r="J189" s="341" t="s">
        <v>83</v>
      </c>
      <c r="K189" s="943"/>
    </row>
    <row r="190" spans="1:11">
      <c r="A190" s="943"/>
      <c r="B190" s="943"/>
      <c r="C190" s="943"/>
      <c r="D190" s="943"/>
      <c r="E190" s="952"/>
      <c r="F190" s="943"/>
      <c r="G190" s="342" t="s">
        <v>699</v>
      </c>
      <c r="H190" s="342" t="s">
        <v>89</v>
      </c>
      <c r="I190" s="341">
        <f>+E188*1.5</f>
        <v>0</v>
      </c>
      <c r="J190" s="341" t="s">
        <v>82</v>
      </c>
      <c r="K190" s="943"/>
    </row>
    <row r="191" spans="1:11">
      <c r="A191" s="943" t="s">
        <v>113</v>
      </c>
      <c r="B191" s="943" t="s">
        <v>112</v>
      </c>
      <c r="C191" s="943">
        <v>50</v>
      </c>
      <c r="D191" s="943" t="s">
        <v>111</v>
      </c>
      <c r="E191" s="945"/>
      <c r="F191" s="943" t="s">
        <v>94</v>
      </c>
      <c r="G191" s="342" t="s">
        <v>110</v>
      </c>
      <c r="H191" s="19"/>
      <c r="I191" s="341">
        <f>+E191*2</f>
        <v>0</v>
      </c>
      <c r="J191" s="341" t="s">
        <v>83</v>
      </c>
      <c r="K191" s="943"/>
    </row>
    <row r="192" spans="1:11">
      <c r="A192" s="943"/>
      <c r="B192" s="943"/>
      <c r="C192" s="943"/>
      <c r="D192" s="943"/>
      <c r="E192" s="946"/>
      <c r="F192" s="943"/>
      <c r="G192" s="342" t="s">
        <v>109</v>
      </c>
      <c r="H192" s="342" t="s">
        <v>90</v>
      </c>
      <c r="I192" s="341">
        <f>+E191*4</f>
        <v>0</v>
      </c>
      <c r="J192" s="341" t="s">
        <v>83</v>
      </c>
      <c r="K192" s="943"/>
    </row>
    <row r="193" spans="1:11">
      <c r="A193" s="943"/>
      <c r="B193" s="943"/>
      <c r="C193" s="943"/>
      <c r="D193" s="943"/>
      <c r="E193" s="952"/>
      <c r="F193" s="943"/>
      <c r="G193" s="342" t="s">
        <v>699</v>
      </c>
      <c r="H193" s="342" t="s">
        <v>89</v>
      </c>
      <c r="I193" s="341">
        <f>+E191*2.5</f>
        <v>0</v>
      </c>
      <c r="J193" s="341" t="s">
        <v>82</v>
      </c>
      <c r="K193" s="943"/>
    </row>
    <row r="194" spans="1:11">
      <c r="A194" s="943" t="s">
        <v>108</v>
      </c>
      <c r="B194" s="943" t="s">
        <v>95</v>
      </c>
      <c r="C194" s="943" t="s">
        <v>95</v>
      </c>
      <c r="D194" s="943" t="s">
        <v>95</v>
      </c>
      <c r="E194" s="945"/>
      <c r="F194" s="943" t="s">
        <v>107</v>
      </c>
      <c r="G194" s="342" t="s">
        <v>932</v>
      </c>
      <c r="H194" s="319" t="s">
        <v>93</v>
      </c>
      <c r="I194" s="341">
        <f>+E194*1</f>
        <v>0</v>
      </c>
      <c r="J194" s="341" t="s">
        <v>81</v>
      </c>
      <c r="K194" s="943" t="s">
        <v>106</v>
      </c>
    </row>
    <row r="195" spans="1:11">
      <c r="A195" s="943"/>
      <c r="B195" s="943"/>
      <c r="C195" s="943"/>
      <c r="D195" s="943"/>
      <c r="E195" s="952"/>
      <c r="F195" s="943"/>
      <c r="G195" s="342" t="s">
        <v>699</v>
      </c>
      <c r="H195" s="342" t="s">
        <v>89</v>
      </c>
      <c r="I195" s="341">
        <f>+E194*3</f>
        <v>0</v>
      </c>
      <c r="J195" s="341" t="s">
        <v>82</v>
      </c>
      <c r="K195" s="943"/>
    </row>
    <row r="196" spans="1:11">
      <c r="A196" s="943" t="s">
        <v>105</v>
      </c>
      <c r="B196" s="943" t="s">
        <v>104</v>
      </c>
      <c r="C196" s="943" t="s">
        <v>95</v>
      </c>
      <c r="D196" s="943" t="s">
        <v>103</v>
      </c>
      <c r="E196" s="945"/>
      <c r="F196" s="947" t="s">
        <v>102</v>
      </c>
      <c r="G196" s="342" t="s">
        <v>932</v>
      </c>
      <c r="H196" s="319" t="s">
        <v>93</v>
      </c>
      <c r="I196" s="341">
        <f>+E196*0.3</f>
        <v>0</v>
      </c>
      <c r="J196" s="341" t="s">
        <v>81</v>
      </c>
      <c r="K196" s="943"/>
    </row>
    <row r="197" spans="1:11">
      <c r="A197" s="943"/>
      <c r="B197" s="943"/>
      <c r="C197" s="943"/>
      <c r="D197" s="943"/>
      <c r="E197" s="946"/>
      <c r="F197" s="947"/>
      <c r="G197" s="342" t="s">
        <v>101</v>
      </c>
      <c r="H197" s="342" t="s">
        <v>90</v>
      </c>
      <c r="I197" s="341">
        <f>+E196*8</f>
        <v>0</v>
      </c>
      <c r="J197" s="341" t="s">
        <v>83</v>
      </c>
      <c r="K197" s="943"/>
    </row>
    <row r="198" spans="1:11">
      <c r="A198" s="943"/>
      <c r="B198" s="943"/>
      <c r="C198" s="943"/>
      <c r="D198" s="943"/>
      <c r="E198" s="952"/>
      <c r="F198" s="947"/>
      <c r="G198" s="342" t="s">
        <v>699</v>
      </c>
      <c r="H198" s="342" t="s">
        <v>89</v>
      </c>
      <c r="I198" s="341">
        <f>+E196*1.5</f>
        <v>0</v>
      </c>
      <c r="J198" s="341" t="s">
        <v>82</v>
      </c>
      <c r="K198" s="943"/>
    </row>
    <row r="199" spans="1:11">
      <c r="A199" s="943" t="s">
        <v>98</v>
      </c>
      <c r="B199" s="943" t="s">
        <v>100</v>
      </c>
      <c r="C199" s="943" t="s">
        <v>96</v>
      </c>
      <c r="D199" s="943" t="s">
        <v>95</v>
      </c>
      <c r="E199" s="945"/>
      <c r="F199" s="947" t="s">
        <v>99</v>
      </c>
      <c r="G199" s="342" t="s">
        <v>932</v>
      </c>
      <c r="H199" s="319" t="s">
        <v>93</v>
      </c>
      <c r="I199" s="341">
        <f>+E199*1</f>
        <v>0</v>
      </c>
      <c r="J199" s="341" t="s">
        <v>81</v>
      </c>
      <c r="K199" s="943" t="s">
        <v>92</v>
      </c>
    </row>
    <row r="200" spans="1:11">
      <c r="A200" s="943"/>
      <c r="B200" s="943"/>
      <c r="C200" s="943"/>
      <c r="D200" s="943"/>
      <c r="E200" s="946"/>
      <c r="F200" s="947"/>
      <c r="G200" s="342" t="s">
        <v>91</v>
      </c>
      <c r="H200" s="342" t="s">
        <v>90</v>
      </c>
      <c r="I200" s="341">
        <f>+E199*4</f>
        <v>0</v>
      </c>
      <c r="J200" s="341" t="s">
        <v>83</v>
      </c>
      <c r="K200" s="943"/>
    </row>
    <row r="201" spans="1:11">
      <c r="A201" s="943"/>
      <c r="B201" s="943"/>
      <c r="C201" s="943"/>
      <c r="D201" s="943"/>
      <c r="E201" s="952"/>
      <c r="F201" s="947"/>
      <c r="G201" s="342" t="s">
        <v>699</v>
      </c>
      <c r="H201" s="342" t="s">
        <v>89</v>
      </c>
      <c r="I201" s="341">
        <f>+E199*5</f>
        <v>0</v>
      </c>
      <c r="J201" s="341" t="s">
        <v>82</v>
      </c>
      <c r="K201" s="943"/>
    </row>
    <row r="202" spans="1:11">
      <c r="A202" s="943" t="s">
        <v>98</v>
      </c>
      <c r="B202" s="943" t="s">
        <v>97</v>
      </c>
      <c r="C202" s="943" t="s">
        <v>96</v>
      </c>
      <c r="D202" s="943" t="s">
        <v>95</v>
      </c>
      <c r="E202" s="945"/>
      <c r="F202" s="947" t="s">
        <v>94</v>
      </c>
      <c r="G202" s="342" t="s">
        <v>932</v>
      </c>
      <c r="H202" s="319" t="s">
        <v>93</v>
      </c>
      <c r="I202" s="341">
        <f>+E202*1.5</f>
        <v>0</v>
      </c>
      <c r="J202" s="341" t="s">
        <v>81</v>
      </c>
      <c r="K202" s="943" t="s">
        <v>92</v>
      </c>
    </row>
    <row r="203" spans="1:11">
      <c r="A203" s="943"/>
      <c r="B203" s="943"/>
      <c r="C203" s="943"/>
      <c r="D203" s="943"/>
      <c r="E203" s="946"/>
      <c r="F203" s="947"/>
      <c r="G203" s="342" t="s">
        <v>91</v>
      </c>
      <c r="H203" s="342" t="s">
        <v>90</v>
      </c>
      <c r="I203" s="341">
        <f>+E202*4</f>
        <v>0</v>
      </c>
      <c r="J203" s="341" t="s">
        <v>83</v>
      </c>
      <c r="K203" s="943"/>
    </row>
    <row r="204" spans="1:11">
      <c r="A204" s="944"/>
      <c r="B204" s="944"/>
      <c r="C204" s="944"/>
      <c r="D204" s="944"/>
      <c r="E204" s="946"/>
      <c r="F204" s="948"/>
      <c r="G204" s="24" t="s">
        <v>699</v>
      </c>
      <c r="H204" s="24" t="s">
        <v>89</v>
      </c>
      <c r="I204" s="343">
        <f>+E202*5</f>
        <v>0</v>
      </c>
      <c r="J204" s="343" t="s">
        <v>82</v>
      </c>
      <c r="K204" s="944"/>
    </row>
    <row r="205" spans="1:11">
      <c r="A205" s="356"/>
      <c r="B205" s="356"/>
      <c r="C205" s="356"/>
      <c r="D205" s="356"/>
      <c r="E205" s="357"/>
      <c r="F205" s="356" t="s">
        <v>935</v>
      </c>
      <c r="G205" s="356" t="s">
        <v>936</v>
      </c>
      <c r="H205" s="356"/>
      <c r="I205" s="356"/>
      <c r="J205" s="347" t="s">
        <v>84</v>
      </c>
      <c r="K205" s="358"/>
    </row>
    <row r="206" spans="1:11">
      <c r="A206" s="356"/>
      <c r="B206" s="356"/>
      <c r="C206" s="356"/>
      <c r="D206" s="356"/>
      <c r="E206" s="357"/>
      <c r="F206" s="356"/>
      <c r="G206" s="66" t="s">
        <v>937</v>
      </c>
      <c r="H206" s="357"/>
      <c r="I206" s="66"/>
      <c r="J206" s="66" t="s">
        <v>84</v>
      </c>
      <c r="K206" s="358"/>
    </row>
    <row r="213" spans="1:10">
      <c r="J213" s="66"/>
    </row>
    <row r="214" spans="1:10">
      <c r="A214" s="359" t="s">
        <v>1604</v>
      </c>
    </row>
  </sheetData>
  <mergeCells count="376">
    <mergeCell ref="A4:B4"/>
    <mergeCell ref="C4:D4"/>
    <mergeCell ref="E4:F4"/>
    <mergeCell ref="G4:H4"/>
    <mergeCell ref="A5:K5"/>
    <mergeCell ref="A6:K6"/>
    <mergeCell ref="A1:K1"/>
    <mergeCell ref="A2:B2"/>
    <mergeCell ref="I2:J2"/>
    <mergeCell ref="A3:B3"/>
    <mergeCell ref="C3:D3"/>
    <mergeCell ref="E3:F3"/>
    <mergeCell ref="G3:H3"/>
    <mergeCell ref="I3:J4"/>
    <mergeCell ref="K3:K4"/>
    <mergeCell ref="C2:E2"/>
    <mergeCell ref="D29:D34"/>
    <mergeCell ref="A8:A12"/>
    <mergeCell ref="B8:B12"/>
    <mergeCell ref="C8:C12"/>
    <mergeCell ref="D8:D12"/>
    <mergeCell ref="E8:E12"/>
    <mergeCell ref="F8:F12"/>
    <mergeCell ref="F29:F34"/>
    <mergeCell ref="I32:J32"/>
    <mergeCell ref="A42:A46"/>
    <mergeCell ref="B42:B46"/>
    <mergeCell ref="C42:C46"/>
    <mergeCell ref="D42:D46"/>
    <mergeCell ref="A23:A28"/>
    <mergeCell ref="B23:B28"/>
    <mergeCell ref="C23:C28"/>
    <mergeCell ref="D23:D28"/>
    <mergeCell ref="E23:E28"/>
    <mergeCell ref="E29:E34"/>
    <mergeCell ref="A35:K35"/>
    <mergeCell ref="A37:A41"/>
    <mergeCell ref="B37:B41"/>
    <mergeCell ref="C37:C41"/>
    <mergeCell ref="D37:D41"/>
    <mergeCell ref="E37:E41"/>
    <mergeCell ref="F37:F41"/>
    <mergeCell ref="E42:E46"/>
    <mergeCell ref="F42:F46"/>
    <mergeCell ref="F23:F28"/>
    <mergeCell ref="I26:J26"/>
    <mergeCell ref="A29:A34"/>
    <mergeCell ref="B29:B34"/>
    <mergeCell ref="C29:C34"/>
    <mergeCell ref="A73:A76"/>
    <mergeCell ref="B73:B76"/>
    <mergeCell ref="C73:C76"/>
    <mergeCell ref="D73:D76"/>
    <mergeCell ref="E73:E76"/>
    <mergeCell ref="F73:F76"/>
    <mergeCell ref="I75:J75"/>
    <mergeCell ref="A69:A72"/>
    <mergeCell ref="B69:B72"/>
    <mergeCell ref="C69:C72"/>
    <mergeCell ref="D69:D72"/>
    <mergeCell ref="E69:E72"/>
    <mergeCell ref="F69:F72"/>
    <mergeCell ref="I71:J71"/>
    <mergeCell ref="A77:A80"/>
    <mergeCell ref="B77:B80"/>
    <mergeCell ref="C77:C80"/>
    <mergeCell ref="D77:D80"/>
    <mergeCell ref="E77:E80"/>
    <mergeCell ref="F77:F80"/>
    <mergeCell ref="I79:J79"/>
    <mergeCell ref="A81:K81"/>
    <mergeCell ref="A82:K82"/>
    <mergeCell ref="A84:A86"/>
    <mergeCell ref="B84:B86"/>
    <mergeCell ref="C84:C86"/>
    <mergeCell ref="D84:D86"/>
    <mergeCell ref="E84:E86"/>
    <mergeCell ref="F84:F86"/>
    <mergeCell ref="K84:K86"/>
    <mergeCell ref="A87:A89"/>
    <mergeCell ref="B87:B89"/>
    <mergeCell ref="C87:C89"/>
    <mergeCell ref="D87:D89"/>
    <mergeCell ref="E87:E89"/>
    <mergeCell ref="F87:F89"/>
    <mergeCell ref="K87:K89"/>
    <mergeCell ref="A139:K139"/>
    <mergeCell ref="A131:A134"/>
    <mergeCell ref="B131:B134"/>
    <mergeCell ref="C131:C134"/>
    <mergeCell ref="D131:D134"/>
    <mergeCell ref="E131:E134"/>
    <mergeCell ref="A129:K129"/>
    <mergeCell ref="A116:K116"/>
    <mergeCell ref="A105:A107"/>
    <mergeCell ref="B105:B107"/>
    <mergeCell ref="C105:C107"/>
    <mergeCell ref="D105:D107"/>
    <mergeCell ref="E105:E107"/>
    <mergeCell ref="F105:F107"/>
    <mergeCell ref="K105:K107"/>
    <mergeCell ref="A108:K108"/>
    <mergeCell ref="F131:F138"/>
    <mergeCell ref="K131:K138"/>
    <mergeCell ref="I133:J133"/>
    <mergeCell ref="A135:A138"/>
    <mergeCell ref="B135:B138"/>
    <mergeCell ref="C135:C138"/>
    <mergeCell ref="D135:D138"/>
    <mergeCell ref="E135:E138"/>
    <mergeCell ref="I136:J136"/>
    <mergeCell ref="A150:A152"/>
    <mergeCell ref="B150:B152"/>
    <mergeCell ref="C150:C152"/>
    <mergeCell ref="D150:D152"/>
    <mergeCell ref="E150:E152"/>
    <mergeCell ref="F150:F152"/>
    <mergeCell ref="K150:K152"/>
    <mergeCell ref="A141:A143"/>
    <mergeCell ref="B141:B143"/>
    <mergeCell ref="C141:C143"/>
    <mergeCell ref="D141:D143"/>
    <mergeCell ref="E141:E143"/>
    <mergeCell ref="F141:F143"/>
    <mergeCell ref="K141:K143"/>
    <mergeCell ref="A144:A146"/>
    <mergeCell ref="B144:B146"/>
    <mergeCell ref="C144:C146"/>
    <mergeCell ref="D144:D146"/>
    <mergeCell ref="E144:E146"/>
    <mergeCell ref="F144:F146"/>
    <mergeCell ref="K144:K146"/>
    <mergeCell ref="A147:A149"/>
    <mergeCell ref="B147:B149"/>
    <mergeCell ref="A162:A164"/>
    <mergeCell ref="B162:B164"/>
    <mergeCell ref="C162:C164"/>
    <mergeCell ref="D162:D164"/>
    <mergeCell ref="E162:E164"/>
    <mergeCell ref="F162:F164"/>
    <mergeCell ref="K162:K164"/>
    <mergeCell ref="A153:A155"/>
    <mergeCell ref="B153:B155"/>
    <mergeCell ref="C153:C155"/>
    <mergeCell ref="D153:D155"/>
    <mergeCell ref="E153:E155"/>
    <mergeCell ref="F153:F155"/>
    <mergeCell ref="K153:K155"/>
    <mergeCell ref="A156:A158"/>
    <mergeCell ref="B156:B158"/>
    <mergeCell ref="C156:C158"/>
    <mergeCell ref="A159:A161"/>
    <mergeCell ref="B159:B161"/>
    <mergeCell ref="C159:C161"/>
    <mergeCell ref="D159:D161"/>
    <mergeCell ref="E159:E161"/>
    <mergeCell ref="F159:F161"/>
    <mergeCell ref="K159:K161"/>
    <mergeCell ref="A165:A167"/>
    <mergeCell ref="B165:B167"/>
    <mergeCell ref="C165:C167"/>
    <mergeCell ref="D165:D167"/>
    <mergeCell ref="E165:E167"/>
    <mergeCell ref="F165:F167"/>
    <mergeCell ref="K165:K167"/>
    <mergeCell ref="A168:A170"/>
    <mergeCell ref="B168:B170"/>
    <mergeCell ref="C168:C170"/>
    <mergeCell ref="D168:D170"/>
    <mergeCell ref="E168:E170"/>
    <mergeCell ref="F168:F170"/>
    <mergeCell ref="K168:K170"/>
    <mergeCell ref="K8:K11"/>
    <mergeCell ref="A13:A17"/>
    <mergeCell ref="B13:B17"/>
    <mergeCell ref="C13:C17"/>
    <mergeCell ref="D13:D17"/>
    <mergeCell ref="E13:E17"/>
    <mergeCell ref="F13:F17"/>
    <mergeCell ref="A18:A22"/>
    <mergeCell ref="B18:B22"/>
    <mergeCell ref="C18:C22"/>
    <mergeCell ref="D18:D22"/>
    <mergeCell ref="E18:E22"/>
    <mergeCell ref="F18:F22"/>
    <mergeCell ref="A47:K47"/>
    <mergeCell ref="A49:A52"/>
    <mergeCell ref="B49:B52"/>
    <mergeCell ref="C49:C52"/>
    <mergeCell ref="D49:D52"/>
    <mergeCell ref="E49:E52"/>
    <mergeCell ref="F49:F52"/>
    <mergeCell ref="K49:K80"/>
    <mergeCell ref="I51:J51"/>
    <mergeCell ref="A53:A56"/>
    <mergeCell ref="B53:B56"/>
    <mergeCell ref="C53:C56"/>
    <mergeCell ref="D53:D56"/>
    <mergeCell ref="E53:E56"/>
    <mergeCell ref="F53:F56"/>
    <mergeCell ref="I55:J55"/>
    <mergeCell ref="A57:A60"/>
    <mergeCell ref="B57:B60"/>
    <mergeCell ref="C57:C60"/>
    <mergeCell ref="D57:D60"/>
    <mergeCell ref="E57:E60"/>
    <mergeCell ref="F57:F60"/>
    <mergeCell ref="I59:J59"/>
    <mergeCell ref="A61:A64"/>
    <mergeCell ref="B61:B64"/>
    <mergeCell ref="C61:C64"/>
    <mergeCell ref="D61:D64"/>
    <mergeCell ref="E61:E64"/>
    <mergeCell ref="F61:F64"/>
    <mergeCell ref="I63:J63"/>
    <mergeCell ref="A65:A68"/>
    <mergeCell ref="B65:B68"/>
    <mergeCell ref="C65:C68"/>
    <mergeCell ref="D65:D68"/>
    <mergeCell ref="E65:E68"/>
    <mergeCell ref="F65:F68"/>
    <mergeCell ref="I67:J67"/>
    <mergeCell ref="A90:A92"/>
    <mergeCell ref="B90:B92"/>
    <mergeCell ref="C90:C92"/>
    <mergeCell ref="D90:D92"/>
    <mergeCell ref="E90:E92"/>
    <mergeCell ref="F90:F92"/>
    <mergeCell ref="K90:K92"/>
    <mergeCell ref="C93:C95"/>
    <mergeCell ref="D93:D95"/>
    <mergeCell ref="E93:E95"/>
    <mergeCell ref="F93:F95"/>
    <mergeCell ref="K93:K95"/>
    <mergeCell ref="A96:A98"/>
    <mergeCell ref="B96:B98"/>
    <mergeCell ref="C96:C98"/>
    <mergeCell ref="D96:D98"/>
    <mergeCell ref="E96:E98"/>
    <mergeCell ref="F96:F98"/>
    <mergeCell ref="K96:K98"/>
    <mergeCell ref="A93:A95"/>
    <mergeCell ref="B93:B95"/>
    <mergeCell ref="A99:A101"/>
    <mergeCell ref="B99:B101"/>
    <mergeCell ref="C99:C101"/>
    <mergeCell ref="D99:D101"/>
    <mergeCell ref="E99:E101"/>
    <mergeCell ref="F99:F101"/>
    <mergeCell ref="K99:K101"/>
    <mergeCell ref="A102:A104"/>
    <mergeCell ref="B102:B104"/>
    <mergeCell ref="C102:C104"/>
    <mergeCell ref="D102:D104"/>
    <mergeCell ref="E102:E104"/>
    <mergeCell ref="F102:F104"/>
    <mergeCell ref="K102:K104"/>
    <mergeCell ref="A110:A112"/>
    <mergeCell ref="B110:B112"/>
    <mergeCell ref="C110:C112"/>
    <mergeCell ref="D110:D112"/>
    <mergeCell ref="E110:E112"/>
    <mergeCell ref="F110:F112"/>
    <mergeCell ref="K110:K115"/>
    <mergeCell ref="A113:A115"/>
    <mergeCell ref="B113:B115"/>
    <mergeCell ref="C113:C115"/>
    <mergeCell ref="D113:D115"/>
    <mergeCell ref="E113:E115"/>
    <mergeCell ref="F113:F115"/>
    <mergeCell ref="A117:K117"/>
    <mergeCell ref="A119:A123"/>
    <mergeCell ref="B119:B123"/>
    <mergeCell ref="C119:C123"/>
    <mergeCell ref="D119:D123"/>
    <mergeCell ref="E119:E123"/>
    <mergeCell ref="F119:F128"/>
    <mergeCell ref="K119:K128"/>
    <mergeCell ref="I122:J122"/>
    <mergeCell ref="A124:A128"/>
    <mergeCell ref="B124:B128"/>
    <mergeCell ref="C124:C128"/>
    <mergeCell ref="D124:D128"/>
    <mergeCell ref="E124:E128"/>
    <mergeCell ref="I127:J127"/>
    <mergeCell ref="C147:C149"/>
    <mergeCell ref="D147:D149"/>
    <mergeCell ref="E147:E149"/>
    <mergeCell ref="F147:F149"/>
    <mergeCell ref="K147:K149"/>
    <mergeCell ref="D156:D158"/>
    <mergeCell ref="E156:E158"/>
    <mergeCell ref="F156:F158"/>
    <mergeCell ref="K156:K158"/>
    <mergeCell ref="A171:A173"/>
    <mergeCell ref="B171:B173"/>
    <mergeCell ref="C171:C173"/>
    <mergeCell ref="D171:D173"/>
    <mergeCell ref="E171:E173"/>
    <mergeCell ref="F171:F173"/>
    <mergeCell ref="K171:K173"/>
    <mergeCell ref="D174:D176"/>
    <mergeCell ref="E174:E176"/>
    <mergeCell ref="F174:F176"/>
    <mergeCell ref="K174:K176"/>
    <mergeCell ref="E191:E193"/>
    <mergeCell ref="A177:A179"/>
    <mergeCell ref="B177:B179"/>
    <mergeCell ref="C177:C179"/>
    <mergeCell ref="D177:D179"/>
    <mergeCell ref="E177:E179"/>
    <mergeCell ref="F177:F179"/>
    <mergeCell ref="K177:K179"/>
    <mergeCell ref="A174:A176"/>
    <mergeCell ref="B174:B176"/>
    <mergeCell ref="C174:C176"/>
    <mergeCell ref="A180:A181"/>
    <mergeCell ref="B180:D181"/>
    <mergeCell ref="E180:E181"/>
    <mergeCell ref="F180:F181"/>
    <mergeCell ref="K180:K181"/>
    <mergeCell ref="A182:A184"/>
    <mergeCell ref="B182:B184"/>
    <mergeCell ref="C182:C184"/>
    <mergeCell ref="D182:D184"/>
    <mergeCell ref="E182:E184"/>
    <mergeCell ref="F182:F184"/>
    <mergeCell ref="K182:K184"/>
    <mergeCell ref="D199:D201"/>
    <mergeCell ref="E199:E201"/>
    <mergeCell ref="F199:F201"/>
    <mergeCell ref="K199:K201"/>
    <mergeCell ref="A185:A187"/>
    <mergeCell ref="B185:B187"/>
    <mergeCell ref="C185:C187"/>
    <mergeCell ref="D185:D187"/>
    <mergeCell ref="E185:E187"/>
    <mergeCell ref="F185:F187"/>
    <mergeCell ref="K185:K187"/>
    <mergeCell ref="F191:F193"/>
    <mergeCell ref="K191:K193"/>
    <mergeCell ref="A188:A190"/>
    <mergeCell ref="B188:B190"/>
    <mergeCell ref="C188:C190"/>
    <mergeCell ref="D188:D190"/>
    <mergeCell ref="E188:E190"/>
    <mergeCell ref="F188:F190"/>
    <mergeCell ref="K188:K190"/>
    <mergeCell ref="A191:A193"/>
    <mergeCell ref="B191:B193"/>
    <mergeCell ref="C191:C193"/>
    <mergeCell ref="D191:D193"/>
    <mergeCell ref="A194:A195"/>
    <mergeCell ref="B194:B195"/>
    <mergeCell ref="C194:C195"/>
    <mergeCell ref="D194:D195"/>
    <mergeCell ref="E194:E195"/>
    <mergeCell ref="F194:F195"/>
    <mergeCell ref="K194:K195"/>
    <mergeCell ref="A202:A204"/>
    <mergeCell ref="B202:B204"/>
    <mergeCell ref="C202:C204"/>
    <mergeCell ref="D202:D204"/>
    <mergeCell ref="E202:E204"/>
    <mergeCell ref="F202:F204"/>
    <mergeCell ref="K202:K204"/>
    <mergeCell ref="A196:A198"/>
    <mergeCell ref="B196:B198"/>
    <mergeCell ref="C196:C198"/>
    <mergeCell ref="D196:D198"/>
    <mergeCell ref="E196:E198"/>
    <mergeCell ref="F196:F198"/>
    <mergeCell ref="K196:K198"/>
    <mergeCell ref="A199:A201"/>
    <mergeCell ref="B199:B201"/>
    <mergeCell ref="C199:C201"/>
  </mergeCells>
  <phoneticPr fontId="19" type="noConversion"/>
  <dataValidations count="1">
    <dataValidation type="list" allowBlank="1" showInputMessage="1" showErrorMessage="1" sqref="G12 G17 G22 G28 G34 G41 G46">
      <formula1>$M$10:$M$11</formula1>
    </dataValidation>
  </dataValidations>
  <printOptions horizontalCentered="1"/>
  <pageMargins left="0.19685039370078741" right="0.19685039370078741" top="0.59055118110236227" bottom="0.59055118110236227" header="0.19685039370078741" footer="0.19685039370078741"/>
  <pageSetup paperSize="9" scale="9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K47"/>
  <sheetViews>
    <sheetView view="pageBreakPreview" topLeftCell="A10" zoomScaleSheetLayoutView="100" workbookViewId="0">
      <selection activeCell="D28" sqref="D28"/>
    </sheetView>
  </sheetViews>
  <sheetFormatPr defaultRowHeight="14.25"/>
  <cols>
    <col min="1" max="1" width="8.625" customWidth="1"/>
    <col min="2" max="2" width="10.75" style="438" customWidth="1"/>
    <col min="3" max="3" width="13.125" style="438" customWidth="1"/>
    <col min="4" max="4" width="11" customWidth="1"/>
    <col min="5" max="5" width="8.125" customWidth="1"/>
    <col min="6" max="6" width="7.75" customWidth="1"/>
    <col min="7" max="7" width="8.625" customWidth="1"/>
    <col min="8" max="8" width="10" customWidth="1"/>
    <col min="9" max="9" width="6.125" customWidth="1"/>
    <col min="10" max="10" width="5.75" customWidth="1"/>
  </cols>
  <sheetData>
    <row r="1" spans="1:11" ht="26.25" customHeight="1">
      <c r="A1" s="978" t="s">
        <v>1040</v>
      </c>
      <c r="B1" s="978"/>
      <c r="C1" s="978"/>
      <c r="D1" s="978"/>
      <c r="E1" s="978"/>
      <c r="F1" s="978"/>
      <c r="G1" s="978"/>
      <c r="H1" s="978"/>
      <c r="I1" s="978"/>
      <c r="J1" s="978"/>
    </row>
    <row r="2" spans="1:11" ht="20.100000000000001" customHeight="1">
      <c r="A2" s="537" t="s">
        <v>1039</v>
      </c>
      <c r="B2" s="977" t="str">
        <f>平板门板作业单!B2</f>
        <v>赵蕊</v>
      </c>
      <c r="C2" s="977"/>
      <c r="D2" s="54" t="s">
        <v>1038</v>
      </c>
      <c r="E2" s="977">
        <f>平板门板作业单!K2</f>
        <v>15530608063</v>
      </c>
      <c r="F2" s="977"/>
      <c r="G2" s="977"/>
      <c r="H2" s="54" t="s">
        <v>1014</v>
      </c>
      <c r="I2" s="866">
        <f>柜体!$I$2</f>
        <v>0</v>
      </c>
      <c r="J2" s="866"/>
    </row>
    <row r="3" spans="1:11" ht="20.100000000000001" customHeight="1">
      <c r="A3" s="54" t="s">
        <v>1037</v>
      </c>
      <c r="B3" s="977" t="str">
        <f>平板门板作业单!G3</f>
        <v>无毒系列</v>
      </c>
      <c r="C3" s="977"/>
      <c r="D3" s="54" t="s">
        <v>1036</v>
      </c>
      <c r="E3" s="979" t="str">
        <f>平板门板作业单!B4</f>
        <v>++++++</v>
      </c>
      <c r="F3" s="980"/>
      <c r="G3" s="981"/>
      <c r="H3" s="54" t="s">
        <v>1035</v>
      </c>
      <c r="I3" s="866">
        <f>下料单!$AB$2</f>
        <v>43129</v>
      </c>
      <c r="J3" s="866"/>
    </row>
    <row r="4" spans="1:11" ht="20.100000000000001" customHeight="1">
      <c r="A4" s="54" t="s">
        <v>1034</v>
      </c>
      <c r="B4" s="977" t="str">
        <f>平板门板作业单!D2</f>
        <v>廊坊</v>
      </c>
      <c r="C4" s="977"/>
      <c r="D4" s="450" t="s">
        <v>1033</v>
      </c>
      <c r="E4" s="976">
        <f>平板门板作业单!M2</f>
        <v>123</v>
      </c>
      <c r="F4" s="976"/>
      <c r="G4" s="976"/>
      <c r="H4" s="54" t="s">
        <v>1032</v>
      </c>
      <c r="I4" s="866">
        <f>平板门板作业单!M3</f>
        <v>43169</v>
      </c>
      <c r="J4" s="866"/>
    </row>
    <row r="5" spans="1:11" ht="20.100000000000001" customHeight="1">
      <c r="A5" s="54" t="s">
        <v>1031</v>
      </c>
      <c r="B5" s="54" t="s">
        <v>1030</v>
      </c>
      <c r="C5" s="54" t="s">
        <v>1029</v>
      </c>
      <c r="D5" s="54" t="s">
        <v>1028</v>
      </c>
      <c r="E5" s="54" t="s">
        <v>1027</v>
      </c>
      <c r="F5" s="54" t="s">
        <v>1026</v>
      </c>
      <c r="G5" s="54" t="s">
        <v>1025</v>
      </c>
      <c r="H5" s="54" t="s">
        <v>1024</v>
      </c>
      <c r="I5" s="977" t="s">
        <v>1023</v>
      </c>
      <c r="J5" s="977"/>
    </row>
    <row r="6" spans="1:11" ht="20.100000000000001" customHeight="1">
      <c r="A6" s="54" t="s">
        <v>1022</v>
      </c>
      <c r="B6" s="977"/>
      <c r="C6" s="977"/>
      <c r="D6" s="54" t="s">
        <v>1021</v>
      </c>
      <c r="E6" s="977"/>
      <c r="F6" s="977"/>
      <c r="G6" s="977"/>
      <c r="H6" s="54" t="s">
        <v>1020</v>
      </c>
      <c r="I6" s="977"/>
      <c r="J6" s="977"/>
    </row>
    <row r="7" spans="1:11" ht="20.100000000000001" customHeight="1">
      <c r="A7" s="54" t="s">
        <v>1019</v>
      </c>
      <c r="B7" s="54" t="s">
        <v>1018</v>
      </c>
      <c r="C7" s="54" t="s">
        <v>1017</v>
      </c>
      <c r="D7" s="54" t="s">
        <v>1016</v>
      </c>
      <c r="E7" s="54" t="s">
        <v>1015</v>
      </c>
      <c r="F7" s="54" t="s">
        <v>1014</v>
      </c>
      <c r="G7" s="54" t="s">
        <v>1013</v>
      </c>
      <c r="H7" s="54" t="s">
        <v>1012</v>
      </c>
      <c r="I7" s="54" t="s">
        <v>1011</v>
      </c>
      <c r="J7" s="54" t="s">
        <v>1010</v>
      </c>
    </row>
    <row r="8" spans="1:11" ht="20.100000000000001" customHeight="1">
      <c r="A8" s="54">
        <v>1</v>
      </c>
      <c r="B8" s="975" t="s">
        <v>1009</v>
      </c>
      <c r="C8" s="345" t="s">
        <v>1006</v>
      </c>
      <c r="D8" s="54">
        <f>平板门板作业单!I3</f>
        <v>0</v>
      </c>
      <c r="E8" s="54" t="s">
        <v>979</v>
      </c>
      <c r="F8" s="54"/>
      <c r="G8" s="54"/>
      <c r="H8" s="54"/>
      <c r="I8" s="54"/>
      <c r="J8" s="14"/>
    </row>
    <row r="9" spans="1:11" ht="20.100000000000001" customHeight="1">
      <c r="A9" s="54">
        <v>2</v>
      </c>
      <c r="B9" s="975"/>
      <c r="C9" s="345" t="s">
        <v>261</v>
      </c>
      <c r="D9" s="54"/>
      <c r="E9" s="54" t="s">
        <v>1125</v>
      </c>
      <c r="F9" s="54"/>
      <c r="G9" s="54"/>
      <c r="H9" s="54"/>
      <c r="I9" s="54"/>
      <c r="J9" s="14"/>
    </row>
    <row r="10" spans="1:11" ht="20.100000000000001" customHeight="1">
      <c r="A10" s="54">
        <v>3</v>
      </c>
      <c r="B10" s="975"/>
      <c r="C10" s="539" t="s">
        <v>1126</v>
      </c>
      <c r="D10" s="54">
        <f>平板门板作业单!I3</f>
        <v>0</v>
      </c>
      <c r="E10" s="54" t="s">
        <v>1125</v>
      </c>
      <c r="F10" s="54"/>
      <c r="G10" s="54"/>
      <c r="H10" s="54"/>
      <c r="I10" s="54"/>
      <c r="J10" s="14"/>
      <c r="K10" s="449"/>
    </row>
    <row r="11" spans="1:11" ht="20.100000000000001" customHeight="1">
      <c r="A11" s="54">
        <v>4</v>
      </c>
      <c r="B11" s="975" t="s">
        <v>1127</v>
      </c>
      <c r="C11" s="345" t="s">
        <v>1128</v>
      </c>
      <c r="D11" s="54"/>
      <c r="E11" s="54" t="s">
        <v>1125</v>
      </c>
      <c r="F11" s="54"/>
      <c r="G11" s="54"/>
      <c r="H11" s="54"/>
      <c r="I11" s="54"/>
      <c r="J11" s="14"/>
    </row>
    <row r="12" spans="1:11" ht="20.100000000000001" customHeight="1">
      <c r="A12" s="54">
        <v>5</v>
      </c>
      <c r="B12" s="975"/>
      <c r="C12" s="345" t="s">
        <v>261</v>
      </c>
      <c r="D12" s="54"/>
      <c r="E12" s="54" t="s">
        <v>1125</v>
      </c>
      <c r="F12" s="54"/>
      <c r="G12" s="54"/>
      <c r="H12" s="54"/>
      <c r="I12" s="54"/>
      <c r="J12" s="14"/>
    </row>
    <row r="13" spans="1:11" ht="20.100000000000001" customHeight="1">
      <c r="A13" s="54">
        <v>6</v>
      </c>
      <c r="B13" s="975"/>
      <c r="C13" s="539" t="s">
        <v>1129</v>
      </c>
      <c r="D13" s="54"/>
      <c r="E13" s="54" t="s">
        <v>1125</v>
      </c>
      <c r="F13" s="54"/>
      <c r="G13" s="54"/>
      <c r="H13" s="54"/>
      <c r="I13" s="54"/>
      <c r="J13" s="14"/>
    </row>
    <row r="14" spans="1:11" ht="20.100000000000001" customHeight="1">
      <c r="A14" s="54">
        <v>7</v>
      </c>
      <c r="B14" s="346" t="s">
        <v>1130</v>
      </c>
      <c r="C14" s="539" t="s">
        <v>1131</v>
      </c>
      <c r="D14" s="54"/>
      <c r="E14" s="54" t="s">
        <v>1125</v>
      </c>
      <c r="F14" s="54"/>
      <c r="G14" s="54"/>
      <c r="H14" s="54"/>
      <c r="I14" s="54"/>
      <c r="J14" s="14"/>
    </row>
    <row r="15" spans="1:11" ht="20.100000000000001" customHeight="1">
      <c r="A15" s="54">
        <v>8</v>
      </c>
      <c r="B15" s="975" t="s">
        <v>1132</v>
      </c>
      <c r="C15" s="345" t="s">
        <v>1133</v>
      </c>
      <c r="D15" s="54"/>
      <c r="E15" s="54" t="s">
        <v>1125</v>
      </c>
      <c r="F15" s="54"/>
      <c r="G15" s="54"/>
      <c r="H15" s="54"/>
      <c r="I15" s="54"/>
      <c r="J15" s="14"/>
    </row>
    <row r="16" spans="1:11" ht="20.100000000000001" customHeight="1">
      <c r="A16" s="54">
        <v>9</v>
      </c>
      <c r="B16" s="975"/>
      <c r="C16" s="345" t="s">
        <v>1134</v>
      </c>
      <c r="D16" s="54"/>
      <c r="E16" s="54" t="s">
        <v>1125</v>
      </c>
      <c r="F16" s="54"/>
      <c r="G16" s="54"/>
      <c r="H16" s="54"/>
      <c r="I16" s="54"/>
      <c r="J16" s="14"/>
    </row>
    <row r="17" spans="1:10" ht="20.100000000000001" customHeight="1">
      <c r="A17" s="54">
        <v>10</v>
      </c>
      <c r="B17" s="975" t="s">
        <v>1135</v>
      </c>
      <c r="C17" s="345" t="s">
        <v>1136</v>
      </c>
      <c r="D17" s="54"/>
      <c r="E17" s="54" t="s">
        <v>1125</v>
      </c>
      <c r="F17" s="54"/>
      <c r="G17" s="54"/>
      <c r="H17" s="54"/>
      <c r="I17" s="54"/>
      <c r="J17" s="14"/>
    </row>
    <row r="18" spans="1:10" ht="20.100000000000001" customHeight="1">
      <c r="A18" s="54">
        <v>11</v>
      </c>
      <c r="B18" s="975"/>
      <c r="C18" s="345" t="s">
        <v>1137</v>
      </c>
      <c r="D18" s="54"/>
      <c r="E18" s="54" t="s">
        <v>1125</v>
      </c>
      <c r="F18" s="54"/>
      <c r="G18" s="54"/>
      <c r="H18" s="54"/>
      <c r="I18" s="54"/>
      <c r="J18" s="14"/>
    </row>
    <row r="19" spans="1:10" ht="20.100000000000001" customHeight="1">
      <c r="A19" s="54">
        <v>12</v>
      </c>
      <c r="B19" s="975"/>
      <c r="C19" s="345" t="s">
        <v>1138</v>
      </c>
      <c r="D19" s="54"/>
      <c r="E19" s="54" t="s">
        <v>1125</v>
      </c>
      <c r="F19" s="54"/>
      <c r="G19" s="54"/>
      <c r="H19" s="54"/>
      <c r="I19" s="54"/>
      <c r="J19" s="14"/>
    </row>
    <row r="20" spans="1:10" ht="20.100000000000001" customHeight="1">
      <c r="A20" s="54">
        <v>13</v>
      </c>
      <c r="B20" s="975"/>
      <c r="C20" s="345" t="s">
        <v>1139</v>
      </c>
      <c r="D20" s="54"/>
      <c r="E20" s="54" t="s">
        <v>1125</v>
      </c>
      <c r="F20" s="54"/>
      <c r="G20" s="54"/>
      <c r="H20" s="54"/>
      <c r="I20" s="54"/>
      <c r="J20" s="14"/>
    </row>
    <row r="21" spans="1:10" ht="20.100000000000001" customHeight="1">
      <c r="A21" s="54">
        <v>14</v>
      </c>
      <c r="B21" s="975" t="s">
        <v>1140</v>
      </c>
      <c r="C21" s="345" t="s">
        <v>1141</v>
      </c>
      <c r="D21" s="54"/>
      <c r="E21" s="54" t="s">
        <v>1142</v>
      </c>
      <c r="F21" s="54"/>
      <c r="G21" s="54"/>
      <c r="H21" s="54"/>
      <c r="I21" s="54"/>
      <c r="J21" s="14"/>
    </row>
    <row r="22" spans="1:10" ht="20.100000000000001" customHeight="1">
      <c r="A22" s="54">
        <v>15</v>
      </c>
      <c r="B22" s="975"/>
      <c r="C22" s="345" t="s">
        <v>1143</v>
      </c>
      <c r="D22" s="54"/>
      <c r="E22" s="54" t="s">
        <v>1144</v>
      </c>
      <c r="F22" s="54"/>
      <c r="G22" s="54"/>
      <c r="H22" s="54"/>
      <c r="I22" s="54"/>
      <c r="J22" s="14"/>
    </row>
    <row r="23" spans="1:10" ht="20.100000000000001" customHeight="1">
      <c r="A23" s="54">
        <v>16</v>
      </c>
      <c r="B23" s="975"/>
      <c r="C23" s="540" t="s">
        <v>1145</v>
      </c>
      <c r="D23" s="54"/>
      <c r="E23" s="54" t="s">
        <v>1146</v>
      </c>
      <c r="F23" s="54"/>
      <c r="G23" s="54"/>
      <c r="H23" s="54"/>
      <c r="I23" s="54"/>
      <c r="J23" s="14"/>
    </row>
    <row r="24" spans="1:10" ht="20.100000000000001" customHeight="1">
      <c r="A24" s="54">
        <v>17</v>
      </c>
      <c r="B24" s="976" t="s">
        <v>1147</v>
      </c>
      <c r="C24" s="55" t="s">
        <v>1148</v>
      </c>
      <c r="D24" s="54"/>
      <c r="E24" s="54" t="s">
        <v>1144</v>
      </c>
      <c r="F24" s="54"/>
      <c r="G24" s="54"/>
      <c r="H24" s="54"/>
      <c r="I24" s="54"/>
      <c r="J24" s="14"/>
    </row>
    <row r="25" spans="1:10" ht="20.100000000000001" customHeight="1">
      <c r="A25" s="54">
        <v>18</v>
      </c>
      <c r="B25" s="976"/>
      <c r="C25" s="55" t="s">
        <v>1149</v>
      </c>
      <c r="D25" s="54"/>
      <c r="E25" s="54" t="s">
        <v>1144</v>
      </c>
      <c r="F25" s="54"/>
      <c r="G25" s="54"/>
      <c r="H25" s="54"/>
      <c r="I25" s="54"/>
      <c r="J25" s="14"/>
    </row>
    <row r="26" spans="1:10" ht="20.100000000000001" customHeight="1">
      <c r="A26" s="54">
        <v>19</v>
      </c>
      <c r="B26" s="870" t="s">
        <v>1150</v>
      </c>
      <c r="C26" s="55" t="s">
        <v>1151</v>
      </c>
      <c r="D26" s="448"/>
      <c r="E26" s="54" t="s">
        <v>1144</v>
      </c>
      <c r="F26" s="54"/>
      <c r="G26" s="54"/>
      <c r="H26" s="54"/>
      <c r="I26" s="54"/>
      <c r="J26" s="14"/>
    </row>
    <row r="27" spans="1:10" ht="20.100000000000001" customHeight="1">
      <c r="A27" s="54">
        <v>20</v>
      </c>
      <c r="B27" s="871"/>
      <c r="C27" s="55" t="s">
        <v>1152</v>
      </c>
      <c r="D27" s="54"/>
      <c r="E27" s="54" t="s">
        <v>1144</v>
      </c>
      <c r="F27" s="54"/>
      <c r="G27" s="54"/>
      <c r="H27" s="54"/>
      <c r="I27" s="54"/>
      <c r="J27" s="14"/>
    </row>
    <row r="28" spans="1:10" ht="20.100000000000001" customHeight="1">
      <c r="A28" s="54">
        <v>21</v>
      </c>
      <c r="B28" s="539" t="s">
        <v>1153</v>
      </c>
      <c r="C28" s="55" t="s">
        <v>1154</v>
      </c>
      <c r="D28" s="54">
        <f>平板门板作业单!I3</f>
        <v>0</v>
      </c>
      <c r="E28" s="54" t="s">
        <v>1125</v>
      </c>
      <c r="F28" s="54"/>
      <c r="G28" s="54"/>
      <c r="H28" s="54"/>
      <c r="I28" s="54"/>
      <c r="J28" s="14"/>
    </row>
    <row r="29" spans="1:10">
      <c r="A29" s="442"/>
      <c r="B29" s="442"/>
      <c r="C29" s="445"/>
      <c r="D29" s="442"/>
      <c r="E29" s="442"/>
      <c r="F29" s="442"/>
      <c r="G29" s="442"/>
      <c r="H29" s="442"/>
      <c r="I29" s="442"/>
      <c r="J29" s="441"/>
    </row>
    <row r="30" spans="1:10">
      <c r="A30" s="442"/>
      <c r="B30" s="442"/>
      <c r="C30" s="447"/>
      <c r="D30" s="442"/>
      <c r="E30" s="442"/>
      <c r="F30" s="442"/>
      <c r="G30" s="442"/>
      <c r="H30" s="442"/>
      <c r="I30" s="442"/>
      <c r="J30" s="441"/>
    </row>
    <row r="31" spans="1:10">
      <c r="A31" s="442"/>
      <c r="B31" s="442"/>
      <c r="C31" s="446"/>
      <c r="D31" s="442"/>
      <c r="E31" s="442"/>
      <c r="F31" s="442"/>
      <c r="G31" s="442"/>
      <c r="H31" s="442"/>
      <c r="I31" s="442"/>
      <c r="J31" s="441"/>
    </row>
    <row r="32" spans="1:10">
      <c r="A32" s="442"/>
      <c r="B32" s="442"/>
      <c r="C32" s="446"/>
      <c r="D32" s="442"/>
      <c r="E32" s="442"/>
      <c r="F32" s="442"/>
      <c r="G32" s="442"/>
      <c r="H32" s="442"/>
      <c r="I32" s="442"/>
      <c r="J32" s="441"/>
    </row>
    <row r="33" spans="1:10">
      <c r="A33" s="442"/>
      <c r="B33" s="442"/>
      <c r="C33" s="442"/>
      <c r="D33" s="442"/>
      <c r="E33" s="442"/>
      <c r="F33" s="442"/>
      <c r="G33" s="442"/>
      <c r="H33" s="442"/>
      <c r="I33" s="442"/>
      <c r="J33" s="441"/>
    </row>
    <row r="34" spans="1:10">
      <c r="A34" s="442"/>
      <c r="B34" s="442"/>
      <c r="C34" s="442"/>
      <c r="D34" s="442"/>
      <c r="E34" s="442"/>
      <c r="F34" s="442"/>
      <c r="G34" s="442"/>
      <c r="H34" s="442"/>
      <c r="I34" s="442"/>
      <c r="J34" s="441"/>
    </row>
    <row r="35" spans="1:10">
      <c r="A35" s="442"/>
      <c r="B35" s="442"/>
      <c r="C35" s="442"/>
      <c r="D35" s="442"/>
      <c r="E35" s="442"/>
      <c r="F35" s="442"/>
      <c r="G35" s="442"/>
      <c r="H35" s="442"/>
      <c r="I35" s="442"/>
      <c r="J35" s="441"/>
    </row>
    <row r="36" spans="1:10">
      <c r="A36" s="442"/>
      <c r="B36" s="442"/>
      <c r="C36" s="442"/>
      <c r="D36" s="442"/>
      <c r="E36" s="442"/>
      <c r="F36" s="442"/>
      <c r="G36" s="442"/>
      <c r="H36" s="442"/>
      <c r="I36" s="442"/>
      <c r="J36" s="441"/>
    </row>
    <row r="37" spans="1:10">
      <c r="A37" s="442"/>
      <c r="B37" s="442"/>
      <c r="C37" s="445"/>
      <c r="D37" s="442"/>
      <c r="E37" s="442"/>
      <c r="F37" s="442"/>
      <c r="G37" s="442"/>
      <c r="H37" s="442"/>
      <c r="I37" s="442"/>
      <c r="J37" s="441"/>
    </row>
    <row r="38" spans="1:10">
      <c r="A38" s="442"/>
      <c r="B38" s="442"/>
      <c r="C38" s="445"/>
      <c r="D38" s="442"/>
      <c r="E38" s="442"/>
      <c r="F38" s="442"/>
      <c r="G38" s="442"/>
      <c r="H38" s="442"/>
      <c r="I38" s="442"/>
      <c r="J38" s="441"/>
    </row>
    <row r="39" spans="1:10">
      <c r="A39" s="442"/>
      <c r="B39" s="442"/>
      <c r="C39" s="444"/>
      <c r="D39" s="442"/>
      <c r="E39" s="442"/>
      <c r="F39" s="442"/>
      <c r="G39" s="442"/>
      <c r="H39" s="442"/>
      <c r="I39" s="442"/>
      <c r="J39" s="441"/>
    </row>
    <row r="40" spans="1:10">
      <c r="A40" s="442"/>
      <c r="B40" s="442"/>
      <c r="C40" s="442"/>
      <c r="D40" s="442"/>
      <c r="E40" s="442"/>
      <c r="F40" s="442"/>
      <c r="G40" s="442"/>
      <c r="H40" s="442"/>
      <c r="I40" s="442"/>
      <c r="J40" s="441"/>
    </row>
    <row r="41" spans="1:10">
      <c r="A41" s="442"/>
      <c r="B41" s="442"/>
      <c r="C41" s="442"/>
      <c r="D41" s="442"/>
      <c r="E41" s="442"/>
      <c r="F41" s="442"/>
      <c r="G41" s="442"/>
      <c r="H41" s="442"/>
      <c r="I41" s="442"/>
      <c r="J41" s="441"/>
    </row>
    <row r="42" spans="1:10">
      <c r="A42" s="442"/>
      <c r="B42" s="442"/>
      <c r="C42" s="443"/>
      <c r="D42" s="442"/>
      <c r="E42" s="442"/>
      <c r="F42" s="442"/>
      <c r="G42" s="442"/>
      <c r="H42" s="442"/>
      <c r="I42" s="442"/>
      <c r="J42" s="441"/>
    </row>
    <row r="43" spans="1:10">
      <c r="A43" s="442"/>
      <c r="B43" s="442"/>
      <c r="C43" s="443"/>
      <c r="D43" s="442"/>
      <c r="E43" s="442"/>
      <c r="F43" s="442"/>
      <c r="G43" s="442"/>
      <c r="H43" s="442"/>
      <c r="I43" s="442"/>
      <c r="J43" s="441"/>
    </row>
    <row r="44" spans="1:10">
      <c r="A44" s="442"/>
      <c r="B44" s="442"/>
      <c r="C44" s="442"/>
      <c r="D44" s="442"/>
      <c r="E44" s="442"/>
      <c r="F44" s="442"/>
      <c r="G44" s="442"/>
      <c r="H44" s="442"/>
      <c r="I44" s="442"/>
      <c r="J44" s="441"/>
    </row>
    <row r="45" spans="1:10">
      <c r="A45" s="442"/>
      <c r="B45" s="442"/>
      <c r="C45" s="442"/>
      <c r="D45" s="442"/>
      <c r="E45" s="442"/>
      <c r="F45" s="442"/>
      <c r="G45" s="442"/>
      <c r="H45" s="442"/>
      <c r="I45" s="442"/>
      <c r="J45" s="441"/>
    </row>
    <row r="46" spans="1:10">
      <c r="A46" s="442"/>
      <c r="B46" s="442"/>
      <c r="C46" s="442"/>
      <c r="D46" s="442"/>
      <c r="E46" s="442"/>
      <c r="F46" s="442"/>
      <c r="G46" s="442"/>
      <c r="H46" s="442"/>
      <c r="I46" s="442"/>
      <c r="J46" s="441"/>
    </row>
    <row r="47" spans="1:10">
      <c r="A47" s="439"/>
      <c r="B47" s="440"/>
      <c r="C47" s="440"/>
      <c r="D47" s="439"/>
      <c r="E47" s="439"/>
      <c r="F47" s="439"/>
      <c r="G47" s="439"/>
      <c r="H47" s="439"/>
      <c r="I47" s="439"/>
      <c r="J47" s="439"/>
    </row>
  </sheetData>
  <mergeCells count="21">
    <mergeCell ref="B11:B13"/>
    <mergeCell ref="I5:J5"/>
    <mergeCell ref="A1:J1"/>
    <mergeCell ref="E2:G2"/>
    <mergeCell ref="I2:J2"/>
    <mergeCell ref="E3:G3"/>
    <mergeCell ref="I3:J3"/>
    <mergeCell ref="B4:C4"/>
    <mergeCell ref="E4:G4"/>
    <mergeCell ref="I4:J4"/>
    <mergeCell ref="B2:C2"/>
    <mergeCell ref="B3:C3"/>
    <mergeCell ref="B6:C6"/>
    <mergeCell ref="E6:G6"/>
    <mergeCell ref="I6:J6"/>
    <mergeCell ref="B8:B10"/>
    <mergeCell ref="B26:B27"/>
    <mergeCell ref="B15:B16"/>
    <mergeCell ref="B17:B20"/>
    <mergeCell ref="B21:B23"/>
    <mergeCell ref="B24:B25"/>
  </mergeCells>
  <phoneticPr fontId="76" type="noConversion"/>
  <conditionalFormatting sqref="C18:C19">
    <cfRule type="duplicateValues" dxfId="69" priority="14" stopIfTrue="1"/>
  </conditionalFormatting>
  <conditionalFormatting sqref="C21">
    <cfRule type="duplicateValues" dxfId="68" priority="13" stopIfTrue="1"/>
  </conditionalFormatting>
  <conditionalFormatting sqref="C20 C22">
    <cfRule type="duplicateValues" dxfId="67" priority="12" stopIfTrue="1"/>
  </conditionalFormatting>
  <conditionalFormatting sqref="C20">
    <cfRule type="duplicateValues" dxfId="66" priority="11"/>
  </conditionalFormatting>
  <conditionalFormatting sqref="C13:C17">
    <cfRule type="duplicateValues" dxfId="65" priority="10" stopIfTrue="1"/>
  </conditionalFormatting>
  <conditionalFormatting sqref="C10">
    <cfRule type="duplicateValues" dxfId="64" priority="9" stopIfTrue="1"/>
  </conditionalFormatting>
  <conditionalFormatting sqref="C11">
    <cfRule type="duplicateValues" dxfId="63" priority="8" stopIfTrue="1"/>
  </conditionalFormatting>
  <conditionalFormatting sqref="C12">
    <cfRule type="duplicateValues" dxfId="62" priority="7" stopIfTrue="1"/>
  </conditionalFormatting>
  <conditionalFormatting sqref="C17">
    <cfRule type="duplicateValues" dxfId="61" priority="6" stopIfTrue="1"/>
  </conditionalFormatting>
  <conditionalFormatting sqref="C23">
    <cfRule type="duplicateValues" dxfId="60" priority="5"/>
  </conditionalFormatting>
  <conditionalFormatting sqref="C39">
    <cfRule type="duplicateValues" dxfId="59" priority="4" stopIfTrue="1"/>
  </conditionalFormatting>
  <conditionalFormatting sqref="C13:C14">
    <cfRule type="duplicateValues" dxfId="58" priority="3" stopIfTrue="1"/>
  </conditionalFormatting>
  <conditionalFormatting sqref="C14">
    <cfRule type="duplicateValues" dxfId="57" priority="2" stopIfTrue="1"/>
  </conditionalFormatting>
  <conditionalFormatting sqref="C14">
    <cfRule type="duplicateValues" dxfId="56" priority="1" stopIfTrue="1"/>
  </conditionalFormatting>
  <printOptions horizontalCentered="1"/>
  <pageMargins left="0.19685039370078741" right="0.19685039370078741" top="0.59055118110236227" bottom="0.59055118110236227" header="0.19685039370078741" footer="0.19685039370078741"/>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12"/>
  <sheetViews>
    <sheetView view="pageBreakPreview" zoomScaleSheetLayoutView="100" workbookViewId="0">
      <selection activeCell="K16" sqref="K16"/>
    </sheetView>
  </sheetViews>
  <sheetFormatPr defaultColWidth="12.5" defaultRowHeight="16.5"/>
  <cols>
    <col min="1" max="1" width="11.5" style="368" customWidth="1"/>
    <col min="2" max="2" width="9.625" style="368" customWidth="1"/>
    <col min="3" max="4" width="8.375" style="368" customWidth="1"/>
    <col min="5" max="5" width="9.625" style="368" customWidth="1"/>
    <col min="6" max="9" width="8" style="368" customWidth="1"/>
    <col min="10" max="13" width="12.625" style="368" customWidth="1"/>
    <col min="14" max="15" width="12.625" style="367" bestFit="1" customWidth="1"/>
    <col min="16" max="16" width="12.625" style="366" bestFit="1" customWidth="1"/>
    <col min="17" max="17" width="15.5" style="365" customWidth="1"/>
    <col min="18" max="16384" width="12.5" style="364"/>
  </cols>
  <sheetData>
    <row r="1" spans="1:21">
      <c r="A1" s="983" t="s">
        <v>958</v>
      </c>
      <c r="B1" s="983"/>
      <c r="C1" s="983"/>
      <c r="D1" s="983"/>
      <c r="E1" s="983"/>
      <c r="F1" s="983"/>
      <c r="G1" s="983"/>
      <c r="H1" s="983"/>
      <c r="I1" s="983"/>
      <c r="J1" s="983"/>
      <c r="K1" s="983"/>
      <c r="L1" s="983"/>
      <c r="M1" s="983"/>
      <c r="N1" s="367" t="s">
        <v>957</v>
      </c>
      <c r="Q1" s="372"/>
      <c r="R1" s="366"/>
      <c r="S1" s="366"/>
      <c r="T1" s="366"/>
      <c r="U1" s="366"/>
    </row>
    <row r="2" spans="1:21">
      <c r="A2" s="388" t="s">
        <v>6</v>
      </c>
      <c r="B2" s="388" t="str">
        <f>下料单!$C$2</f>
        <v>赵蕊</v>
      </c>
      <c r="C2" s="388" t="s">
        <v>17</v>
      </c>
      <c r="D2" s="388" t="str">
        <f>下料单!$W$2</f>
        <v>廊坊</v>
      </c>
      <c r="E2" s="388"/>
      <c r="F2" s="388" t="s">
        <v>956</v>
      </c>
      <c r="G2" s="388" t="s">
        <v>496</v>
      </c>
      <c r="H2" s="388"/>
      <c r="I2" s="388"/>
      <c r="J2" s="388" t="s">
        <v>248</v>
      </c>
      <c r="K2" s="388">
        <f>下料单!$H$2</f>
        <v>15530608063</v>
      </c>
      <c r="L2" s="388" t="s">
        <v>87</v>
      </c>
      <c r="M2" s="388">
        <f>下料单!$R$2</f>
        <v>123</v>
      </c>
    </row>
    <row r="3" spans="1:21">
      <c r="A3" s="388" t="s">
        <v>943</v>
      </c>
      <c r="B3" s="414" t="s">
        <v>955</v>
      </c>
      <c r="C3" s="417" t="s">
        <v>21</v>
      </c>
      <c r="D3" s="417"/>
      <c r="E3" s="417"/>
      <c r="F3" s="415" t="s">
        <v>230</v>
      </c>
      <c r="G3" s="416" t="s">
        <v>954</v>
      </c>
      <c r="H3" s="414" t="s">
        <v>953</v>
      </c>
      <c r="I3" s="415">
        <f>SUM(I7:I39)</f>
        <v>0</v>
      </c>
      <c r="J3" s="414" t="s">
        <v>9</v>
      </c>
      <c r="K3" s="413">
        <f>下料单!$AB$2</f>
        <v>43129</v>
      </c>
      <c r="L3" s="412" t="s">
        <v>19</v>
      </c>
      <c r="M3" s="411">
        <f>下料单!$AG$2</f>
        <v>43169</v>
      </c>
    </row>
    <row r="4" spans="1:21">
      <c r="A4" s="410" t="s">
        <v>952</v>
      </c>
      <c r="B4" s="409" t="str">
        <f>L7&amp;N1&amp;L8&amp;N1&amp;L9&amp;N1&amp;L10&amp;N1&amp;L11&amp;N1&amp;L12&amp;N1&amp;L13</f>
        <v>++++++</v>
      </c>
      <c r="C4" s="408"/>
      <c r="D4" s="408"/>
      <c r="E4" s="408"/>
      <c r="F4" s="406"/>
      <c r="G4" s="407"/>
      <c r="H4" s="405"/>
      <c r="I4" s="406"/>
      <c r="J4" s="405"/>
      <c r="K4" s="404"/>
      <c r="L4" s="403"/>
      <c r="M4" s="402"/>
    </row>
    <row r="5" spans="1:21">
      <c r="A5" s="388" t="s">
        <v>234</v>
      </c>
      <c r="B5" s="381"/>
      <c r="C5" s="375" t="s">
        <v>235</v>
      </c>
      <c r="D5" s="381"/>
      <c r="E5" s="401"/>
      <c r="F5" s="399"/>
      <c r="G5" s="400" t="s">
        <v>236</v>
      </c>
      <c r="H5" s="399"/>
      <c r="I5" s="398"/>
      <c r="J5" s="397" t="s">
        <v>0</v>
      </c>
      <c r="K5" s="396"/>
      <c r="L5" s="395"/>
      <c r="M5" s="395"/>
    </row>
    <row r="6" spans="1:21">
      <c r="A6" s="388" t="s">
        <v>237</v>
      </c>
      <c r="B6" s="388" t="s">
        <v>233</v>
      </c>
      <c r="C6" s="388" t="s">
        <v>238</v>
      </c>
      <c r="D6" s="388" t="s">
        <v>4</v>
      </c>
      <c r="E6" s="394" t="s">
        <v>331</v>
      </c>
      <c r="F6" s="394" t="s">
        <v>444</v>
      </c>
      <c r="G6" s="394" t="s">
        <v>241</v>
      </c>
      <c r="H6" s="394" t="s">
        <v>238</v>
      </c>
      <c r="I6" s="394" t="s">
        <v>4</v>
      </c>
      <c r="J6" s="388" t="s">
        <v>512</v>
      </c>
      <c r="K6" s="387" t="s">
        <v>951</v>
      </c>
      <c r="L6" s="387" t="s">
        <v>950</v>
      </c>
      <c r="M6" s="387" t="s">
        <v>949</v>
      </c>
      <c r="N6" s="393" t="s">
        <v>239</v>
      </c>
      <c r="O6" s="393" t="s">
        <v>949</v>
      </c>
      <c r="P6" s="392" t="s">
        <v>940</v>
      </c>
    </row>
    <row r="7" spans="1:21">
      <c r="A7" s="390"/>
      <c r="B7" s="388"/>
      <c r="C7" s="388"/>
      <c r="D7" s="388"/>
      <c r="E7" s="388"/>
      <c r="F7" s="388">
        <v>18</v>
      </c>
      <c r="G7" s="388">
        <f t="shared" ref="G7:G29" si="0">B7</f>
        <v>0</v>
      </c>
      <c r="H7" s="388">
        <f t="shared" ref="H7:H29" si="1">C7-$D$50</f>
        <v>-35</v>
      </c>
      <c r="I7" s="388">
        <f t="shared" ref="I7:I29" si="2">D7</f>
        <v>0</v>
      </c>
      <c r="J7" s="388"/>
      <c r="K7" s="387"/>
      <c r="L7" s="387"/>
      <c r="M7" s="386" t="str">
        <f t="shared" ref="M7:M29" si="3">IF(L7="","",VLOOKUP(L7,$A$50:$B$70,2,0))</f>
        <v/>
      </c>
      <c r="N7" s="385">
        <f t="shared" ref="N7:N38" si="4">B7*C7*D7/1000000/1.22/2.44/0.85</f>
        <v>0</v>
      </c>
      <c r="O7" s="385">
        <f t="shared" ref="O7:O38" si="5">G7*H7*I7/1000000</f>
        <v>0</v>
      </c>
      <c r="P7" s="384">
        <f t="shared" ref="P7:P29" si="6">IF($B$3&lt;&gt;"外置拉手",B7/1000*D7)</f>
        <v>0</v>
      </c>
    </row>
    <row r="8" spans="1:21">
      <c r="A8" s="390"/>
      <c r="B8" s="388"/>
      <c r="C8" s="388"/>
      <c r="D8" s="388"/>
      <c r="E8" s="388"/>
      <c r="F8" s="388">
        <v>18</v>
      </c>
      <c r="G8" s="388">
        <f t="shared" si="0"/>
        <v>0</v>
      </c>
      <c r="H8" s="388">
        <f t="shared" si="1"/>
        <v>-35</v>
      </c>
      <c r="I8" s="388">
        <f t="shared" si="2"/>
        <v>0</v>
      </c>
      <c r="J8" s="388"/>
      <c r="K8" s="387"/>
      <c r="L8" s="387"/>
      <c r="M8" s="386" t="str">
        <f t="shared" si="3"/>
        <v/>
      </c>
      <c r="N8" s="385">
        <f t="shared" si="4"/>
        <v>0</v>
      </c>
      <c r="O8" s="385">
        <f t="shared" si="5"/>
        <v>0</v>
      </c>
      <c r="P8" s="384">
        <f t="shared" si="6"/>
        <v>0</v>
      </c>
    </row>
    <row r="9" spans="1:21">
      <c r="A9" s="390"/>
      <c r="B9" s="388"/>
      <c r="C9" s="388"/>
      <c r="D9" s="388"/>
      <c r="E9" s="388"/>
      <c r="F9" s="388">
        <v>18</v>
      </c>
      <c r="G9" s="388">
        <f t="shared" si="0"/>
        <v>0</v>
      </c>
      <c r="H9" s="388">
        <f t="shared" si="1"/>
        <v>-35</v>
      </c>
      <c r="I9" s="388">
        <f t="shared" si="2"/>
        <v>0</v>
      </c>
      <c r="J9" s="388"/>
      <c r="K9" s="387"/>
      <c r="L9" s="387"/>
      <c r="M9" s="386" t="str">
        <f t="shared" si="3"/>
        <v/>
      </c>
      <c r="N9" s="385">
        <f t="shared" si="4"/>
        <v>0</v>
      </c>
      <c r="O9" s="385">
        <f t="shared" si="5"/>
        <v>0</v>
      </c>
      <c r="P9" s="384">
        <f t="shared" si="6"/>
        <v>0</v>
      </c>
      <c r="S9" s="366"/>
      <c r="T9" s="366"/>
      <c r="U9" s="366"/>
    </row>
    <row r="10" spans="1:21">
      <c r="A10" s="390"/>
      <c r="B10" s="388"/>
      <c r="C10" s="388"/>
      <c r="D10" s="388"/>
      <c r="E10" s="388"/>
      <c r="F10" s="388">
        <v>18</v>
      </c>
      <c r="G10" s="388">
        <f t="shared" si="0"/>
        <v>0</v>
      </c>
      <c r="H10" s="388">
        <f t="shared" si="1"/>
        <v>-35</v>
      </c>
      <c r="I10" s="388">
        <f t="shared" si="2"/>
        <v>0</v>
      </c>
      <c r="J10" s="388"/>
      <c r="K10" s="387"/>
      <c r="L10" s="387"/>
      <c r="M10" s="386" t="str">
        <f t="shared" si="3"/>
        <v/>
      </c>
      <c r="N10" s="385">
        <f t="shared" si="4"/>
        <v>0</v>
      </c>
      <c r="O10" s="385">
        <f t="shared" si="5"/>
        <v>0</v>
      </c>
      <c r="P10" s="384">
        <f t="shared" si="6"/>
        <v>0</v>
      </c>
      <c r="S10" s="366"/>
      <c r="T10" s="366"/>
      <c r="U10" s="366"/>
    </row>
    <row r="11" spans="1:21">
      <c r="A11" s="390"/>
      <c r="B11" s="388"/>
      <c r="C11" s="388"/>
      <c r="D11" s="388"/>
      <c r="E11" s="388"/>
      <c r="F11" s="388">
        <v>18</v>
      </c>
      <c r="G11" s="388">
        <f t="shared" si="0"/>
        <v>0</v>
      </c>
      <c r="H11" s="388">
        <f t="shared" si="1"/>
        <v>-35</v>
      </c>
      <c r="I11" s="388">
        <f t="shared" si="2"/>
        <v>0</v>
      </c>
      <c r="J11" s="388"/>
      <c r="K11" s="387"/>
      <c r="L11" s="387"/>
      <c r="M11" s="386" t="str">
        <f t="shared" si="3"/>
        <v/>
      </c>
      <c r="N11" s="385">
        <f t="shared" si="4"/>
        <v>0</v>
      </c>
      <c r="O11" s="385">
        <f t="shared" si="5"/>
        <v>0</v>
      </c>
      <c r="P11" s="384">
        <f t="shared" si="6"/>
        <v>0</v>
      </c>
      <c r="S11" s="366"/>
      <c r="T11" s="366"/>
      <c r="U11" s="366"/>
    </row>
    <row r="12" spans="1:21">
      <c r="A12" s="390"/>
      <c r="B12" s="388"/>
      <c r="C12" s="388"/>
      <c r="D12" s="388"/>
      <c r="E12" s="388"/>
      <c r="F12" s="388">
        <v>18</v>
      </c>
      <c r="G12" s="388">
        <f t="shared" si="0"/>
        <v>0</v>
      </c>
      <c r="H12" s="388">
        <f t="shared" si="1"/>
        <v>-35</v>
      </c>
      <c r="I12" s="388">
        <f t="shared" si="2"/>
        <v>0</v>
      </c>
      <c r="J12" s="388"/>
      <c r="K12" s="387"/>
      <c r="L12" s="387"/>
      <c r="M12" s="386" t="str">
        <f t="shared" si="3"/>
        <v/>
      </c>
      <c r="N12" s="385">
        <f t="shared" si="4"/>
        <v>0</v>
      </c>
      <c r="O12" s="385">
        <f t="shared" si="5"/>
        <v>0</v>
      </c>
      <c r="P12" s="384">
        <f t="shared" si="6"/>
        <v>0</v>
      </c>
      <c r="S12" s="366"/>
      <c r="T12" s="366"/>
      <c r="U12" s="366"/>
    </row>
    <row r="13" spans="1:21">
      <c r="A13" s="390"/>
      <c r="B13" s="388"/>
      <c r="C13" s="388"/>
      <c r="D13" s="388"/>
      <c r="E13" s="388"/>
      <c r="F13" s="388">
        <v>18</v>
      </c>
      <c r="G13" s="388">
        <f t="shared" si="0"/>
        <v>0</v>
      </c>
      <c r="H13" s="388">
        <f t="shared" si="1"/>
        <v>-35</v>
      </c>
      <c r="I13" s="388">
        <f t="shared" si="2"/>
        <v>0</v>
      </c>
      <c r="J13" s="388"/>
      <c r="K13" s="387"/>
      <c r="L13" s="387"/>
      <c r="M13" s="386" t="str">
        <f t="shared" si="3"/>
        <v/>
      </c>
      <c r="N13" s="385">
        <f t="shared" si="4"/>
        <v>0</v>
      </c>
      <c r="O13" s="385">
        <f t="shared" si="5"/>
        <v>0</v>
      </c>
      <c r="P13" s="384">
        <f t="shared" si="6"/>
        <v>0</v>
      </c>
      <c r="S13" s="366"/>
      <c r="T13" s="366"/>
      <c r="U13" s="366"/>
    </row>
    <row r="14" spans="1:21">
      <c r="A14" s="390"/>
      <c r="B14" s="388"/>
      <c r="C14" s="388"/>
      <c r="D14" s="388"/>
      <c r="E14" s="388"/>
      <c r="F14" s="388">
        <v>18</v>
      </c>
      <c r="G14" s="388">
        <f t="shared" si="0"/>
        <v>0</v>
      </c>
      <c r="H14" s="388">
        <f t="shared" si="1"/>
        <v>-35</v>
      </c>
      <c r="I14" s="388">
        <f t="shared" si="2"/>
        <v>0</v>
      </c>
      <c r="J14" s="388"/>
      <c r="K14" s="387"/>
      <c r="L14" s="387"/>
      <c r="M14" s="386" t="str">
        <f t="shared" si="3"/>
        <v/>
      </c>
      <c r="N14" s="385">
        <f t="shared" si="4"/>
        <v>0</v>
      </c>
      <c r="O14" s="385">
        <f t="shared" si="5"/>
        <v>0</v>
      </c>
      <c r="P14" s="384">
        <f t="shared" si="6"/>
        <v>0</v>
      </c>
      <c r="S14" s="366"/>
      <c r="T14" s="366"/>
      <c r="U14" s="366"/>
    </row>
    <row r="15" spans="1:21">
      <c r="A15" s="390"/>
      <c r="B15" s="388"/>
      <c r="C15" s="388"/>
      <c r="D15" s="388"/>
      <c r="E15" s="388"/>
      <c r="F15" s="388">
        <v>18</v>
      </c>
      <c r="G15" s="388">
        <f t="shared" si="0"/>
        <v>0</v>
      </c>
      <c r="H15" s="388">
        <f t="shared" si="1"/>
        <v>-35</v>
      </c>
      <c r="I15" s="388">
        <f t="shared" si="2"/>
        <v>0</v>
      </c>
      <c r="J15" s="388"/>
      <c r="K15" s="387"/>
      <c r="L15" s="387"/>
      <c r="M15" s="386" t="str">
        <f t="shared" si="3"/>
        <v/>
      </c>
      <c r="N15" s="385">
        <f t="shared" si="4"/>
        <v>0</v>
      </c>
      <c r="O15" s="385">
        <f t="shared" si="5"/>
        <v>0</v>
      </c>
      <c r="P15" s="384">
        <f t="shared" si="6"/>
        <v>0</v>
      </c>
      <c r="S15" s="366"/>
      <c r="T15" s="366"/>
      <c r="U15" s="366"/>
    </row>
    <row r="16" spans="1:21">
      <c r="A16" s="390"/>
      <c r="B16" s="388"/>
      <c r="C16" s="388"/>
      <c r="D16" s="388"/>
      <c r="E16" s="388"/>
      <c r="F16" s="388">
        <v>18</v>
      </c>
      <c r="G16" s="388">
        <f t="shared" si="0"/>
        <v>0</v>
      </c>
      <c r="H16" s="388">
        <f t="shared" si="1"/>
        <v>-35</v>
      </c>
      <c r="I16" s="388">
        <f t="shared" si="2"/>
        <v>0</v>
      </c>
      <c r="J16" s="388"/>
      <c r="K16" s="387"/>
      <c r="L16" s="387"/>
      <c r="M16" s="386" t="str">
        <f t="shared" si="3"/>
        <v/>
      </c>
      <c r="N16" s="385">
        <f t="shared" si="4"/>
        <v>0</v>
      </c>
      <c r="O16" s="385">
        <f t="shared" si="5"/>
        <v>0</v>
      </c>
      <c r="P16" s="384">
        <f t="shared" si="6"/>
        <v>0</v>
      </c>
      <c r="S16" s="366"/>
      <c r="T16" s="366"/>
      <c r="U16" s="366"/>
    </row>
    <row r="17" spans="1:21">
      <c r="A17" s="390"/>
      <c r="B17" s="388"/>
      <c r="C17" s="388"/>
      <c r="D17" s="388"/>
      <c r="E17" s="388"/>
      <c r="F17" s="388">
        <v>18</v>
      </c>
      <c r="G17" s="388">
        <f t="shared" si="0"/>
        <v>0</v>
      </c>
      <c r="H17" s="388">
        <f t="shared" si="1"/>
        <v>-35</v>
      </c>
      <c r="I17" s="388">
        <f t="shared" si="2"/>
        <v>0</v>
      </c>
      <c r="J17" s="388"/>
      <c r="K17" s="387"/>
      <c r="L17" s="387"/>
      <c r="M17" s="386" t="str">
        <f t="shared" si="3"/>
        <v/>
      </c>
      <c r="N17" s="385">
        <f t="shared" si="4"/>
        <v>0</v>
      </c>
      <c r="O17" s="385">
        <f t="shared" si="5"/>
        <v>0</v>
      </c>
      <c r="P17" s="384">
        <f t="shared" si="6"/>
        <v>0</v>
      </c>
      <c r="S17" s="366"/>
      <c r="T17" s="366"/>
      <c r="U17" s="366"/>
    </row>
    <row r="18" spans="1:21">
      <c r="A18" s="390"/>
      <c r="B18" s="388"/>
      <c r="C18" s="388"/>
      <c r="D18" s="388"/>
      <c r="E18" s="388"/>
      <c r="F18" s="388">
        <v>18</v>
      </c>
      <c r="G18" s="388">
        <f t="shared" si="0"/>
        <v>0</v>
      </c>
      <c r="H18" s="388">
        <f t="shared" si="1"/>
        <v>-35</v>
      </c>
      <c r="I18" s="388">
        <f t="shared" si="2"/>
        <v>0</v>
      </c>
      <c r="J18" s="388"/>
      <c r="K18" s="387"/>
      <c r="L18" s="387"/>
      <c r="M18" s="386" t="str">
        <f t="shared" si="3"/>
        <v/>
      </c>
      <c r="N18" s="385">
        <f t="shared" si="4"/>
        <v>0</v>
      </c>
      <c r="O18" s="385">
        <f t="shared" si="5"/>
        <v>0</v>
      </c>
      <c r="P18" s="384">
        <f t="shared" si="6"/>
        <v>0</v>
      </c>
      <c r="S18" s="366"/>
      <c r="T18" s="366"/>
      <c r="U18" s="366"/>
    </row>
    <row r="19" spans="1:21">
      <c r="A19" s="390"/>
      <c r="B19" s="388"/>
      <c r="C19" s="388"/>
      <c r="D19" s="388"/>
      <c r="E19" s="388"/>
      <c r="F19" s="388">
        <v>18</v>
      </c>
      <c r="G19" s="388">
        <f t="shared" si="0"/>
        <v>0</v>
      </c>
      <c r="H19" s="388">
        <f t="shared" si="1"/>
        <v>-35</v>
      </c>
      <c r="I19" s="388">
        <f t="shared" si="2"/>
        <v>0</v>
      </c>
      <c r="J19" s="388"/>
      <c r="K19" s="387"/>
      <c r="L19" s="387"/>
      <c r="M19" s="386" t="str">
        <f t="shared" si="3"/>
        <v/>
      </c>
      <c r="N19" s="385">
        <f t="shared" si="4"/>
        <v>0</v>
      </c>
      <c r="O19" s="385">
        <f t="shared" si="5"/>
        <v>0</v>
      </c>
      <c r="P19" s="384">
        <f t="shared" si="6"/>
        <v>0</v>
      </c>
      <c r="S19" s="366"/>
      <c r="T19" s="366"/>
      <c r="U19" s="366"/>
    </row>
    <row r="20" spans="1:21">
      <c r="A20" s="390"/>
      <c r="B20" s="388"/>
      <c r="C20" s="388"/>
      <c r="D20" s="388"/>
      <c r="E20" s="388"/>
      <c r="F20" s="388">
        <v>18</v>
      </c>
      <c r="G20" s="388">
        <f t="shared" si="0"/>
        <v>0</v>
      </c>
      <c r="H20" s="388">
        <f t="shared" si="1"/>
        <v>-35</v>
      </c>
      <c r="I20" s="388">
        <f t="shared" si="2"/>
        <v>0</v>
      </c>
      <c r="J20" s="388"/>
      <c r="K20" s="387"/>
      <c r="L20" s="387"/>
      <c r="M20" s="386" t="str">
        <f t="shared" si="3"/>
        <v/>
      </c>
      <c r="N20" s="385">
        <f t="shared" si="4"/>
        <v>0</v>
      </c>
      <c r="O20" s="385">
        <f t="shared" si="5"/>
        <v>0</v>
      </c>
      <c r="P20" s="384">
        <f t="shared" si="6"/>
        <v>0</v>
      </c>
      <c r="S20" s="366"/>
      <c r="T20" s="366"/>
      <c r="U20" s="366"/>
    </row>
    <row r="21" spans="1:21">
      <c r="A21" s="390"/>
      <c r="B21" s="388"/>
      <c r="C21" s="388"/>
      <c r="D21" s="388"/>
      <c r="E21" s="388"/>
      <c r="F21" s="388">
        <v>18</v>
      </c>
      <c r="G21" s="388">
        <f t="shared" si="0"/>
        <v>0</v>
      </c>
      <c r="H21" s="388">
        <f t="shared" si="1"/>
        <v>-35</v>
      </c>
      <c r="I21" s="388">
        <f t="shared" si="2"/>
        <v>0</v>
      </c>
      <c r="J21" s="388"/>
      <c r="K21" s="387"/>
      <c r="L21" s="387"/>
      <c r="M21" s="386" t="str">
        <f t="shared" si="3"/>
        <v/>
      </c>
      <c r="N21" s="385">
        <f t="shared" si="4"/>
        <v>0</v>
      </c>
      <c r="O21" s="385">
        <f t="shared" si="5"/>
        <v>0</v>
      </c>
      <c r="P21" s="384">
        <f t="shared" si="6"/>
        <v>0</v>
      </c>
      <c r="S21" s="366"/>
      <c r="T21" s="366"/>
      <c r="U21" s="366"/>
    </row>
    <row r="22" spans="1:21">
      <c r="A22" s="390"/>
      <c r="B22" s="388"/>
      <c r="C22" s="388"/>
      <c r="D22" s="388"/>
      <c r="E22" s="388"/>
      <c r="F22" s="388">
        <v>18</v>
      </c>
      <c r="G22" s="388">
        <f t="shared" si="0"/>
        <v>0</v>
      </c>
      <c r="H22" s="388">
        <f t="shared" si="1"/>
        <v>-35</v>
      </c>
      <c r="I22" s="388">
        <f t="shared" si="2"/>
        <v>0</v>
      </c>
      <c r="J22" s="388"/>
      <c r="K22" s="387"/>
      <c r="L22" s="387"/>
      <c r="M22" s="386" t="str">
        <f t="shared" si="3"/>
        <v/>
      </c>
      <c r="N22" s="385">
        <f t="shared" si="4"/>
        <v>0</v>
      </c>
      <c r="O22" s="385">
        <f t="shared" si="5"/>
        <v>0</v>
      </c>
      <c r="P22" s="384">
        <f t="shared" si="6"/>
        <v>0</v>
      </c>
      <c r="S22" s="366"/>
      <c r="T22" s="366"/>
      <c r="U22" s="366"/>
    </row>
    <row r="23" spans="1:21">
      <c r="A23" s="390"/>
      <c r="B23" s="388"/>
      <c r="C23" s="388"/>
      <c r="D23" s="388"/>
      <c r="E23" s="388"/>
      <c r="F23" s="388">
        <v>18</v>
      </c>
      <c r="G23" s="388">
        <f t="shared" si="0"/>
        <v>0</v>
      </c>
      <c r="H23" s="388">
        <f t="shared" si="1"/>
        <v>-35</v>
      </c>
      <c r="I23" s="388">
        <f t="shared" si="2"/>
        <v>0</v>
      </c>
      <c r="J23" s="388"/>
      <c r="K23" s="387"/>
      <c r="L23" s="387"/>
      <c r="M23" s="386" t="str">
        <f t="shared" si="3"/>
        <v/>
      </c>
      <c r="N23" s="385">
        <f t="shared" si="4"/>
        <v>0</v>
      </c>
      <c r="O23" s="385">
        <f t="shared" si="5"/>
        <v>0</v>
      </c>
      <c r="P23" s="384">
        <f t="shared" si="6"/>
        <v>0</v>
      </c>
      <c r="S23" s="366"/>
      <c r="T23" s="366"/>
      <c r="U23" s="366"/>
    </row>
    <row r="24" spans="1:21">
      <c r="A24" s="390"/>
      <c r="B24" s="388"/>
      <c r="C24" s="388"/>
      <c r="D24" s="388"/>
      <c r="E24" s="388"/>
      <c r="F24" s="388">
        <v>18</v>
      </c>
      <c r="G24" s="388">
        <f t="shared" si="0"/>
        <v>0</v>
      </c>
      <c r="H24" s="388">
        <f t="shared" si="1"/>
        <v>-35</v>
      </c>
      <c r="I24" s="388">
        <f t="shared" si="2"/>
        <v>0</v>
      </c>
      <c r="J24" s="388"/>
      <c r="K24" s="387"/>
      <c r="L24" s="387"/>
      <c r="M24" s="386" t="str">
        <f t="shared" si="3"/>
        <v/>
      </c>
      <c r="N24" s="385">
        <f t="shared" si="4"/>
        <v>0</v>
      </c>
      <c r="O24" s="385">
        <f t="shared" si="5"/>
        <v>0</v>
      </c>
      <c r="P24" s="384">
        <f t="shared" si="6"/>
        <v>0</v>
      </c>
      <c r="S24" s="366"/>
      <c r="T24" s="366"/>
      <c r="U24" s="366"/>
    </row>
    <row r="25" spans="1:21">
      <c r="A25" s="390"/>
      <c r="B25" s="388"/>
      <c r="C25" s="388"/>
      <c r="D25" s="388"/>
      <c r="E25" s="388"/>
      <c r="F25" s="388">
        <v>18</v>
      </c>
      <c r="G25" s="388">
        <f t="shared" si="0"/>
        <v>0</v>
      </c>
      <c r="H25" s="388">
        <f t="shared" si="1"/>
        <v>-35</v>
      </c>
      <c r="I25" s="388">
        <f t="shared" si="2"/>
        <v>0</v>
      </c>
      <c r="J25" s="388"/>
      <c r="K25" s="387"/>
      <c r="L25" s="387"/>
      <c r="M25" s="386" t="str">
        <f t="shared" si="3"/>
        <v/>
      </c>
      <c r="N25" s="385">
        <f t="shared" si="4"/>
        <v>0</v>
      </c>
      <c r="O25" s="385">
        <f t="shared" si="5"/>
        <v>0</v>
      </c>
      <c r="P25" s="384">
        <f t="shared" si="6"/>
        <v>0</v>
      </c>
      <c r="S25" s="366"/>
      <c r="T25" s="366"/>
      <c r="U25" s="366"/>
    </row>
    <row r="26" spans="1:21">
      <c r="A26" s="390"/>
      <c r="B26" s="388"/>
      <c r="C26" s="388"/>
      <c r="D26" s="388"/>
      <c r="E26" s="388"/>
      <c r="F26" s="388">
        <v>18</v>
      </c>
      <c r="G26" s="388">
        <f t="shared" si="0"/>
        <v>0</v>
      </c>
      <c r="H26" s="388">
        <f t="shared" si="1"/>
        <v>-35</v>
      </c>
      <c r="I26" s="388">
        <f t="shared" si="2"/>
        <v>0</v>
      </c>
      <c r="J26" s="388"/>
      <c r="K26" s="387"/>
      <c r="L26" s="387"/>
      <c r="M26" s="386" t="str">
        <f t="shared" si="3"/>
        <v/>
      </c>
      <c r="N26" s="385">
        <f t="shared" si="4"/>
        <v>0</v>
      </c>
      <c r="O26" s="385">
        <f t="shared" si="5"/>
        <v>0</v>
      </c>
      <c r="P26" s="384">
        <f t="shared" si="6"/>
        <v>0</v>
      </c>
      <c r="S26" s="366"/>
      <c r="T26" s="366"/>
      <c r="U26" s="366"/>
    </row>
    <row r="27" spans="1:21">
      <c r="A27" s="390"/>
      <c r="B27" s="388"/>
      <c r="C27" s="388"/>
      <c r="D27" s="388"/>
      <c r="E27" s="388"/>
      <c r="F27" s="388">
        <v>18</v>
      </c>
      <c r="G27" s="388">
        <f t="shared" si="0"/>
        <v>0</v>
      </c>
      <c r="H27" s="388">
        <f t="shared" si="1"/>
        <v>-35</v>
      </c>
      <c r="I27" s="388">
        <f t="shared" si="2"/>
        <v>0</v>
      </c>
      <c r="J27" s="388"/>
      <c r="K27" s="387"/>
      <c r="L27" s="387"/>
      <c r="M27" s="386" t="str">
        <f t="shared" si="3"/>
        <v/>
      </c>
      <c r="N27" s="385">
        <f t="shared" si="4"/>
        <v>0</v>
      </c>
      <c r="O27" s="385">
        <f t="shared" si="5"/>
        <v>0</v>
      </c>
      <c r="P27" s="384">
        <f t="shared" si="6"/>
        <v>0</v>
      </c>
      <c r="S27" s="366"/>
      <c r="T27" s="366"/>
      <c r="U27" s="366"/>
    </row>
    <row r="28" spans="1:21">
      <c r="A28" s="390"/>
      <c r="B28" s="388"/>
      <c r="C28" s="388"/>
      <c r="D28" s="388"/>
      <c r="E28" s="388"/>
      <c r="F28" s="388">
        <v>18</v>
      </c>
      <c r="G28" s="388">
        <f t="shared" si="0"/>
        <v>0</v>
      </c>
      <c r="H28" s="388">
        <f t="shared" si="1"/>
        <v>-35</v>
      </c>
      <c r="I28" s="388">
        <f t="shared" si="2"/>
        <v>0</v>
      </c>
      <c r="J28" s="388"/>
      <c r="K28" s="387"/>
      <c r="L28" s="387"/>
      <c r="M28" s="386" t="str">
        <f t="shared" si="3"/>
        <v/>
      </c>
      <c r="N28" s="385">
        <f t="shared" si="4"/>
        <v>0</v>
      </c>
      <c r="O28" s="385">
        <f t="shared" si="5"/>
        <v>0</v>
      </c>
      <c r="P28" s="384">
        <f t="shared" si="6"/>
        <v>0</v>
      </c>
      <c r="S28" s="366"/>
      <c r="T28" s="366"/>
      <c r="U28" s="366"/>
    </row>
    <row r="29" spans="1:21">
      <c r="A29" s="389"/>
      <c r="B29" s="388"/>
      <c r="C29" s="388"/>
      <c r="D29" s="388"/>
      <c r="E29" s="388"/>
      <c r="F29" s="388">
        <v>18</v>
      </c>
      <c r="G29" s="388">
        <f t="shared" si="0"/>
        <v>0</v>
      </c>
      <c r="H29" s="388">
        <f t="shared" si="1"/>
        <v>-35</v>
      </c>
      <c r="I29" s="388">
        <f t="shared" si="2"/>
        <v>0</v>
      </c>
      <c r="J29" s="388"/>
      <c r="K29" s="387"/>
      <c r="L29" s="387"/>
      <c r="M29" s="386" t="str">
        <f t="shared" si="3"/>
        <v/>
      </c>
      <c r="N29" s="385">
        <f t="shared" si="4"/>
        <v>0</v>
      </c>
      <c r="O29" s="385">
        <f t="shared" si="5"/>
        <v>0</v>
      </c>
      <c r="P29" s="384">
        <f t="shared" si="6"/>
        <v>0</v>
      </c>
      <c r="S29" s="366"/>
      <c r="T29" s="366"/>
      <c r="U29" s="366"/>
    </row>
    <row r="30" spans="1:21" ht="16.5" customHeight="1">
      <c r="A30" s="570" t="s">
        <v>948</v>
      </c>
      <c r="B30" s="391"/>
      <c r="C30" s="391"/>
      <c r="D30" s="391"/>
      <c r="E30" s="391"/>
      <c r="F30" s="391"/>
      <c r="G30" s="391"/>
      <c r="H30" s="391"/>
      <c r="I30" s="391"/>
      <c r="J30" s="391"/>
      <c r="K30" s="391"/>
      <c r="L30" s="391"/>
      <c r="M30" s="386"/>
      <c r="N30" s="385">
        <f t="shared" si="4"/>
        <v>0</v>
      </c>
      <c r="O30" s="385">
        <f t="shared" si="5"/>
        <v>0</v>
      </c>
      <c r="P30" s="384"/>
      <c r="S30" s="366"/>
      <c r="T30" s="366"/>
      <c r="U30" s="366"/>
    </row>
    <row r="31" spans="1:21">
      <c r="A31" s="389"/>
      <c r="B31" s="388"/>
      <c r="C31" s="388"/>
      <c r="D31" s="388"/>
      <c r="E31" s="388"/>
      <c r="F31" s="388">
        <v>18</v>
      </c>
      <c r="G31" s="388">
        <f t="shared" ref="G31:I38" si="7">B31</f>
        <v>0</v>
      </c>
      <c r="H31" s="388">
        <f t="shared" si="7"/>
        <v>0</v>
      </c>
      <c r="I31" s="388">
        <f t="shared" si="7"/>
        <v>0</v>
      </c>
      <c r="J31" s="388"/>
      <c r="K31" s="387"/>
      <c r="L31" s="387"/>
      <c r="M31" s="386" t="str">
        <f t="shared" ref="M31:M38" si="8">IF(L31="","",VLOOKUP(L31,$A$50:$B$70,2,0))</f>
        <v/>
      </c>
      <c r="N31" s="385">
        <f t="shared" si="4"/>
        <v>0</v>
      </c>
      <c r="O31" s="385">
        <f t="shared" si="5"/>
        <v>0</v>
      </c>
      <c r="P31" s="384"/>
      <c r="S31" s="366"/>
      <c r="T31" s="366"/>
      <c r="U31" s="366"/>
    </row>
    <row r="32" spans="1:21">
      <c r="A32" s="390"/>
      <c r="B32" s="388"/>
      <c r="C32" s="388"/>
      <c r="D32" s="388"/>
      <c r="E32" s="388"/>
      <c r="F32" s="388">
        <v>18</v>
      </c>
      <c r="G32" s="388">
        <f t="shared" si="7"/>
        <v>0</v>
      </c>
      <c r="H32" s="388">
        <f t="shared" si="7"/>
        <v>0</v>
      </c>
      <c r="I32" s="388">
        <f t="shared" si="7"/>
        <v>0</v>
      </c>
      <c r="J32" s="388"/>
      <c r="K32" s="387"/>
      <c r="L32" s="387"/>
      <c r="M32" s="386" t="str">
        <f t="shared" si="8"/>
        <v/>
      </c>
      <c r="N32" s="385">
        <f t="shared" si="4"/>
        <v>0</v>
      </c>
      <c r="O32" s="385">
        <f t="shared" si="5"/>
        <v>0</v>
      </c>
      <c r="P32" s="384"/>
      <c r="S32" s="366"/>
      <c r="T32" s="366"/>
      <c r="U32" s="366"/>
    </row>
    <row r="33" spans="1:21">
      <c r="A33" s="390"/>
      <c r="B33" s="388"/>
      <c r="C33" s="388"/>
      <c r="D33" s="388"/>
      <c r="E33" s="388"/>
      <c r="F33" s="388">
        <v>18</v>
      </c>
      <c r="G33" s="388">
        <f t="shared" si="7"/>
        <v>0</v>
      </c>
      <c r="H33" s="388">
        <f t="shared" si="7"/>
        <v>0</v>
      </c>
      <c r="I33" s="388">
        <f t="shared" si="7"/>
        <v>0</v>
      </c>
      <c r="J33" s="388"/>
      <c r="K33" s="387"/>
      <c r="L33" s="387"/>
      <c r="M33" s="386" t="str">
        <f t="shared" si="8"/>
        <v/>
      </c>
      <c r="N33" s="385">
        <f t="shared" si="4"/>
        <v>0</v>
      </c>
      <c r="O33" s="385">
        <f t="shared" si="5"/>
        <v>0</v>
      </c>
      <c r="P33" s="384"/>
      <c r="S33" s="366"/>
      <c r="T33" s="366"/>
      <c r="U33" s="366"/>
    </row>
    <row r="34" spans="1:21">
      <c r="A34" s="389"/>
      <c r="B34" s="388"/>
      <c r="C34" s="388"/>
      <c r="D34" s="388"/>
      <c r="E34" s="388"/>
      <c r="F34" s="388">
        <v>18</v>
      </c>
      <c r="G34" s="388">
        <f t="shared" si="7"/>
        <v>0</v>
      </c>
      <c r="H34" s="388">
        <f t="shared" si="7"/>
        <v>0</v>
      </c>
      <c r="I34" s="388">
        <f t="shared" si="7"/>
        <v>0</v>
      </c>
      <c r="J34" s="388"/>
      <c r="K34" s="387"/>
      <c r="L34" s="387"/>
      <c r="M34" s="386" t="str">
        <f t="shared" si="8"/>
        <v/>
      </c>
      <c r="N34" s="385">
        <f t="shared" si="4"/>
        <v>0</v>
      </c>
      <c r="O34" s="385">
        <f t="shared" si="5"/>
        <v>0</v>
      </c>
      <c r="P34" s="384"/>
      <c r="S34" s="366"/>
      <c r="T34" s="366"/>
      <c r="U34" s="366"/>
    </row>
    <row r="35" spans="1:21">
      <c r="A35" s="389"/>
      <c r="B35" s="388"/>
      <c r="C35" s="388"/>
      <c r="D35" s="388"/>
      <c r="E35" s="388"/>
      <c r="F35" s="388">
        <v>18</v>
      </c>
      <c r="G35" s="388">
        <f t="shared" si="7"/>
        <v>0</v>
      </c>
      <c r="H35" s="388">
        <f t="shared" si="7"/>
        <v>0</v>
      </c>
      <c r="I35" s="388">
        <f t="shared" si="7"/>
        <v>0</v>
      </c>
      <c r="J35" s="388"/>
      <c r="K35" s="387"/>
      <c r="L35" s="387"/>
      <c r="M35" s="386" t="str">
        <f t="shared" si="8"/>
        <v/>
      </c>
      <c r="N35" s="385">
        <f t="shared" si="4"/>
        <v>0</v>
      </c>
      <c r="O35" s="385">
        <f t="shared" si="5"/>
        <v>0</v>
      </c>
      <c r="P35" s="384"/>
      <c r="S35" s="366"/>
      <c r="T35" s="366"/>
      <c r="U35" s="366"/>
    </row>
    <row r="36" spans="1:21">
      <c r="A36" s="390"/>
      <c r="B36" s="388"/>
      <c r="C36" s="388"/>
      <c r="D36" s="388"/>
      <c r="E36" s="388"/>
      <c r="F36" s="388">
        <v>18</v>
      </c>
      <c r="G36" s="388">
        <f t="shared" si="7"/>
        <v>0</v>
      </c>
      <c r="H36" s="388">
        <f t="shared" si="7"/>
        <v>0</v>
      </c>
      <c r="I36" s="388">
        <f t="shared" si="7"/>
        <v>0</v>
      </c>
      <c r="J36" s="388"/>
      <c r="K36" s="387"/>
      <c r="L36" s="387"/>
      <c r="M36" s="386" t="str">
        <f t="shared" si="8"/>
        <v/>
      </c>
      <c r="N36" s="385">
        <f t="shared" si="4"/>
        <v>0</v>
      </c>
      <c r="O36" s="385">
        <f t="shared" si="5"/>
        <v>0</v>
      </c>
      <c r="P36" s="384"/>
      <c r="S36" s="366"/>
      <c r="T36" s="366"/>
      <c r="U36" s="366"/>
    </row>
    <row r="37" spans="1:21">
      <c r="A37" s="390"/>
      <c r="B37" s="388"/>
      <c r="C37" s="388"/>
      <c r="D37" s="388"/>
      <c r="E37" s="388"/>
      <c r="F37" s="388">
        <v>18</v>
      </c>
      <c r="G37" s="388">
        <f t="shared" si="7"/>
        <v>0</v>
      </c>
      <c r="H37" s="388">
        <f t="shared" si="7"/>
        <v>0</v>
      </c>
      <c r="I37" s="388">
        <f t="shared" si="7"/>
        <v>0</v>
      </c>
      <c r="J37" s="388"/>
      <c r="K37" s="387"/>
      <c r="L37" s="387"/>
      <c r="M37" s="386" t="str">
        <f t="shared" si="8"/>
        <v/>
      </c>
      <c r="N37" s="385">
        <f t="shared" si="4"/>
        <v>0</v>
      </c>
      <c r="O37" s="385">
        <f t="shared" si="5"/>
        <v>0</v>
      </c>
      <c r="P37" s="384"/>
      <c r="Q37" s="366"/>
      <c r="R37" s="366"/>
      <c r="S37" s="366"/>
      <c r="T37" s="366"/>
      <c r="U37" s="366"/>
    </row>
    <row r="38" spans="1:21">
      <c r="A38" s="389"/>
      <c r="B38" s="388"/>
      <c r="C38" s="388"/>
      <c r="D38" s="388"/>
      <c r="E38" s="388"/>
      <c r="F38" s="388">
        <v>18</v>
      </c>
      <c r="G38" s="388">
        <f t="shared" si="7"/>
        <v>0</v>
      </c>
      <c r="H38" s="388">
        <f t="shared" si="7"/>
        <v>0</v>
      </c>
      <c r="I38" s="388">
        <f t="shared" si="7"/>
        <v>0</v>
      </c>
      <c r="J38" s="388"/>
      <c r="K38" s="387"/>
      <c r="L38" s="387"/>
      <c r="M38" s="386" t="str">
        <f t="shared" si="8"/>
        <v/>
      </c>
      <c r="N38" s="385">
        <f t="shared" si="4"/>
        <v>0</v>
      </c>
      <c r="O38" s="385">
        <f t="shared" si="5"/>
        <v>0</v>
      </c>
      <c r="P38" s="384"/>
      <c r="Q38" s="366"/>
      <c r="R38" s="366"/>
      <c r="S38" s="366"/>
      <c r="T38" s="366"/>
      <c r="U38" s="366"/>
    </row>
    <row r="39" spans="1:21">
      <c r="J39" s="383"/>
      <c r="N39" s="382">
        <f>SUM(N7:N38)</f>
        <v>0</v>
      </c>
      <c r="O39" s="382">
        <f>SUM(O7:O38)</f>
        <v>0</v>
      </c>
      <c r="P39" s="377">
        <f>SUM(P7:P38)</f>
        <v>0</v>
      </c>
      <c r="Q39" s="366"/>
      <c r="R39" s="366"/>
      <c r="S39" s="366"/>
      <c r="T39" s="366"/>
      <c r="U39" s="366"/>
    </row>
    <row r="40" spans="1:21">
      <c r="A40" s="381"/>
      <c r="B40" s="381"/>
      <c r="C40" s="381"/>
      <c r="D40" s="381"/>
      <c r="E40" s="381"/>
      <c r="F40" s="381"/>
      <c r="G40" s="381"/>
      <c r="H40" s="381"/>
      <c r="I40" s="381"/>
      <c r="J40" s="381"/>
      <c r="P40" s="377"/>
      <c r="Q40" s="364"/>
      <c r="S40" s="380"/>
      <c r="T40" s="380"/>
      <c r="U40" s="380"/>
    </row>
    <row r="41" spans="1:21">
      <c r="A41" s="379" t="s">
        <v>243</v>
      </c>
      <c r="B41" s="378"/>
      <c r="C41" s="378"/>
      <c r="D41" s="378"/>
      <c r="E41" s="378"/>
      <c r="F41" s="378"/>
      <c r="G41" s="378"/>
      <c r="H41" s="378"/>
      <c r="I41" s="378"/>
      <c r="J41" s="375"/>
      <c r="P41" s="377">
        <f>P39/0.9</f>
        <v>0</v>
      </c>
      <c r="Q41" s="364"/>
    </row>
    <row r="42" spans="1:21">
      <c r="A42" s="375" t="s">
        <v>947</v>
      </c>
      <c r="B42" s="375"/>
      <c r="C42" s="375"/>
      <c r="D42" s="375"/>
      <c r="E42" s="375"/>
      <c r="F42" s="375"/>
      <c r="G42" s="375"/>
      <c r="H42" s="375"/>
      <c r="I42" s="375"/>
      <c r="J42" s="375"/>
      <c r="Q42" s="364"/>
    </row>
    <row r="43" spans="1:21">
      <c r="A43" s="376" t="s">
        <v>946</v>
      </c>
      <c r="B43" s="375"/>
      <c r="C43" s="375"/>
      <c r="D43" s="374"/>
      <c r="E43" s="374"/>
      <c r="F43" s="374"/>
      <c r="G43" s="374"/>
      <c r="H43" s="375"/>
      <c r="I43" s="375"/>
      <c r="J43" s="374"/>
    </row>
    <row r="44" spans="1:21">
      <c r="A44" s="982"/>
      <c r="B44" s="982"/>
      <c r="C44" s="982"/>
      <c r="D44" s="982"/>
      <c r="E44" s="982"/>
      <c r="F44" s="982"/>
      <c r="G44" s="982"/>
      <c r="H44" s="982"/>
      <c r="I44" s="982"/>
      <c r="J44" s="982"/>
      <c r="K44" s="982"/>
      <c r="L44" s="982"/>
      <c r="M44" s="373"/>
    </row>
    <row r="48" spans="1:21">
      <c r="A48" s="372" t="s">
        <v>945</v>
      </c>
      <c r="B48" s="366"/>
      <c r="D48" s="371" t="s">
        <v>944</v>
      </c>
      <c r="E48" s="371" t="s">
        <v>943</v>
      </c>
      <c r="F48" s="371" t="s">
        <v>942</v>
      </c>
    </row>
    <row r="49" spans="1:15">
      <c r="A49" s="372"/>
      <c r="B49" s="366"/>
      <c r="D49" s="371"/>
      <c r="E49" s="371"/>
      <c r="F49" s="371"/>
      <c r="N49" s="370"/>
      <c r="O49" s="370"/>
    </row>
    <row r="50" spans="1:15">
      <c r="A50" s="571" t="s">
        <v>713</v>
      </c>
      <c r="B50" s="572">
        <f t="shared" ref="B50:B70" si="9">SUMIF($K$7:$K$38,A50,$O$7:$O$38)</f>
        <v>0</v>
      </c>
      <c r="D50" s="369">
        <f>VLOOKUP(B3,E50:F53,2,FALSE)</f>
        <v>35</v>
      </c>
      <c r="E50" s="369" t="s">
        <v>941</v>
      </c>
      <c r="F50" s="369">
        <v>0</v>
      </c>
    </row>
    <row r="51" spans="1:15">
      <c r="A51" s="571" t="s">
        <v>714</v>
      </c>
      <c r="B51" s="572">
        <f t="shared" si="9"/>
        <v>0</v>
      </c>
      <c r="D51" s="369"/>
      <c r="E51" s="369" t="s">
        <v>940</v>
      </c>
      <c r="F51" s="369">
        <v>35</v>
      </c>
    </row>
    <row r="52" spans="1:15">
      <c r="A52" s="571" t="s">
        <v>715</v>
      </c>
      <c r="B52" s="572">
        <f t="shared" si="9"/>
        <v>0</v>
      </c>
      <c r="D52" s="369"/>
      <c r="E52" s="369" t="s">
        <v>939</v>
      </c>
      <c r="F52" s="369">
        <v>3</v>
      </c>
    </row>
    <row r="53" spans="1:15">
      <c r="A53" s="571" t="s">
        <v>716</v>
      </c>
      <c r="B53" s="572">
        <f t="shared" si="9"/>
        <v>0</v>
      </c>
      <c r="D53" s="369"/>
      <c r="E53" s="369" t="s">
        <v>938</v>
      </c>
      <c r="F53" s="369">
        <v>32</v>
      </c>
    </row>
    <row r="54" spans="1:15">
      <c r="A54" s="571" t="s">
        <v>717</v>
      </c>
      <c r="B54" s="572">
        <f t="shared" si="9"/>
        <v>0</v>
      </c>
    </row>
    <row r="55" spans="1:15" ht="33">
      <c r="A55" s="571" t="s">
        <v>718</v>
      </c>
      <c r="B55" s="572">
        <f t="shared" si="9"/>
        <v>0</v>
      </c>
    </row>
    <row r="56" spans="1:15">
      <c r="A56" s="571" t="s">
        <v>719</v>
      </c>
      <c r="B56" s="572">
        <f t="shared" si="9"/>
        <v>0</v>
      </c>
    </row>
    <row r="57" spans="1:15">
      <c r="A57" s="571" t="s">
        <v>720</v>
      </c>
      <c r="B57" s="572">
        <f t="shared" si="9"/>
        <v>0</v>
      </c>
    </row>
    <row r="58" spans="1:15">
      <c r="A58" s="571" t="s">
        <v>721</v>
      </c>
      <c r="B58" s="572">
        <f t="shared" si="9"/>
        <v>0</v>
      </c>
    </row>
    <row r="59" spans="1:15">
      <c r="A59" s="571" t="s">
        <v>722</v>
      </c>
      <c r="B59" s="572">
        <f t="shared" si="9"/>
        <v>0</v>
      </c>
    </row>
    <row r="60" spans="1:15">
      <c r="A60" s="571" t="s">
        <v>723</v>
      </c>
      <c r="B60" s="572">
        <f t="shared" si="9"/>
        <v>0</v>
      </c>
    </row>
    <row r="61" spans="1:15">
      <c r="A61" s="571" t="s">
        <v>724</v>
      </c>
      <c r="B61" s="572">
        <f t="shared" si="9"/>
        <v>0</v>
      </c>
    </row>
    <row r="62" spans="1:15">
      <c r="A62" s="571" t="s">
        <v>725</v>
      </c>
      <c r="B62" s="572">
        <f t="shared" si="9"/>
        <v>0</v>
      </c>
    </row>
    <row r="63" spans="1:15" ht="33">
      <c r="A63" s="571" t="s">
        <v>726</v>
      </c>
      <c r="B63" s="572">
        <f t="shared" si="9"/>
        <v>0</v>
      </c>
    </row>
    <row r="64" spans="1:15">
      <c r="A64" s="571" t="s">
        <v>727</v>
      </c>
      <c r="B64" s="572">
        <f t="shared" si="9"/>
        <v>0</v>
      </c>
    </row>
    <row r="65" spans="1:2">
      <c r="A65" s="571" t="s">
        <v>728</v>
      </c>
      <c r="B65" s="572">
        <f t="shared" si="9"/>
        <v>0</v>
      </c>
    </row>
    <row r="66" spans="1:2" ht="33">
      <c r="A66" s="388" t="s">
        <v>1162</v>
      </c>
      <c r="B66" s="572">
        <f t="shared" si="9"/>
        <v>0</v>
      </c>
    </row>
    <row r="67" spans="1:2" ht="33">
      <c r="A67" s="388" t="s">
        <v>1163</v>
      </c>
      <c r="B67" s="572">
        <f t="shared" si="9"/>
        <v>0</v>
      </c>
    </row>
    <row r="68" spans="1:2" ht="33">
      <c r="A68" s="388" t="s">
        <v>1164</v>
      </c>
      <c r="B68" s="572">
        <f t="shared" si="9"/>
        <v>0</v>
      </c>
    </row>
    <row r="69" spans="1:2" ht="33">
      <c r="A69" s="388" t="s">
        <v>1165</v>
      </c>
      <c r="B69" s="572">
        <f t="shared" si="9"/>
        <v>0</v>
      </c>
    </row>
    <row r="70" spans="1:2" ht="33">
      <c r="A70" s="388" t="s">
        <v>1166</v>
      </c>
      <c r="B70" s="572">
        <f t="shared" si="9"/>
        <v>0</v>
      </c>
    </row>
    <row r="71" spans="1:2">
      <c r="A71" s="571" t="s">
        <v>729</v>
      </c>
      <c r="B71" s="572">
        <f t="shared" ref="B71:B85" si="10">SUMIF($K$7:$K$38,A71,$O$7:$O$38)</f>
        <v>0</v>
      </c>
    </row>
    <row r="72" spans="1:2">
      <c r="A72" s="571" t="s">
        <v>730</v>
      </c>
      <c r="B72" s="572">
        <f t="shared" si="10"/>
        <v>0</v>
      </c>
    </row>
    <row r="73" spans="1:2">
      <c r="A73" s="571" t="s">
        <v>731</v>
      </c>
      <c r="B73" s="572">
        <f t="shared" si="10"/>
        <v>0</v>
      </c>
    </row>
    <row r="74" spans="1:2">
      <c r="A74" s="571" t="s">
        <v>732</v>
      </c>
      <c r="B74" s="572">
        <f t="shared" si="10"/>
        <v>0</v>
      </c>
    </row>
    <row r="75" spans="1:2">
      <c r="A75" s="571" t="s">
        <v>733</v>
      </c>
      <c r="B75" s="572">
        <f t="shared" si="10"/>
        <v>0</v>
      </c>
    </row>
    <row r="76" spans="1:2" ht="33">
      <c r="A76" s="571" t="s">
        <v>734</v>
      </c>
      <c r="B76" s="572">
        <f t="shared" si="10"/>
        <v>0</v>
      </c>
    </row>
    <row r="77" spans="1:2">
      <c r="A77" s="571" t="s">
        <v>735</v>
      </c>
      <c r="B77" s="572">
        <f t="shared" si="10"/>
        <v>0</v>
      </c>
    </row>
    <row r="78" spans="1:2">
      <c r="A78" s="571" t="s">
        <v>736</v>
      </c>
      <c r="B78" s="572">
        <f t="shared" si="10"/>
        <v>0</v>
      </c>
    </row>
    <row r="79" spans="1:2">
      <c r="A79" s="571" t="s">
        <v>737</v>
      </c>
      <c r="B79" s="572">
        <f t="shared" si="10"/>
        <v>0</v>
      </c>
    </row>
    <row r="80" spans="1:2">
      <c r="A80" s="571" t="s">
        <v>738</v>
      </c>
      <c r="B80" s="572">
        <f t="shared" si="10"/>
        <v>0</v>
      </c>
    </row>
    <row r="81" spans="1:2">
      <c r="A81" s="571" t="s">
        <v>739</v>
      </c>
      <c r="B81" s="572">
        <f t="shared" si="10"/>
        <v>0</v>
      </c>
    </row>
    <row r="82" spans="1:2">
      <c r="A82" s="571" t="s">
        <v>740</v>
      </c>
      <c r="B82" s="572">
        <f t="shared" si="10"/>
        <v>0</v>
      </c>
    </row>
    <row r="83" spans="1:2">
      <c r="A83" s="571" t="s">
        <v>741</v>
      </c>
      <c r="B83" s="572">
        <f t="shared" si="10"/>
        <v>0</v>
      </c>
    </row>
    <row r="84" spans="1:2" ht="33">
      <c r="A84" s="571" t="s">
        <v>742</v>
      </c>
      <c r="B84" s="572">
        <f t="shared" si="10"/>
        <v>0</v>
      </c>
    </row>
    <row r="85" spans="1:2">
      <c r="A85" s="571" t="s">
        <v>743</v>
      </c>
      <c r="B85" s="572">
        <f t="shared" si="10"/>
        <v>0</v>
      </c>
    </row>
    <row r="86" spans="1:2">
      <c r="A86" s="571" t="s">
        <v>744</v>
      </c>
      <c r="B86" s="572">
        <f t="shared" ref="B86:B112" si="11">SUMIF($K$7:$K$38,A86,$O$7:$O$38)</f>
        <v>0</v>
      </c>
    </row>
    <row r="87" spans="1:2" ht="33">
      <c r="A87" s="388" t="s">
        <v>1167</v>
      </c>
      <c r="B87" s="572">
        <f t="shared" si="11"/>
        <v>0</v>
      </c>
    </row>
    <row r="88" spans="1:2" ht="33">
      <c r="A88" s="388" t="s">
        <v>1168</v>
      </c>
      <c r="B88" s="572">
        <f t="shared" si="11"/>
        <v>0</v>
      </c>
    </row>
    <row r="89" spans="1:2" ht="33">
      <c r="A89" s="388" t="s">
        <v>1169</v>
      </c>
      <c r="B89" s="572">
        <f t="shared" si="11"/>
        <v>0</v>
      </c>
    </row>
    <row r="90" spans="1:2">
      <c r="A90" s="388" t="s">
        <v>1170</v>
      </c>
      <c r="B90" s="572">
        <f t="shared" si="11"/>
        <v>0</v>
      </c>
    </row>
    <row r="91" spans="1:2">
      <c r="A91" s="388" t="s">
        <v>1171</v>
      </c>
      <c r="B91" s="572">
        <f t="shared" si="11"/>
        <v>0</v>
      </c>
    </row>
    <row r="92" spans="1:2" ht="33">
      <c r="A92" s="388" t="s">
        <v>1172</v>
      </c>
      <c r="B92" s="572">
        <f t="shared" si="11"/>
        <v>0</v>
      </c>
    </row>
    <row r="93" spans="1:2" ht="33">
      <c r="A93" s="388" t="s">
        <v>1173</v>
      </c>
      <c r="B93" s="572">
        <f t="shared" si="11"/>
        <v>0</v>
      </c>
    </row>
    <row r="94" spans="1:2">
      <c r="A94" s="388" t="s">
        <v>1174</v>
      </c>
      <c r="B94" s="572">
        <f t="shared" si="11"/>
        <v>0</v>
      </c>
    </row>
    <row r="95" spans="1:2" ht="33">
      <c r="A95" s="388" t="s">
        <v>1175</v>
      </c>
      <c r="B95" s="572">
        <f t="shared" si="11"/>
        <v>0</v>
      </c>
    </row>
    <row r="96" spans="1:2">
      <c r="A96" s="388" t="s">
        <v>1176</v>
      </c>
      <c r="B96" s="572">
        <f t="shared" si="11"/>
        <v>0</v>
      </c>
    </row>
    <row r="97" spans="1:2" ht="33">
      <c r="A97" s="388" t="s">
        <v>1177</v>
      </c>
      <c r="B97" s="572">
        <f t="shared" si="11"/>
        <v>0</v>
      </c>
    </row>
    <row r="98" spans="1:2">
      <c r="A98" s="388" t="s">
        <v>1178</v>
      </c>
      <c r="B98" s="572">
        <f t="shared" si="11"/>
        <v>0</v>
      </c>
    </row>
    <row r="99" spans="1:2" ht="33">
      <c r="A99" s="388" t="s">
        <v>1179</v>
      </c>
      <c r="B99" s="572">
        <f t="shared" si="11"/>
        <v>0</v>
      </c>
    </row>
    <row r="100" spans="1:2">
      <c r="A100" s="388" t="s">
        <v>1180</v>
      </c>
      <c r="B100" s="572">
        <f t="shared" si="11"/>
        <v>0</v>
      </c>
    </row>
    <row r="101" spans="1:2" ht="33">
      <c r="A101" s="388" t="s">
        <v>1181</v>
      </c>
      <c r="B101" s="572">
        <f t="shared" si="11"/>
        <v>0</v>
      </c>
    </row>
    <row r="102" spans="1:2" ht="33">
      <c r="A102" s="388" t="s">
        <v>1182</v>
      </c>
      <c r="B102" s="572">
        <f t="shared" si="11"/>
        <v>0</v>
      </c>
    </row>
    <row r="103" spans="1:2" ht="33">
      <c r="A103" s="388" t="s">
        <v>1183</v>
      </c>
      <c r="B103" s="572">
        <f t="shared" si="11"/>
        <v>0</v>
      </c>
    </row>
    <row r="104" spans="1:2" ht="33">
      <c r="A104" s="388" t="s">
        <v>1184</v>
      </c>
      <c r="B104" s="572">
        <f t="shared" si="11"/>
        <v>0</v>
      </c>
    </row>
    <row r="105" spans="1:2" ht="33">
      <c r="A105" s="388" t="s">
        <v>1185</v>
      </c>
      <c r="B105" s="572">
        <f t="shared" si="11"/>
        <v>0</v>
      </c>
    </row>
    <row r="106" spans="1:2" ht="33">
      <c r="A106" s="388" t="s">
        <v>1186</v>
      </c>
      <c r="B106" s="572">
        <f t="shared" si="11"/>
        <v>0</v>
      </c>
    </row>
    <row r="107" spans="1:2" ht="33">
      <c r="A107" s="388" t="s">
        <v>1187</v>
      </c>
      <c r="B107" s="572">
        <f t="shared" si="11"/>
        <v>0</v>
      </c>
    </row>
    <row r="108" spans="1:2" ht="33">
      <c r="A108" s="388" t="s">
        <v>1188</v>
      </c>
      <c r="B108" s="572">
        <f t="shared" si="11"/>
        <v>0</v>
      </c>
    </row>
    <row r="109" spans="1:2" ht="33">
      <c r="A109" s="388" t="s">
        <v>1189</v>
      </c>
      <c r="B109" s="572">
        <f t="shared" si="11"/>
        <v>0</v>
      </c>
    </row>
    <row r="110" spans="1:2" ht="33">
      <c r="A110" s="388" t="s">
        <v>1190</v>
      </c>
      <c r="B110" s="572">
        <f t="shared" si="11"/>
        <v>0</v>
      </c>
    </row>
    <row r="111" spans="1:2">
      <c r="A111" s="388" t="s">
        <v>1191</v>
      </c>
      <c r="B111" s="572">
        <f t="shared" si="11"/>
        <v>0</v>
      </c>
    </row>
    <row r="112" spans="1:2">
      <c r="A112" s="388" t="s">
        <v>1192</v>
      </c>
      <c r="B112" s="572">
        <f t="shared" si="11"/>
        <v>0</v>
      </c>
    </row>
  </sheetData>
  <mergeCells count="2">
    <mergeCell ref="A44:L44"/>
    <mergeCell ref="A1:M1"/>
  </mergeCells>
  <phoneticPr fontId="76" type="noConversion"/>
  <dataValidations count="3">
    <dataValidation type="list" allowBlank="1" showInputMessage="1" showErrorMessage="1" sqref="B3">
      <formula1>$E$48:$E$53</formula1>
    </dataValidation>
    <dataValidation type="list" allowBlank="1" showInputMessage="1" showErrorMessage="1" sqref="K30:L30">
      <formula1>$Q$1:$Q$46</formula1>
    </dataValidation>
    <dataValidation type="list" allowBlank="1" showInputMessage="1" showErrorMessage="1" sqref="K7:L29 K31:L38">
      <formula1>$A$48:$A$113</formula1>
    </dataValidation>
  </dataValidations>
  <printOptions horizontalCentered="1"/>
  <pageMargins left="0.19685039370078741" right="0.19685039370078741" top="0.59055118110236227" bottom="0.59055118110236227" header="0.19685039370078741" footer="0.19685039370078741"/>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14</vt:i4>
      </vt:variant>
    </vt:vector>
  </HeadingPairs>
  <TitlesOfParts>
    <vt:vector size="36" baseType="lpstr">
      <vt:lpstr>柜体</vt:lpstr>
      <vt:lpstr>下料单</vt:lpstr>
      <vt:lpstr>铝材玻璃单</vt:lpstr>
      <vt:lpstr>领料单</vt:lpstr>
      <vt:lpstr>交接表</vt:lpstr>
      <vt:lpstr>A6包装</vt:lpstr>
      <vt:lpstr>速美包装</vt:lpstr>
      <vt:lpstr>平板门板转序单</vt:lpstr>
      <vt:lpstr>平板门板作业单</vt:lpstr>
      <vt:lpstr>平板门板领料单</vt:lpstr>
      <vt:lpstr>古典门板转序单</vt:lpstr>
      <vt:lpstr>古典门板作业单</vt:lpstr>
      <vt:lpstr>古典门板领料单</vt:lpstr>
      <vt:lpstr>西迪布赛转序单</vt:lpstr>
      <vt:lpstr>西迪布赛作业单</vt:lpstr>
      <vt:lpstr>西迪布赛领料单</vt:lpstr>
      <vt:lpstr>图兰朵转序单</vt:lpstr>
      <vt:lpstr>图兰朵作业单</vt:lpstr>
      <vt:lpstr>图兰朵领料单</vt:lpstr>
      <vt:lpstr>图兰朵黑檀转序单</vt:lpstr>
      <vt:lpstr>图兰朵黑檀作业单</vt:lpstr>
      <vt:lpstr>图兰朵黑檀领料单</vt:lpstr>
      <vt:lpstr>古典门板领料单!Print_Area</vt:lpstr>
      <vt:lpstr>古典门板作业单!Print_Area</vt:lpstr>
      <vt:lpstr>领料单!Print_Area</vt:lpstr>
      <vt:lpstr>铝材玻璃单!Print_Area</vt:lpstr>
      <vt:lpstr>平板门板作业单!Print_Area</vt:lpstr>
      <vt:lpstr>速美包装!Print_Area</vt:lpstr>
      <vt:lpstr>图兰朵黑檀领料单!Print_Area</vt:lpstr>
      <vt:lpstr>图兰朵黑檀作业单!Print_Area</vt:lpstr>
      <vt:lpstr>图兰朵领料单!Print_Area</vt:lpstr>
      <vt:lpstr>图兰朵作业单!Print_Area</vt:lpstr>
      <vt:lpstr>西迪布赛领料单!Print_Area</vt:lpstr>
      <vt:lpstr>西迪布赛作业单!Print_Area</vt:lpstr>
      <vt:lpstr>下料单!Print_Area</vt:lpstr>
      <vt:lpstr>A6包装!Print_Titles</vt:lpstr>
    </vt:vector>
  </TitlesOfParts>
  <Company>来茵</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Windows 用户</cp:lastModifiedBy>
  <cp:lastPrinted>2018-01-31T02:38:39Z</cp:lastPrinted>
  <dcterms:created xsi:type="dcterms:W3CDTF">2003-06-27T08:15:48Z</dcterms:created>
  <dcterms:modified xsi:type="dcterms:W3CDTF">2018-03-15T07:49:50Z</dcterms:modified>
</cp:coreProperties>
</file>