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120" yWindow="45" windowWidth="15060" windowHeight="8130" tabRatio="905" firstSheet="8" activeTab="14"/>
  </bookViews>
  <sheets>
    <sheet name="柜体转序单" sheetId="12" r:id="rId1"/>
    <sheet name="下料单" sheetId="2" r:id="rId2"/>
    <sheet name="铝材玻璃单" sheetId="34" r:id="rId3"/>
    <sheet name="领料单" sheetId="4" r:id="rId4"/>
    <sheet name="A6包装" sheetId="15" r:id="rId5"/>
    <sheet name="速美包装" sheetId="35" r:id="rId6"/>
    <sheet name="A6免漆转序单" sheetId="36" r:id="rId7"/>
    <sheet name="A6免漆下料单" sheetId="37" r:id="rId8"/>
    <sheet name="A6免漆领料单" sheetId="38" r:id="rId9"/>
    <sheet name="速美免漆转序单" sheetId="39" r:id="rId10"/>
    <sheet name="速美免漆下料单" sheetId="40" r:id="rId11"/>
    <sheet name="速美免漆领料单" sheetId="41" r:id="rId12"/>
    <sheet name="吸塑门板转序单" sheetId="42" r:id="rId13"/>
    <sheet name="吸塑门板下料单" sheetId="43" r:id="rId14"/>
    <sheet name="吸塑门板领料单" sheetId="44" r:id="rId15"/>
  </sheets>
  <externalReferences>
    <externalReference r:id="rId16"/>
    <externalReference r:id="rId17"/>
    <externalReference r:id="rId18"/>
  </externalReferences>
  <definedNames>
    <definedName name="_xlnm._FilterDatabase" localSheetId="3" hidden="1">领料单!$T$3:$T$129</definedName>
    <definedName name="EV浅橡_直_N23_H">#REF!</definedName>
    <definedName name="_xlnm.Print_Area" localSheetId="4">A6包装!$A$1:$K$201</definedName>
    <definedName name="_xlnm.Print_Area" localSheetId="8">A6免漆领料单!$A$1:$F$28</definedName>
    <definedName name="_xlnm.Print_Area" localSheetId="7">A6免漆下料单!$A$1:$M$50</definedName>
    <definedName name="_xlnm.Print_Area" localSheetId="0">柜体转序单!#REF!</definedName>
    <definedName name="_xlnm.Print_Area" localSheetId="3">领料单!$A$1:$F$136</definedName>
    <definedName name="_xlnm.Print_Area" localSheetId="2">铝材玻璃单!$A$1:$L$25</definedName>
    <definedName name="_xlnm.Print_Area" localSheetId="5">速美包装!$A$1:$K$206</definedName>
    <definedName name="_xlnm.Print_Area" localSheetId="11">速美免漆领料单!$A$1:$F$39</definedName>
    <definedName name="_xlnm.Print_Area" localSheetId="10">速美免漆下料单!$A$1:$M$67</definedName>
    <definedName name="_xlnm.Print_Area" localSheetId="14">吸塑门板领料单!$A$1:$F$31</definedName>
    <definedName name="_xlnm.Print_Area" localSheetId="13">吸塑门板下料单!$A$1:$M$57</definedName>
    <definedName name="_xlnm.Print_Area" localSheetId="1">下料单!$A$1:$AO$49</definedName>
    <definedName name="_xlnm.Print_Titles" localSheetId="4">A6包装!$1:$4</definedName>
  </definedNames>
  <calcPr calcId="145621"/>
</workbook>
</file>

<file path=xl/calcChain.xml><?xml version="1.0" encoding="utf-8"?>
<calcChain xmlns="http://schemas.openxmlformats.org/spreadsheetml/2006/main">
  <c r="D91" i="4" l="1"/>
  <c r="D87" i="4"/>
  <c r="D88" i="4"/>
  <c r="H9" i="38"/>
  <c r="C9" i="38" s="1"/>
  <c r="D80" i="4" l="1"/>
  <c r="D44" i="4"/>
  <c r="AQ51" i="2"/>
  <c r="G3" i="37"/>
  <c r="I3" i="12" l="1"/>
  <c r="I1" i="44" l="1"/>
  <c r="A1" i="44" s="1"/>
  <c r="D3" i="44"/>
  <c r="O3" i="44"/>
  <c r="C6" i="44"/>
  <c r="C7" i="44"/>
  <c r="P7" i="44"/>
  <c r="T7" i="44"/>
  <c r="C9" i="44"/>
  <c r="T9" i="44"/>
  <c r="C10" i="44"/>
  <c r="I11" i="44"/>
  <c r="C11" i="44" s="1"/>
  <c r="C17" i="44"/>
  <c r="I20" i="44"/>
  <c r="C20" i="44" s="1"/>
  <c r="I21" i="44"/>
  <c r="C21" i="44" s="1"/>
  <c r="C24" i="44"/>
  <c r="M3" i="43"/>
  <c r="M2" i="43"/>
  <c r="E3" i="44" s="1"/>
  <c r="K3" i="43"/>
  <c r="K2" i="43"/>
  <c r="C3" i="44" s="1"/>
  <c r="D2" i="43"/>
  <c r="E2" i="44" s="1"/>
  <c r="B2" i="43"/>
  <c r="C2" i="44" s="1"/>
  <c r="K5" i="43"/>
  <c r="G7" i="43"/>
  <c r="H7" i="43"/>
  <c r="I7" i="43"/>
  <c r="N7" i="43"/>
  <c r="O7" i="43"/>
  <c r="P7" i="43"/>
  <c r="Q7" i="43"/>
  <c r="R7" i="43"/>
  <c r="S7" i="43"/>
  <c r="G8" i="43"/>
  <c r="H8" i="43"/>
  <c r="I8" i="43"/>
  <c r="R8" i="43" s="1"/>
  <c r="N8" i="43"/>
  <c r="O8" i="43"/>
  <c r="P8" i="43"/>
  <c r="Q8" i="43"/>
  <c r="S8" i="43"/>
  <c r="G9" i="43"/>
  <c r="H9" i="43"/>
  <c r="I9" i="43"/>
  <c r="R9" i="43" s="1"/>
  <c r="N9" i="43"/>
  <c r="O9" i="43"/>
  <c r="P9" i="43"/>
  <c r="Q9" i="43"/>
  <c r="S9" i="43"/>
  <c r="G10" i="43"/>
  <c r="H10" i="43"/>
  <c r="I10" i="43"/>
  <c r="R10" i="43" s="1"/>
  <c r="N10" i="43"/>
  <c r="O10" i="43"/>
  <c r="P10" i="43"/>
  <c r="S10" i="43"/>
  <c r="W10" i="43"/>
  <c r="G11" i="43"/>
  <c r="H11" i="43"/>
  <c r="I11" i="43"/>
  <c r="N11" i="43"/>
  <c r="O11" i="43"/>
  <c r="P11" i="43"/>
  <c r="R11" i="43"/>
  <c r="S11" i="43"/>
  <c r="W11" i="43"/>
  <c r="G12" i="43"/>
  <c r="H12" i="43"/>
  <c r="I12" i="43"/>
  <c r="N12" i="43"/>
  <c r="O12" i="43"/>
  <c r="P12" i="43"/>
  <c r="R12" i="43"/>
  <c r="S12" i="43"/>
  <c r="W12" i="43"/>
  <c r="G13" i="43"/>
  <c r="H13" i="43"/>
  <c r="I13" i="43"/>
  <c r="N13" i="43"/>
  <c r="O13" i="43"/>
  <c r="P13" i="43"/>
  <c r="R13" i="43"/>
  <c r="S13" i="43"/>
  <c r="W13" i="43"/>
  <c r="G14" i="43"/>
  <c r="H14" i="43"/>
  <c r="I14" i="43"/>
  <c r="N14" i="43"/>
  <c r="O14" i="43"/>
  <c r="P14" i="43"/>
  <c r="R14" i="43"/>
  <c r="S14" i="43"/>
  <c r="W14" i="43"/>
  <c r="G15" i="43"/>
  <c r="H15" i="43"/>
  <c r="I15" i="43"/>
  <c r="R15" i="43" s="1"/>
  <c r="N15" i="43"/>
  <c r="O15" i="43"/>
  <c r="P15" i="43"/>
  <c r="S15" i="43"/>
  <c r="W15" i="43"/>
  <c r="G16" i="43"/>
  <c r="H16" i="43"/>
  <c r="I16" i="43"/>
  <c r="N16" i="43"/>
  <c r="O16" i="43"/>
  <c r="P16" i="43"/>
  <c r="R16" i="43"/>
  <c r="S16" i="43"/>
  <c r="W16" i="43"/>
  <c r="G17" i="43"/>
  <c r="H17" i="43"/>
  <c r="I17" i="43"/>
  <c r="N17" i="43"/>
  <c r="O17" i="43"/>
  <c r="P17" i="43"/>
  <c r="R17" i="43"/>
  <c r="S17" i="43"/>
  <c r="W17" i="43"/>
  <c r="G18" i="43"/>
  <c r="H18" i="43"/>
  <c r="I18" i="43"/>
  <c r="N18" i="43"/>
  <c r="O18" i="43"/>
  <c r="P18" i="43"/>
  <c r="R18" i="43"/>
  <c r="S18" i="43"/>
  <c r="W18" i="43"/>
  <c r="G19" i="43"/>
  <c r="H19" i="43"/>
  <c r="I19" i="43"/>
  <c r="R19" i="43" s="1"/>
  <c r="N19" i="43"/>
  <c r="O19" i="43"/>
  <c r="P19" i="43"/>
  <c r="S19" i="43"/>
  <c r="W19" i="43"/>
  <c r="G20" i="43"/>
  <c r="H20" i="43"/>
  <c r="I20" i="43"/>
  <c r="N20" i="43"/>
  <c r="O20" i="43"/>
  <c r="P20" i="43"/>
  <c r="R20" i="43"/>
  <c r="S20" i="43"/>
  <c r="W20" i="43"/>
  <c r="G21" i="43"/>
  <c r="H21" i="43"/>
  <c r="I21" i="43"/>
  <c r="N21" i="43"/>
  <c r="O21" i="43"/>
  <c r="P21" i="43"/>
  <c r="R21" i="43"/>
  <c r="S21" i="43"/>
  <c r="W21" i="43"/>
  <c r="G22" i="43"/>
  <c r="H22" i="43"/>
  <c r="I22" i="43"/>
  <c r="R22" i="43" s="1"/>
  <c r="N22" i="43"/>
  <c r="O22" i="43"/>
  <c r="P22" i="43"/>
  <c r="S22" i="43"/>
  <c r="W22" i="43"/>
  <c r="Z22" i="43"/>
  <c r="G23" i="43"/>
  <c r="H23" i="43"/>
  <c r="I23" i="43"/>
  <c r="N23" i="43"/>
  <c r="O23" i="43"/>
  <c r="P23" i="43"/>
  <c r="R23" i="43"/>
  <c r="S23" i="43"/>
  <c r="W23" i="43"/>
  <c r="G24" i="43"/>
  <c r="H24" i="43"/>
  <c r="I24" i="43"/>
  <c r="R24" i="43" s="1"/>
  <c r="N24" i="43"/>
  <c r="O24" i="43"/>
  <c r="P24" i="43"/>
  <c r="S24" i="43"/>
  <c r="W24" i="43"/>
  <c r="Z24" i="43"/>
  <c r="G25" i="43"/>
  <c r="H25" i="43"/>
  <c r="I25" i="43"/>
  <c r="N25" i="43"/>
  <c r="O25" i="43"/>
  <c r="P25" i="43"/>
  <c r="R25" i="43"/>
  <c r="S25" i="43"/>
  <c r="W25" i="43"/>
  <c r="G26" i="43"/>
  <c r="H26" i="43"/>
  <c r="I26" i="43"/>
  <c r="N26" i="43"/>
  <c r="O26" i="43"/>
  <c r="P26" i="43"/>
  <c r="R26" i="43"/>
  <c r="S26" i="43"/>
  <c r="W26" i="43"/>
  <c r="G27" i="43"/>
  <c r="H27" i="43"/>
  <c r="I27" i="43"/>
  <c r="R27" i="43" s="1"/>
  <c r="N27" i="43"/>
  <c r="O27" i="43"/>
  <c r="P27" i="43"/>
  <c r="S27" i="43"/>
  <c r="W27" i="43"/>
  <c r="G28" i="43"/>
  <c r="H28" i="43"/>
  <c r="I28" i="43"/>
  <c r="N28" i="43"/>
  <c r="O28" i="43"/>
  <c r="P28" i="43"/>
  <c r="R28" i="43"/>
  <c r="S28" i="43"/>
  <c r="W28" i="43"/>
  <c r="N29" i="43"/>
  <c r="O29" i="43"/>
  <c r="P29" i="43"/>
  <c r="R29" i="43"/>
  <c r="S29" i="43"/>
  <c r="W29" i="43"/>
  <c r="G30" i="43"/>
  <c r="H30" i="43"/>
  <c r="I30" i="43"/>
  <c r="R30" i="43" s="1"/>
  <c r="N30" i="43"/>
  <c r="O30" i="43"/>
  <c r="P30" i="43"/>
  <c r="S30" i="43"/>
  <c r="W30" i="43"/>
  <c r="G31" i="43"/>
  <c r="H31" i="43"/>
  <c r="I31" i="43"/>
  <c r="R31" i="43" s="1"/>
  <c r="N31" i="43"/>
  <c r="O31" i="43"/>
  <c r="P31" i="43"/>
  <c r="S31" i="43"/>
  <c r="W31" i="43"/>
  <c r="G32" i="43"/>
  <c r="H32" i="43"/>
  <c r="I32" i="43"/>
  <c r="R32" i="43" s="1"/>
  <c r="N32" i="43"/>
  <c r="O32" i="43"/>
  <c r="P32" i="43"/>
  <c r="S32" i="43"/>
  <c r="W32" i="43"/>
  <c r="G33" i="43"/>
  <c r="H33" i="43"/>
  <c r="I33" i="43"/>
  <c r="N33" i="43"/>
  <c r="O33" i="43"/>
  <c r="P33" i="43"/>
  <c r="R33" i="43"/>
  <c r="S33" i="43"/>
  <c r="W33" i="43"/>
  <c r="G34" i="43"/>
  <c r="H34" i="43"/>
  <c r="I34" i="43"/>
  <c r="R34" i="43" s="1"/>
  <c r="N34" i="43"/>
  <c r="O34" i="43"/>
  <c r="P34" i="43"/>
  <c r="S34" i="43"/>
  <c r="W34" i="43"/>
  <c r="G35" i="43"/>
  <c r="H35" i="43"/>
  <c r="I35" i="43"/>
  <c r="N35" i="43"/>
  <c r="O35" i="43"/>
  <c r="P35" i="43"/>
  <c r="Q35" i="43"/>
  <c r="R35" i="43"/>
  <c r="S35" i="43"/>
  <c r="W35" i="43"/>
  <c r="G36" i="43"/>
  <c r="H36" i="43"/>
  <c r="I36" i="43"/>
  <c r="R36" i="43" s="1"/>
  <c r="N36" i="43"/>
  <c r="O36" i="43"/>
  <c r="P36" i="43"/>
  <c r="Q36" i="43"/>
  <c r="S36" i="43"/>
  <c r="W36" i="43"/>
  <c r="G37" i="43"/>
  <c r="H37" i="43"/>
  <c r="I37" i="43"/>
  <c r="N37" i="43"/>
  <c r="O37" i="43"/>
  <c r="P37" i="43"/>
  <c r="Q37" i="43"/>
  <c r="R37" i="43"/>
  <c r="S37" i="43"/>
  <c r="W37" i="43"/>
  <c r="G38" i="43"/>
  <c r="H38" i="43"/>
  <c r="I38" i="43"/>
  <c r="R38" i="43" s="1"/>
  <c r="N38" i="43"/>
  <c r="O38" i="43"/>
  <c r="P38" i="43"/>
  <c r="Q38" i="43"/>
  <c r="S38" i="43"/>
  <c r="W38" i="43"/>
  <c r="G39" i="43"/>
  <c r="H39" i="43"/>
  <c r="I39" i="43"/>
  <c r="R39" i="43" s="1"/>
  <c r="N39" i="43"/>
  <c r="O39" i="43"/>
  <c r="P39" i="43"/>
  <c r="Q39" i="43"/>
  <c r="S39" i="43"/>
  <c r="W39" i="43"/>
  <c r="G40" i="43"/>
  <c r="H40" i="43"/>
  <c r="I40" i="43"/>
  <c r="N40" i="43"/>
  <c r="O40" i="43"/>
  <c r="P40" i="43"/>
  <c r="R40" i="43"/>
  <c r="V40" i="43"/>
  <c r="G41" i="43"/>
  <c r="H41" i="43"/>
  <c r="I41" i="43"/>
  <c r="N41" i="43"/>
  <c r="O41" i="43"/>
  <c r="P41" i="43"/>
  <c r="R41" i="43"/>
  <c r="U41" i="43"/>
  <c r="G42" i="43"/>
  <c r="H42" i="43"/>
  <c r="I42" i="43"/>
  <c r="R42" i="43" s="1"/>
  <c r="N42" i="43"/>
  <c r="O42" i="43"/>
  <c r="P42" i="43"/>
  <c r="U42" i="43"/>
  <c r="G43" i="43"/>
  <c r="H43" i="43"/>
  <c r="I43" i="43"/>
  <c r="N43" i="43"/>
  <c r="O43" i="43"/>
  <c r="P43" i="43"/>
  <c r="R43" i="43"/>
  <c r="U43" i="43"/>
  <c r="G44" i="43"/>
  <c r="N44" i="43"/>
  <c r="O44" i="43"/>
  <c r="P44" i="43"/>
  <c r="R44" i="43"/>
  <c r="T44" i="43"/>
  <c r="C45" i="43"/>
  <c r="N45" i="43" s="1"/>
  <c r="P45" i="43"/>
  <c r="R45" i="43"/>
  <c r="G46" i="43"/>
  <c r="H46" i="43"/>
  <c r="I46" i="43"/>
  <c r="N46" i="43"/>
  <c r="O46" i="43"/>
  <c r="P46" i="43"/>
  <c r="T46" i="43"/>
  <c r="I47" i="43"/>
  <c r="R47" i="43" s="1"/>
  <c r="N47" i="43"/>
  <c r="O47" i="43"/>
  <c r="P47" i="43"/>
  <c r="U47" i="43"/>
  <c r="I48" i="43"/>
  <c r="N48" i="43"/>
  <c r="O48" i="43"/>
  <c r="P48" i="43"/>
  <c r="R48" i="43"/>
  <c r="U48" i="43"/>
  <c r="N49" i="43"/>
  <c r="O49" i="43"/>
  <c r="P49" i="43"/>
  <c r="R49" i="43"/>
  <c r="N50" i="43"/>
  <c r="O50" i="43"/>
  <c r="P50" i="43"/>
  <c r="R50" i="43"/>
  <c r="V51" i="43"/>
  <c r="I3" i="42"/>
  <c r="I2" i="42"/>
  <c r="B3" i="42"/>
  <c r="E3" i="42"/>
  <c r="Q51" i="43" l="1"/>
  <c r="D10" i="44" s="1"/>
  <c r="G45" i="43"/>
  <c r="P51" i="43"/>
  <c r="C23" i="44"/>
  <c r="N51" i="43"/>
  <c r="S51" i="43"/>
  <c r="U51" i="43"/>
  <c r="O45" i="43"/>
  <c r="O51" i="43" s="1"/>
  <c r="O53" i="43" s="1"/>
  <c r="D17" i="44" s="1"/>
  <c r="T45" i="43"/>
  <c r="T51" i="43" s="1"/>
  <c r="W52" i="43"/>
  <c r="R51" i="43"/>
  <c r="I3" i="43" s="1"/>
  <c r="S52" i="43" l="1"/>
  <c r="D18" i="44" s="1"/>
  <c r="D17" i="42"/>
  <c r="D19" i="42"/>
  <c r="D16" i="42"/>
  <c r="D18" i="42"/>
  <c r="D28" i="42"/>
  <c r="J1" i="41" l="1"/>
  <c r="M3" i="40"/>
  <c r="M2" i="40"/>
  <c r="E3" i="41" s="1"/>
  <c r="K3" i="40"/>
  <c r="K2" i="40"/>
  <c r="C3" i="41" s="1"/>
  <c r="D2" i="40"/>
  <c r="E2" i="41" s="1"/>
  <c r="B2" i="40"/>
  <c r="C2" i="41" s="1"/>
  <c r="I3" i="40"/>
  <c r="B4" i="40"/>
  <c r="R5" i="40"/>
  <c r="S5" i="40"/>
  <c r="T5" i="40"/>
  <c r="U5" i="40"/>
  <c r="AB5" i="40" s="1"/>
  <c r="V5" i="40"/>
  <c r="W5" i="40"/>
  <c r="X5" i="40"/>
  <c r="Y5" i="40"/>
  <c r="AD5" i="40" s="1"/>
  <c r="AA5" i="40"/>
  <c r="AC5" i="40"/>
  <c r="G8" i="40"/>
  <c r="H8" i="40"/>
  <c r="I8" i="40"/>
  <c r="N8" i="40"/>
  <c r="W8" i="40" s="1"/>
  <c r="O8" i="40"/>
  <c r="P8" i="40" s="1"/>
  <c r="R8" i="40" s="1"/>
  <c r="Q8" i="40"/>
  <c r="S8" i="40"/>
  <c r="Z8" i="40"/>
  <c r="AA8" i="40" s="1"/>
  <c r="G9" i="40"/>
  <c r="H9" i="40"/>
  <c r="I9" i="40"/>
  <c r="N9" i="40" s="1"/>
  <c r="R9" i="40"/>
  <c r="O9" i="40"/>
  <c r="P9" i="40" s="1"/>
  <c r="X9" i="40" s="1"/>
  <c r="Q9" i="40"/>
  <c r="S9" i="40"/>
  <c r="V9" i="40"/>
  <c r="Z9" i="40"/>
  <c r="AA9" i="40"/>
  <c r="AD9" i="40"/>
  <c r="G10" i="40"/>
  <c r="H10" i="40"/>
  <c r="I10" i="40"/>
  <c r="N10" i="40"/>
  <c r="O10" i="40"/>
  <c r="P10" i="40" s="1"/>
  <c r="V10" i="40" s="1"/>
  <c r="Q10" i="40"/>
  <c r="R10" i="40"/>
  <c r="S10" i="40"/>
  <c r="T10" i="40"/>
  <c r="X10" i="40"/>
  <c r="Z10" i="40"/>
  <c r="AA10" i="40"/>
  <c r="AB10" i="40"/>
  <c r="AC10" i="40"/>
  <c r="AD10" i="40"/>
  <c r="G11" i="40"/>
  <c r="H11" i="40"/>
  <c r="I11" i="40"/>
  <c r="N11" i="40" s="1"/>
  <c r="R11" i="40"/>
  <c r="O11" i="40"/>
  <c r="P11" i="40" s="1"/>
  <c r="X11" i="40" s="1"/>
  <c r="Q11" i="40"/>
  <c r="S11" i="40"/>
  <c r="V11" i="40"/>
  <c r="Z11" i="40"/>
  <c r="AA11" i="40"/>
  <c r="AB11" i="40"/>
  <c r="AC11" i="40"/>
  <c r="AD11" i="40"/>
  <c r="G12" i="40"/>
  <c r="H12" i="40"/>
  <c r="I12" i="40"/>
  <c r="N12" i="40" s="1"/>
  <c r="O12" i="40"/>
  <c r="P12" i="40"/>
  <c r="V12" i="40" s="1"/>
  <c r="Q12" i="40"/>
  <c r="R12" i="40"/>
  <c r="S12" i="40"/>
  <c r="T12" i="40"/>
  <c r="W12" i="40"/>
  <c r="Z12" i="40"/>
  <c r="AA12" i="40"/>
  <c r="AB12" i="40"/>
  <c r="AC12" i="40"/>
  <c r="AD12" i="40"/>
  <c r="G13" i="40"/>
  <c r="H13" i="40"/>
  <c r="I13" i="40"/>
  <c r="N13" i="40" s="1"/>
  <c r="O13" i="40"/>
  <c r="P13" i="40"/>
  <c r="V13" i="40" s="1"/>
  <c r="Q13" i="40"/>
  <c r="R13" i="40"/>
  <c r="S13" i="40"/>
  <c r="T13" i="40"/>
  <c r="W13" i="40"/>
  <c r="Z13" i="40"/>
  <c r="AC13" i="40" s="1"/>
  <c r="AA13" i="40"/>
  <c r="AB13" i="40"/>
  <c r="G14" i="40"/>
  <c r="H14" i="40"/>
  <c r="I14" i="40"/>
  <c r="N14" i="40"/>
  <c r="W14" i="40" s="1"/>
  <c r="O14" i="40"/>
  <c r="P14" i="40" s="1"/>
  <c r="Q14" i="40"/>
  <c r="R14" i="40"/>
  <c r="S14" i="40"/>
  <c r="V14" i="40"/>
  <c r="Z14" i="40"/>
  <c r="AB14" i="40" s="1"/>
  <c r="AA14" i="40"/>
  <c r="G15" i="40"/>
  <c r="H15" i="40"/>
  <c r="I15" i="40"/>
  <c r="N15" i="40"/>
  <c r="W15" i="40" s="1"/>
  <c r="O15" i="40"/>
  <c r="P15" i="40" s="1"/>
  <c r="Q15" i="40"/>
  <c r="R15" i="40"/>
  <c r="S15" i="40"/>
  <c r="U15" i="40"/>
  <c r="Z15" i="40"/>
  <c r="AB15" i="40" s="1"/>
  <c r="AA15" i="40"/>
  <c r="G16" i="40"/>
  <c r="H16" i="40"/>
  <c r="I16" i="40"/>
  <c r="N16" i="40"/>
  <c r="W16" i="40" s="1"/>
  <c r="O16" i="40"/>
  <c r="P16" i="40" s="1"/>
  <c r="Q16" i="40"/>
  <c r="R16" i="40"/>
  <c r="S16" i="40"/>
  <c r="U16" i="40"/>
  <c r="V16" i="40"/>
  <c r="Z16" i="40"/>
  <c r="AB16" i="40" s="1"/>
  <c r="AA16" i="40"/>
  <c r="AC16" i="40"/>
  <c r="G17" i="40"/>
  <c r="H17" i="40"/>
  <c r="I17" i="40"/>
  <c r="N17" i="40" s="1"/>
  <c r="O17" i="40"/>
  <c r="P17" i="40" s="1"/>
  <c r="Q17" i="40"/>
  <c r="R17" i="40"/>
  <c r="S17" i="40"/>
  <c r="V17" i="40"/>
  <c r="Z17" i="40"/>
  <c r="AB17" i="40" s="1"/>
  <c r="AA17" i="40"/>
  <c r="AC17" i="40"/>
  <c r="AD17" i="40"/>
  <c r="G18" i="40"/>
  <c r="H18" i="40"/>
  <c r="I18" i="40"/>
  <c r="N18" i="40"/>
  <c r="W18" i="40" s="1"/>
  <c r="O18" i="40"/>
  <c r="P18" i="40" s="1"/>
  <c r="Q18" i="40"/>
  <c r="R18" i="40"/>
  <c r="S18" i="40"/>
  <c r="V18" i="40"/>
  <c r="Z18" i="40"/>
  <c r="AB18" i="40" s="1"/>
  <c r="AA18" i="40"/>
  <c r="G19" i="40"/>
  <c r="H19" i="40"/>
  <c r="I19" i="40"/>
  <c r="N19" i="40"/>
  <c r="W19" i="40" s="1"/>
  <c r="O19" i="40"/>
  <c r="P19" i="40" s="1"/>
  <c r="Q19" i="40"/>
  <c r="R19" i="40"/>
  <c r="S19" i="40"/>
  <c r="U19" i="40"/>
  <c r="Z19" i="40"/>
  <c r="AB19" i="40" s="1"/>
  <c r="AA19" i="40"/>
  <c r="G20" i="40"/>
  <c r="H20" i="40"/>
  <c r="I20" i="40"/>
  <c r="N20" i="40"/>
  <c r="W20" i="40" s="1"/>
  <c r="O20" i="40"/>
  <c r="P20" i="40" s="1"/>
  <c r="Q20" i="40"/>
  <c r="R20" i="40"/>
  <c r="S20" i="40"/>
  <c r="U20" i="40"/>
  <c r="V20" i="40"/>
  <c r="Z20" i="40"/>
  <c r="AB20" i="40" s="1"/>
  <c r="AA20" i="40"/>
  <c r="AC20" i="40"/>
  <c r="G21" i="40"/>
  <c r="H21" i="40"/>
  <c r="I21" i="40"/>
  <c r="N21" i="40" s="1"/>
  <c r="O21" i="40"/>
  <c r="P21" i="40" s="1"/>
  <c r="Q21" i="40"/>
  <c r="R21" i="40"/>
  <c r="S21" i="40"/>
  <c r="V21" i="40"/>
  <c r="Z21" i="40"/>
  <c r="AB21" i="40" s="1"/>
  <c r="AA21" i="40"/>
  <c r="AC21" i="40"/>
  <c r="AD21" i="40"/>
  <c r="G23" i="40"/>
  <c r="H23" i="40"/>
  <c r="I23" i="40"/>
  <c r="N23" i="40"/>
  <c r="U23" i="40" s="1"/>
  <c r="O23" i="40"/>
  <c r="P23" i="40" s="1"/>
  <c r="Q23" i="40"/>
  <c r="S23" i="40"/>
  <c r="Z23" i="40"/>
  <c r="AA23" i="40" s="1"/>
  <c r="G24" i="40"/>
  <c r="H24" i="40"/>
  <c r="I24" i="40"/>
  <c r="N24" i="40" s="1"/>
  <c r="R24" i="40"/>
  <c r="O24" i="40"/>
  <c r="P24" i="40" s="1"/>
  <c r="V24" i="40" s="1"/>
  <c r="Q24" i="40"/>
  <c r="S24" i="40"/>
  <c r="X24" i="40"/>
  <c r="Z24" i="40"/>
  <c r="AB24" i="40" s="1"/>
  <c r="AD24" i="40"/>
  <c r="G25" i="40"/>
  <c r="H25" i="40"/>
  <c r="I25" i="40"/>
  <c r="R25" i="40"/>
  <c r="N25" i="40"/>
  <c r="O25" i="40"/>
  <c r="P25" i="40" s="1"/>
  <c r="Q25" i="40"/>
  <c r="S25" i="40"/>
  <c r="W25" i="40"/>
  <c r="Z25" i="40"/>
  <c r="AC25" i="40" s="1"/>
  <c r="G26" i="40"/>
  <c r="H26" i="40"/>
  <c r="I26" i="40"/>
  <c r="N26" i="40" s="1"/>
  <c r="R26" i="40"/>
  <c r="O26" i="40"/>
  <c r="P26" i="40" s="1"/>
  <c r="Q26" i="40"/>
  <c r="S26" i="40"/>
  <c r="Z26" i="40"/>
  <c r="AB26" i="40" s="1"/>
  <c r="AD26" i="40"/>
  <c r="G27" i="40"/>
  <c r="H27" i="40"/>
  <c r="I27" i="40"/>
  <c r="N27" i="40"/>
  <c r="W27" i="40" s="1"/>
  <c r="O27" i="40"/>
  <c r="P27" i="40" s="1"/>
  <c r="Q27" i="40"/>
  <c r="R27" i="40"/>
  <c r="S27" i="40"/>
  <c r="U27" i="40"/>
  <c r="Z27" i="40"/>
  <c r="AB27" i="40" s="1"/>
  <c r="AA27" i="40"/>
  <c r="G28" i="40"/>
  <c r="H28" i="40"/>
  <c r="I28" i="40"/>
  <c r="N28" i="40" s="1"/>
  <c r="O28" i="40"/>
  <c r="P28" i="40" s="1"/>
  <c r="Q28" i="40"/>
  <c r="R28" i="40"/>
  <c r="S28" i="40"/>
  <c r="V28" i="40"/>
  <c r="Z28" i="40"/>
  <c r="AB28" i="40" s="1"/>
  <c r="AA28" i="40"/>
  <c r="AC28" i="40"/>
  <c r="AD28" i="40"/>
  <c r="G29" i="40"/>
  <c r="H29" i="40"/>
  <c r="I29" i="40"/>
  <c r="N29" i="40" s="1"/>
  <c r="O29" i="40"/>
  <c r="P29" i="40" s="1"/>
  <c r="Q29" i="40"/>
  <c r="R29" i="40"/>
  <c r="S29" i="40"/>
  <c r="V29" i="40"/>
  <c r="Z29" i="40"/>
  <c r="AB29" i="40" s="1"/>
  <c r="AA29" i="40"/>
  <c r="AC29" i="40"/>
  <c r="AD29" i="40"/>
  <c r="G30" i="40"/>
  <c r="H30" i="40"/>
  <c r="I30" i="40"/>
  <c r="N30" i="40"/>
  <c r="U30" i="40" s="1"/>
  <c r="O30" i="40"/>
  <c r="P30" i="40" s="1"/>
  <c r="V30" i="40" s="1"/>
  <c r="Q30" i="40"/>
  <c r="R30" i="40"/>
  <c r="S30" i="40"/>
  <c r="Z30" i="40"/>
  <c r="AB30" i="40" s="1"/>
  <c r="AA30" i="40"/>
  <c r="AC30" i="40"/>
  <c r="AD30" i="40"/>
  <c r="G31" i="40"/>
  <c r="H31" i="40"/>
  <c r="I31" i="40"/>
  <c r="N31" i="40"/>
  <c r="U31" i="40" s="1"/>
  <c r="O31" i="40"/>
  <c r="P31" i="40" s="1"/>
  <c r="V31" i="40" s="1"/>
  <c r="Q31" i="40"/>
  <c r="R31" i="40"/>
  <c r="S31" i="40"/>
  <c r="Z31" i="40"/>
  <c r="AB31" i="40" s="1"/>
  <c r="AA31" i="40"/>
  <c r="AC31" i="40"/>
  <c r="AD31" i="40"/>
  <c r="G32" i="40"/>
  <c r="H32" i="40"/>
  <c r="I32" i="40"/>
  <c r="N32" i="40"/>
  <c r="U32" i="40" s="1"/>
  <c r="O32" i="40"/>
  <c r="P32" i="40" s="1"/>
  <c r="V32" i="40" s="1"/>
  <c r="Q32" i="40"/>
  <c r="R32" i="40"/>
  <c r="S32" i="40"/>
  <c r="Z32" i="40"/>
  <c r="AB32" i="40" s="1"/>
  <c r="AA32" i="40"/>
  <c r="AC32" i="40"/>
  <c r="AD32" i="40"/>
  <c r="O33" i="40"/>
  <c r="P33" i="40" s="1"/>
  <c r="G34" i="40"/>
  <c r="H34" i="40"/>
  <c r="I34" i="40"/>
  <c r="N34" i="40" s="1"/>
  <c r="S34" i="40"/>
  <c r="O34" i="40"/>
  <c r="P34" i="40" s="1"/>
  <c r="R34" i="40" s="1"/>
  <c r="V34" i="40"/>
  <c r="Z34" i="40"/>
  <c r="AB34" i="40"/>
  <c r="AD34" i="40"/>
  <c r="G35" i="40"/>
  <c r="H35" i="40"/>
  <c r="I35" i="40"/>
  <c r="S35" i="40"/>
  <c r="N35" i="40"/>
  <c r="O35" i="40"/>
  <c r="P35" i="40" s="1"/>
  <c r="T35" i="40" s="1"/>
  <c r="Z35" i="40"/>
  <c r="AD35" i="40" s="1"/>
  <c r="G36" i="40"/>
  <c r="H36" i="40"/>
  <c r="I36" i="40"/>
  <c r="S36" i="40"/>
  <c r="N36" i="40"/>
  <c r="O36" i="40"/>
  <c r="P36" i="40" s="1"/>
  <c r="V36" i="40" s="1"/>
  <c r="Z36" i="40"/>
  <c r="AD36" i="40" s="1"/>
  <c r="G37" i="40"/>
  <c r="H37" i="40"/>
  <c r="I37" i="40"/>
  <c r="N37" i="40" s="1"/>
  <c r="S37" i="40"/>
  <c r="O37" i="40"/>
  <c r="P37" i="40" s="1"/>
  <c r="X37" i="40" s="1"/>
  <c r="Z37" i="40"/>
  <c r="AD37" i="40" s="1"/>
  <c r="G38" i="40"/>
  <c r="H38" i="40"/>
  <c r="I38" i="40"/>
  <c r="N38" i="40"/>
  <c r="U38" i="40" s="1"/>
  <c r="O38" i="40"/>
  <c r="P38" i="40"/>
  <c r="R38" i="40"/>
  <c r="S38" i="40"/>
  <c r="V38" i="40"/>
  <c r="Y38" i="40"/>
  <c r="Z38" i="40"/>
  <c r="AB38" i="40" s="1"/>
  <c r="AA38" i="40"/>
  <c r="AC38" i="40"/>
  <c r="AD38" i="40"/>
  <c r="G39" i="40"/>
  <c r="H39" i="40"/>
  <c r="I39" i="40"/>
  <c r="N39" i="40" s="1"/>
  <c r="W39" i="40" s="1"/>
  <c r="O39" i="40"/>
  <c r="P39" i="40" s="1"/>
  <c r="V39" i="40" s="1"/>
  <c r="R39" i="40"/>
  <c r="S39" i="40"/>
  <c r="U39" i="40"/>
  <c r="Y39" i="40"/>
  <c r="Z39" i="40"/>
  <c r="AB39" i="40" s="1"/>
  <c r="AA39" i="40"/>
  <c r="AD39" i="40"/>
  <c r="G40" i="40"/>
  <c r="H40" i="40"/>
  <c r="I40" i="40"/>
  <c r="N40" i="40"/>
  <c r="U40" i="40" s="1"/>
  <c r="O40" i="40"/>
  <c r="P40" i="40"/>
  <c r="R40" i="40"/>
  <c r="S40" i="40"/>
  <c r="V40" i="40"/>
  <c r="Y40" i="40"/>
  <c r="Z40" i="40"/>
  <c r="AB40" i="40" s="1"/>
  <c r="AA40" i="40"/>
  <c r="AC40" i="40"/>
  <c r="AD40" i="40"/>
  <c r="G41" i="40"/>
  <c r="H41" i="40"/>
  <c r="I41" i="40"/>
  <c r="N41" i="40" s="1"/>
  <c r="W41" i="40" s="1"/>
  <c r="O41" i="40"/>
  <c r="P41" i="40" s="1"/>
  <c r="V41" i="40" s="1"/>
  <c r="R41" i="40"/>
  <c r="S41" i="40"/>
  <c r="U41" i="40"/>
  <c r="Y41" i="40"/>
  <c r="Z41" i="40"/>
  <c r="AB41" i="40" s="1"/>
  <c r="AA41" i="40"/>
  <c r="AD41" i="40"/>
  <c r="G42" i="40"/>
  <c r="H42" i="40"/>
  <c r="I42" i="40"/>
  <c r="N42" i="40"/>
  <c r="U42" i="40" s="1"/>
  <c r="O42" i="40"/>
  <c r="P42" i="40"/>
  <c r="R42" i="40"/>
  <c r="S42" i="40"/>
  <c r="V42" i="40"/>
  <c r="Y42" i="40"/>
  <c r="Z42" i="40"/>
  <c r="AB42" i="40" s="1"/>
  <c r="AA42" i="40"/>
  <c r="AC42" i="40"/>
  <c r="AD42" i="40"/>
  <c r="G43" i="40"/>
  <c r="H43" i="40"/>
  <c r="I43" i="40"/>
  <c r="N43" i="40" s="1"/>
  <c r="W43" i="40" s="1"/>
  <c r="O43" i="40"/>
  <c r="P43" i="40" s="1"/>
  <c r="V43" i="40" s="1"/>
  <c r="R43" i="40"/>
  <c r="S43" i="40"/>
  <c r="U43" i="40"/>
  <c r="Y43" i="40"/>
  <c r="Z43" i="40"/>
  <c r="AB43" i="40" s="1"/>
  <c r="AA43" i="40"/>
  <c r="AD43" i="40"/>
  <c r="G45" i="40"/>
  <c r="H45" i="40"/>
  <c r="I45" i="40"/>
  <c r="N45" i="40"/>
  <c r="S45" i="40" s="1"/>
  <c r="P45" i="40"/>
  <c r="R45" i="40" s="1"/>
  <c r="V45" i="40"/>
  <c r="Z45" i="40"/>
  <c r="AA45" i="40" s="1"/>
  <c r="G46" i="40"/>
  <c r="H46" i="40"/>
  <c r="I46" i="40"/>
  <c r="R46" i="40"/>
  <c r="N46" i="40"/>
  <c r="P46" i="40"/>
  <c r="Z46" i="40"/>
  <c r="G47" i="40"/>
  <c r="H47" i="40"/>
  <c r="I47" i="40"/>
  <c r="N47" i="40" s="1"/>
  <c r="P47" i="40"/>
  <c r="Z47" i="40"/>
  <c r="G48" i="40"/>
  <c r="H48" i="40"/>
  <c r="I48" i="40"/>
  <c r="R48" i="40"/>
  <c r="N48" i="40"/>
  <c r="P48" i="40"/>
  <c r="Z48" i="40"/>
  <c r="G49" i="40"/>
  <c r="H49" i="40"/>
  <c r="I49" i="40"/>
  <c r="N49" i="40" s="1"/>
  <c r="U49" i="40" s="1"/>
  <c r="P49" i="40"/>
  <c r="R49" i="40"/>
  <c r="S49" i="40"/>
  <c r="T49" i="40"/>
  <c r="V49" i="40"/>
  <c r="W49" i="40"/>
  <c r="X49" i="40"/>
  <c r="Z49" i="40"/>
  <c r="AC49" i="40" s="1"/>
  <c r="AA49" i="40"/>
  <c r="G50" i="40"/>
  <c r="H50" i="40"/>
  <c r="I50" i="40"/>
  <c r="N50" i="40" s="1"/>
  <c r="U50" i="40" s="1"/>
  <c r="P50" i="40"/>
  <c r="R50" i="40"/>
  <c r="S50" i="40"/>
  <c r="T50" i="40"/>
  <c r="V50" i="40"/>
  <c r="W50" i="40"/>
  <c r="X50" i="40"/>
  <c r="Z50" i="40"/>
  <c r="AB50" i="40" s="1"/>
  <c r="AA50" i="40"/>
  <c r="AD50" i="40"/>
  <c r="G51" i="40"/>
  <c r="H51" i="40"/>
  <c r="I51" i="40"/>
  <c r="N51" i="40" s="1"/>
  <c r="P51" i="40"/>
  <c r="T51" i="40" s="1"/>
  <c r="R51" i="40"/>
  <c r="S51" i="40"/>
  <c r="U51" i="40"/>
  <c r="V51" i="40"/>
  <c r="W51" i="40"/>
  <c r="Y51" i="40"/>
  <c r="Z51" i="40"/>
  <c r="AB51" i="40" s="1"/>
  <c r="AA51" i="40"/>
  <c r="G52" i="40"/>
  <c r="H52" i="40"/>
  <c r="I52" i="40"/>
  <c r="N52" i="40" s="1"/>
  <c r="W52" i="40" s="1"/>
  <c r="P52" i="40"/>
  <c r="V52" i="40" s="1"/>
  <c r="R52" i="40"/>
  <c r="S52" i="40"/>
  <c r="U52" i="40"/>
  <c r="Y52" i="40"/>
  <c r="Z52" i="40"/>
  <c r="AA52" i="40"/>
  <c r="AB52" i="40"/>
  <c r="AC52" i="40"/>
  <c r="AD52" i="40"/>
  <c r="G53" i="40"/>
  <c r="H53" i="40"/>
  <c r="I53" i="40"/>
  <c r="N53" i="40" s="1"/>
  <c r="U53" i="40" s="1"/>
  <c r="P53" i="40"/>
  <c r="V53" i="40" s="1"/>
  <c r="R53" i="40"/>
  <c r="S53" i="40"/>
  <c r="T53" i="40"/>
  <c r="X53" i="40"/>
  <c r="Z53" i="40"/>
  <c r="AA53" i="40"/>
  <c r="AB53" i="40"/>
  <c r="AC53" i="40"/>
  <c r="AD53" i="40"/>
  <c r="G54" i="40"/>
  <c r="H54" i="40"/>
  <c r="I54" i="40"/>
  <c r="N54" i="40" s="1"/>
  <c r="U54" i="40" s="1"/>
  <c r="P54" i="40"/>
  <c r="R54" i="40"/>
  <c r="S54" i="40"/>
  <c r="T54" i="40"/>
  <c r="V54" i="40"/>
  <c r="W54" i="40"/>
  <c r="X54" i="40"/>
  <c r="Z54" i="40"/>
  <c r="AB54" i="40" s="1"/>
  <c r="AA54" i="40"/>
  <c r="AD54" i="40"/>
  <c r="G56" i="40"/>
  <c r="H56" i="40"/>
  <c r="I56" i="40"/>
  <c r="N56" i="40"/>
  <c r="S56" i="40" s="1"/>
  <c r="P56" i="40"/>
  <c r="T56" i="40" s="1"/>
  <c r="R56" i="40"/>
  <c r="U56" i="40"/>
  <c r="Y56" i="40"/>
  <c r="Z56" i="40"/>
  <c r="AA56" i="40" s="1"/>
  <c r="G57" i="40"/>
  <c r="H57" i="40"/>
  <c r="I57" i="40"/>
  <c r="R57" i="40"/>
  <c r="N57" i="40"/>
  <c r="P57" i="40"/>
  <c r="Z57" i="40"/>
  <c r="G58" i="40"/>
  <c r="H58" i="40"/>
  <c r="I58" i="40"/>
  <c r="N58" i="40" s="1"/>
  <c r="P58" i="40"/>
  <c r="Z58" i="40"/>
  <c r="G59" i="40"/>
  <c r="H59" i="40"/>
  <c r="I59" i="40"/>
  <c r="N59" i="40" s="1"/>
  <c r="R59" i="40"/>
  <c r="P59" i="40"/>
  <c r="Z59" i="40"/>
  <c r="G60" i="40"/>
  <c r="H60" i="40"/>
  <c r="I60" i="40"/>
  <c r="N60" i="40" s="1"/>
  <c r="P60" i="40"/>
  <c r="T60" i="40" s="1"/>
  <c r="R60" i="40"/>
  <c r="S60" i="40"/>
  <c r="U60" i="40"/>
  <c r="V60" i="40"/>
  <c r="W60" i="40"/>
  <c r="Y60" i="40"/>
  <c r="Z60" i="40"/>
  <c r="AB60" i="40" s="1"/>
  <c r="AA60" i="40"/>
  <c r="G61" i="40"/>
  <c r="H61" i="40"/>
  <c r="I61" i="40"/>
  <c r="N61" i="40" s="1"/>
  <c r="W61" i="40" s="1"/>
  <c r="P61" i="40"/>
  <c r="V61" i="40" s="1"/>
  <c r="R61" i="40"/>
  <c r="S61" i="40"/>
  <c r="U61" i="40"/>
  <c r="Y61" i="40"/>
  <c r="Z61" i="40"/>
  <c r="AA61" i="40"/>
  <c r="AB61" i="40"/>
  <c r="AC61" i="40"/>
  <c r="AD61" i="40"/>
  <c r="G62" i="40"/>
  <c r="H62" i="40"/>
  <c r="I62" i="40"/>
  <c r="N62" i="40" s="1"/>
  <c r="U62" i="40" s="1"/>
  <c r="P62" i="40"/>
  <c r="V62" i="40" s="1"/>
  <c r="R62" i="40"/>
  <c r="S62" i="40"/>
  <c r="T62" i="40"/>
  <c r="X62" i="40"/>
  <c r="Z62" i="40"/>
  <c r="AA62" i="40"/>
  <c r="AB62" i="40"/>
  <c r="AC62" i="40"/>
  <c r="AD62" i="40"/>
  <c r="G63" i="40"/>
  <c r="H63" i="40"/>
  <c r="I63" i="40"/>
  <c r="N63" i="40" s="1"/>
  <c r="U63" i="40" s="1"/>
  <c r="P63" i="40"/>
  <c r="R63" i="40"/>
  <c r="S63" i="40"/>
  <c r="T63" i="40"/>
  <c r="V63" i="40"/>
  <c r="W63" i="40"/>
  <c r="X63" i="40"/>
  <c r="Z63" i="40"/>
  <c r="AB63" i="40" s="1"/>
  <c r="AA63" i="40"/>
  <c r="G64" i="40"/>
  <c r="H64" i="40"/>
  <c r="I64" i="40"/>
  <c r="N64" i="40" s="1"/>
  <c r="P64" i="40"/>
  <c r="T64" i="40" s="1"/>
  <c r="R64" i="40"/>
  <c r="S64" i="40"/>
  <c r="U64" i="40"/>
  <c r="V64" i="40"/>
  <c r="W64" i="40"/>
  <c r="Y64" i="40"/>
  <c r="Z64" i="40"/>
  <c r="AB64" i="40" s="1"/>
  <c r="AA64" i="40"/>
  <c r="G65" i="40"/>
  <c r="H65" i="40"/>
  <c r="I65" i="40"/>
  <c r="N65" i="40" s="1"/>
  <c r="W65" i="40" s="1"/>
  <c r="P65" i="40"/>
  <c r="V65" i="40" s="1"/>
  <c r="R65" i="40"/>
  <c r="S65" i="40"/>
  <c r="U65" i="40"/>
  <c r="Y65" i="40"/>
  <c r="Z65" i="40"/>
  <c r="AA65" i="40"/>
  <c r="AB65" i="40"/>
  <c r="AC65" i="40"/>
  <c r="AD65" i="40"/>
  <c r="I3" i="39"/>
  <c r="I2" i="39"/>
  <c r="I3" i="36"/>
  <c r="I2" i="36"/>
  <c r="B3" i="39"/>
  <c r="E3" i="39"/>
  <c r="D15" i="39"/>
  <c r="D16" i="39" s="1"/>
  <c r="U8" i="40" l="1"/>
  <c r="W29" i="40"/>
  <c r="U29" i="40"/>
  <c r="Y29" i="40"/>
  <c r="W28" i="40"/>
  <c r="Y28" i="40"/>
  <c r="U28" i="40"/>
  <c r="W21" i="40"/>
  <c r="U21" i="40"/>
  <c r="Y21" i="40"/>
  <c r="W17" i="40"/>
  <c r="U17" i="40"/>
  <c r="Y17" i="40"/>
  <c r="AD60" i="40"/>
  <c r="AD51" i="40"/>
  <c r="Y32" i="40"/>
  <c r="Y31" i="40"/>
  <c r="T27" i="40"/>
  <c r="X27" i="40"/>
  <c r="U10" i="40"/>
  <c r="W10" i="40"/>
  <c r="T65" i="40"/>
  <c r="W62" i="40"/>
  <c r="T61" i="40"/>
  <c r="AC60" i="40"/>
  <c r="T52" i="40"/>
  <c r="AC51" i="40"/>
  <c r="U45" i="40"/>
  <c r="W42" i="40"/>
  <c r="T41" i="40"/>
  <c r="AC39" i="40"/>
  <c r="W38" i="40"/>
  <c r="T28" i="40"/>
  <c r="X28" i="40"/>
  <c r="AD18" i="40"/>
  <c r="Y18" i="40"/>
  <c r="T16" i="40"/>
  <c r="X16" i="40"/>
  <c r="AD14" i="40"/>
  <c r="Y14" i="40"/>
  <c r="Y11" i="40"/>
  <c r="U11" i="40"/>
  <c r="Y10" i="40"/>
  <c r="U9" i="40"/>
  <c r="Y9" i="40"/>
  <c r="AD64" i="40"/>
  <c r="V56" i="40"/>
  <c r="Y30" i="40"/>
  <c r="W23" i="40"/>
  <c r="Y23" i="40"/>
  <c r="X65" i="40"/>
  <c r="AC64" i="40"/>
  <c r="AD63" i="40"/>
  <c r="X61" i="40"/>
  <c r="AD56" i="40"/>
  <c r="W53" i="40"/>
  <c r="X52" i="40"/>
  <c r="AD45" i="40"/>
  <c r="Y45" i="40"/>
  <c r="AC43" i="40"/>
  <c r="T43" i="40"/>
  <c r="AC41" i="40"/>
  <c r="W40" i="40"/>
  <c r="T39" i="40"/>
  <c r="W32" i="40"/>
  <c r="W31" i="40"/>
  <c r="W30" i="40"/>
  <c r="T20" i="40"/>
  <c r="X20" i="40"/>
  <c r="X64" i="40"/>
  <c r="AC63" i="40"/>
  <c r="Y63" i="40"/>
  <c r="X60" i="40"/>
  <c r="AC56" i="40"/>
  <c r="X56" i="40"/>
  <c r="AC54" i="40"/>
  <c r="Y54" i="40"/>
  <c r="X51" i="40"/>
  <c r="AC50" i="40"/>
  <c r="Y50" i="40"/>
  <c r="AD49" i="40"/>
  <c r="Y49" i="40"/>
  <c r="AC45" i="40"/>
  <c r="X45" i="40"/>
  <c r="T45" i="40"/>
  <c r="X43" i="40"/>
  <c r="T42" i="40"/>
  <c r="X42" i="40"/>
  <c r="X41" i="40"/>
  <c r="T40" i="40"/>
  <c r="X40" i="40"/>
  <c r="X39" i="40"/>
  <c r="T38" i="40"/>
  <c r="X38" i="40"/>
  <c r="T29" i="40"/>
  <c r="X29" i="40"/>
  <c r="AD27" i="40"/>
  <c r="Y27" i="40"/>
  <c r="AC23" i="40"/>
  <c r="T21" i="40"/>
  <c r="X21" i="40"/>
  <c r="AD19" i="40"/>
  <c r="Y19" i="40"/>
  <c r="AC18" i="40"/>
  <c r="T17" i="40"/>
  <c r="X17" i="40"/>
  <c r="AD15" i="40"/>
  <c r="Y15" i="40"/>
  <c r="AC14" i="40"/>
  <c r="AB9" i="40"/>
  <c r="AC9" i="40"/>
  <c r="Q44" i="40"/>
  <c r="T19" i="40"/>
  <c r="X19" i="40"/>
  <c r="T15" i="40"/>
  <c r="X15" i="40"/>
  <c r="Y62" i="40"/>
  <c r="AB56" i="40"/>
  <c r="W56" i="40"/>
  <c r="Y53" i="40"/>
  <c r="AB49" i="40"/>
  <c r="AB45" i="40"/>
  <c r="W45" i="40"/>
  <c r="T32" i="40"/>
  <c r="X32" i="40"/>
  <c r="T31" i="40"/>
  <c r="X31" i="40"/>
  <c r="T30" i="40"/>
  <c r="X30" i="40"/>
  <c r="AC27" i="40"/>
  <c r="V27" i="40"/>
  <c r="W26" i="40"/>
  <c r="U26" i="40"/>
  <c r="AD20" i="40"/>
  <c r="Y20" i="40"/>
  <c r="AC19" i="40"/>
  <c r="V19" i="40"/>
  <c r="U18" i="40"/>
  <c r="T18" i="40"/>
  <c r="X18" i="40"/>
  <c r="AD16" i="40"/>
  <c r="Y16" i="40"/>
  <c r="AC15" i="40"/>
  <c r="V15" i="40"/>
  <c r="U14" i="40"/>
  <c r="T14" i="40"/>
  <c r="X14" i="40"/>
  <c r="X13" i="40"/>
  <c r="U13" i="40"/>
  <c r="Y13" i="40"/>
  <c r="X12" i="40"/>
  <c r="U12" i="40"/>
  <c r="Y12" i="40"/>
  <c r="W11" i="40"/>
  <c r="W9" i="40"/>
  <c r="AD13" i="40"/>
  <c r="Y8" i="40"/>
  <c r="AC8" i="40"/>
  <c r="AD8" i="40"/>
  <c r="AB8" i="40"/>
  <c r="X8" i="40"/>
  <c r="V8" i="40"/>
  <c r="T8" i="40"/>
  <c r="X34" i="40"/>
  <c r="T34" i="40"/>
  <c r="AA46" i="40"/>
  <c r="Y46" i="40"/>
  <c r="T37" i="40"/>
  <c r="T36" i="40"/>
  <c r="V35" i="40"/>
  <c r="D28" i="39"/>
  <c r="AA57" i="40"/>
  <c r="Y57" i="40"/>
  <c r="U57" i="40"/>
  <c r="AA48" i="40"/>
  <c r="Y48" i="40"/>
  <c r="U48" i="40"/>
  <c r="AA59" i="40"/>
  <c r="Y59" i="40"/>
  <c r="U59" i="40"/>
  <c r="U46" i="40"/>
  <c r="AC59" i="40"/>
  <c r="W59" i="40"/>
  <c r="S59" i="40"/>
  <c r="AC57" i="40"/>
  <c r="W57" i="40"/>
  <c r="S57" i="40"/>
  <c r="AC48" i="40"/>
  <c r="W48" i="40"/>
  <c r="S48" i="40"/>
  <c r="AC46" i="40"/>
  <c r="W46" i="40"/>
  <c r="S46" i="40"/>
  <c r="AB37" i="40"/>
  <c r="V37" i="40"/>
  <c r="R37" i="40"/>
  <c r="AB36" i="40"/>
  <c r="X36" i="40"/>
  <c r="R36" i="40"/>
  <c r="AB35" i="40"/>
  <c r="X35" i="40"/>
  <c r="R35" i="40"/>
  <c r="AC26" i="40"/>
  <c r="AA26" i="40"/>
  <c r="X26" i="40"/>
  <c r="V26" i="40"/>
  <c r="T26" i="40"/>
  <c r="Y26" i="40"/>
  <c r="AA25" i="40"/>
  <c r="Y25" i="40"/>
  <c r="U25" i="40"/>
  <c r="AC24" i="40"/>
  <c r="AA24" i="40"/>
  <c r="Y24" i="40"/>
  <c r="W24" i="40"/>
  <c r="T24" i="40"/>
  <c r="U24" i="40"/>
  <c r="S44" i="40"/>
  <c r="R23" i="40"/>
  <c r="AD59" i="40"/>
  <c r="AB59" i="40"/>
  <c r="X59" i="40"/>
  <c r="V59" i="40"/>
  <c r="T59" i="40"/>
  <c r="AD57" i="40"/>
  <c r="AB57" i="40"/>
  <c r="X57" i="40"/>
  <c r="V57" i="40"/>
  <c r="T57" i="40"/>
  <c r="AD48" i="40"/>
  <c r="AB48" i="40"/>
  <c r="X48" i="40"/>
  <c r="V48" i="40"/>
  <c r="T48" i="40"/>
  <c r="AD46" i="40"/>
  <c r="AB46" i="40"/>
  <c r="X46" i="40"/>
  <c r="V46" i="40"/>
  <c r="T46" i="40"/>
  <c r="AC37" i="40"/>
  <c r="AA37" i="40"/>
  <c r="Y37" i="40"/>
  <c r="W37" i="40"/>
  <c r="U37" i="40"/>
  <c r="AC36" i="40"/>
  <c r="AA36" i="40"/>
  <c r="Y36" i="40"/>
  <c r="W36" i="40"/>
  <c r="U36" i="40"/>
  <c r="AC35" i="40"/>
  <c r="AA35" i="40"/>
  <c r="Y35" i="40"/>
  <c r="W35" i="40"/>
  <c r="U35" i="40"/>
  <c r="AC34" i="40"/>
  <c r="AA34" i="40"/>
  <c r="Y34" i="40"/>
  <c r="W34" i="40"/>
  <c r="U34" i="40"/>
  <c r="AD25" i="40"/>
  <c r="AB25" i="40"/>
  <c r="X25" i="40"/>
  <c r="V25" i="40"/>
  <c r="T25" i="40"/>
  <c r="AD23" i="40"/>
  <c r="AB23" i="40"/>
  <c r="X23" i="40"/>
  <c r="V23" i="40"/>
  <c r="T23" i="40"/>
  <c r="T11" i="40"/>
  <c r="T9" i="40"/>
  <c r="V44" i="40" l="1"/>
  <c r="J7" i="41" s="1"/>
  <c r="AA44" i="40"/>
  <c r="AB44" i="40"/>
  <c r="W44" i="40"/>
  <c r="J21" i="41" s="1"/>
  <c r="R44" i="40"/>
  <c r="S47" i="40"/>
  <c r="S55" i="40" s="1"/>
  <c r="U47" i="40"/>
  <c r="X47" i="40"/>
  <c r="AB47" i="40"/>
  <c r="AB55" i="40" s="1"/>
  <c r="T47" i="40"/>
  <c r="V47" i="40"/>
  <c r="V55" i="40" s="1"/>
  <c r="AA47" i="40"/>
  <c r="AA55" i="40" s="1"/>
  <c r="R47" i="40"/>
  <c r="R55" i="40" s="1"/>
  <c r="Y47" i="40"/>
  <c r="Y55" i="40" s="1"/>
  <c r="AD47" i="40"/>
  <c r="AD55" i="40" s="1"/>
  <c r="D19" i="41"/>
  <c r="H19" i="41"/>
  <c r="E19" i="41"/>
  <c r="J19" i="41"/>
  <c r="T44" i="40"/>
  <c r="X44" i="40"/>
  <c r="AD44" i="40"/>
  <c r="U44" i="40"/>
  <c r="Y44" i="40"/>
  <c r="AC44" i="40"/>
  <c r="T55" i="40"/>
  <c r="X55" i="40"/>
  <c r="AC47" i="40"/>
  <c r="AC55" i="40" s="1"/>
  <c r="W47" i="40"/>
  <c r="W55" i="40" s="1"/>
  <c r="U55" i="40"/>
  <c r="M3" i="37"/>
  <c r="I4" i="36" s="1"/>
  <c r="M2" i="37"/>
  <c r="K3" i="37"/>
  <c r="K2" i="37"/>
  <c r="D2" i="37"/>
  <c r="B2" i="37"/>
  <c r="E21" i="41" l="1"/>
  <c r="H7" i="41"/>
  <c r="H21" i="41"/>
  <c r="C21" i="41" s="1"/>
  <c r="D21" i="41"/>
  <c r="J5" i="41"/>
  <c r="H5" i="41"/>
  <c r="D11" i="41"/>
  <c r="H11" i="41"/>
  <c r="E11" i="41"/>
  <c r="J11" i="41"/>
  <c r="D23" i="41"/>
  <c r="H23" i="41"/>
  <c r="E23" i="41"/>
  <c r="J23" i="41"/>
  <c r="D24" i="41"/>
  <c r="H24" i="41"/>
  <c r="E24" i="41"/>
  <c r="J24" i="41"/>
  <c r="C24" i="41" s="1"/>
  <c r="D25" i="41"/>
  <c r="H25" i="41"/>
  <c r="E25" i="41"/>
  <c r="J25" i="41"/>
  <c r="D12" i="41"/>
  <c r="H12" i="41"/>
  <c r="E12" i="41"/>
  <c r="J12" i="41"/>
  <c r="C12" i="41" s="1"/>
  <c r="D20" i="41"/>
  <c r="H20" i="41"/>
  <c r="E20" i="41"/>
  <c r="J20" i="41"/>
  <c r="H8" i="41"/>
  <c r="J8" i="41"/>
  <c r="D26" i="41"/>
  <c r="H26" i="41"/>
  <c r="E26" i="41"/>
  <c r="J26" i="41"/>
  <c r="C26" i="41" s="1"/>
  <c r="H9" i="41"/>
  <c r="J9" i="41"/>
  <c r="S58" i="40"/>
  <c r="S66" i="40" s="1"/>
  <c r="U58" i="40"/>
  <c r="U66" i="40" s="1"/>
  <c r="X58" i="40"/>
  <c r="X66" i="40" s="1"/>
  <c r="AB58" i="40"/>
  <c r="AB66" i="40" s="1"/>
  <c r="Y58" i="40"/>
  <c r="Y66" i="40" s="1"/>
  <c r="R58" i="40"/>
  <c r="R66" i="40" s="1"/>
  <c r="T58" i="40"/>
  <c r="T66" i="40" s="1"/>
  <c r="V58" i="40"/>
  <c r="V66" i="40" s="1"/>
  <c r="AA58" i="40"/>
  <c r="AA66" i="40" s="1"/>
  <c r="AD58" i="40"/>
  <c r="AD66" i="40" s="1"/>
  <c r="AC58" i="40"/>
  <c r="AC66" i="40" s="1"/>
  <c r="W58" i="40"/>
  <c r="W66" i="40" s="1"/>
  <c r="D10" i="41"/>
  <c r="H10" i="41"/>
  <c r="E10" i="41"/>
  <c r="J10" i="41"/>
  <c r="C10" i="41" s="1"/>
  <c r="D22" i="41"/>
  <c r="H22" i="41"/>
  <c r="E22" i="41"/>
  <c r="J22" i="41"/>
  <c r="H6" i="41"/>
  <c r="J6" i="41"/>
  <c r="C19" i="41"/>
  <c r="C2" i="38"/>
  <c r="E2" i="38"/>
  <c r="C3" i="38"/>
  <c r="E3" i="38"/>
  <c r="C5" i="38"/>
  <c r="C6" i="38"/>
  <c r="E3" i="37"/>
  <c r="H8" i="37" s="1"/>
  <c r="J1" i="38"/>
  <c r="A1" i="38" s="1"/>
  <c r="I3" i="37"/>
  <c r="N5" i="37"/>
  <c r="AB5" i="37"/>
  <c r="AB6" i="37"/>
  <c r="I7" i="37"/>
  <c r="P7" i="37"/>
  <c r="N7" i="37"/>
  <c r="Q7" i="37"/>
  <c r="R7" i="37"/>
  <c r="S7" i="37"/>
  <c r="T7" i="37"/>
  <c r="U7" i="37"/>
  <c r="V7" i="37"/>
  <c r="AB7" i="37"/>
  <c r="I8" i="37"/>
  <c r="N8" i="37" s="1"/>
  <c r="J8" i="37"/>
  <c r="O8" i="37"/>
  <c r="P8" i="37"/>
  <c r="Q8" i="37"/>
  <c r="R8" i="37"/>
  <c r="S8" i="37"/>
  <c r="T8" i="37"/>
  <c r="U8" i="37"/>
  <c r="V8" i="37"/>
  <c r="AB8" i="37"/>
  <c r="I9" i="37"/>
  <c r="J9" i="37"/>
  <c r="P9" i="37" s="1"/>
  <c r="N9" i="37"/>
  <c r="O9" i="37"/>
  <c r="Q9" i="37"/>
  <c r="R9" i="37"/>
  <c r="R44" i="37" s="1"/>
  <c r="S9" i="37"/>
  <c r="T9" i="37"/>
  <c r="U9" i="37"/>
  <c r="V9" i="37"/>
  <c r="V44" i="37" s="1"/>
  <c r="I10" i="37"/>
  <c r="J10" i="37"/>
  <c r="P10" i="37" s="1"/>
  <c r="N10" i="37"/>
  <c r="Q10" i="37"/>
  <c r="R10" i="37"/>
  <c r="S10" i="37"/>
  <c r="T10" i="37"/>
  <c r="U10" i="37"/>
  <c r="V10" i="37"/>
  <c r="AB10" i="37"/>
  <c r="I11" i="37"/>
  <c r="J11" i="37"/>
  <c r="P11" i="37" s="1"/>
  <c r="N11" i="37"/>
  <c r="Q11" i="37"/>
  <c r="R11" i="37"/>
  <c r="S11" i="37"/>
  <c r="T11" i="37"/>
  <c r="U11" i="37"/>
  <c r="V11" i="37"/>
  <c r="AB11" i="37"/>
  <c r="I12" i="37"/>
  <c r="J12" i="37"/>
  <c r="P12" i="37" s="1"/>
  <c r="N12" i="37"/>
  <c r="Q12" i="37"/>
  <c r="R12" i="37"/>
  <c r="S12" i="37"/>
  <c r="T12" i="37"/>
  <c r="U12" i="37"/>
  <c r="V12" i="37"/>
  <c r="AB12" i="37"/>
  <c r="I13" i="37"/>
  <c r="J13" i="37"/>
  <c r="P13" i="37" s="1"/>
  <c r="N13" i="37"/>
  <c r="Q13" i="37"/>
  <c r="R13" i="37"/>
  <c r="S13" i="37"/>
  <c r="T13" i="37"/>
  <c r="U13" i="37"/>
  <c r="V13" i="37"/>
  <c r="AB13" i="37"/>
  <c r="I14" i="37"/>
  <c r="J14" i="37"/>
  <c r="P14" i="37" s="1"/>
  <c r="N14" i="37"/>
  <c r="Q14" i="37"/>
  <c r="R14" i="37"/>
  <c r="S14" i="37"/>
  <c r="T14" i="37"/>
  <c r="U14" i="37"/>
  <c r="V14" i="37"/>
  <c r="AB14" i="37"/>
  <c r="I15" i="37"/>
  <c r="J15" i="37"/>
  <c r="P15" i="37" s="1"/>
  <c r="N15" i="37"/>
  <c r="Q15" i="37"/>
  <c r="R15" i="37"/>
  <c r="S15" i="37"/>
  <c r="T15" i="37"/>
  <c r="U15" i="37"/>
  <c r="V15" i="37"/>
  <c r="AB15" i="37"/>
  <c r="I16" i="37"/>
  <c r="J16" i="37"/>
  <c r="P16" i="37" s="1"/>
  <c r="N16" i="37"/>
  <c r="Q16" i="37"/>
  <c r="R16" i="37"/>
  <c r="S16" i="37"/>
  <c r="T16" i="37"/>
  <c r="U16" i="37"/>
  <c r="V16" i="37"/>
  <c r="AB16" i="37"/>
  <c r="I17" i="37"/>
  <c r="J17" i="37"/>
  <c r="P17" i="37" s="1"/>
  <c r="N17" i="37"/>
  <c r="Q17" i="37"/>
  <c r="R17" i="37"/>
  <c r="S17" i="37"/>
  <c r="T17" i="37"/>
  <c r="U17" i="37"/>
  <c r="V17" i="37"/>
  <c r="AB17" i="37"/>
  <c r="I18" i="37"/>
  <c r="J18" i="37"/>
  <c r="P18" i="37" s="1"/>
  <c r="N18" i="37"/>
  <c r="Q18" i="37"/>
  <c r="R18" i="37"/>
  <c r="S18" i="37"/>
  <c r="T18" i="37"/>
  <c r="U18" i="37"/>
  <c r="V18" i="37"/>
  <c r="AB18" i="37"/>
  <c r="I19" i="37"/>
  <c r="J19" i="37"/>
  <c r="P19" i="37" s="1"/>
  <c r="N19" i="37"/>
  <c r="Q19" i="37"/>
  <c r="R19" i="37"/>
  <c r="S19" i="37"/>
  <c r="T19" i="37"/>
  <c r="U19" i="37"/>
  <c r="V19" i="37"/>
  <c r="I20" i="37"/>
  <c r="N20" i="37" s="1"/>
  <c r="J20" i="37"/>
  <c r="O20" i="37"/>
  <c r="P20" i="37"/>
  <c r="Q20" i="37"/>
  <c r="R20" i="37"/>
  <c r="S20" i="37"/>
  <c r="T20" i="37"/>
  <c r="U20" i="37"/>
  <c r="V20" i="37"/>
  <c r="I21" i="37"/>
  <c r="N21" i="37" s="1"/>
  <c r="J21" i="37"/>
  <c r="P21" i="37" s="1"/>
  <c r="Q21" i="37"/>
  <c r="R21" i="37"/>
  <c r="S21" i="37"/>
  <c r="T21" i="37"/>
  <c r="U21" i="37"/>
  <c r="V21" i="37"/>
  <c r="AB21" i="37"/>
  <c r="I22" i="37"/>
  <c r="J22" i="37"/>
  <c r="P22" i="37" s="1"/>
  <c r="N22" i="37"/>
  <c r="Q22" i="37"/>
  <c r="R22" i="37"/>
  <c r="S22" i="37"/>
  <c r="T22" i="37"/>
  <c r="U22" i="37"/>
  <c r="V22" i="37"/>
  <c r="AB22" i="37"/>
  <c r="I23" i="37"/>
  <c r="J23" i="37"/>
  <c r="P23" i="37" s="1"/>
  <c r="N23" i="37"/>
  <c r="O23" i="37"/>
  <c r="Q23" i="37"/>
  <c r="R23" i="37"/>
  <c r="S23" i="37"/>
  <c r="T23" i="37"/>
  <c r="U23" i="37"/>
  <c r="V23" i="37"/>
  <c r="AB23" i="37"/>
  <c r="I24" i="37"/>
  <c r="N24" i="37" s="1"/>
  <c r="J24" i="37"/>
  <c r="P24" i="37" s="1"/>
  <c r="O24" i="37"/>
  <c r="Q24" i="37"/>
  <c r="R24" i="37"/>
  <c r="S24" i="37"/>
  <c r="T24" i="37"/>
  <c r="U24" i="37"/>
  <c r="V24" i="37"/>
  <c r="AB24" i="37"/>
  <c r="I25" i="37"/>
  <c r="N25" i="37" s="1"/>
  <c r="J25" i="37"/>
  <c r="P25" i="37" s="1"/>
  <c r="Q25" i="37"/>
  <c r="R25" i="37"/>
  <c r="S25" i="37"/>
  <c r="T25" i="37"/>
  <c r="U25" i="37"/>
  <c r="V25" i="37"/>
  <c r="I26" i="37"/>
  <c r="J26" i="37"/>
  <c r="P26" i="37" s="1"/>
  <c r="N26" i="37"/>
  <c r="Q26" i="37"/>
  <c r="R26" i="37"/>
  <c r="S26" i="37"/>
  <c r="T26" i="37"/>
  <c r="U26" i="37"/>
  <c r="V26" i="37"/>
  <c r="AB26" i="37"/>
  <c r="S27" i="37"/>
  <c r="AB27" i="37"/>
  <c r="H28" i="37"/>
  <c r="I28" i="37"/>
  <c r="J28" i="37"/>
  <c r="N28" i="37"/>
  <c r="O28" i="37"/>
  <c r="P28" i="37"/>
  <c r="Q28" i="37"/>
  <c r="R28" i="37"/>
  <c r="S28" i="37"/>
  <c r="T28" i="37"/>
  <c r="V28" i="37"/>
  <c r="AB28" i="37"/>
  <c r="G29" i="37"/>
  <c r="I29" i="37"/>
  <c r="J29" i="37"/>
  <c r="P29" i="37" s="1"/>
  <c r="N29" i="37"/>
  <c r="O29" i="37"/>
  <c r="Q29" i="37"/>
  <c r="R29" i="37"/>
  <c r="S29" i="37"/>
  <c r="T29" i="37"/>
  <c r="V29" i="37"/>
  <c r="AB29" i="37"/>
  <c r="I30" i="37"/>
  <c r="N30" i="37" s="1"/>
  <c r="J30" i="37"/>
  <c r="O30" i="37"/>
  <c r="P30" i="37"/>
  <c r="Q30" i="37"/>
  <c r="R30" i="37"/>
  <c r="S30" i="37"/>
  <c r="T30" i="37"/>
  <c r="V30" i="37"/>
  <c r="AB30" i="37"/>
  <c r="I31" i="37"/>
  <c r="N31" i="37" s="1"/>
  <c r="J31" i="37"/>
  <c r="P31" i="37" s="1"/>
  <c r="O31" i="37"/>
  <c r="Q31" i="37"/>
  <c r="R31" i="37"/>
  <c r="S31" i="37"/>
  <c r="T31" i="37"/>
  <c r="V31" i="37"/>
  <c r="AB31" i="37"/>
  <c r="I32" i="37"/>
  <c r="N32" i="37" s="1"/>
  <c r="J32" i="37"/>
  <c r="O32" i="37" s="1"/>
  <c r="Q32" i="37"/>
  <c r="R32" i="37"/>
  <c r="S32" i="37"/>
  <c r="T32" i="37"/>
  <c r="V32" i="37"/>
  <c r="AB32" i="37"/>
  <c r="I33" i="37"/>
  <c r="J33" i="37"/>
  <c r="P33" i="37" s="1"/>
  <c r="N33" i="37"/>
  <c r="Q33" i="37"/>
  <c r="R33" i="37"/>
  <c r="S33" i="37"/>
  <c r="T33" i="37"/>
  <c r="V33" i="37"/>
  <c r="AB33" i="37"/>
  <c r="I34" i="37"/>
  <c r="J34" i="37"/>
  <c r="P34" i="37" s="1"/>
  <c r="N34" i="37"/>
  <c r="Q34" i="37"/>
  <c r="R34" i="37"/>
  <c r="S34" i="37"/>
  <c r="T34" i="37"/>
  <c r="V34" i="37"/>
  <c r="AB34" i="37"/>
  <c r="I35" i="37"/>
  <c r="J35" i="37"/>
  <c r="P35" i="37" s="1"/>
  <c r="N35" i="37"/>
  <c r="Q35" i="37"/>
  <c r="R35" i="37"/>
  <c r="S35" i="37"/>
  <c r="T35" i="37"/>
  <c r="V35" i="37"/>
  <c r="AB35" i="37"/>
  <c r="H36" i="37"/>
  <c r="I36" i="37"/>
  <c r="J36" i="37"/>
  <c r="N36" i="37"/>
  <c r="O36" i="37"/>
  <c r="P36" i="37"/>
  <c r="Q36" i="37"/>
  <c r="R36" i="37"/>
  <c r="S36" i="37"/>
  <c r="T36" i="37"/>
  <c r="V36" i="37"/>
  <c r="AB36" i="37"/>
  <c r="G37" i="37"/>
  <c r="I37" i="37"/>
  <c r="J37" i="37"/>
  <c r="P37" i="37" s="1"/>
  <c r="N37" i="37"/>
  <c r="O37" i="37"/>
  <c r="Q37" i="37"/>
  <c r="R37" i="37"/>
  <c r="S37" i="37"/>
  <c r="T37" i="37"/>
  <c r="V37" i="37"/>
  <c r="AB37" i="37"/>
  <c r="S38" i="37"/>
  <c r="AB38" i="37"/>
  <c r="G39" i="37"/>
  <c r="I39" i="37"/>
  <c r="J39" i="37"/>
  <c r="P39" i="37" s="1"/>
  <c r="N39" i="37"/>
  <c r="O39" i="37"/>
  <c r="Q39" i="37"/>
  <c r="R39" i="37"/>
  <c r="S39" i="37"/>
  <c r="T39" i="37"/>
  <c r="U39" i="37"/>
  <c r="V39" i="37"/>
  <c r="AB39" i="37"/>
  <c r="G40" i="37"/>
  <c r="I40" i="37"/>
  <c r="J40" i="37"/>
  <c r="O40" i="37" s="1"/>
  <c r="N40" i="37"/>
  <c r="Q40" i="37"/>
  <c r="R40" i="37"/>
  <c r="S40" i="37"/>
  <c r="T40" i="37"/>
  <c r="U40" i="37"/>
  <c r="V40" i="37"/>
  <c r="AB40" i="37"/>
  <c r="G41" i="37"/>
  <c r="I41" i="37"/>
  <c r="N41" i="37" s="1"/>
  <c r="J41" i="37"/>
  <c r="O41" i="37" s="1"/>
  <c r="P41" i="37"/>
  <c r="Q41" i="37"/>
  <c r="R41" i="37"/>
  <c r="S41" i="37"/>
  <c r="T41" i="37"/>
  <c r="U41" i="37"/>
  <c r="V41" i="37"/>
  <c r="AB41" i="37"/>
  <c r="G42" i="37"/>
  <c r="I42" i="37"/>
  <c r="N42" i="37" s="1"/>
  <c r="J42" i="37"/>
  <c r="O42" i="37"/>
  <c r="P42" i="37"/>
  <c r="Q42" i="37"/>
  <c r="R42" i="37"/>
  <c r="S42" i="37"/>
  <c r="T42" i="37"/>
  <c r="U42" i="37"/>
  <c r="V42" i="37"/>
  <c r="AB42" i="37"/>
  <c r="G43" i="37"/>
  <c r="I43" i="37"/>
  <c r="J43" i="37"/>
  <c r="P43" i="37" s="1"/>
  <c r="N43" i="37"/>
  <c r="O43" i="37"/>
  <c r="Q43" i="37"/>
  <c r="R43" i="37"/>
  <c r="S43" i="37"/>
  <c r="T43" i="37"/>
  <c r="U43" i="37"/>
  <c r="V43" i="37"/>
  <c r="V48" i="37"/>
  <c r="T48" i="37" s="1"/>
  <c r="G10" i="37" s="1"/>
  <c r="V49" i="37"/>
  <c r="V50" i="37"/>
  <c r="V51" i="37"/>
  <c r="B2" i="36"/>
  <c r="E2" i="36"/>
  <c r="B3" i="36"/>
  <c r="E3" i="36"/>
  <c r="B4" i="36"/>
  <c r="E4" i="36"/>
  <c r="D15" i="36"/>
  <c r="D16" i="36"/>
  <c r="D28" i="36"/>
  <c r="C22" i="41" l="1"/>
  <c r="C20" i="41"/>
  <c r="S44" i="37"/>
  <c r="O35" i="37"/>
  <c r="H35" i="37"/>
  <c r="O34" i="37"/>
  <c r="G34" i="37"/>
  <c r="O26" i="37"/>
  <c r="H26" i="37"/>
  <c r="O22" i="37"/>
  <c r="O19" i="37"/>
  <c r="H19" i="37"/>
  <c r="O18" i="37"/>
  <c r="H18" i="37"/>
  <c r="O17" i="37"/>
  <c r="H17" i="37"/>
  <c r="O16" i="37"/>
  <c r="H16" i="37"/>
  <c r="O15" i="37"/>
  <c r="H15" i="37"/>
  <c r="O14" i="37"/>
  <c r="H14" i="37"/>
  <c r="O13" i="37"/>
  <c r="H13" i="37"/>
  <c r="O12" i="37"/>
  <c r="H12" i="37"/>
  <c r="O11" i="37"/>
  <c r="H11" i="37"/>
  <c r="O10" i="37"/>
  <c r="H10" i="37"/>
  <c r="H9" i="37"/>
  <c r="P40" i="37"/>
  <c r="H31" i="37"/>
  <c r="G30" i="37"/>
  <c r="P32" i="37"/>
  <c r="O33" i="37"/>
  <c r="G33" i="37"/>
  <c r="H32" i="37"/>
  <c r="O25" i="37"/>
  <c r="O21" i="37"/>
  <c r="Q44" i="37"/>
  <c r="H7" i="37"/>
  <c r="N44" i="37"/>
  <c r="T44" i="37"/>
  <c r="U44" i="37"/>
  <c r="D9" i="38" s="1"/>
  <c r="S48" i="37"/>
  <c r="S49" i="37"/>
  <c r="D5" i="38" s="1"/>
  <c r="O7" i="37"/>
  <c r="D14" i="41"/>
  <c r="H14" i="41"/>
  <c r="E14" i="41"/>
  <c r="J14" i="41"/>
  <c r="D30" i="41"/>
  <c r="H30" i="41"/>
  <c r="E30" i="41"/>
  <c r="J30" i="41"/>
  <c r="D16" i="41"/>
  <c r="H16" i="41"/>
  <c r="E16" i="41"/>
  <c r="J16" i="41"/>
  <c r="D27" i="41"/>
  <c r="H27" i="41"/>
  <c r="E27" i="41"/>
  <c r="J27" i="41"/>
  <c r="D29" i="41"/>
  <c r="H29" i="41"/>
  <c r="E29" i="41"/>
  <c r="J29" i="41"/>
  <c r="D15" i="41"/>
  <c r="H15" i="41"/>
  <c r="E15" i="41"/>
  <c r="J15" i="41"/>
  <c r="D13" i="41"/>
  <c r="H13" i="41"/>
  <c r="E13" i="41"/>
  <c r="J13" i="41"/>
  <c r="D28" i="41"/>
  <c r="H28" i="41"/>
  <c r="E28" i="41"/>
  <c r="J28" i="41"/>
  <c r="C25" i="41"/>
  <c r="C23" i="41"/>
  <c r="C11" i="41"/>
  <c r="H37" i="37"/>
  <c r="G36" i="37"/>
  <c r="G35" i="37"/>
  <c r="H34" i="37"/>
  <c r="H33" i="37"/>
  <c r="G32" i="37"/>
  <c r="G31" i="37"/>
  <c r="H30" i="37"/>
  <c r="H29" i="37"/>
  <c r="G28" i="37"/>
  <c r="H25" i="37"/>
  <c r="H24" i="37"/>
  <c r="H23" i="37"/>
  <c r="H22" i="37"/>
  <c r="H21" i="37"/>
  <c r="H20" i="37"/>
  <c r="P44" i="37"/>
  <c r="N46" i="37" s="1"/>
  <c r="D6" i="38" s="1"/>
  <c r="D7" i="38" s="1"/>
  <c r="G26" i="37"/>
  <c r="G20" i="37"/>
  <c r="G9" i="37"/>
  <c r="G8" i="37"/>
  <c r="G7" i="37"/>
  <c r="H43" i="37"/>
  <c r="H42" i="37"/>
  <c r="H41" i="37"/>
  <c r="H40" i="37"/>
  <c r="H39" i="37"/>
  <c r="G25" i="37"/>
  <c r="G24" i="37"/>
  <c r="G23" i="37"/>
  <c r="G22" i="37"/>
  <c r="G21" i="37"/>
  <c r="G19" i="37"/>
  <c r="G18" i="37"/>
  <c r="G17" i="37"/>
  <c r="G16" i="37"/>
  <c r="G15" i="37"/>
  <c r="G14" i="37"/>
  <c r="G13" i="37"/>
  <c r="G12" i="37"/>
  <c r="G11" i="37"/>
  <c r="C28" i="41" l="1"/>
  <c r="C16" i="41"/>
  <c r="C30" i="41"/>
  <c r="C14" i="41"/>
  <c r="O44" i="37"/>
  <c r="D8" i="38" s="1"/>
  <c r="D10" i="38" s="1"/>
  <c r="C13" i="41"/>
  <c r="C15" i="41"/>
  <c r="C29" i="41"/>
  <c r="C27" i="41"/>
  <c r="I43" i="15"/>
  <c r="I39" i="15"/>
  <c r="I46" i="35"/>
  <c r="I41" i="35"/>
  <c r="I34" i="35"/>
  <c r="I28" i="35"/>
  <c r="I22" i="35"/>
  <c r="I17" i="35"/>
  <c r="I12" i="35"/>
  <c r="I45" i="35"/>
  <c r="I40" i="35"/>
  <c r="I33" i="35"/>
  <c r="I27" i="35"/>
  <c r="I21" i="35"/>
  <c r="I16" i="35"/>
  <c r="I11" i="35"/>
  <c r="I33" i="15"/>
  <c r="I28" i="15"/>
  <c r="I23" i="15"/>
  <c r="I19" i="15"/>
  <c r="I15" i="15"/>
  <c r="I11" i="15"/>
  <c r="J32" i="4"/>
  <c r="J109" i="4"/>
  <c r="AY36" i="2"/>
  <c r="AY37" i="2"/>
  <c r="AY38" i="2"/>
  <c r="AY39" i="2"/>
  <c r="AY40" i="2"/>
  <c r="AY41" i="2"/>
  <c r="AY42" i="2"/>
  <c r="AY43" i="2"/>
  <c r="AY44" i="2"/>
  <c r="AY45" i="2"/>
  <c r="AY35" i="2"/>
  <c r="N6" i="34"/>
  <c r="N7" i="34"/>
  <c r="N8" i="34"/>
  <c r="N9" i="34"/>
  <c r="N10" i="34"/>
  <c r="N11" i="34"/>
  <c r="N12" i="34"/>
  <c r="E4" i="12"/>
  <c r="B4" i="12"/>
  <c r="I4" i="12"/>
  <c r="E2" i="12"/>
  <c r="C53" i="4"/>
  <c r="C52" i="4"/>
  <c r="C51" i="4"/>
  <c r="AU36" i="2"/>
  <c r="AU37" i="2"/>
  <c r="AU38" i="2"/>
  <c r="AU39" i="2"/>
  <c r="AU40" i="2"/>
  <c r="AU41" i="2"/>
  <c r="AU42" i="2"/>
  <c r="AU43" i="2"/>
  <c r="AU44" i="2"/>
  <c r="AU45" i="2"/>
  <c r="AU35" i="2"/>
  <c r="AT36" i="2"/>
  <c r="AT37" i="2"/>
  <c r="AT38" i="2"/>
  <c r="AT39" i="2"/>
  <c r="AT40" i="2"/>
  <c r="AT41" i="2"/>
  <c r="AT42" i="2"/>
  <c r="AT43" i="2"/>
  <c r="AT44" i="2"/>
  <c r="AT45" i="2"/>
  <c r="AT35" i="2"/>
  <c r="AS36" i="2"/>
  <c r="AS37" i="2"/>
  <c r="AS38" i="2"/>
  <c r="AS39" i="2"/>
  <c r="AS40" i="2"/>
  <c r="AS41" i="2"/>
  <c r="AS42" i="2"/>
  <c r="AS43" i="2"/>
  <c r="AS44" i="2"/>
  <c r="AS45" i="2"/>
  <c r="AR36" i="2"/>
  <c r="AR37" i="2"/>
  <c r="AR38" i="2"/>
  <c r="AR39" i="2"/>
  <c r="AR40" i="2"/>
  <c r="AR41" i="2"/>
  <c r="AR42" i="2"/>
  <c r="AR43" i="2"/>
  <c r="AR44" i="2"/>
  <c r="AR45" i="2"/>
  <c r="AS35" i="2"/>
  <c r="AR35" i="2"/>
  <c r="AN12" i="2"/>
  <c r="E3" i="4"/>
  <c r="E2" i="4"/>
  <c r="I4" i="42" l="1"/>
  <c r="I4" i="39"/>
  <c r="B4" i="42"/>
  <c r="B4" i="39"/>
  <c r="E4" i="42"/>
  <c r="E4" i="39"/>
  <c r="E2" i="42"/>
  <c r="E2" i="39"/>
  <c r="C4" i="15"/>
  <c r="A4" i="15"/>
  <c r="K2" i="15"/>
  <c r="C3" i="15"/>
  <c r="C2" i="15"/>
  <c r="E75" i="4"/>
  <c r="C3" i="4"/>
  <c r="C2" i="35" s="1"/>
  <c r="L3" i="34"/>
  <c r="K2" i="35" s="1"/>
  <c r="G4" i="35"/>
  <c r="G3" i="35"/>
  <c r="C4" i="35"/>
  <c r="I204" i="35"/>
  <c r="I203" i="35"/>
  <c r="I202" i="35"/>
  <c r="I201" i="35"/>
  <c r="I200" i="35"/>
  <c r="I199" i="35"/>
  <c r="I198" i="35"/>
  <c r="I197" i="35"/>
  <c r="I196" i="35"/>
  <c r="I195" i="35"/>
  <c r="I194" i="35"/>
  <c r="I193" i="35"/>
  <c r="I192" i="35"/>
  <c r="I191" i="35"/>
  <c r="I190" i="35"/>
  <c r="I189" i="35"/>
  <c r="I188" i="35"/>
  <c r="I187" i="35"/>
  <c r="I186" i="35"/>
  <c r="I185" i="35"/>
  <c r="I184" i="35"/>
  <c r="I183" i="35"/>
  <c r="I182" i="35"/>
  <c r="I181" i="35"/>
  <c r="I180" i="35"/>
  <c r="I179" i="35"/>
  <c r="I178" i="35"/>
  <c r="I177" i="35"/>
  <c r="I176" i="35"/>
  <c r="I175" i="35"/>
  <c r="I174" i="35"/>
  <c r="I173" i="35"/>
  <c r="I172" i="35"/>
  <c r="I171" i="35"/>
  <c r="I170" i="35"/>
  <c r="I169" i="35"/>
  <c r="I168" i="35"/>
  <c r="I167" i="35"/>
  <c r="I166" i="35"/>
  <c r="I165" i="35"/>
  <c r="I164" i="35"/>
  <c r="I163" i="35"/>
  <c r="I162" i="35"/>
  <c r="I161" i="35"/>
  <c r="I160" i="35"/>
  <c r="I159" i="35"/>
  <c r="I158" i="35"/>
  <c r="I157" i="35"/>
  <c r="I156" i="35"/>
  <c r="I155" i="35"/>
  <c r="I154" i="35"/>
  <c r="I153" i="35"/>
  <c r="I152" i="35"/>
  <c r="I151" i="35"/>
  <c r="I150" i="35"/>
  <c r="I149" i="35"/>
  <c r="I148" i="35"/>
  <c r="I147" i="35"/>
  <c r="I146" i="35"/>
  <c r="I145" i="35"/>
  <c r="I144" i="35"/>
  <c r="I143" i="35"/>
  <c r="I142" i="35"/>
  <c r="I141" i="35"/>
  <c r="I138" i="35"/>
  <c r="I137" i="35"/>
  <c r="I135" i="35"/>
  <c r="I134" i="35"/>
  <c r="I132" i="35"/>
  <c r="I131" i="35"/>
  <c r="I128" i="35"/>
  <c r="I126" i="35"/>
  <c r="I125" i="35"/>
  <c r="I124" i="35"/>
  <c r="I123" i="35"/>
  <c r="I121" i="35"/>
  <c r="I120" i="35"/>
  <c r="I119" i="35"/>
  <c r="I115" i="35"/>
  <c r="I114" i="35"/>
  <c r="I113" i="35"/>
  <c r="I112" i="35"/>
  <c r="I111" i="35"/>
  <c r="I110" i="35"/>
  <c r="I107" i="35"/>
  <c r="I106" i="35"/>
  <c r="I105" i="35"/>
  <c r="I104" i="35"/>
  <c r="I103" i="35"/>
  <c r="I102" i="35"/>
  <c r="I101" i="35"/>
  <c r="I100" i="35"/>
  <c r="I99" i="35"/>
  <c r="I98" i="35"/>
  <c r="I97" i="35"/>
  <c r="I96" i="35"/>
  <c r="I95" i="35"/>
  <c r="I94" i="35"/>
  <c r="I93" i="35"/>
  <c r="I92" i="35"/>
  <c r="I91" i="35"/>
  <c r="I90" i="35"/>
  <c r="I89" i="35"/>
  <c r="I88" i="35"/>
  <c r="I87" i="35"/>
  <c r="I86" i="35"/>
  <c r="I85" i="35"/>
  <c r="I84" i="35"/>
  <c r="I80" i="35"/>
  <c r="I78" i="35"/>
  <c r="I77" i="35"/>
  <c r="I76" i="35"/>
  <c r="I74" i="35"/>
  <c r="I73" i="35"/>
  <c r="I72" i="35"/>
  <c r="I70" i="35"/>
  <c r="I69" i="35"/>
  <c r="I68" i="35"/>
  <c r="I66" i="35"/>
  <c r="I65" i="35"/>
  <c r="I64" i="35"/>
  <c r="I62" i="35"/>
  <c r="I61" i="35"/>
  <c r="I60" i="35"/>
  <c r="I58" i="35"/>
  <c r="I57" i="35"/>
  <c r="I56" i="35"/>
  <c r="I54" i="35"/>
  <c r="I53" i="35"/>
  <c r="I52" i="35"/>
  <c r="I50" i="35"/>
  <c r="I49" i="35"/>
  <c r="I44" i="35"/>
  <c r="I43" i="35"/>
  <c r="I42" i="35"/>
  <c r="I39" i="35"/>
  <c r="I38" i="35"/>
  <c r="I37" i="35"/>
  <c r="I31" i="35"/>
  <c r="I30" i="35"/>
  <c r="I29" i="35"/>
  <c r="I25" i="35"/>
  <c r="I24" i="35"/>
  <c r="I23" i="35"/>
  <c r="I20" i="35"/>
  <c r="I19" i="35"/>
  <c r="I18" i="35"/>
  <c r="I15" i="35"/>
  <c r="I14" i="35"/>
  <c r="I13" i="35"/>
  <c r="I10" i="35"/>
  <c r="I9" i="35"/>
  <c r="I8" i="35"/>
  <c r="A4" i="35"/>
  <c r="D22" i="4" l="1"/>
  <c r="D21" i="4"/>
  <c r="C26" i="4"/>
  <c r="U4" i="34"/>
  <c r="B18" i="34" s="1"/>
  <c r="X4" i="34"/>
  <c r="W4" i="34"/>
  <c r="C27" i="4" s="1"/>
  <c r="V4" i="34"/>
  <c r="J20" i="4"/>
  <c r="J21" i="4"/>
  <c r="C21" i="4" s="1"/>
  <c r="J22" i="4"/>
  <c r="C22" i="4" s="1"/>
  <c r="J19" i="4"/>
  <c r="AX36" i="2"/>
  <c r="AX37" i="2"/>
  <c r="AX38" i="2"/>
  <c r="AX39" i="2"/>
  <c r="AX40" i="2"/>
  <c r="AX41" i="2"/>
  <c r="AX42" i="2"/>
  <c r="AX43" i="2"/>
  <c r="AX44" i="2"/>
  <c r="AX45" i="2"/>
  <c r="AX35" i="2"/>
  <c r="AZ36" i="2"/>
  <c r="AZ37" i="2"/>
  <c r="AZ38" i="2"/>
  <c r="AZ39" i="2"/>
  <c r="AZ40" i="2"/>
  <c r="AZ41" i="2"/>
  <c r="AZ42" i="2"/>
  <c r="AZ43" i="2"/>
  <c r="AZ44" i="2"/>
  <c r="AZ45" i="2"/>
  <c r="AZ35" i="2"/>
  <c r="AW36" i="2"/>
  <c r="AW37" i="2"/>
  <c r="AW38" i="2"/>
  <c r="AW39" i="2"/>
  <c r="AW40" i="2"/>
  <c r="AW41" i="2"/>
  <c r="AW42" i="2"/>
  <c r="AW43" i="2"/>
  <c r="AW44" i="2"/>
  <c r="AW45" i="2"/>
  <c r="AW35" i="2"/>
  <c r="AV36" i="2"/>
  <c r="AV37" i="2"/>
  <c r="AV38" i="2"/>
  <c r="AV39" i="2"/>
  <c r="AV40" i="2"/>
  <c r="AV41" i="2"/>
  <c r="AV42" i="2"/>
  <c r="AV43" i="2"/>
  <c r="AV44" i="2"/>
  <c r="AV45" i="2"/>
  <c r="AV35" i="2"/>
  <c r="AX46" i="2" l="1"/>
  <c r="AZ46" i="2"/>
  <c r="AZ47" i="2"/>
  <c r="AV46" i="2"/>
  <c r="AT46" i="2"/>
  <c r="AY46" i="2"/>
  <c r="AS46" i="2"/>
  <c r="AU46" i="2"/>
  <c r="AW46" i="2"/>
  <c r="AR46" i="2"/>
  <c r="H23" i="4"/>
  <c r="C23" i="4" s="1"/>
  <c r="B19" i="34"/>
  <c r="H24" i="4" s="1"/>
  <c r="C24" i="4" s="1"/>
  <c r="B20" i="34"/>
  <c r="H25" i="4" s="1"/>
  <c r="C25" i="4" s="1"/>
  <c r="D20" i="4"/>
  <c r="D19" i="4"/>
  <c r="G4" i="15"/>
  <c r="G3" i="15"/>
  <c r="E43" i="4" l="1"/>
  <c r="D43" i="4"/>
  <c r="C43" i="4"/>
  <c r="BF3" i="2"/>
  <c r="BE3" i="2"/>
  <c r="BD3" i="2"/>
  <c r="F32" i="4"/>
  <c r="J101" i="4"/>
  <c r="N5" i="34"/>
  <c r="C18" i="34"/>
  <c r="D18" i="34"/>
  <c r="G12" i="34"/>
  <c r="Q6" i="34"/>
  <c r="Q7" i="34"/>
  <c r="Q8" i="34"/>
  <c r="Q5" i="34"/>
  <c r="D25" i="4"/>
  <c r="D24" i="4"/>
  <c r="D23" i="4"/>
  <c r="D19" i="34"/>
  <c r="D20" i="34"/>
  <c r="C19" i="34"/>
  <c r="C20" i="34"/>
  <c r="B13" i="34"/>
  <c r="G6" i="34"/>
  <c r="G7" i="34"/>
  <c r="G8" i="34"/>
  <c r="G9" i="34"/>
  <c r="G10" i="34"/>
  <c r="G11" i="34"/>
  <c r="G5" i="34"/>
  <c r="C107" i="4" l="1"/>
  <c r="C96" i="4" l="1"/>
  <c r="C93" i="4"/>
  <c r="BC3" i="2"/>
  <c r="BB3" i="2"/>
  <c r="C6" i="4" s="1"/>
  <c r="AZ3" i="2"/>
  <c r="BA3" i="2"/>
  <c r="AN5" i="2"/>
  <c r="AM5" i="2"/>
  <c r="AL5" i="2"/>
  <c r="D2" i="34" l="1"/>
  <c r="K25" i="34"/>
  <c r="P10" i="34" s="1"/>
  <c r="J25" i="34"/>
  <c r="K24" i="34"/>
  <c r="P9" i="34" s="1"/>
  <c r="J24" i="34"/>
  <c r="K23" i="34"/>
  <c r="P8" i="34" s="1"/>
  <c r="J23" i="34"/>
  <c r="K22" i="34"/>
  <c r="P7" i="34" s="1"/>
  <c r="J22" i="34"/>
  <c r="K21" i="34"/>
  <c r="P6" i="34" s="1"/>
  <c r="J21" i="34"/>
  <c r="K20" i="34"/>
  <c r="J20" i="34"/>
  <c r="P4" i="34"/>
  <c r="O4" i="34"/>
  <c r="N4" i="34"/>
  <c r="L2" i="34"/>
  <c r="K3" i="35" s="1"/>
  <c r="J2" i="34"/>
  <c r="J3" i="34"/>
  <c r="D3" i="34"/>
  <c r="B2" i="34"/>
  <c r="AI46" i="2"/>
  <c r="AD46" i="2"/>
  <c r="Y46" i="2"/>
  <c r="T46" i="2"/>
  <c r="O46" i="2"/>
  <c r="J46" i="2"/>
  <c r="E46" i="2"/>
  <c r="AI33" i="2"/>
  <c r="AI21" i="2"/>
  <c r="O21" i="2"/>
  <c r="C54" i="4"/>
  <c r="AI47" i="2" l="1"/>
  <c r="P5" i="34"/>
  <c r="M33" i="4" s="1"/>
  <c r="C109" i="4"/>
  <c r="C105" i="4"/>
  <c r="C101" i="4"/>
  <c r="C32" i="4"/>
  <c r="C20" i="4"/>
  <c r="C19" i="4"/>
  <c r="C75" i="4" l="1"/>
  <c r="C2" i="4"/>
  <c r="C74" i="4" l="1"/>
  <c r="C3" i="35"/>
  <c r="I111" i="15"/>
  <c r="I108" i="15"/>
  <c r="D75" i="4" l="1"/>
  <c r="D29" i="4" l="1"/>
  <c r="E74" i="4" l="1"/>
  <c r="O4" i="4" l="1"/>
  <c r="O3" i="4"/>
  <c r="B2" i="12" l="1"/>
  <c r="B2" i="42" l="1"/>
  <c r="B2" i="39"/>
  <c r="D30" i="4"/>
  <c r="E3" i="12"/>
  <c r="B3" i="12"/>
  <c r="AR2" i="2"/>
  <c r="D38" i="4"/>
  <c r="J1" i="4" l="1"/>
  <c r="A1" i="4" s="1"/>
  <c r="J72" i="4"/>
  <c r="A72" i="4" s="1"/>
  <c r="K3" i="15"/>
  <c r="AH20" i="2"/>
  <c r="AH32" i="2" l="1"/>
  <c r="N24" i="2"/>
  <c r="N25" i="2"/>
  <c r="N26" i="2"/>
  <c r="N27" i="2"/>
  <c r="N28" i="2"/>
  <c r="N29" i="2"/>
  <c r="N30" i="2"/>
  <c r="N31" i="2"/>
  <c r="N32" i="2"/>
  <c r="N23" i="2"/>
  <c r="AN32" i="2"/>
  <c r="AM32" i="2"/>
  <c r="AL32" i="2"/>
  <c r="AD32" i="2"/>
  <c r="AC32" i="2"/>
  <c r="AB32" i="2"/>
  <c r="Y32" i="2"/>
  <c r="W32" i="2"/>
  <c r="T32" i="2"/>
  <c r="S32" i="2"/>
  <c r="R32" i="2"/>
  <c r="AG32" i="2" s="1"/>
  <c r="O32" i="2"/>
  <c r="M32" i="2"/>
  <c r="J32" i="2"/>
  <c r="I32" i="2"/>
  <c r="H32" i="2"/>
  <c r="AN31" i="2"/>
  <c r="AM31" i="2"/>
  <c r="AL31" i="2"/>
  <c r="AD31" i="2"/>
  <c r="AC31" i="2"/>
  <c r="AB31" i="2"/>
  <c r="Y31" i="2"/>
  <c r="W31" i="2"/>
  <c r="T31" i="2"/>
  <c r="S31" i="2"/>
  <c r="R31" i="2"/>
  <c r="O31" i="2"/>
  <c r="M31" i="2"/>
  <c r="J31" i="2"/>
  <c r="I31" i="2"/>
  <c r="H31" i="2"/>
  <c r="AN30" i="2"/>
  <c r="AM30" i="2"/>
  <c r="AL30" i="2"/>
  <c r="AD30" i="2"/>
  <c r="AC30" i="2"/>
  <c r="AB30" i="2"/>
  <c r="Y30" i="2"/>
  <c r="W30" i="2"/>
  <c r="T30" i="2"/>
  <c r="S30" i="2"/>
  <c r="R30" i="2"/>
  <c r="O30" i="2"/>
  <c r="M30" i="2"/>
  <c r="J30" i="2"/>
  <c r="I30" i="2"/>
  <c r="H30" i="2"/>
  <c r="AN29" i="2"/>
  <c r="AM29" i="2"/>
  <c r="AL29" i="2"/>
  <c r="AD29" i="2"/>
  <c r="AC29" i="2"/>
  <c r="AB29" i="2"/>
  <c r="Y29" i="2"/>
  <c r="W29" i="2"/>
  <c r="T29" i="2"/>
  <c r="S29" i="2"/>
  <c r="R29" i="2"/>
  <c r="O29" i="2"/>
  <c r="M29" i="2"/>
  <c r="J29" i="2"/>
  <c r="I29" i="2"/>
  <c r="H29" i="2"/>
  <c r="AN28" i="2"/>
  <c r="AM28" i="2"/>
  <c r="AL28" i="2"/>
  <c r="AD28" i="2"/>
  <c r="AC28" i="2"/>
  <c r="AB28" i="2"/>
  <c r="Y28" i="2"/>
  <c r="W28" i="2"/>
  <c r="T28" i="2"/>
  <c r="S28" i="2"/>
  <c r="R28" i="2"/>
  <c r="O28" i="2"/>
  <c r="M28" i="2"/>
  <c r="J28" i="2"/>
  <c r="I28" i="2"/>
  <c r="H28" i="2"/>
  <c r="AN27" i="2"/>
  <c r="AM27" i="2"/>
  <c r="AL27" i="2"/>
  <c r="AD27" i="2"/>
  <c r="AC27" i="2"/>
  <c r="AB27" i="2"/>
  <c r="Y27" i="2"/>
  <c r="W27" i="2"/>
  <c r="T27" i="2"/>
  <c r="S27" i="2"/>
  <c r="R27" i="2"/>
  <c r="O27" i="2"/>
  <c r="M27" i="2"/>
  <c r="J27" i="2"/>
  <c r="I27" i="2"/>
  <c r="H27" i="2"/>
  <c r="AN26" i="2"/>
  <c r="AM26" i="2"/>
  <c r="AL26" i="2"/>
  <c r="AD26" i="2"/>
  <c r="AC26" i="2"/>
  <c r="AB26" i="2"/>
  <c r="Y26" i="2"/>
  <c r="W26" i="2"/>
  <c r="T26" i="2"/>
  <c r="S26" i="2"/>
  <c r="R26" i="2"/>
  <c r="O26" i="2"/>
  <c r="M26" i="2"/>
  <c r="J26" i="2"/>
  <c r="I26" i="2"/>
  <c r="H26" i="2"/>
  <c r="AN25" i="2"/>
  <c r="AM25" i="2"/>
  <c r="AL25" i="2"/>
  <c r="AD25" i="2"/>
  <c r="AC25" i="2"/>
  <c r="AB25" i="2"/>
  <c r="Y25" i="2"/>
  <c r="W25" i="2"/>
  <c r="T25" i="2"/>
  <c r="S25" i="2"/>
  <c r="R25" i="2"/>
  <c r="O25" i="2"/>
  <c r="M25" i="2"/>
  <c r="J25" i="2"/>
  <c r="I25" i="2"/>
  <c r="H25" i="2"/>
  <c r="AN24" i="2"/>
  <c r="AM24" i="2"/>
  <c r="AL24" i="2"/>
  <c r="AD24" i="2"/>
  <c r="AC24" i="2"/>
  <c r="AB24" i="2"/>
  <c r="Y24" i="2"/>
  <c r="W24" i="2"/>
  <c r="T24" i="2"/>
  <c r="S24" i="2"/>
  <c r="R24" i="2"/>
  <c r="O24" i="2"/>
  <c r="M24" i="2"/>
  <c r="J24" i="2"/>
  <c r="I24" i="2"/>
  <c r="H24" i="2"/>
  <c r="AN23" i="2"/>
  <c r="AN33" i="2" s="1"/>
  <c r="AM23" i="2"/>
  <c r="AL23" i="2"/>
  <c r="AD23" i="2"/>
  <c r="AD33" i="2" s="1"/>
  <c r="AC23" i="2"/>
  <c r="AB23" i="2"/>
  <c r="Y23" i="2"/>
  <c r="Y33" i="2" s="1"/>
  <c r="W23" i="2"/>
  <c r="T23" i="2"/>
  <c r="T33" i="2" s="1"/>
  <c r="S23" i="2"/>
  <c r="R23" i="2"/>
  <c r="O23" i="2"/>
  <c r="O33" i="2" s="1"/>
  <c r="O47" i="2" s="1"/>
  <c r="M23" i="2"/>
  <c r="J23" i="2"/>
  <c r="J33" i="2" s="1"/>
  <c r="I23" i="2"/>
  <c r="H23" i="2"/>
  <c r="AN20" i="2"/>
  <c r="AM20" i="2"/>
  <c r="AL20" i="2"/>
  <c r="AD20" i="2"/>
  <c r="AC20" i="2"/>
  <c r="AB20" i="2"/>
  <c r="Y20" i="2"/>
  <c r="W20" i="2"/>
  <c r="T20" i="2"/>
  <c r="S20" i="2"/>
  <c r="R20" i="2"/>
  <c r="AG20" i="2" s="1"/>
  <c r="J20" i="2"/>
  <c r="I20" i="2"/>
  <c r="H20" i="2"/>
  <c r="AN19" i="2"/>
  <c r="AM19" i="2"/>
  <c r="AL19" i="2"/>
  <c r="AD19" i="2"/>
  <c r="AC19" i="2"/>
  <c r="AB19" i="2"/>
  <c r="Y19" i="2"/>
  <c r="W19" i="2"/>
  <c r="T19" i="2"/>
  <c r="S19" i="2"/>
  <c r="R19" i="2"/>
  <c r="J19" i="2"/>
  <c r="I19" i="2"/>
  <c r="H19" i="2"/>
  <c r="AN18" i="2"/>
  <c r="AM18" i="2"/>
  <c r="AL18" i="2"/>
  <c r="AD18" i="2"/>
  <c r="AC18" i="2"/>
  <c r="AB18" i="2"/>
  <c r="J18" i="34" s="1"/>
  <c r="O18" i="34" s="1"/>
  <c r="Y18" i="2"/>
  <c r="W18" i="2"/>
  <c r="T18" i="2"/>
  <c r="S18" i="2"/>
  <c r="R18" i="2"/>
  <c r="J18" i="2"/>
  <c r="I18" i="2"/>
  <c r="H18" i="2"/>
  <c r="AN17" i="2"/>
  <c r="AM17" i="2"/>
  <c r="AL17" i="2"/>
  <c r="AD17" i="2"/>
  <c r="AC17" i="2"/>
  <c r="AB17" i="2"/>
  <c r="J17" i="34" s="1"/>
  <c r="O17" i="34" s="1"/>
  <c r="Y17" i="2"/>
  <c r="W17" i="2"/>
  <c r="T17" i="2"/>
  <c r="S17" i="2"/>
  <c r="R17" i="2"/>
  <c r="J17" i="2"/>
  <c r="I17" i="2"/>
  <c r="H17" i="2"/>
  <c r="AN16" i="2"/>
  <c r="AM16" i="2"/>
  <c r="AL16" i="2"/>
  <c r="AD16" i="2"/>
  <c r="AC16" i="2"/>
  <c r="AB16" i="2"/>
  <c r="J16" i="34" s="1"/>
  <c r="O16" i="34" s="1"/>
  <c r="Y16" i="2"/>
  <c r="W16" i="2"/>
  <c r="T16" i="2"/>
  <c r="S16" i="2"/>
  <c r="R16" i="2"/>
  <c r="J16" i="2"/>
  <c r="I16" i="2"/>
  <c r="H16" i="2"/>
  <c r="AN15" i="2"/>
  <c r="AM15" i="2"/>
  <c r="AL15" i="2"/>
  <c r="AD15" i="2"/>
  <c r="AC15" i="2"/>
  <c r="AB15" i="2"/>
  <c r="J15" i="34" s="1"/>
  <c r="O15" i="34" s="1"/>
  <c r="Y15" i="2"/>
  <c r="W15" i="2"/>
  <c r="T15" i="2"/>
  <c r="S15" i="2"/>
  <c r="R15" i="2"/>
  <c r="J15" i="2"/>
  <c r="I15" i="2"/>
  <c r="H15" i="2"/>
  <c r="AN14" i="2"/>
  <c r="AM14" i="2"/>
  <c r="AL14" i="2"/>
  <c r="AD14" i="2"/>
  <c r="AC14" i="2"/>
  <c r="AB14" i="2"/>
  <c r="J14" i="34" s="1"/>
  <c r="O14" i="34" s="1"/>
  <c r="Y14" i="2"/>
  <c r="W14" i="2"/>
  <c r="T14" i="2"/>
  <c r="S14" i="2"/>
  <c r="R14" i="2"/>
  <c r="J14" i="2"/>
  <c r="I14" i="2"/>
  <c r="H14" i="2"/>
  <c r="AN13" i="2"/>
  <c r="AM13" i="2"/>
  <c r="AL13" i="2"/>
  <c r="AD13" i="2"/>
  <c r="AC13" i="2"/>
  <c r="AB13" i="2"/>
  <c r="J13" i="34" s="1"/>
  <c r="O13" i="34" s="1"/>
  <c r="Y13" i="2"/>
  <c r="W13" i="2"/>
  <c r="T13" i="2"/>
  <c r="S13" i="2"/>
  <c r="R13" i="2"/>
  <c r="J13" i="2"/>
  <c r="I13" i="2"/>
  <c r="H13" i="2"/>
  <c r="AM12" i="2"/>
  <c r="AL12" i="2"/>
  <c r="AD12" i="2"/>
  <c r="AC12" i="2"/>
  <c r="AB12" i="2"/>
  <c r="J12" i="34" s="1"/>
  <c r="O12" i="34" s="1"/>
  <c r="Y12" i="2"/>
  <c r="W12" i="2"/>
  <c r="T12" i="2"/>
  <c r="S12" i="2"/>
  <c r="R12" i="2"/>
  <c r="J12" i="2"/>
  <c r="I12" i="2"/>
  <c r="H12" i="2"/>
  <c r="AN11" i="2"/>
  <c r="AM11" i="2"/>
  <c r="AL11" i="2"/>
  <c r="AD11" i="2"/>
  <c r="AC11" i="2"/>
  <c r="AB11" i="2"/>
  <c r="J11" i="34" s="1"/>
  <c r="O11" i="34" s="1"/>
  <c r="Y11" i="2"/>
  <c r="W11" i="2"/>
  <c r="T11" i="2"/>
  <c r="S11" i="2"/>
  <c r="R11" i="2"/>
  <c r="J11" i="2"/>
  <c r="I11" i="2"/>
  <c r="H11" i="2"/>
  <c r="AN10" i="2"/>
  <c r="AM10" i="2"/>
  <c r="AL10" i="2"/>
  <c r="AD10" i="2"/>
  <c r="AC10" i="2"/>
  <c r="AB10" i="2"/>
  <c r="J10" i="34" s="1"/>
  <c r="O10" i="34" s="1"/>
  <c r="Y10" i="2"/>
  <c r="W10" i="2"/>
  <c r="T10" i="2"/>
  <c r="S10" i="2"/>
  <c r="R10" i="2"/>
  <c r="J10" i="2"/>
  <c r="I10" i="2"/>
  <c r="H10" i="2"/>
  <c r="AN9" i="2"/>
  <c r="AM9" i="2"/>
  <c r="AL9" i="2"/>
  <c r="AD9" i="2"/>
  <c r="AC9" i="2"/>
  <c r="AB9" i="2"/>
  <c r="J9" i="34" s="1"/>
  <c r="O9" i="34" s="1"/>
  <c r="Y9" i="2"/>
  <c r="W9" i="2"/>
  <c r="T9" i="2"/>
  <c r="S9" i="2"/>
  <c r="R9" i="2"/>
  <c r="J9" i="2"/>
  <c r="I9" i="2"/>
  <c r="H9" i="2"/>
  <c r="AN8" i="2"/>
  <c r="AM8" i="2"/>
  <c r="AL8" i="2"/>
  <c r="AD8" i="2"/>
  <c r="AC8" i="2"/>
  <c r="AB8" i="2"/>
  <c r="J8" i="34" s="1"/>
  <c r="O8" i="34" s="1"/>
  <c r="Y8" i="2"/>
  <c r="W8" i="2"/>
  <c r="T8" i="2"/>
  <c r="S8" i="2"/>
  <c r="R8" i="2"/>
  <c r="J8" i="2"/>
  <c r="I8" i="2"/>
  <c r="H8" i="2"/>
  <c r="AN7" i="2"/>
  <c r="AM7" i="2"/>
  <c r="AL7" i="2"/>
  <c r="AD7" i="2"/>
  <c r="AC7" i="2"/>
  <c r="AB7" i="2"/>
  <c r="J7" i="34" s="1"/>
  <c r="O7" i="34" s="1"/>
  <c r="Y7" i="2"/>
  <c r="W7" i="2"/>
  <c r="T7" i="2"/>
  <c r="S7" i="2"/>
  <c r="R7" i="2"/>
  <c r="J7" i="2"/>
  <c r="I7" i="2"/>
  <c r="H7" i="2"/>
  <c r="AN6" i="2"/>
  <c r="AM6" i="2"/>
  <c r="AL6" i="2"/>
  <c r="AD6" i="2"/>
  <c r="AC6" i="2"/>
  <c r="AB6" i="2"/>
  <c r="J6" i="34" s="1"/>
  <c r="O6" i="34" s="1"/>
  <c r="Y6" i="2"/>
  <c r="W6" i="2"/>
  <c r="T6" i="2"/>
  <c r="S6" i="2"/>
  <c r="R6" i="2"/>
  <c r="J6" i="2"/>
  <c r="I6" i="2"/>
  <c r="H6" i="2"/>
  <c r="AD5" i="2"/>
  <c r="AD21" i="2" s="1"/>
  <c r="AC5" i="2"/>
  <c r="AB5" i="2"/>
  <c r="J5" i="34" s="1"/>
  <c r="Y5" i="2"/>
  <c r="W5" i="2"/>
  <c r="T5" i="2"/>
  <c r="S5" i="2"/>
  <c r="R5" i="2"/>
  <c r="J5" i="2"/>
  <c r="I5" i="2"/>
  <c r="H5" i="2"/>
  <c r="AN21" i="2" l="1"/>
  <c r="Y21" i="2"/>
  <c r="Y47" i="2" s="1"/>
  <c r="T21" i="2"/>
  <c r="T47" i="2" s="1"/>
  <c r="AD47" i="2"/>
  <c r="D86" i="4"/>
  <c r="D79" i="4"/>
  <c r="AR5" i="2"/>
  <c r="AR6" i="2"/>
  <c r="AR7" i="2"/>
  <c r="AR8" i="2"/>
  <c r="AR9" i="2"/>
  <c r="AR10" i="2"/>
  <c r="AR11" i="2"/>
  <c r="AR12" i="2"/>
  <c r="AR13" i="2"/>
  <c r="AR14" i="2"/>
  <c r="AR15" i="2"/>
  <c r="AR16" i="2"/>
  <c r="AR17" i="2"/>
  <c r="AR18" i="2"/>
  <c r="AR24" i="2"/>
  <c r="AR25" i="2"/>
  <c r="AR26" i="2"/>
  <c r="AR27" i="2"/>
  <c r="AR28" i="2"/>
  <c r="AR29" i="2"/>
  <c r="AR30" i="2"/>
  <c r="K15" i="34"/>
  <c r="K16" i="34"/>
  <c r="K17" i="34"/>
  <c r="K18" i="34"/>
  <c r="AR31" i="2"/>
  <c r="AR32" i="2"/>
  <c r="AR23" i="2"/>
  <c r="AR19" i="2"/>
  <c r="AR20" i="2"/>
  <c r="O5" i="34"/>
  <c r="K6" i="34"/>
  <c r="K7" i="34"/>
  <c r="K8" i="34"/>
  <c r="K9" i="34"/>
  <c r="K10" i="34"/>
  <c r="K11" i="34"/>
  <c r="K12" i="34"/>
  <c r="K13" i="34"/>
  <c r="K14" i="34"/>
  <c r="AS6" i="2"/>
  <c r="AS7" i="2"/>
  <c r="AS8" i="2"/>
  <c r="AS9" i="2"/>
  <c r="AS10" i="2"/>
  <c r="AS11" i="2"/>
  <c r="AS12" i="2"/>
  <c r="AS13" i="2"/>
  <c r="AS14" i="2"/>
  <c r="AS15" i="2"/>
  <c r="AS17" i="2"/>
  <c r="AS18" i="2"/>
  <c r="AS19" i="2"/>
  <c r="AS20" i="2"/>
  <c r="AS23" i="2"/>
  <c r="AS24" i="2"/>
  <c r="AS25" i="2"/>
  <c r="AS26" i="2"/>
  <c r="AS27" i="2"/>
  <c r="AS28" i="2"/>
  <c r="AS29" i="2"/>
  <c r="AS30" i="2"/>
  <c r="AS31" i="2"/>
  <c r="AS32" i="2"/>
  <c r="AS16" i="2"/>
  <c r="AS5" i="2"/>
  <c r="M31" i="4" l="1"/>
  <c r="B154" i="4" l="1"/>
  <c r="B153" i="4"/>
  <c r="B151" i="4"/>
  <c r="AU23" i="2" l="1"/>
  <c r="AU24" i="2"/>
  <c r="AU25" i="2"/>
  <c r="AU26" i="2"/>
  <c r="AU27" i="2"/>
  <c r="AU28" i="2"/>
  <c r="AU29" i="2"/>
  <c r="AU30" i="2"/>
  <c r="AU31" i="2"/>
  <c r="AU32" i="2"/>
  <c r="AU6" i="2"/>
  <c r="AU7" i="2"/>
  <c r="AU8" i="2"/>
  <c r="AU9" i="2"/>
  <c r="AU10" i="2"/>
  <c r="AU11" i="2"/>
  <c r="AU12" i="2"/>
  <c r="AU13" i="2"/>
  <c r="AU14" i="2"/>
  <c r="AU15" i="2"/>
  <c r="AU16" i="2"/>
  <c r="AU17" i="2"/>
  <c r="AU18" i="2"/>
  <c r="AU19" i="2"/>
  <c r="AU20" i="2"/>
  <c r="AP23" i="2"/>
  <c r="AP24" i="2"/>
  <c r="AP25" i="2"/>
  <c r="AP26" i="2"/>
  <c r="AU33" i="2" l="1"/>
  <c r="D39" i="4" l="1"/>
  <c r="D40" i="4" l="1"/>
  <c r="E40" i="4"/>
  <c r="C40" i="4"/>
  <c r="E39" i="4"/>
  <c r="C39" i="4"/>
  <c r="E38" i="4"/>
  <c r="C38" i="4"/>
  <c r="M32" i="4" l="1"/>
  <c r="C102" i="4" s="1"/>
  <c r="J46" i="4" l="1"/>
  <c r="C46" i="4" s="1"/>
  <c r="E46" i="4"/>
  <c r="AP20" i="2"/>
  <c r="AP5" i="2"/>
  <c r="AP6" i="2"/>
  <c r="AP7" i="2"/>
  <c r="AP8" i="2"/>
  <c r="AP9" i="2"/>
  <c r="AP10" i="2"/>
  <c r="D46" i="4" l="1"/>
  <c r="AT10" i="2"/>
  <c r="AT8" i="2"/>
  <c r="AT6" i="2"/>
  <c r="AT20" i="2"/>
  <c r="AT9" i="2"/>
  <c r="AT7" i="2"/>
  <c r="AT5" i="2"/>
  <c r="AT27" i="2"/>
  <c r="AT26" i="2"/>
  <c r="AT25" i="2"/>
  <c r="AT24" i="2"/>
  <c r="AT23" i="2"/>
  <c r="I46" i="15" l="1"/>
  <c r="I47" i="15"/>
  <c r="I49" i="15"/>
  <c r="I50" i="15"/>
  <c r="I51" i="15"/>
  <c r="I53" i="15"/>
  <c r="I54" i="15"/>
  <c r="I55" i="15"/>
  <c r="I57" i="15"/>
  <c r="I58" i="15"/>
  <c r="I59" i="15"/>
  <c r="I61" i="15"/>
  <c r="I62" i="15"/>
  <c r="I63" i="15"/>
  <c r="I65" i="15"/>
  <c r="I66" i="15"/>
  <c r="I67" i="15"/>
  <c r="I69" i="15"/>
  <c r="I70" i="15"/>
  <c r="I71" i="15"/>
  <c r="I73" i="15"/>
  <c r="I74" i="15"/>
  <c r="I75" i="15"/>
  <c r="I77" i="15"/>
  <c r="I81" i="15"/>
  <c r="I82" i="15"/>
  <c r="I83" i="15"/>
  <c r="I84" i="15"/>
  <c r="I85" i="15"/>
  <c r="I86" i="15"/>
  <c r="I87" i="15"/>
  <c r="I88" i="15"/>
  <c r="I89" i="15"/>
  <c r="I90" i="15"/>
  <c r="I91" i="15"/>
  <c r="I92" i="15"/>
  <c r="I93" i="15"/>
  <c r="I94" i="15"/>
  <c r="I95" i="15"/>
  <c r="I96" i="15"/>
  <c r="I97" i="15"/>
  <c r="I98" i="15"/>
  <c r="I99" i="15"/>
  <c r="I100" i="15"/>
  <c r="I101" i="15"/>
  <c r="I102" i="15"/>
  <c r="I103" i="15"/>
  <c r="I104" i="15"/>
  <c r="I107" i="15"/>
  <c r="I109" i="15"/>
  <c r="I110" i="15"/>
  <c r="I112" i="15"/>
  <c r="I116" i="15"/>
  <c r="I117" i="15"/>
  <c r="I119" i="15"/>
  <c r="I120" i="15"/>
  <c r="I121" i="15"/>
  <c r="I123" i="15"/>
  <c r="I126" i="15"/>
  <c r="I127" i="15"/>
  <c r="I129" i="15"/>
  <c r="I130" i="15"/>
  <c r="I132" i="15"/>
  <c r="I133" i="15"/>
  <c r="I8" i="15"/>
  <c r="I9" i="15"/>
  <c r="I10" i="15"/>
  <c r="I12" i="15"/>
  <c r="I13" i="15"/>
  <c r="I14" i="15"/>
  <c r="I16" i="15"/>
  <c r="I17" i="15"/>
  <c r="I18" i="15"/>
  <c r="I20" i="15"/>
  <c r="I21" i="15"/>
  <c r="I22" i="15"/>
  <c r="I24" i="15"/>
  <c r="I25" i="15"/>
  <c r="I26" i="15"/>
  <c r="I29" i="15"/>
  <c r="I30" i="15"/>
  <c r="I31" i="15"/>
  <c r="I36" i="15"/>
  <c r="I37" i="15"/>
  <c r="I38" i="15"/>
  <c r="I40" i="15"/>
  <c r="I41" i="15"/>
  <c r="I42" i="15"/>
  <c r="I136" i="15"/>
  <c r="I137" i="15"/>
  <c r="I138" i="15"/>
  <c r="I139" i="15"/>
  <c r="I140" i="15"/>
  <c r="I141" i="15"/>
  <c r="I142" i="15"/>
  <c r="I143" i="15"/>
  <c r="I144" i="15"/>
  <c r="I145" i="15"/>
  <c r="I146" i="15"/>
  <c r="I147" i="15"/>
  <c r="I148" i="15"/>
  <c r="I149" i="15"/>
  <c r="I150" i="15"/>
  <c r="I151" i="15"/>
  <c r="I152" i="15"/>
  <c r="I153" i="15"/>
  <c r="I154" i="15"/>
  <c r="I155" i="15"/>
  <c r="I156" i="15"/>
  <c r="I157" i="15"/>
  <c r="I158" i="15"/>
  <c r="I159" i="15"/>
  <c r="I160" i="15"/>
  <c r="I161" i="15"/>
  <c r="I162" i="15"/>
  <c r="I163" i="15"/>
  <c r="I164" i="15"/>
  <c r="I165" i="15"/>
  <c r="I166" i="15"/>
  <c r="I167" i="15"/>
  <c r="I168" i="15"/>
  <c r="I169" i="15"/>
  <c r="I170" i="15"/>
  <c r="I171" i="15"/>
  <c r="I172" i="15"/>
  <c r="I173" i="15"/>
  <c r="I174" i="15"/>
  <c r="I175" i="15"/>
  <c r="I176" i="15"/>
  <c r="I177" i="15"/>
  <c r="I178" i="15"/>
  <c r="I179" i="15"/>
  <c r="I180" i="15"/>
  <c r="I181" i="15"/>
  <c r="I182" i="15"/>
  <c r="I183" i="15"/>
  <c r="I184" i="15"/>
  <c r="I185" i="15"/>
  <c r="I186" i="15"/>
  <c r="I187" i="15"/>
  <c r="I188" i="15"/>
  <c r="I189" i="15"/>
  <c r="I190" i="15"/>
  <c r="I191" i="15"/>
  <c r="I192" i="15"/>
  <c r="I193" i="15"/>
  <c r="I194" i="15"/>
  <c r="I195" i="15"/>
  <c r="I196" i="15"/>
  <c r="I197" i="15"/>
  <c r="I198" i="15"/>
  <c r="I199" i="15"/>
  <c r="AP31" i="2"/>
  <c r="AU5" i="2" l="1"/>
  <c r="AU21" i="2" s="1"/>
  <c r="AU47" i="2" l="1"/>
  <c r="C48" i="2"/>
  <c r="D21" i="12"/>
  <c r="AP27" i="2" l="1"/>
  <c r="AP28" i="2"/>
  <c r="AP29" i="2"/>
  <c r="AP30" i="2"/>
  <c r="AP32" i="2"/>
  <c r="AP11" i="2"/>
  <c r="AP12" i="2"/>
  <c r="AP13" i="2"/>
  <c r="AP14" i="2"/>
  <c r="AP15" i="2"/>
  <c r="AP16" i="2"/>
  <c r="AP17" i="2"/>
  <c r="AP18" i="2"/>
  <c r="AP19" i="2"/>
  <c r="E21" i="2"/>
  <c r="E33" i="2"/>
  <c r="J21" i="2"/>
  <c r="J47" i="2" s="1"/>
  <c r="E47" i="2" l="1"/>
  <c r="F36" i="4" s="1"/>
  <c r="D36" i="4" s="1"/>
  <c r="L48" i="2"/>
  <c r="D10" i="12" s="1"/>
  <c r="D96" i="4"/>
  <c r="D90" i="4"/>
  <c r="D94" i="4"/>
  <c r="M4" i="4"/>
  <c r="D78" i="4" s="1"/>
  <c r="M3" i="4"/>
  <c r="D77" i="4" s="1"/>
  <c r="B6" i="12"/>
  <c r="E6" i="12"/>
  <c r="AT19" i="2"/>
  <c r="AT17" i="2"/>
  <c r="AT15" i="2"/>
  <c r="AT13" i="2"/>
  <c r="AT11" i="2"/>
  <c r="AT31" i="2"/>
  <c r="AT28" i="2"/>
  <c r="AT18" i="2"/>
  <c r="AT16" i="2"/>
  <c r="AT14" i="2"/>
  <c r="AT12" i="2"/>
  <c r="AT32" i="2"/>
  <c r="AT30" i="2"/>
  <c r="AT29" i="2"/>
  <c r="AP47" i="2"/>
  <c r="D105" i="4" s="1"/>
  <c r="AN47" i="2"/>
  <c r="F48" i="2" s="1"/>
  <c r="D98" i="4" l="1"/>
  <c r="D8" i="12"/>
  <c r="D28" i="12" s="1"/>
  <c r="I48" i="2"/>
  <c r="D9" i="12" s="1"/>
  <c r="D89" i="4"/>
  <c r="D92" i="4"/>
  <c r="D93" i="4" s="1"/>
  <c r="D102" i="4"/>
  <c r="AT33" i="2"/>
  <c r="AR21" i="2"/>
  <c r="AT21" i="2"/>
  <c r="AR33" i="2"/>
  <c r="AS33" i="2"/>
  <c r="AS21" i="2"/>
  <c r="AS47" i="2" l="1"/>
  <c r="D13" i="4" s="1"/>
  <c r="D16" i="4" s="1"/>
  <c r="AR47" i="2"/>
  <c r="AT47" i="2"/>
  <c r="BG12" i="2" l="1"/>
  <c r="BG8" i="2"/>
  <c r="BG14" i="2"/>
  <c r="BG10" i="2"/>
  <c r="BG6" i="2"/>
  <c r="BG3" i="2" l="1"/>
  <c r="D5" i="4" s="1"/>
  <c r="C79" i="4"/>
  <c r="H5" i="4" l="1"/>
  <c r="C8" i="4" l="1"/>
  <c r="H7" i="4"/>
  <c r="C7" i="4" s="1"/>
  <c r="C9" i="4"/>
  <c r="H9" i="4"/>
  <c r="J5" i="4"/>
  <c r="C5" i="4" s="1"/>
  <c r="H8" i="4"/>
  <c r="H13" i="4"/>
  <c r="C13" i="4" l="1"/>
  <c r="H12" i="4"/>
  <c r="C12" i="4" s="1"/>
  <c r="H15" i="4"/>
  <c r="C15" i="4" s="1"/>
  <c r="H14" i="4"/>
  <c r="C14" i="4" s="1"/>
</calcChain>
</file>

<file path=xl/comments1.xml><?xml version="1.0" encoding="utf-8"?>
<comments xmlns="http://schemas.openxmlformats.org/spreadsheetml/2006/main">
  <authors>
    <author>李颖辉</author>
  </authors>
  <commentList>
    <comment ref="B15" authorId="0">
      <text>
        <r>
          <rPr>
            <b/>
            <sz val="9"/>
            <color indexed="81"/>
            <rFont val="宋体"/>
            <family val="3"/>
            <charset val="134"/>
          </rPr>
          <t>李颖辉</t>
        </r>
        <r>
          <rPr>
            <b/>
            <sz val="9"/>
            <color indexed="81"/>
            <rFont val="Tahoma"/>
            <family val="2"/>
          </rPr>
          <t>:</t>
        </r>
        <r>
          <rPr>
            <sz val="9"/>
            <color indexed="81"/>
            <rFont val="Tahoma"/>
            <family val="2"/>
          </rPr>
          <t xml:space="preserve">
</t>
        </r>
        <r>
          <rPr>
            <sz val="9"/>
            <color indexed="81"/>
            <rFont val="宋体"/>
            <family val="3"/>
            <charset val="134"/>
          </rPr>
          <t>免漆、清油</t>
        </r>
      </text>
    </comment>
    <comment ref="B17" authorId="0">
      <text>
        <r>
          <rPr>
            <b/>
            <sz val="9"/>
            <color indexed="81"/>
            <rFont val="宋体"/>
            <family val="3"/>
            <charset val="134"/>
          </rPr>
          <t>李颖辉</t>
        </r>
        <r>
          <rPr>
            <b/>
            <sz val="9"/>
            <color indexed="81"/>
            <rFont val="Tahoma"/>
            <family val="2"/>
          </rPr>
          <t>:</t>
        </r>
        <r>
          <rPr>
            <sz val="9"/>
            <color indexed="81"/>
            <rFont val="Tahoma"/>
            <family val="2"/>
          </rPr>
          <t xml:space="preserve">
</t>
        </r>
        <r>
          <rPr>
            <sz val="9"/>
            <color indexed="81"/>
            <rFont val="宋体"/>
            <family val="3"/>
            <charset val="134"/>
          </rPr>
          <t>吸塑门板、混油门板</t>
        </r>
      </text>
    </comment>
    <comment ref="D20" authorId="0">
      <text>
        <r>
          <rPr>
            <b/>
            <sz val="9"/>
            <color indexed="81"/>
            <rFont val="宋体"/>
            <family val="3"/>
            <charset val="134"/>
          </rPr>
          <t>李颖辉</t>
        </r>
        <r>
          <rPr>
            <b/>
            <sz val="9"/>
            <color indexed="81"/>
            <rFont val="Tahoma"/>
            <family val="2"/>
          </rPr>
          <t>:</t>
        </r>
        <r>
          <rPr>
            <sz val="9"/>
            <color indexed="81"/>
            <rFont val="Tahoma"/>
            <family val="2"/>
          </rPr>
          <t xml:space="preserve">
</t>
        </r>
        <r>
          <rPr>
            <sz val="9"/>
            <color indexed="81"/>
            <rFont val="宋体"/>
            <family val="3"/>
            <charset val="134"/>
          </rPr>
          <t>无公式，需要手工输入</t>
        </r>
      </text>
    </comment>
    <comment ref="D25" authorId="0">
      <text>
        <r>
          <rPr>
            <b/>
            <sz val="9"/>
            <color indexed="81"/>
            <rFont val="宋体"/>
            <family val="3"/>
            <charset val="134"/>
          </rPr>
          <t>李颖辉</t>
        </r>
        <r>
          <rPr>
            <b/>
            <sz val="9"/>
            <color indexed="81"/>
            <rFont val="Tahoma"/>
            <family val="2"/>
          </rPr>
          <t>:</t>
        </r>
        <r>
          <rPr>
            <sz val="9"/>
            <color indexed="81"/>
            <rFont val="Tahoma"/>
            <family val="2"/>
          </rPr>
          <t xml:space="preserve">
</t>
        </r>
        <r>
          <rPr>
            <sz val="9"/>
            <color indexed="81"/>
            <rFont val="宋体"/>
            <family val="3"/>
            <charset val="134"/>
          </rPr>
          <t>无公式，手工输入</t>
        </r>
      </text>
    </comment>
  </commentList>
</comments>
</file>

<file path=xl/comments2.xml><?xml version="1.0" encoding="utf-8"?>
<comments xmlns="http://schemas.openxmlformats.org/spreadsheetml/2006/main">
  <authors>
    <author>李颖辉</author>
    <author>微软用户</author>
  </authors>
  <commentList>
    <comment ref="M2" authorId="0">
      <text>
        <r>
          <rPr>
            <b/>
            <sz val="9"/>
            <color indexed="81"/>
            <rFont val="宋体"/>
            <family val="3"/>
            <charset val="134"/>
          </rPr>
          <t>李颖辉</t>
        </r>
        <r>
          <rPr>
            <b/>
            <sz val="9"/>
            <color indexed="81"/>
            <rFont val="Tahoma"/>
            <family val="2"/>
          </rPr>
          <t>:</t>
        </r>
        <r>
          <rPr>
            <sz val="9"/>
            <color indexed="81"/>
            <rFont val="Tahoma"/>
            <family val="2"/>
          </rPr>
          <t xml:space="preserve">
</t>
        </r>
        <r>
          <rPr>
            <sz val="9"/>
            <color indexed="81"/>
            <rFont val="宋体"/>
            <family val="3"/>
            <charset val="134"/>
          </rPr>
          <t>此处需工艺填写所有整件发货柜体的个数</t>
        </r>
      </text>
    </comment>
    <comment ref="F38" authorId="0">
      <text>
        <r>
          <rPr>
            <b/>
            <sz val="9"/>
            <color indexed="81"/>
            <rFont val="宋体"/>
            <family val="3"/>
            <charset val="134"/>
          </rPr>
          <t>李颖辉</t>
        </r>
        <r>
          <rPr>
            <b/>
            <sz val="9"/>
            <color indexed="81"/>
            <rFont val="Tahoma"/>
            <family val="2"/>
          </rPr>
          <t>:</t>
        </r>
        <r>
          <rPr>
            <sz val="9"/>
            <color indexed="81"/>
            <rFont val="Tahoma"/>
            <family val="2"/>
          </rPr>
          <t xml:space="preserve">
</t>
        </r>
        <r>
          <rPr>
            <sz val="9"/>
            <color indexed="81"/>
            <rFont val="宋体"/>
            <family val="3"/>
            <charset val="134"/>
          </rPr>
          <t>此处输入水盆柜宽度</t>
        </r>
      </text>
    </comment>
    <comment ref="D65" authorId="0">
      <text>
        <r>
          <rPr>
            <b/>
            <sz val="9"/>
            <color indexed="81"/>
            <rFont val="宋体"/>
            <family val="3"/>
            <charset val="134"/>
          </rPr>
          <t>李颖辉</t>
        </r>
        <r>
          <rPr>
            <b/>
            <sz val="9"/>
            <color indexed="81"/>
            <rFont val="Tahoma"/>
            <family val="2"/>
          </rPr>
          <t>:</t>
        </r>
        <r>
          <rPr>
            <sz val="9"/>
            <color indexed="81"/>
            <rFont val="Tahoma"/>
            <family val="2"/>
          </rPr>
          <t xml:space="preserve">
</t>
        </r>
        <r>
          <rPr>
            <sz val="9"/>
            <color indexed="81"/>
            <rFont val="宋体"/>
            <family val="3"/>
            <charset val="134"/>
          </rPr>
          <t>请注意：所有整件发货的柜体使用的铰链填在此处，如：所有地柜拉篮、开门米箱、单抽单门地柜</t>
        </r>
      </text>
    </comment>
    <comment ref="C97" authorId="1">
      <text>
        <r>
          <rPr>
            <b/>
            <sz val="9"/>
            <color indexed="81"/>
            <rFont val="宋体"/>
            <family val="3"/>
            <charset val="134"/>
          </rPr>
          <t>微软用户:</t>
        </r>
        <r>
          <rPr>
            <sz val="9"/>
            <color indexed="81"/>
            <rFont val="宋体"/>
            <family val="3"/>
            <charset val="134"/>
          </rPr>
          <t xml:space="preserve">
每个水盆配1个底漏</t>
        </r>
      </text>
    </comment>
    <comment ref="C98" authorId="0">
      <text>
        <r>
          <rPr>
            <b/>
            <sz val="9"/>
            <color indexed="81"/>
            <rFont val="宋体"/>
            <family val="3"/>
            <charset val="134"/>
          </rPr>
          <t>李颖辉</t>
        </r>
        <r>
          <rPr>
            <b/>
            <sz val="9"/>
            <color indexed="81"/>
            <rFont val="Tahoma"/>
            <family val="2"/>
          </rPr>
          <t>:</t>
        </r>
        <r>
          <rPr>
            <sz val="9"/>
            <color indexed="81"/>
            <rFont val="Tahoma"/>
            <family val="2"/>
          </rPr>
          <t xml:space="preserve">
</t>
        </r>
        <r>
          <rPr>
            <sz val="9"/>
            <color indexed="81"/>
            <rFont val="宋体"/>
            <family val="3"/>
            <charset val="134"/>
          </rPr>
          <t>其中非整件发货的拉篮五金需安装领用，整件发货的为组装领用</t>
        </r>
      </text>
    </comment>
  </commentList>
</comments>
</file>

<file path=xl/comments3.xml><?xml version="1.0" encoding="utf-8"?>
<comments xmlns="http://schemas.openxmlformats.org/spreadsheetml/2006/main">
  <authors>
    <author>李颖辉</author>
  </authors>
  <commentList>
    <comment ref="B15" authorId="0">
      <text>
        <r>
          <rPr>
            <b/>
            <sz val="9"/>
            <color indexed="81"/>
            <rFont val="宋体"/>
            <family val="3"/>
            <charset val="134"/>
          </rPr>
          <t>李颖辉</t>
        </r>
        <r>
          <rPr>
            <b/>
            <sz val="9"/>
            <color indexed="81"/>
            <rFont val="Tahoma"/>
            <family val="2"/>
          </rPr>
          <t>:</t>
        </r>
        <r>
          <rPr>
            <sz val="9"/>
            <color indexed="81"/>
            <rFont val="Tahoma"/>
            <family val="2"/>
          </rPr>
          <t xml:space="preserve">
</t>
        </r>
        <r>
          <rPr>
            <sz val="9"/>
            <color indexed="81"/>
            <rFont val="宋体"/>
            <family val="3"/>
            <charset val="134"/>
          </rPr>
          <t>免漆、清油</t>
        </r>
      </text>
    </comment>
    <comment ref="B17" authorId="0">
      <text>
        <r>
          <rPr>
            <b/>
            <sz val="9"/>
            <color indexed="81"/>
            <rFont val="宋体"/>
            <family val="3"/>
            <charset val="134"/>
          </rPr>
          <t>李颖辉</t>
        </r>
        <r>
          <rPr>
            <b/>
            <sz val="9"/>
            <color indexed="81"/>
            <rFont val="Tahoma"/>
            <family val="2"/>
          </rPr>
          <t>:</t>
        </r>
        <r>
          <rPr>
            <sz val="9"/>
            <color indexed="81"/>
            <rFont val="Tahoma"/>
            <family val="2"/>
          </rPr>
          <t xml:space="preserve">
</t>
        </r>
        <r>
          <rPr>
            <sz val="9"/>
            <color indexed="81"/>
            <rFont val="宋体"/>
            <family val="3"/>
            <charset val="134"/>
          </rPr>
          <t>吸塑门板、混油门板</t>
        </r>
      </text>
    </comment>
    <comment ref="D20" authorId="0">
      <text>
        <r>
          <rPr>
            <b/>
            <sz val="9"/>
            <color indexed="81"/>
            <rFont val="宋体"/>
            <family val="3"/>
            <charset val="134"/>
          </rPr>
          <t>李颖辉</t>
        </r>
        <r>
          <rPr>
            <b/>
            <sz val="9"/>
            <color indexed="81"/>
            <rFont val="Tahoma"/>
            <family val="2"/>
          </rPr>
          <t>:</t>
        </r>
        <r>
          <rPr>
            <sz val="9"/>
            <color indexed="81"/>
            <rFont val="Tahoma"/>
            <family val="2"/>
          </rPr>
          <t xml:space="preserve">
</t>
        </r>
        <r>
          <rPr>
            <sz val="9"/>
            <color indexed="81"/>
            <rFont val="宋体"/>
            <family val="3"/>
            <charset val="134"/>
          </rPr>
          <t>无公式，需要手工输入</t>
        </r>
      </text>
    </comment>
  </commentList>
</comments>
</file>

<file path=xl/comments4.xml><?xml version="1.0" encoding="utf-8"?>
<comments xmlns="http://schemas.openxmlformats.org/spreadsheetml/2006/main">
  <authors>
    <author>李颖辉</author>
  </authors>
  <commentList>
    <comment ref="B15" authorId="0">
      <text>
        <r>
          <rPr>
            <b/>
            <sz val="9"/>
            <color indexed="81"/>
            <rFont val="宋体"/>
            <family val="3"/>
            <charset val="134"/>
          </rPr>
          <t>李颖辉</t>
        </r>
        <r>
          <rPr>
            <b/>
            <sz val="9"/>
            <color indexed="81"/>
            <rFont val="Tahoma"/>
            <family val="2"/>
          </rPr>
          <t>:</t>
        </r>
        <r>
          <rPr>
            <sz val="9"/>
            <color indexed="81"/>
            <rFont val="Tahoma"/>
            <family val="2"/>
          </rPr>
          <t xml:space="preserve">
</t>
        </r>
        <r>
          <rPr>
            <sz val="9"/>
            <color indexed="81"/>
            <rFont val="宋体"/>
            <family val="3"/>
            <charset val="134"/>
          </rPr>
          <t>免漆、清油</t>
        </r>
      </text>
    </comment>
    <comment ref="B17" authorId="0">
      <text>
        <r>
          <rPr>
            <b/>
            <sz val="9"/>
            <color indexed="81"/>
            <rFont val="宋体"/>
            <family val="3"/>
            <charset val="134"/>
          </rPr>
          <t>李颖辉</t>
        </r>
        <r>
          <rPr>
            <b/>
            <sz val="9"/>
            <color indexed="81"/>
            <rFont val="Tahoma"/>
            <family val="2"/>
          </rPr>
          <t>:</t>
        </r>
        <r>
          <rPr>
            <sz val="9"/>
            <color indexed="81"/>
            <rFont val="Tahoma"/>
            <family val="2"/>
          </rPr>
          <t xml:space="preserve">
</t>
        </r>
        <r>
          <rPr>
            <sz val="9"/>
            <color indexed="81"/>
            <rFont val="宋体"/>
            <family val="3"/>
            <charset val="134"/>
          </rPr>
          <t>吸塑门板、混油门板</t>
        </r>
      </text>
    </comment>
    <comment ref="D20" authorId="0">
      <text>
        <r>
          <rPr>
            <b/>
            <sz val="9"/>
            <color indexed="81"/>
            <rFont val="宋体"/>
            <family val="3"/>
            <charset val="134"/>
          </rPr>
          <t>李颖辉</t>
        </r>
        <r>
          <rPr>
            <b/>
            <sz val="9"/>
            <color indexed="81"/>
            <rFont val="Tahoma"/>
            <family val="2"/>
          </rPr>
          <t>:</t>
        </r>
        <r>
          <rPr>
            <sz val="9"/>
            <color indexed="81"/>
            <rFont val="Tahoma"/>
            <family val="2"/>
          </rPr>
          <t xml:space="preserve">
</t>
        </r>
        <r>
          <rPr>
            <sz val="9"/>
            <color indexed="81"/>
            <rFont val="宋体"/>
            <family val="3"/>
            <charset val="134"/>
          </rPr>
          <t>无公式，需要手工输入</t>
        </r>
      </text>
    </comment>
    <comment ref="D25" authorId="0">
      <text>
        <r>
          <rPr>
            <b/>
            <sz val="9"/>
            <color indexed="81"/>
            <rFont val="宋体"/>
            <family val="3"/>
            <charset val="134"/>
          </rPr>
          <t>李颖辉</t>
        </r>
        <r>
          <rPr>
            <b/>
            <sz val="9"/>
            <color indexed="81"/>
            <rFont val="Tahoma"/>
            <family val="2"/>
          </rPr>
          <t>:</t>
        </r>
        <r>
          <rPr>
            <sz val="9"/>
            <color indexed="81"/>
            <rFont val="Tahoma"/>
            <family val="2"/>
          </rPr>
          <t xml:space="preserve">
</t>
        </r>
        <r>
          <rPr>
            <sz val="9"/>
            <color indexed="81"/>
            <rFont val="宋体"/>
            <family val="3"/>
            <charset val="134"/>
          </rPr>
          <t>无公式，手工输入</t>
        </r>
      </text>
    </comment>
  </commentList>
</comments>
</file>

<file path=xl/comments5.xml><?xml version="1.0" encoding="utf-8"?>
<comments xmlns="http://schemas.openxmlformats.org/spreadsheetml/2006/main">
  <authors>
    <author>李颖辉</author>
  </authors>
  <commentList>
    <comment ref="C32" authorId="0">
      <text>
        <r>
          <rPr>
            <b/>
            <sz val="9"/>
            <color indexed="81"/>
            <rFont val="宋体"/>
            <family val="3"/>
            <charset val="134"/>
          </rPr>
          <t>李颖辉</t>
        </r>
        <r>
          <rPr>
            <b/>
            <sz val="9"/>
            <color indexed="81"/>
            <rFont val="Tahoma"/>
            <family val="2"/>
          </rPr>
          <t>:</t>
        </r>
        <r>
          <rPr>
            <sz val="9"/>
            <color indexed="81"/>
            <rFont val="Tahoma"/>
            <family val="2"/>
          </rPr>
          <t xml:space="preserve">
</t>
        </r>
        <r>
          <rPr>
            <sz val="9"/>
            <color indexed="81"/>
            <rFont val="宋体"/>
            <family val="3"/>
            <charset val="134"/>
          </rPr>
          <t>仅用于</t>
        </r>
        <r>
          <rPr>
            <sz val="9"/>
            <color indexed="81"/>
            <rFont val="Tahoma"/>
            <family val="2"/>
          </rPr>
          <t>LC-003</t>
        </r>
        <r>
          <rPr>
            <sz val="9"/>
            <color indexed="81"/>
            <rFont val="宋体"/>
            <family val="3"/>
            <charset val="134"/>
          </rPr>
          <t>拉手，其他外协拉手写在门板拉手（外协）处</t>
        </r>
      </text>
    </comment>
  </commentList>
</comments>
</file>

<file path=xl/comments6.xml><?xml version="1.0" encoding="utf-8"?>
<comments xmlns="http://schemas.openxmlformats.org/spreadsheetml/2006/main">
  <authors>
    <author>李颖辉</author>
  </authors>
  <commentList>
    <comment ref="B15" authorId="0">
      <text>
        <r>
          <rPr>
            <b/>
            <sz val="9"/>
            <color indexed="81"/>
            <rFont val="宋体"/>
            <family val="3"/>
            <charset val="134"/>
          </rPr>
          <t>李颖辉</t>
        </r>
        <r>
          <rPr>
            <b/>
            <sz val="9"/>
            <color indexed="81"/>
            <rFont val="Tahoma"/>
            <family val="2"/>
          </rPr>
          <t>:</t>
        </r>
        <r>
          <rPr>
            <sz val="9"/>
            <color indexed="81"/>
            <rFont val="Tahoma"/>
            <family val="2"/>
          </rPr>
          <t xml:space="preserve">
</t>
        </r>
        <r>
          <rPr>
            <sz val="9"/>
            <color indexed="81"/>
            <rFont val="宋体"/>
            <family val="3"/>
            <charset val="134"/>
          </rPr>
          <t>免漆、清油</t>
        </r>
      </text>
    </comment>
    <comment ref="B17" authorId="0">
      <text>
        <r>
          <rPr>
            <b/>
            <sz val="9"/>
            <color indexed="81"/>
            <rFont val="宋体"/>
            <family val="3"/>
            <charset val="134"/>
          </rPr>
          <t>李颖辉</t>
        </r>
        <r>
          <rPr>
            <b/>
            <sz val="9"/>
            <color indexed="81"/>
            <rFont val="Tahoma"/>
            <family val="2"/>
          </rPr>
          <t>:</t>
        </r>
        <r>
          <rPr>
            <sz val="9"/>
            <color indexed="81"/>
            <rFont val="Tahoma"/>
            <family val="2"/>
          </rPr>
          <t xml:space="preserve">
</t>
        </r>
        <r>
          <rPr>
            <sz val="9"/>
            <color indexed="81"/>
            <rFont val="宋体"/>
            <family val="3"/>
            <charset val="134"/>
          </rPr>
          <t>吸塑门板、混油门板</t>
        </r>
      </text>
    </comment>
    <comment ref="D20" authorId="0">
      <text>
        <r>
          <rPr>
            <b/>
            <sz val="9"/>
            <color indexed="81"/>
            <rFont val="宋体"/>
            <family val="3"/>
            <charset val="134"/>
          </rPr>
          <t>李颖辉</t>
        </r>
        <r>
          <rPr>
            <b/>
            <sz val="9"/>
            <color indexed="81"/>
            <rFont val="Tahoma"/>
            <family val="2"/>
          </rPr>
          <t>:</t>
        </r>
        <r>
          <rPr>
            <sz val="9"/>
            <color indexed="81"/>
            <rFont val="Tahoma"/>
            <family val="2"/>
          </rPr>
          <t xml:space="preserve">
</t>
        </r>
        <r>
          <rPr>
            <sz val="9"/>
            <color indexed="81"/>
            <rFont val="宋体"/>
            <family val="3"/>
            <charset val="134"/>
          </rPr>
          <t>无公式，需要手工输入</t>
        </r>
      </text>
    </comment>
  </commentList>
</comments>
</file>

<file path=xl/sharedStrings.xml><?xml version="1.0" encoding="utf-8"?>
<sst xmlns="http://schemas.openxmlformats.org/spreadsheetml/2006/main" count="3785" uniqueCount="1599">
  <si>
    <t>备注</t>
    <phoneticPr fontId="6" type="noConversion"/>
  </si>
  <si>
    <t>序号</t>
    <phoneticPr fontId="6" type="noConversion"/>
  </si>
  <si>
    <t>门板封边</t>
    <phoneticPr fontId="6" type="noConversion"/>
  </si>
  <si>
    <t>抽屉</t>
    <phoneticPr fontId="6" type="noConversion"/>
  </si>
  <si>
    <t>单位</t>
    <phoneticPr fontId="6" type="noConversion"/>
  </si>
  <si>
    <t>数量</t>
    <phoneticPr fontId="6" type="noConversion"/>
  </si>
  <si>
    <t>客户姓名</t>
    <phoneticPr fontId="6" type="noConversion"/>
  </si>
  <si>
    <t>水灶柜铝
制横梁</t>
  </si>
  <si>
    <t>下单日期</t>
    <phoneticPr fontId="6" type="noConversion"/>
  </si>
  <si>
    <t>材料名称</t>
    <phoneticPr fontId="6" type="noConversion"/>
  </si>
  <si>
    <t>米</t>
    <phoneticPr fontId="6" type="noConversion"/>
  </si>
  <si>
    <t>柜体</t>
    <phoneticPr fontId="6" type="noConversion"/>
  </si>
  <si>
    <t>项目</t>
    <phoneticPr fontId="6" type="noConversion"/>
  </si>
  <si>
    <t>型号、规格</t>
    <phoneticPr fontId="6" type="noConversion"/>
  </si>
  <si>
    <t>张</t>
    <phoneticPr fontId="6" type="noConversion"/>
  </si>
  <si>
    <t>克</t>
    <phoneticPr fontId="6" type="noConversion"/>
  </si>
  <si>
    <t>销售点</t>
    <phoneticPr fontId="6" type="noConversion"/>
  </si>
  <si>
    <t>应完成日期</t>
    <phoneticPr fontId="6" type="noConversion"/>
  </si>
  <si>
    <t>顶线</t>
    <phoneticPr fontId="6" type="noConversion"/>
  </si>
  <si>
    <t>封边</t>
    <phoneticPr fontId="6" type="noConversion"/>
  </si>
  <si>
    <t>T型铝封边</t>
    <phoneticPr fontId="6" type="noConversion"/>
  </si>
  <si>
    <t>顶板</t>
    <phoneticPr fontId="6" type="noConversion"/>
  </si>
  <si>
    <t>吊柜</t>
    <phoneticPr fontId="6" type="noConversion"/>
  </si>
  <si>
    <t>订单编号</t>
    <phoneticPr fontId="15" type="noConversion"/>
  </si>
  <si>
    <t>物料描述</t>
    <phoneticPr fontId="6" type="noConversion"/>
  </si>
  <si>
    <t>总延米：</t>
    <phoneticPr fontId="6" type="noConversion"/>
  </si>
  <si>
    <t>城市：</t>
    <phoneticPr fontId="6" type="noConversion"/>
  </si>
  <si>
    <t>宽</t>
    <phoneticPr fontId="6" type="noConversion"/>
  </si>
  <si>
    <t>高</t>
    <phoneticPr fontId="6" type="noConversion"/>
  </si>
  <si>
    <t>备注</t>
    <phoneticPr fontId="6" type="noConversion"/>
  </si>
  <si>
    <t>米</t>
  </si>
  <si>
    <t>张</t>
    <phoneticPr fontId="15" type="noConversion"/>
  </si>
  <si>
    <t>张</t>
  </si>
  <si>
    <t>米</t>
    <phoneticPr fontId="15" type="noConversion"/>
  </si>
  <si>
    <t>个</t>
    <phoneticPr fontId="15" type="noConversion"/>
  </si>
  <si>
    <t>根</t>
    <phoneticPr fontId="15" type="noConversion"/>
  </si>
  <si>
    <t>客户姓名</t>
    <phoneticPr fontId="6" type="noConversion"/>
  </si>
  <si>
    <t>版本型录号</t>
    <phoneticPr fontId="6" type="noConversion"/>
  </si>
  <si>
    <t>8*1830*2440</t>
  </si>
  <si>
    <t>FC-BZ020025</t>
  </si>
  <si>
    <t>FC-BZ010962</t>
    <phoneticPr fontId="15" type="noConversion"/>
  </si>
  <si>
    <t>硬纸护角</t>
    <phoneticPr fontId="15" type="noConversion"/>
  </si>
  <si>
    <t>根据板件高度选择硬纸护角的高度（41/54）</t>
    <phoneticPr fontId="15" type="noConversion"/>
  </si>
  <si>
    <t>FC-BZ010110</t>
  </si>
  <si>
    <t>包装纸板1500mm*2400mm（三层瓦楞纸)</t>
    <phoneticPr fontId="15" type="noConversion"/>
  </si>
  <si>
    <t>1层</t>
    <phoneticPr fontId="15" type="noConversion"/>
  </si>
  <si>
    <t>——</t>
    <phoneticPr fontId="15" type="noConversion"/>
  </si>
  <si>
    <t>H≤2400</t>
    <phoneticPr fontId="15" type="noConversion"/>
  </si>
  <si>
    <t>600＜W≤900</t>
    <phoneticPr fontId="15" type="noConversion"/>
  </si>
  <si>
    <t>装饰墙板</t>
    <phoneticPr fontId="15" type="noConversion"/>
  </si>
  <si>
    <t>2层</t>
    <phoneticPr fontId="15" type="noConversion"/>
  </si>
  <si>
    <t>W≤600</t>
    <phoneticPr fontId="15" type="noConversion"/>
  </si>
  <si>
    <t>硬纸护角41mm高</t>
  </si>
  <si>
    <t>4层</t>
    <phoneticPr fontId="15" type="noConversion"/>
  </si>
  <si>
    <t>D≤300</t>
    <phoneticPr fontId="15" type="noConversion"/>
  </si>
  <si>
    <t>W≤1200</t>
    <phoneticPr fontId="15" type="noConversion"/>
  </si>
  <si>
    <t>墙上层板</t>
    <phoneticPr fontId="15" type="noConversion"/>
  </si>
  <si>
    <t>加硬包装</t>
    <phoneticPr fontId="15" type="noConversion"/>
  </si>
  <si>
    <t>1个</t>
    <phoneticPr fontId="15" type="noConversion"/>
  </si>
  <si>
    <t>酒架、调料盒、碗盘架、墙上搁架</t>
    <phoneticPr fontId="15" type="noConversion"/>
  </si>
  <si>
    <t>硬纸护角54mm高</t>
    <phoneticPr fontId="15" type="noConversion"/>
  </si>
  <si>
    <t>25侧板U型护边350*2600</t>
    <phoneticPr fontId="15" type="noConversion"/>
  </si>
  <si>
    <t>350＜D≤650</t>
    <phoneticPr fontId="15" type="noConversion"/>
  </si>
  <si>
    <t>1200＜W≤2400</t>
    <phoneticPr fontId="15" type="noConversion"/>
  </si>
  <si>
    <t>图兰朵盖板</t>
    <phoneticPr fontId="15" type="noConversion"/>
  </si>
  <si>
    <t>25侧板U型护边280*2600</t>
    <phoneticPr fontId="15" type="noConversion"/>
  </si>
  <si>
    <t>D≤350</t>
    <phoneticPr fontId="15" type="noConversion"/>
  </si>
  <si>
    <t>烟机罩</t>
    <phoneticPr fontId="15" type="noConversion"/>
  </si>
  <si>
    <t>1块</t>
    <phoneticPr fontId="15" type="noConversion"/>
  </si>
  <si>
    <t>—</t>
    <phoneticPr fontId="15" type="noConversion"/>
  </si>
  <si>
    <t>H≤1200</t>
    <phoneticPr fontId="15" type="noConversion"/>
  </si>
  <si>
    <t>1300＜W≤1600</t>
    <phoneticPr fontId="15" type="noConversion"/>
  </si>
  <si>
    <t>浴室镜</t>
    <phoneticPr fontId="15" type="noConversion"/>
  </si>
  <si>
    <t>W≤1300</t>
    <phoneticPr fontId="15" type="noConversion"/>
  </si>
  <si>
    <t>L型苯板护角</t>
    <phoneticPr fontId="15" type="noConversion"/>
  </si>
  <si>
    <t>4层/包</t>
    <phoneticPr fontId="15" type="noConversion"/>
  </si>
  <si>
    <t>W≤2400</t>
    <phoneticPr fontId="15" type="noConversion"/>
  </si>
  <si>
    <t>单体罗马柱、顶线、灯线、踢脚板、图兰朵边框</t>
    <phoneticPr fontId="15" type="noConversion"/>
  </si>
  <si>
    <t>W＞600</t>
    <phoneticPr fontId="15" type="noConversion"/>
  </si>
  <si>
    <t>H≤840</t>
    <phoneticPr fontId="15" type="noConversion"/>
  </si>
  <si>
    <t>50、75、150</t>
    <phoneticPr fontId="15" type="noConversion"/>
  </si>
  <si>
    <t>罗马柱箱体</t>
    <phoneticPr fontId="15" type="noConversion"/>
  </si>
  <si>
    <t>840＜H≤2260</t>
    <phoneticPr fontId="15" type="noConversion"/>
  </si>
  <si>
    <t>350＜W≤600</t>
    <phoneticPr fontId="15" type="noConversion"/>
  </si>
  <si>
    <t>200＜W≤350</t>
    <phoneticPr fontId="15" type="noConversion"/>
  </si>
  <si>
    <t>H≤840</t>
    <phoneticPr fontId="15" type="noConversion"/>
  </si>
  <si>
    <t>罗马柱箱体</t>
    <phoneticPr fontId="15" type="noConversion"/>
  </si>
  <si>
    <t>米</t>
    <phoneticPr fontId="15" type="noConversion"/>
  </si>
  <si>
    <t>个</t>
    <phoneticPr fontId="15" type="noConversion"/>
  </si>
  <si>
    <t>FC-BZ010962</t>
    <phoneticPr fontId="15" type="noConversion"/>
  </si>
  <si>
    <t>包装纸板1500mm*2400mm（三层瓦楞纸)</t>
    <phoneticPr fontId="15" type="noConversion"/>
  </si>
  <si>
    <t>1个</t>
    <phoneticPr fontId="15" type="noConversion"/>
  </si>
  <si>
    <t>W≤600</t>
    <phoneticPr fontId="15" type="noConversion"/>
  </si>
  <si>
    <t>840＜H≤2260</t>
    <phoneticPr fontId="15" type="noConversion"/>
  </si>
  <si>
    <t>2个</t>
    <phoneticPr fontId="15" type="noConversion"/>
  </si>
  <si>
    <t>350＜W≤600</t>
    <phoneticPr fontId="15" type="noConversion"/>
  </si>
  <si>
    <t>硬纸护角54mm高</t>
    <phoneticPr fontId="15" type="noConversion"/>
  </si>
  <si>
    <t>25侧板U型护边350*2600</t>
    <phoneticPr fontId="15" type="noConversion"/>
  </si>
  <si>
    <t>25侧板U型护边280*2600</t>
    <phoneticPr fontId="15" type="noConversion"/>
  </si>
  <si>
    <t>W≤350</t>
    <phoneticPr fontId="15" type="noConversion"/>
  </si>
  <si>
    <t>备注</t>
  </si>
  <si>
    <t>单位</t>
  </si>
  <si>
    <t>数量</t>
  </si>
  <si>
    <t>物料编码</t>
    <phoneticPr fontId="15" type="noConversion"/>
  </si>
  <si>
    <t>包装材料名称</t>
    <phoneticPr fontId="15" type="noConversion"/>
  </si>
  <si>
    <t>数量</t>
    <phoneticPr fontId="15" type="noConversion"/>
  </si>
  <si>
    <t>深度</t>
    <phoneticPr fontId="15" type="noConversion"/>
  </si>
  <si>
    <t>高度</t>
    <phoneticPr fontId="15" type="noConversion"/>
  </si>
  <si>
    <t>宽度</t>
    <phoneticPr fontId="15" type="noConversion"/>
  </si>
  <si>
    <t>名称</t>
    <phoneticPr fontId="15" type="noConversion"/>
  </si>
  <si>
    <t>四、装饰部件部分（本地、外地通用）</t>
    <phoneticPr fontId="15" type="noConversion"/>
  </si>
  <si>
    <t>张</t>
    <phoneticPr fontId="15" type="noConversion"/>
  </si>
  <si>
    <t>FC-BZ011016</t>
    <phoneticPr fontId="15" type="noConversion"/>
  </si>
  <si>
    <t>拉篮、抽屉柜、特殊柜</t>
    <phoneticPr fontId="15" type="noConversion"/>
  </si>
  <si>
    <t>—</t>
    <phoneticPr fontId="15" type="noConversion"/>
  </si>
  <si>
    <t>备注</t>
    <phoneticPr fontId="15" type="noConversion"/>
  </si>
  <si>
    <t>柜型</t>
    <phoneticPr fontId="15" type="noConversion"/>
  </si>
  <si>
    <t>序号</t>
  </si>
  <si>
    <t>玻璃门板时增加此项</t>
    <phoneticPr fontId="15" type="noConversion"/>
  </si>
  <si>
    <t>车间调配</t>
    <phoneticPr fontId="15" type="noConversion"/>
  </si>
  <si>
    <t>FC-BZ010806</t>
  </si>
  <si>
    <t>平板苯板</t>
    <phoneticPr fontId="15" type="noConversion"/>
  </si>
  <si>
    <t>FC-BZ011023</t>
  </si>
  <si>
    <t>FC-BZ011022</t>
  </si>
  <si>
    <t>FC-BZ011021</t>
  </si>
  <si>
    <t>拉篮柜</t>
    <phoneticPr fontId="15" type="noConversion"/>
  </si>
  <si>
    <t>图兰朵拉篮柜专用</t>
    <phoneticPr fontId="15" type="noConversion"/>
  </si>
  <si>
    <t>图兰朵拉篮柜无法使用，使用大纸板包装</t>
    <phoneticPr fontId="15" type="noConversion"/>
  </si>
  <si>
    <t>三、整件发货部分（功能柜）</t>
    <phoneticPr fontId="15" type="noConversion"/>
  </si>
  <si>
    <t>平板苯板18mm厚</t>
    <phoneticPr fontId="15" type="noConversion"/>
  </si>
  <si>
    <t>FC-BZ011017</t>
  </si>
  <si>
    <t>18/22/25</t>
    <phoneticPr fontId="15" type="noConversion"/>
  </si>
  <si>
    <t>H＞720</t>
    <phoneticPr fontId="15" type="noConversion"/>
  </si>
  <si>
    <t>-</t>
    <phoneticPr fontId="15" type="noConversion"/>
  </si>
  <si>
    <t>地柜、吊柜、半高柜、台上柜、高柜：4块/包</t>
    <phoneticPr fontId="15" type="noConversion"/>
  </si>
  <si>
    <t>H≤720</t>
    <phoneticPr fontId="15" type="noConversion"/>
  </si>
  <si>
    <t>适用范围</t>
    <phoneticPr fontId="15" type="noConversion"/>
  </si>
  <si>
    <t>厚度</t>
    <phoneticPr fontId="15" type="noConversion"/>
  </si>
  <si>
    <t>2.散件包装的门板--所有无法使用一片成型包装箱的门板散件</t>
    <phoneticPr fontId="15" type="noConversion"/>
  </si>
  <si>
    <t>FC-BZ011018</t>
  </si>
  <si>
    <t>600宽门板一片成型包装箱（三层瓦楞纸)A型</t>
    <phoneticPr fontId="15" type="noConversion"/>
  </si>
  <si>
    <t>≤720</t>
    <phoneticPr fontId="15" type="noConversion"/>
  </si>
  <si>
    <t>448-597</t>
    <phoneticPr fontId="15" type="noConversion"/>
  </si>
  <si>
    <t>2#门板散件包装</t>
  </si>
  <si>
    <t>保证每包最底层门板为此包装箱最大尺寸门板</t>
    <phoneticPr fontId="15" type="noConversion"/>
  </si>
  <si>
    <t>450宽门板一片成型包装箱（三层瓦楞纸)A型</t>
    <phoneticPr fontId="15" type="noConversion"/>
  </si>
  <si>
    <t>门板材质散包18A：5层/每包、22A：4层/包、25A：3层/包，每层可置多块板件，需保证底层为适合此包装箱规格的最大尺寸门板，25A门板包装时增加一层苯板。</t>
    <phoneticPr fontId="15" type="noConversion"/>
  </si>
  <si>
    <t>≤447</t>
    <phoneticPr fontId="15" type="noConversion"/>
  </si>
  <si>
    <t>1#门板散件包装</t>
    <phoneticPr fontId="15" type="noConversion"/>
  </si>
  <si>
    <t>单位</t>
    <phoneticPr fontId="15" type="noConversion"/>
  </si>
  <si>
    <t>包装标准</t>
    <phoneticPr fontId="15" type="noConversion"/>
  </si>
  <si>
    <t>包装编号</t>
    <phoneticPr fontId="15" type="noConversion"/>
  </si>
  <si>
    <t>1.散件包装的门板---可使用一片成型包装箱的明细</t>
    <phoneticPr fontId="15" type="noConversion"/>
  </si>
  <si>
    <t>二、散件门板部分</t>
    <phoneticPr fontId="15" type="noConversion"/>
  </si>
  <si>
    <t>含半高柜、高柜的订单</t>
    <phoneticPr fontId="15" type="noConversion"/>
  </si>
  <si>
    <t>每套</t>
    <phoneticPr fontId="15" type="noConversion"/>
  </si>
  <si>
    <t>无限制</t>
    <phoneticPr fontId="15" type="noConversion"/>
  </si>
  <si>
    <t>1.所有背板包装以本包最大尺寸为准选择包装材料及用量
2.所有背板包使用固定架保护，固定架使用多层板</t>
    <phoneticPr fontId="15" type="noConversion"/>
  </si>
  <si>
    <t>无半高柜、高柜的订单</t>
    <phoneticPr fontId="15" type="noConversion"/>
  </si>
  <si>
    <t>散件包装柜体的背板</t>
    <phoneticPr fontId="15" type="noConversion"/>
  </si>
  <si>
    <t>高柜</t>
    <phoneticPr fontId="15" type="noConversion"/>
  </si>
  <si>
    <t>D＞300</t>
    <phoneticPr fontId="15" type="noConversion"/>
  </si>
  <si>
    <t>D≤300</t>
    <phoneticPr fontId="15" type="noConversion"/>
  </si>
  <si>
    <t>半高柜、台上柜</t>
    <phoneticPr fontId="15" type="noConversion"/>
  </si>
  <si>
    <t>地柜</t>
    <phoneticPr fontId="15" type="noConversion"/>
  </si>
  <si>
    <t>W＞600</t>
    <phoneticPr fontId="15" type="noConversion"/>
  </si>
  <si>
    <t>吊柜</t>
    <phoneticPr fontId="15" type="noConversion"/>
  </si>
  <si>
    <t>散件包装的柜体--所有无法使用一片成型包装箱的柜体散件（玻璃层板单独包装）</t>
    <phoneticPr fontId="15" type="noConversion"/>
  </si>
  <si>
    <t>注：以上包装箱适用地柜560深、720高散件柜体；吊柜300深、720高柜体；高柜560深2160高的散件柜体（除特定两种柜形外），外地所有玻璃层板单独包装</t>
    <phoneticPr fontId="15" type="noConversion"/>
  </si>
  <si>
    <t>2160高柜一片成型包装箱（三层瓦楞纸)A型</t>
    <phoneticPr fontId="15" type="noConversion"/>
  </si>
  <si>
    <t>高柜散包柜体不适用高身拉篮及内置冰箱高柜</t>
    <phoneticPr fontId="15" type="noConversion"/>
  </si>
  <si>
    <t>600*2160高柜</t>
  </si>
  <si>
    <t>8#柜体散件包装</t>
  </si>
  <si>
    <t>FC-BZ011015</t>
    <phoneticPr fontId="15" type="noConversion"/>
  </si>
  <si>
    <t>1200宽吊柜一片成型包装箱（三层瓦楞纸)A型</t>
    <phoneticPr fontId="15" type="noConversion"/>
  </si>
  <si>
    <t>吊柜散件柜体</t>
    <phoneticPr fontId="15" type="noConversion"/>
  </si>
  <si>
    <t>901-1200</t>
    <phoneticPr fontId="15" type="noConversion"/>
  </si>
  <si>
    <t>7#柜体散件包装</t>
    <phoneticPr fontId="15" type="noConversion"/>
  </si>
  <si>
    <t>FC-BZ011014</t>
    <phoneticPr fontId="15" type="noConversion"/>
  </si>
  <si>
    <t>900宽吊柜一片成型包装箱（三层瓦楞纸)A型</t>
    <phoneticPr fontId="15" type="noConversion"/>
  </si>
  <si>
    <t>601-900</t>
    <phoneticPr fontId="15" type="noConversion"/>
  </si>
  <si>
    <t>6#柜体散件包装</t>
    <phoneticPr fontId="15" type="noConversion"/>
  </si>
  <si>
    <t>FC-BZ011013</t>
    <phoneticPr fontId="15" type="noConversion"/>
  </si>
  <si>
    <t>600宽吊柜一片成型包装箱（三层瓦楞纸)A型</t>
    <phoneticPr fontId="15" type="noConversion"/>
  </si>
  <si>
    <t>吊柜散包柜体</t>
    <phoneticPr fontId="15" type="noConversion"/>
  </si>
  <si>
    <t>5#柜体散件包装</t>
    <phoneticPr fontId="15" type="noConversion"/>
  </si>
  <si>
    <t>300宽吊柜一片成型包装箱（三层瓦楞纸)A型</t>
    <phoneticPr fontId="15" type="noConversion"/>
  </si>
  <si>
    <t>≤350</t>
    <phoneticPr fontId="15" type="noConversion"/>
  </si>
  <si>
    <t>4#柜体散件包装</t>
    <phoneticPr fontId="15" type="noConversion"/>
  </si>
  <si>
    <t>FC-BZ011012</t>
    <phoneticPr fontId="15" type="noConversion"/>
  </si>
  <si>
    <t>1200宽地柜一片成型包装箱（三层瓦楞纸)A型</t>
    <phoneticPr fontId="15" type="noConversion"/>
  </si>
  <si>
    <t>地柜散件柜体</t>
    <phoneticPr fontId="15" type="noConversion"/>
  </si>
  <si>
    <t>3#柜体散件包装</t>
    <phoneticPr fontId="15" type="noConversion"/>
  </si>
  <si>
    <t>FC-BZ011011</t>
    <phoneticPr fontId="15" type="noConversion"/>
  </si>
  <si>
    <t>900宽地柜一片成型包装箱（三层瓦楞纸)A型</t>
    <phoneticPr fontId="15" type="noConversion"/>
  </si>
  <si>
    <t>2#柜体散件包装</t>
    <phoneticPr fontId="15" type="noConversion"/>
  </si>
  <si>
    <t>硬纸护角41mm高</t>
    <phoneticPr fontId="15" type="noConversion"/>
  </si>
  <si>
    <t>FC-BZ011010</t>
    <phoneticPr fontId="15" type="noConversion"/>
  </si>
  <si>
    <t>600宽地柜一片成型包装箱（三层瓦楞纸)A型</t>
    <phoneticPr fontId="15" type="noConversion"/>
  </si>
  <si>
    <t>≤600</t>
    <phoneticPr fontId="15" type="noConversion"/>
  </si>
  <si>
    <t>1#柜体散件包装</t>
    <phoneticPr fontId="15" type="noConversion"/>
  </si>
  <si>
    <t>散件包装的柜体---可使用一片成型包装箱的明细</t>
    <phoneticPr fontId="15" type="noConversion"/>
  </si>
  <si>
    <t>橱柜款式：</t>
    <phoneticPr fontId="6" type="noConversion"/>
  </si>
  <si>
    <t>下单日期</t>
    <phoneticPr fontId="6" type="noConversion"/>
  </si>
  <si>
    <t>客户姓名</t>
    <phoneticPr fontId="6" type="noConversion"/>
  </si>
  <si>
    <t>订单编号：</t>
    <phoneticPr fontId="6" type="noConversion"/>
  </si>
  <si>
    <t>351-600</t>
    <phoneticPr fontId="15" type="noConversion"/>
  </si>
  <si>
    <t>半成品</t>
    <phoneticPr fontId="20" type="noConversion"/>
  </si>
  <si>
    <t>数量</t>
    <phoneticPr fontId="6" type="noConversion"/>
  </si>
  <si>
    <t>吊码片盖</t>
  </si>
  <si>
    <t>偏心件装饰盖</t>
  </si>
  <si>
    <t>款式</t>
    <phoneticPr fontId="6" type="noConversion"/>
  </si>
  <si>
    <t>LC-032铝框门</t>
  </si>
  <si>
    <t>LC-043铝框门</t>
  </si>
  <si>
    <t>宽度</t>
  </si>
  <si>
    <t>说明</t>
    <phoneticPr fontId="6" type="noConversion"/>
  </si>
  <si>
    <t>成型尺寸</t>
    <phoneticPr fontId="6" type="noConversion"/>
  </si>
  <si>
    <t>下料尺寸</t>
    <phoneticPr fontId="6" type="noConversion"/>
  </si>
  <si>
    <t>所有下料纹理方向均为高度方向</t>
    <phoneticPr fontId="6" type="noConversion"/>
  </si>
  <si>
    <t>箱体序号</t>
    <phoneticPr fontId="6" type="noConversion"/>
  </si>
  <si>
    <t>高度</t>
    <phoneticPr fontId="6" type="noConversion"/>
  </si>
  <si>
    <t>门板颜色</t>
    <phoneticPr fontId="6" type="noConversion"/>
  </si>
  <si>
    <t>LC-001铝材</t>
    <phoneticPr fontId="6" type="noConversion"/>
  </si>
  <si>
    <t>门板平米</t>
    <phoneticPr fontId="6" type="noConversion"/>
  </si>
  <si>
    <t>门板张数</t>
    <phoneticPr fontId="6" type="noConversion"/>
  </si>
  <si>
    <t>M11暖白</t>
    <phoneticPr fontId="6" type="noConversion"/>
  </si>
  <si>
    <t>M13荷花白</t>
    <phoneticPr fontId="6" type="noConversion"/>
  </si>
  <si>
    <t>M16触感铁灰</t>
    <phoneticPr fontId="6" type="noConversion"/>
  </si>
  <si>
    <t>白蜡木双贴三聚氰胺E0级刨花板</t>
    <phoneticPr fontId="6" type="noConversion"/>
  </si>
  <si>
    <t>深胡桃双贴三聚氰胺E0级刨花板</t>
    <phoneticPr fontId="6" type="noConversion"/>
  </si>
  <si>
    <t>制单人：</t>
    <phoneticPr fontId="6" type="noConversion"/>
  </si>
  <si>
    <t>纯色，竖纹</t>
    <phoneticPr fontId="6" type="noConversion"/>
  </si>
  <si>
    <t>横纹</t>
    <phoneticPr fontId="6" type="noConversion"/>
  </si>
  <si>
    <t>门板顶线罗马柱</t>
    <phoneticPr fontId="6" type="noConversion"/>
  </si>
  <si>
    <t>通长铝拉手</t>
    <phoneticPr fontId="6" type="noConversion"/>
  </si>
  <si>
    <t>拉篮</t>
    <phoneticPr fontId="6" type="noConversion"/>
  </si>
  <si>
    <t>宽度</t>
    <phoneticPr fontId="6" type="noConversion"/>
  </si>
  <si>
    <t>踢脚板</t>
    <phoneticPr fontId="6" type="noConversion"/>
  </si>
  <si>
    <t>此单分下料尺寸和成型尺寸2种，请生产各工段注意！</t>
    <phoneticPr fontId="6" type="noConversion"/>
  </si>
  <si>
    <t>门板</t>
    <phoneticPr fontId="6" type="noConversion"/>
  </si>
  <si>
    <t>平米</t>
    <phoneticPr fontId="6" type="noConversion"/>
  </si>
  <si>
    <t>拉手</t>
    <phoneticPr fontId="6" type="noConversion"/>
  </si>
  <si>
    <t>套</t>
    <phoneticPr fontId="6" type="noConversion"/>
  </si>
  <si>
    <t>客户姓名</t>
    <phoneticPr fontId="6" type="noConversion"/>
  </si>
  <si>
    <t>订单编号</t>
    <phoneticPr fontId="6" type="noConversion"/>
  </si>
  <si>
    <t>下单日期</t>
    <phoneticPr fontId="6" type="noConversion"/>
  </si>
  <si>
    <t>销售点</t>
    <phoneticPr fontId="6" type="noConversion"/>
  </si>
  <si>
    <t>免漆</t>
    <phoneticPr fontId="6" type="noConversion"/>
  </si>
  <si>
    <t>凯斯宝玛地柜侧拉篮203R（右）</t>
  </si>
  <si>
    <t>凯斯宝玛地柜侧拉篮203L（左）</t>
  </si>
  <si>
    <t>凯斯宝玛百纳宝拉篮211</t>
  </si>
  <si>
    <t>左岸都市II</t>
  </si>
  <si>
    <t>香草天空II</t>
  </si>
  <si>
    <t>浮士德</t>
  </si>
  <si>
    <t>卡帝亚</t>
  </si>
  <si>
    <t>丛林印象</t>
  </si>
  <si>
    <t>东南亚</t>
  </si>
  <si>
    <t>帕拉迪奥</t>
  </si>
  <si>
    <t>帕格尼尼</t>
  </si>
  <si>
    <t>色诱</t>
  </si>
  <si>
    <t>图兰朵</t>
  </si>
  <si>
    <t>图兰朵II</t>
  </si>
  <si>
    <t>炫彩梦幻</t>
  </si>
  <si>
    <t>齐彭代尔</t>
  </si>
  <si>
    <t>托斯卡纳</t>
  </si>
  <si>
    <t>香颂</t>
  </si>
  <si>
    <t>封边组</t>
  </si>
  <si>
    <t>家具班组转序交接表</t>
    <phoneticPr fontId="15" type="noConversion"/>
  </si>
  <si>
    <t>客户姓名</t>
    <phoneticPr fontId="15" type="noConversion"/>
  </si>
  <si>
    <t>接单日期</t>
    <phoneticPr fontId="15" type="noConversion"/>
  </si>
  <si>
    <t>款式名称</t>
    <phoneticPr fontId="15" type="noConversion"/>
  </si>
  <si>
    <t>材质/色号</t>
    <phoneticPr fontId="15" type="noConversion"/>
  </si>
  <si>
    <t>下单日期</t>
    <phoneticPr fontId="15" type="noConversion"/>
  </si>
  <si>
    <t>销售点</t>
    <phoneticPr fontId="15" type="noConversion"/>
  </si>
  <si>
    <t>版本型号录号</t>
    <phoneticPr fontId="15" type="noConversion"/>
  </si>
  <si>
    <t>应完成日期</t>
    <phoneticPr fontId="15" type="noConversion"/>
  </si>
  <si>
    <t>产品系列</t>
    <phoneticPr fontId="15" type="noConversion"/>
  </si>
  <si>
    <t>实木</t>
    <phoneticPr fontId="15" type="noConversion"/>
  </si>
  <si>
    <t>混油</t>
    <phoneticPr fontId="15" type="noConversion"/>
  </si>
  <si>
    <t>清油</t>
    <phoneticPr fontId="15" type="noConversion"/>
  </si>
  <si>
    <t>吸塑</t>
    <phoneticPr fontId="15" type="noConversion"/>
  </si>
  <si>
    <t>免漆</t>
    <phoneticPr fontId="15" type="noConversion"/>
  </si>
  <si>
    <t>铝框</t>
    <phoneticPr fontId="15" type="noConversion"/>
  </si>
  <si>
    <t>标准地柜</t>
    <phoneticPr fontId="15" type="noConversion"/>
  </si>
  <si>
    <t>标准吊柜</t>
    <phoneticPr fontId="15" type="noConversion"/>
  </si>
  <si>
    <t>生产周期</t>
    <phoneticPr fontId="15" type="noConversion"/>
  </si>
  <si>
    <t>序号</t>
    <phoneticPr fontId="15" type="noConversion"/>
  </si>
  <si>
    <t>工段班组</t>
    <phoneticPr fontId="15" type="noConversion"/>
  </si>
  <si>
    <t>工序名称</t>
    <phoneticPr fontId="15" type="noConversion"/>
  </si>
  <si>
    <t>成品数量</t>
    <phoneticPr fontId="15" type="noConversion"/>
  </si>
  <si>
    <t>完成日期</t>
    <phoneticPr fontId="15" type="noConversion"/>
  </si>
  <si>
    <t>主机手</t>
    <phoneticPr fontId="15" type="noConversion"/>
  </si>
  <si>
    <t>质检</t>
    <phoneticPr fontId="15" type="noConversion"/>
  </si>
  <si>
    <t>橱柜线</t>
    <phoneticPr fontId="15" type="noConversion"/>
  </si>
  <si>
    <t>下料组</t>
    <phoneticPr fontId="15" type="noConversion"/>
  </si>
  <si>
    <t>块</t>
    <phoneticPr fontId="15" type="noConversion"/>
  </si>
  <si>
    <t>板材</t>
    <phoneticPr fontId="6" type="noConversion"/>
  </si>
  <si>
    <t>1.发光镜子的灯相关物料需要开在组装；</t>
    <phoneticPr fontId="6" type="noConversion"/>
  </si>
  <si>
    <t>2.所有水盆、电器的物料需开在组装；</t>
    <phoneticPr fontId="6" type="noConversion"/>
  </si>
  <si>
    <t xml:space="preserve">护套线 </t>
    <phoneticPr fontId="32" type="noConversion"/>
  </si>
  <si>
    <t>米</t>
    <phoneticPr fontId="32" type="noConversion"/>
  </si>
  <si>
    <t>名称</t>
    <phoneticPr fontId="6" type="noConversion"/>
  </si>
  <si>
    <t>凯光射灯GX53-CFL3U（2700K暖光）</t>
    <phoneticPr fontId="32" type="noConversion"/>
  </si>
  <si>
    <t>个</t>
    <phoneticPr fontId="32" type="noConversion"/>
  </si>
  <si>
    <t>整件发货柜体个数：</t>
    <phoneticPr fontId="6" type="noConversion"/>
  </si>
  <si>
    <t>触碰开关（PSC-01）</t>
    <phoneticPr fontId="32" type="noConversion"/>
  </si>
  <si>
    <t>套</t>
    <phoneticPr fontId="32" type="noConversion"/>
  </si>
  <si>
    <t>2选一</t>
    <phoneticPr fontId="32" type="noConversion"/>
  </si>
  <si>
    <t>偏心件总个数</t>
    <phoneticPr fontId="6" type="noConversion"/>
  </si>
  <si>
    <t>整件发货偏心件个数：</t>
    <phoneticPr fontId="6" type="noConversion"/>
  </si>
  <si>
    <t>门控开关（PSC-01-B0.8M）</t>
    <phoneticPr fontId="32" type="noConversion"/>
  </si>
  <si>
    <t>木榫总个数</t>
    <phoneticPr fontId="6" type="noConversion"/>
  </si>
  <si>
    <t>整件发货木榫个数：</t>
    <phoneticPr fontId="6" type="noConversion"/>
  </si>
  <si>
    <t>瓷白</t>
    <phoneticPr fontId="6" type="noConversion"/>
  </si>
  <si>
    <t>透明</t>
    <phoneticPr fontId="6" type="noConversion"/>
  </si>
  <si>
    <t>1个UN30+尼龙胀塞8*60 1个+3.5*12自攻钉 3个</t>
    <phoneticPr fontId="6" type="noConversion"/>
  </si>
  <si>
    <t>电器水盆</t>
    <phoneticPr fontId="6" type="noConversion"/>
  </si>
  <si>
    <t>水盆套餐</t>
    <phoneticPr fontId="6" type="noConversion"/>
  </si>
  <si>
    <t>水盆配件包</t>
    <phoneticPr fontId="6" type="noConversion"/>
  </si>
  <si>
    <t>对丝八字阀等下水附件</t>
    <phoneticPr fontId="6" type="noConversion"/>
  </si>
  <si>
    <t>客户姓名</t>
    <phoneticPr fontId="6" type="noConversion"/>
  </si>
  <si>
    <t>订单编号：</t>
    <phoneticPr fontId="6" type="noConversion"/>
  </si>
  <si>
    <t>项目</t>
    <phoneticPr fontId="6" type="noConversion"/>
  </si>
  <si>
    <t>序号</t>
    <phoneticPr fontId="6" type="noConversion"/>
  </si>
  <si>
    <t>单位</t>
    <phoneticPr fontId="6" type="noConversion"/>
  </si>
  <si>
    <t>装箱确认</t>
    <phoneticPr fontId="6" type="noConversion"/>
  </si>
  <si>
    <t>张</t>
    <phoneticPr fontId="6" type="noConversion"/>
  </si>
  <si>
    <t>安装基础五金</t>
    <phoneticPr fontId="6" type="noConversion"/>
  </si>
  <si>
    <t>套</t>
    <phoneticPr fontId="6" type="noConversion"/>
  </si>
  <si>
    <t>个</t>
    <phoneticPr fontId="6" type="noConversion"/>
  </si>
  <si>
    <t>封边、胶</t>
    <phoneticPr fontId="6" type="noConversion"/>
  </si>
  <si>
    <t>米</t>
    <phoneticPr fontId="6" type="noConversion"/>
  </si>
  <si>
    <t>克</t>
    <phoneticPr fontId="6" type="noConversion"/>
  </si>
  <si>
    <t>防尘角</t>
    <phoneticPr fontId="6" type="noConversion"/>
  </si>
  <si>
    <t>吊码片</t>
    <phoneticPr fontId="6" type="noConversion"/>
  </si>
  <si>
    <t>组装基础五金</t>
    <phoneticPr fontId="6" type="noConversion"/>
  </si>
  <si>
    <t>根</t>
    <phoneticPr fontId="6" type="noConversion"/>
  </si>
  <si>
    <t>小角铁</t>
    <phoneticPr fontId="6" type="noConversion"/>
  </si>
  <si>
    <t>时尚下水口(防水底漏)</t>
    <phoneticPr fontId="6" type="noConversion"/>
  </si>
  <si>
    <t>不锈钢连接片</t>
    <phoneticPr fontId="6" type="noConversion"/>
  </si>
  <si>
    <t>组装五金</t>
    <phoneticPr fontId="6" type="noConversion"/>
  </si>
  <si>
    <t>瓷白</t>
    <phoneticPr fontId="6" type="noConversion"/>
  </si>
  <si>
    <t>瓶</t>
    <phoneticPr fontId="6" type="noConversion"/>
  </si>
  <si>
    <t>铰链</t>
    <phoneticPr fontId="6" type="noConversion"/>
  </si>
  <si>
    <t>BLUM直臂铰链100°</t>
    <phoneticPr fontId="6" type="noConversion"/>
  </si>
  <si>
    <t>BLUM美式带框门铰链</t>
    <phoneticPr fontId="6" type="noConversion"/>
  </si>
  <si>
    <t>BLUM小曲铰链107°</t>
    <phoneticPr fontId="6" type="noConversion"/>
  </si>
  <si>
    <t>BLUM 双折门铰链</t>
    <phoneticPr fontId="6" type="noConversion"/>
  </si>
  <si>
    <t>拉篮
米箱
垃圾筒</t>
    <phoneticPr fontId="6" type="noConversion"/>
  </si>
  <si>
    <t>支撑</t>
    <phoneticPr fontId="6" type="noConversion"/>
  </si>
  <si>
    <t>黑陶随意停（右）</t>
    <phoneticPr fontId="6" type="noConversion"/>
  </si>
  <si>
    <t>黑陶随意停（左）</t>
    <phoneticPr fontId="6" type="noConversion"/>
  </si>
  <si>
    <t>块</t>
    <phoneticPr fontId="6" type="noConversion"/>
  </si>
  <si>
    <t>拉手</t>
    <phoneticPr fontId="6" type="noConversion"/>
  </si>
  <si>
    <t>大料角码</t>
    <phoneticPr fontId="6" type="noConversion"/>
  </si>
  <si>
    <t>角码螺丝M4*8</t>
    <phoneticPr fontId="6" type="noConversion"/>
  </si>
  <si>
    <t>铝框门玻璃压条</t>
    <phoneticPr fontId="6" type="noConversion"/>
  </si>
  <si>
    <t>灯具</t>
    <phoneticPr fontId="6" type="noConversion"/>
  </si>
  <si>
    <t>外</t>
    <phoneticPr fontId="6" type="noConversion"/>
  </si>
  <si>
    <t>门控开关（PSC-01-B0.8M）</t>
    <phoneticPr fontId="6" type="noConversion"/>
  </si>
  <si>
    <t>内</t>
    <phoneticPr fontId="6" type="noConversion"/>
  </si>
  <si>
    <t>备注：灯箱底板、拉篮、含玻璃镜子的板件都需要打硬包装</t>
    <phoneticPr fontId="20" type="noConversion"/>
  </si>
  <si>
    <t xml:space="preserve">   拆解员：                                                 </t>
    <phoneticPr fontId="6" type="noConversion"/>
  </si>
  <si>
    <t xml:space="preserve">
玻璃
</t>
    <phoneticPr fontId="6" type="noConversion"/>
  </si>
  <si>
    <t>铝材</t>
    <phoneticPr fontId="6" type="noConversion"/>
  </si>
  <si>
    <t>抽屉</t>
    <phoneticPr fontId="6" type="noConversion"/>
  </si>
  <si>
    <t>鱼嘴夹（中号）</t>
    <phoneticPr fontId="6" type="noConversion"/>
  </si>
  <si>
    <t>个</t>
    <phoneticPr fontId="6" type="noConversion"/>
  </si>
  <si>
    <t>沙溪挂件（大）</t>
  </si>
  <si>
    <t>套</t>
    <phoneticPr fontId="6" type="noConversion"/>
  </si>
  <si>
    <t>BLUM内置阻尼平门铰链95°</t>
    <phoneticPr fontId="6" type="noConversion"/>
  </si>
  <si>
    <t>BLUM上翻门支撑（20K2700.BL）</t>
    <phoneticPr fontId="6" type="noConversion"/>
  </si>
  <si>
    <t>蜂窝纸板1250*800*15</t>
    <phoneticPr fontId="20" type="noConversion"/>
  </si>
  <si>
    <t>蜂窝纸板2200*650*15</t>
    <phoneticPr fontId="20" type="noConversion"/>
  </si>
  <si>
    <t>150宽拉篮柜对口箱（三层瓦楞纸)170*630*750</t>
    <phoneticPr fontId="15" type="noConversion"/>
  </si>
  <si>
    <t>450宽拉篮、抽屉对口箱（三层瓦楞纸)470*630*750</t>
    <phoneticPr fontId="15" type="noConversion"/>
  </si>
  <si>
    <t>600宽拉篮、抽屉对口箱（三层瓦楞纸)620*630*750</t>
    <phoneticPr fontId="15" type="noConversion"/>
  </si>
  <si>
    <t>热熔胶（8803A）25公斤/袋</t>
    <phoneticPr fontId="6" type="noConversion"/>
  </si>
  <si>
    <t>封边胶（KS3920）25公斤/袋</t>
    <phoneticPr fontId="6" type="noConversion"/>
  </si>
  <si>
    <t>自攻钉3.0*16</t>
    <phoneticPr fontId="6" type="noConversion"/>
  </si>
  <si>
    <t>自攻钉3.5*16</t>
    <phoneticPr fontId="6" type="noConversion"/>
  </si>
  <si>
    <t>自攻钉4*30</t>
    <phoneticPr fontId="6" type="noConversion"/>
  </si>
  <si>
    <t>BLUM高帮抽（D高度）350mm</t>
    <phoneticPr fontId="6" type="noConversion"/>
  </si>
  <si>
    <t>BLUM低帮抽（M高度）350mm</t>
    <phoneticPr fontId="6" type="noConversion"/>
  </si>
  <si>
    <t>U型阻水条</t>
    <phoneticPr fontId="6" type="noConversion"/>
  </si>
  <si>
    <t>BLUM高帮抽（D高度）450mm</t>
    <phoneticPr fontId="6" type="noConversion"/>
  </si>
  <si>
    <t>BLUM低帮抽（M高度）450mm</t>
    <phoneticPr fontId="6" type="noConversion"/>
  </si>
  <si>
    <t>销售点：</t>
    <phoneticPr fontId="6" type="noConversion"/>
  </si>
  <si>
    <t>销售单号</t>
    <phoneticPr fontId="6" type="noConversion"/>
  </si>
  <si>
    <t>尼龙胀塞8*60</t>
    <phoneticPr fontId="6" type="noConversion"/>
  </si>
  <si>
    <t>自攻钉3.5*12</t>
    <phoneticPr fontId="6" type="noConversion"/>
  </si>
  <si>
    <t>中性玻璃胶</t>
    <phoneticPr fontId="6" type="noConversion"/>
  </si>
  <si>
    <t>铝踢脚板连接件</t>
    <phoneticPr fontId="6" type="noConversion"/>
  </si>
  <si>
    <t>拉手螺丝4*30</t>
    <phoneticPr fontId="6" type="noConversion"/>
  </si>
  <si>
    <t xml:space="preserve">
</t>
    <phoneticPr fontId="6" type="noConversion"/>
  </si>
  <si>
    <t>透明玻璃</t>
    <phoneticPr fontId="6" type="noConversion"/>
  </si>
  <si>
    <t>透明玻璃</t>
    <phoneticPr fontId="6" type="noConversion"/>
  </si>
  <si>
    <t>装箱清单——</t>
    <phoneticPr fontId="6" type="noConversion"/>
  </si>
  <si>
    <t>铝踢脚板（氧化铝</t>
    <phoneticPr fontId="6" type="noConversion"/>
  </si>
  <si>
    <t>条纹形）6米/支</t>
    <phoneticPr fontId="6" type="noConversion"/>
  </si>
  <si>
    <t>水柜铝横梁（6米/根）</t>
    <phoneticPr fontId="6" type="noConversion"/>
  </si>
  <si>
    <t>备注：
a、A880  A881  类拉手是安装五金
           **铝拉手放铝材
b、水盆电器写在领料单
c、只有24伏的那一套灯/灯箱底板是组装五金领。其他安装五金
d、除安装五金外，不要把其他的放在料单右侧；
e、注意如门板也有安装五金,或不清楚的五金分类标准请务必与IE部沟通处理；</t>
    <phoneticPr fontId="6" type="noConversion"/>
  </si>
  <si>
    <t>偏心件与木榫数量</t>
    <phoneticPr fontId="6" type="noConversion"/>
  </si>
  <si>
    <t>铝扣条</t>
    <phoneticPr fontId="6" type="noConversion"/>
  </si>
  <si>
    <t>铝踢脚板</t>
    <phoneticPr fontId="6" type="noConversion"/>
  </si>
  <si>
    <t>铝横梁</t>
    <phoneticPr fontId="6" type="noConversion"/>
  </si>
  <si>
    <t>防撞缓冲塞∮8*8（灰色）</t>
    <phoneticPr fontId="6" type="noConversion"/>
  </si>
  <si>
    <t>防撞胶粒</t>
    <phoneticPr fontId="6" type="noConversion"/>
  </si>
  <si>
    <t>灯箱底板</t>
    <phoneticPr fontId="6" type="noConversion"/>
  </si>
  <si>
    <t>尺寸</t>
    <phoneticPr fontId="6" type="noConversion"/>
  </si>
  <si>
    <t>刀叉盘</t>
    <phoneticPr fontId="6" type="noConversion"/>
  </si>
  <si>
    <t>灯箱底板</t>
    <phoneticPr fontId="6" type="noConversion"/>
  </si>
  <si>
    <t>3*1830*2440</t>
    <phoneticPr fontId="6" type="noConversion"/>
  </si>
  <si>
    <t>名称</t>
    <phoneticPr fontId="6" type="noConversion"/>
  </si>
  <si>
    <t>厚度</t>
    <phoneticPr fontId="6" type="noConversion"/>
  </si>
  <si>
    <t>铣灶台槽</t>
    <phoneticPr fontId="6" type="noConversion"/>
  </si>
  <si>
    <t>款式</t>
    <phoneticPr fontId="6" type="noConversion"/>
  </si>
  <si>
    <t>底板</t>
    <phoneticPr fontId="6" type="noConversion"/>
  </si>
  <si>
    <t>连接板</t>
    <phoneticPr fontId="6" type="noConversion"/>
  </si>
  <si>
    <t>活搁板</t>
    <phoneticPr fontId="6" type="noConversion"/>
  </si>
  <si>
    <t>固搁，梗板等非标板件</t>
    <phoneticPr fontId="6" type="noConversion"/>
  </si>
  <si>
    <t>背板</t>
    <phoneticPr fontId="6" type="noConversion"/>
  </si>
  <si>
    <t>地脚</t>
    <phoneticPr fontId="6" type="noConversion"/>
  </si>
  <si>
    <t>1.0PVC封边</t>
    <phoneticPr fontId="6" type="noConversion"/>
  </si>
  <si>
    <t>地柜</t>
    <phoneticPr fontId="6" type="noConversion"/>
  </si>
  <si>
    <t>深</t>
    <phoneticPr fontId="6" type="noConversion"/>
  </si>
  <si>
    <t>件数</t>
    <phoneticPr fontId="6" type="noConversion"/>
  </si>
  <si>
    <t>序号</t>
    <phoneticPr fontId="6" type="noConversion"/>
  </si>
  <si>
    <t>合计:</t>
    <phoneticPr fontId="6" type="noConversion"/>
  </si>
  <si>
    <t>总合计：</t>
    <phoneticPr fontId="6" type="noConversion"/>
  </si>
  <si>
    <t>块</t>
    <phoneticPr fontId="6" type="noConversion"/>
  </si>
  <si>
    <t>数量</t>
    <phoneticPr fontId="6" type="noConversion"/>
  </si>
  <si>
    <t>免漆</t>
    <phoneticPr fontId="6" type="noConversion"/>
  </si>
  <si>
    <t>备用条</t>
    <phoneticPr fontId="6" type="noConversion"/>
  </si>
  <si>
    <t>简爱</t>
    <phoneticPr fontId="6" type="noConversion"/>
  </si>
  <si>
    <t>吸塑</t>
    <phoneticPr fontId="6" type="noConversion"/>
  </si>
  <si>
    <t>吸塑</t>
    <phoneticPr fontId="6" type="noConversion"/>
  </si>
  <si>
    <t>吸塑</t>
    <phoneticPr fontId="6" type="noConversion"/>
  </si>
  <si>
    <t>清油</t>
    <phoneticPr fontId="6" type="noConversion"/>
  </si>
  <si>
    <t>混油</t>
    <phoneticPr fontId="6" type="noConversion"/>
  </si>
  <si>
    <t>混油</t>
    <phoneticPr fontId="6" type="noConversion"/>
  </si>
  <si>
    <t>实木</t>
    <phoneticPr fontId="6" type="noConversion"/>
  </si>
  <si>
    <t>柜宽</t>
    <phoneticPr fontId="6" type="noConversion"/>
  </si>
  <si>
    <t>铝梁数</t>
    <phoneticPr fontId="6" type="noConversion"/>
  </si>
  <si>
    <t>减尺</t>
    <phoneticPr fontId="6" type="noConversion"/>
  </si>
  <si>
    <t>铝材用量</t>
    <phoneticPr fontId="6" type="noConversion"/>
  </si>
  <si>
    <t>材料</t>
    <phoneticPr fontId="6" type="noConversion"/>
  </si>
  <si>
    <t>订单编号</t>
    <phoneticPr fontId="6" type="noConversion"/>
  </si>
  <si>
    <t>版本型录号</t>
    <phoneticPr fontId="6" type="noConversion"/>
  </si>
  <si>
    <t>销售点</t>
    <phoneticPr fontId="6" type="noConversion"/>
  </si>
  <si>
    <t>下单日期</t>
    <phoneticPr fontId="6" type="noConversion"/>
  </si>
  <si>
    <t>应完成日期</t>
    <phoneticPr fontId="6" type="noConversion"/>
  </si>
  <si>
    <t>侧板</t>
    <phoneticPr fontId="6" type="noConversion"/>
  </si>
  <si>
    <t>制单人:</t>
    <phoneticPr fontId="6" type="noConversion"/>
  </si>
  <si>
    <t>审核人:</t>
    <phoneticPr fontId="6" type="noConversion"/>
  </si>
  <si>
    <t>序号</t>
    <phoneticPr fontId="6" type="noConversion"/>
  </si>
  <si>
    <t>名 称</t>
    <phoneticPr fontId="6" type="noConversion"/>
  </si>
  <si>
    <t>规格</t>
    <phoneticPr fontId="6" type="noConversion"/>
  </si>
  <si>
    <t>单位</t>
    <phoneticPr fontId="6" type="noConversion"/>
  </si>
  <si>
    <t>根</t>
    <phoneticPr fontId="6" type="noConversion"/>
  </si>
  <si>
    <t>层板铝扣条16mm板用</t>
    <phoneticPr fontId="6" type="noConversion"/>
  </si>
  <si>
    <t>8厘玻璃层板</t>
    <phoneticPr fontId="6" type="noConversion"/>
  </si>
  <si>
    <t>色号</t>
    <phoneticPr fontId="6" type="noConversion"/>
  </si>
  <si>
    <t>1.0封边</t>
    <phoneticPr fontId="6" type="noConversion"/>
  </si>
  <si>
    <t>排孔塞</t>
    <phoneticPr fontId="6" type="noConversion"/>
  </si>
  <si>
    <t>16厚板材</t>
    <phoneticPr fontId="6" type="noConversion"/>
  </si>
  <si>
    <t>铝框型号</t>
    <phoneticPr fontId="6" type="noConversion"/>
  </si>
  <si>
    <t>铝材型号</t>
    <phoneticPr fontId="6" type="noConversion"/>
  </si>
  <si>
    <t>16厚暖白</t>
    <phoneticPr fontId="6" type="noConversion"/>
  </si>
  <si>
    <t>暖白PVC封边条</t>
    <phoneticPr fontId="6" type="noConversion"/>
  </si>
  <si>
    <t>布纹玻璃5A</t>
    <phoneticPr fontId="6" type="noConversion"/>
  </si>
  <si>
    <t>LC-032铝框门</t>
    <phoneticPr fontId="6" type="noConversion"/>
  </si>
  <si>
    <t>铝框（氧化铝JF299）3.5米/支</t>
    <phoneticPr fontId="6" type="noConversion"/>
  </si>
  <si>
    <t>透明玻璃5A</t>
    <phoneticPr fontId="6" type="noConversion"/>
  </si>
  <si>
    <t>16厚触感红樱桃</t>
    <phoneticPr fontId="6" type="noConversion"/>
  </si>
  <si>
    <t>红樱桃PVC封边条</t>
    <phoneticPr fontId="6" type="noConversion"/>
  </si>
  <si>
    <t>B06透明夹胶玻璃6A</t>
    <phoneticPr fontId="6" type="noConversion"/>
  </si>
  <si>
    <t>铝框（氧化铝JF383）6米/支</t>
    <phoneticPr fontId="6" type="noConversion"/>
  </si>
  <si>
    <t>B05透光夹胶玻璃6A</t>
    <phoneticPr fontId="6" type="noConversion"/>
  </si>
  <si>
    <t>16厚米黄</t>
    <phoneticPr fontId="6" type="noConversion"/>
  </si>
  <si>
    <t>16厚樱桃木</t>
    <phoneticPr fontId="6" type="noConversion"/>
  </si>
  <si>
    <t>进口樱桃pvc封边条</t>
    <phoneticPr fontId="6" type="noConversion"/>
  </si>
  <si>
    <t>16横纹锯齿</t>
    <phoneticPr fontId="6" type="noConversion"/>
  </si>
  <si>
    <t>横纹锯齿pvc封边条</t>
    <phoneticPr fontId="6" type="noConversion"/>
  </si>
  <si>
    <t>厨柜</t>
    <phoneticPr fontId="6" type="noConversion"/>
  </si>
  <si>
    <t>总延米</t>
    <phoneticPr fontId="6" type="noConversion"/>
  </si>
  <si>
    <t>小计:</t>
    <phoneticPr fontId="6" type="noConversion"/>
  </si>
  <si>
    <t>总合计:</t>
    <phoneticPr fontId="6" type="noConversion"/>
  </si>
  <si>
    <t>抽屉底</t>
    <phoneticPr fontId="6" type="noConversion"/>
  </si>
  <si>
    <t>抽屉堵</t>
    <phoneticPr fontId="6" type="noConversion"/>
  </si>
  <si>
    <t>抽屉、备用条等</t>
    <phoneticPr fontId="6" type="noConversion"/>
  </si>
  <si>
    <t>垫板</t>
    <phoneticPr fontId="6" type="noConversion"/>
  </si>
  <si>
    <t>备用条</t>
    <phoneticPr fontId="6" type="noConversion"/>
  </si>
  <si>
    <t>件</t>
  </si>
  <si>
    <t>合计:</t>
    <phoneticPr fontId="6" type="noConversion"/>
  </si>
  <si>
    <t>下料</t>
    <phoneticPr fontId="6" type="noConversion"/>
  </si>
  <si>
    <t>封边</t>
    <phoneticPr fontId="6" type="noConversion"/>
  </si>
  <si>
    <t>打孔</t>
    <phoneticPr fontId="6" type="noConversion"/>
  </si>
  <si>
    <t>款式</t>
    <phoneticPr fontId="6" type="noConversion"/>
  </si>
  <si>
    <t>数量</t>
    <phoneticPr fontId="6" type="noConversion"/>
  </si>
  <si>
    <t>加工备注</t>
    <phoneticPr fontId="6" type="noConversion"/>
  </si>
  <si>
    <t>名 称</t>
    <phoneticPr fontId="6" type="noConversion"/>
  </si>
  <si>
    <t>板材面积</t>
    <phoneticPr fontId="6" type="noConversion"/>
  </si>
  <si>
    <t>3A板材名称</t>
    <phoneticPr fontId="6" type="noConversion"/>
  </si>
  <si>
    <t>左岸都市I</t>
    <phoneticPr fontId="6" type="noConversion"/>
  </si>
  <si>
    <t>香草天空I</t>
    <phoneticPr fontId="6" type="noConversion"/>
  </si>
  <si>
    <t>西迪布赛</t>
    <phoneticPr fontId="6" type="noConversion"/>
  </si>
  <si>
    <t>简爱</t>
  </si>
  <si>
    <t>柜体板材名称</t>
    <phoneticPr fontId="6" type="noConversion"/>
  </si>
  <si>
    <t>暖白双贴三聚氰胺E0级刨花板</t>
    <phoneticPr fontId="6" type="noConversion"/>
  </si>
  <si>
    <t>暖白双贴三聚氰胺E1级中密度板3*1220*2440</t>
    <phoneticPr fontId="6" type="noConversion"/>
  </si>
  <si>
    <t>触感红樱桃双贴三聚氰胺E1级中密度板3*1220*2440</t>
    <phoneticPr fontId="6" type="noConversion"/>
  </si>
  <si>
    <t>米黄麻双贴三聚氰胺E1级中密度板3*1220*2440</t>
    <phoneticPr fontId="6" type="noConversion"/>
  </si>
  <si>
    <t>红樱桃双贴三聚氰胺中密度板(欧-18)3*1220*2440</t>
    <phoneticPr fontId="6" type="noConversion"/>
  </si>
  <si>
    <t>横纹锯齿双贴三聚氰胺E1级中密度板3*1220*2440</t>
    <phoneticPr fontId="6" type="noConversion"/>
  </si>
  <si>
    <t>米黄麻双贴三聚氰胺E0级刨花板</t>
    <phoneticPr fontId="6" type="noConversion"/>
  </si>
  <si>
    <t>18*1220*2440</t>
    <phoneticPr fontId="6" type="noConversion"/>
  </si>
  <si>
    <t>25*1220*2440</t>
    <phoneticPr fontId="6" type="noConversion"/>
  </si>
  <si>
    <t>进口樱桃双贴三聚氰胺E0级刨花板</t>
    <phoneticPr fontId="6" type="noConversion"/>
  </si>
  <si>
    <t>1.0*20</t>
    <phoneticPr fontId="6" type="noConversion"/>
  </si>
  <si>
    <t>1.0*22</t>
    <phoneticPr fontId="6" type="noConversion"/>
  </si>
  <si>
    <t>1.0*29</t>
    <phoneticPr fontId="6" type="noConversion"/>
  </si>
  <si>
    <t>悍高飞碟转篮101009（左）</t>
  </si>
  <si>
    <t>悍高飞碟转篮101010（右）</t>
  </si>
  <si>
    <t>悍高阻尼小怪物拉篮101005（右）</t>
  </si>
  <si>
    <t>悍高阻尼小怪物拉篮101005（左）</t>
  </si>
  <si>
    <t>凯斯宝玛180度雅丽娜转篮301</t>
  </si>
  <si>
    <t>凯斯宝玛地柜侧拉篮204L（左）</t>
  </si>
  <si>
    <t>凯斯宝玛地柜调料拉篮222L（左）</t>
  </si>
  <si>
    <t>凯斯宝玛地柜调料拉篮222R（右）</t>
  </si>
  <si>
    <t>凯斯宝玛地柜洗涤用品窄拉篮231</t>
  </si>
  <si>
    <t>凯斯宝玛地柜转篮361</t>
  </si>
  <si>
    <t>凯斯宝玛飞碟转篮327L（左）</t>
  </si>
  <si>
    <t>凯斯宝玛飞碟转篮327R（右）</t>
  </si>
  <si>
    <t>凯斯宝玛飞碟转篮328R（右）</t>
  </si>
  <si>
    <t>凯斯宝玛高柜高身拉篮104</t>
  </si>
  <si>
    <t>凯斯宝玛高柜连动拉蓝134</t>
  </si>
  <si>
    <t>凯斯宝玛高柜连动拉篮133</t>
  </si>
  <si>
    <t>凯斯宝玛高柜连动拉篮134A</t>
  </si>
  <si>
    <t>凯斯宝玛旋转高身拉篮121A</t>
  </si>
  <si>
    <t>凯斯宝玛中柜高身拉篮103</t>
  </si>
  <si>
    <t>凯斯宝玛中柜连动拉篮131</t>
  </si>
  <si>
    <t>凯斯宝玛中柜连动拉篮132A（哑光）</t>
  </si>
  <si>
    <t>凯斯宝玛阻尼小怪物拉篮315L（左）</t>
  </si>
  <si>
    <t>凯斯宝玛阻尼小怪物拉篮315R（右）</t>
  </si>
  <si>
    <t>凯斯宝玛飞碟转篮328L（左）</t>
  </si>
  <si>
    <t>凯斯宝玛地柜窄拉篮232</t>
  </si>
  <si>
    <t>悍高180度金属转篮101106</t>
  </si>
  <si>
    <t>柏丽雅拉手C168-077-家俱公司</t>
  </si>
  <si>
    <t>柏丽雅拉手A631（128mm孔距）银色</t>
  </si>
  <si>
    <t>柏丽雅拉手A658（160mm孔距）</t>
  </si>
  <si>
    <t>柏丽雅拉手A770-082（96mm孔距）</t>
  </si>
  <si>
    <t>柏丽雅拉手A833（160mm孔距）</t>
  </si>
  <si>
    <t>柏丽雅拉手A833（192mm孔距）</t>
  </si>
  <si>
    <t>柏丽雅拉手A841（160mm孔距）</t>
  </si>
  <si>
    <t>柏丽雅拉手A880（96mm孔距）</t>
  </si>
  <si>
    <t>柏丽雅拉手A881（160mm孔距）</t>
  </si>
  <si>
    <t>柏丽雅拉手A9010（128mm孔距）</t>
  </si>
  <si>
    <t>柏丽雅拉手A9014（160mm孔距）</t>
  </si>
  <si>
    <t>柏丽雅拉手A956（128mm孔距）</t>
  </si>
  <si>
    <t>柏丽雅拉手A956（160mm孔距）</t>
  </si>
  <si>
    <t>柏丽雅拉手A956（192mm孔距）</t>
  </si>
  <si>
    <t>柏丽雅拉手A956（256mm孔距）</t>
  </si>
  <si>
    <t>柏丽雅拉手A956（320mm孔距）</t>
  </si>
  <si>
    <t>柏丽雅拉手A956（480mm孔距）</t>
  </si>
  <si>
    <t>柏丽雅拉手A956（960mm孔距）</t>
  </si>
  <si>
    <t>柏丽雅拉手A959（160mm孔距）</t>
  </si>
  <si>
    <t>柏丽雅拉手A959（256mm孔距）</t>
  </si>
  <si>
    <t>柏丽雅拉手A9003（160mm孔距）</t>
  </si>
  <si>
    <t>柏丽雅拉手A9010（96mm孔距）</t>
  </si>
  <si>
    <t>柏丽雅拉手A959（128mm孔距）</t>
  </si>
  <si>
    <t>柏丽雅拉手A959（192mm孔距）</t>
  </si>
  <si>
    <t>柏丽雅拉手A959（96mm孔距）</t>
  </si>
  <si>
    <t>柏丽雅拉手C344</t>
  </si>
  <si>
    <t>柏丽雅拉手C398-1（32mm孔距）</t>
  </si>
  <si>
    <t>柏丽雅拉手C398（32mm孔距）</t>
  </si>
  <si>
    <t>柏丽雅拉手A846（192mm孔距）</t>
  </si>
  <si>
    <t>柏丽雅拉手A846（256mm孔距）</t>
  </si>
  <si>
    <t>图兰朵拉手XY394M（64mm孔距）</t>
  </si>
  <si>
    <t>柏丽雅拉手C397哑铬</t>
  </si>
  <si>
    <t>柏丽雅拉手A846（160mm孔距）</t>
  </si>
  <si>
    <t>柏丽雅拉手A9014（128mm孔距）</t>
  </si>
  <si>
    <t>柏丽雅拉手A843（160mm孔距）</t>
  </si>
  <si>
    <t>图兰朵拉手XY393M（64mm孔距）</t>
  </si>
  <si>
    <t>柏丽雅拉手A631（128mm孔距）金色</t>
  </si>
  <si>
    <t>柏丽雅拉手A9037（160mm孔距）</t>
  </si>
  <si>
    <t>柏丽雅拉手A993（320mm孔距）</t>
  </si>
  <si>
    <t>柏丽雅拉手A993（160mm孔距）</t>
  </si>
  <si>
    <t>柏丽雅拉手A993（192mm孔距）</t>
  </si>
  <si>
    <t>柏丽雅拉手A993（256mm孔距）</t>
  </si>
  <si>
    <t>柏丽雅拉手C397沙钢</t>
  </si>
  <si>
    <t>柏丽雅拉手A760（128mm孔距）</t>
  </si>
  <si>
    <t>柏丽雅拉手A9012（128mm孔距）</t>
  </si>
  <si>
    <t>柏丽雅拉手A664（128mm孔距）</t>
  </si>
  <si>
    <t>柏丽雅拉手A768-075（128mm孔距)</t>
  </si>
  <si>
    <t>柏丽雅拉手A787-008（96mm孔距）</t>
  </si>
  <si>
    <t>柏丽雅拉手A9109-1（32mm孔距）</t>
  </si>
  <si>
    <t>柏丽雅拉手A9154（160mm孔距）</t>
  </si>
  <si>
    <t>柏丽雅拉手A9158（160mm孔距）</t>
  </si>
  <si>
    <t>柏丽雅拉手A9166（32mm孔距)</t>
  </si>
  <si>
    <t>柏丽雅拉手A9202（160mm孔距）</t>
  </si>
  <si>
    <t>柏丽雅拉手A9204（160mm孔距）</t>
  </si>
  <si>
    <t>柏丽雅拉手A9205（160mm孔距）</t>
  </si>
  <si>
    <t>柏丽雅拉手A9206（32mm孔距)</t>
  </si>
  <si>
    <t>柏丽雅拉手A9219（32mm孔距）</t>
  </si>
  <si>
    <t>柏丽雅拉手A9222（32mm孔距）</t>
  </si>
  <si>
    <t>柏丽雅拉手C108-049</t>
  </si>
  <si>
    <t>柏丽雅拉手C146（银）</t>
  </si>
  <si>
    <t>柏丽雅拉手C148-087</t>
  </si>
  <si>
    <t>柏丽雅拉手C168-008</t>
  </si>
  <si>
    <t>柏丽雅拉手A785-069（96mm孔距）光铬色</t>
  </si>
  <si>
    <t>柏丽雅拉手A9169（96mm孔距）</t>
  </si>
  <si>
    <t>柏丽雅拉手C146（金）</t>
  </si>
  <si>
    <t>BLUM低帮抽（M高度）400mm</t>
    <phoneticPr fontId="6" type="noConversion"/>
  </si>
  <si>
    <t>BLUM低帮抽（M高度）450mm</t>
    <phoneticPr fontId="6" type="noConversion"/>
  </si>
  <si>
    <t>BLUM低帮抽（M高度）500mm</t>
    <phoneticPr fontId="6" type="noConversion"/>
  </si>
  <si>
    <t>BLUM高帮U型抽（D高度）450MM</t>
    <phoneticPr fontId="6" type="noConversion"/>
  </si>
  <si>
    <t>BLUM高帮抽（D高度）400mm</t>
    <phoneticPr fontId="6" type="noConversion"/>
  </si>
  <si>
    <t>BLUM高帮抽（D高度）450mm</t>
    <phoneticPr fontId="6" type="noConversion"/>
  </si>
  <si>
    <t>BLUM高帮抽（D高度）500mm</t>
    <phoneticPr fontId="6" type="noConversion"/>
  </si>
  <si>
    <t>BLUM方杆低帮抽350mm（丝光白）</t>
    <phoneticPr fontId="6" type="noConversion"/>
  </si>
  <si>
    <t>BLUM方杆低帮抽400mm（丝光白）</t>
    <phoneticPr fontId="6" type="noConversion"/>
  </si>
  <si>
    <t>BLUM方杆高帮抽450mm（丝光白）</t>
    <phoneticPr fontId="6" type="noConversion"/>
  </si>
  <si>
    <t>BLUM方杆高帮抽500mm（丝光白）</t>
    <phoneticPr fontId="6" type="noConversion"/>
  </si>
  <si>
    <t>BLUM方杆高帮U型抽450MM（丝光白）</t>
    <phoneticPr fontId="6" type="noConversion"/>
  </si>
  <si>
    <t>BLUM方杆低帮U型抽450MM（丝光白）</t>
    <phoneticPr fontId="6" type="noConversion"/>
  </si>
  <si>
    <t>BLUM方杆内置低帮抽450mm（丝光白）</t>
    <phoneticPr fontId="6" type="noConversion"/>
  </si>
  <si>
    <t xml:space="preserve">BLUM方杆高帮抽450MM（丝光白）
</t>
    <phoneticPr fontId="6" type="noConversion"/>
  </si>
  <si>
    <t xml:space="preserve">BLUM方杆低帮抽450MM（丝光白）
</t>
    <phoneticPr fontId="6" type="noConversion"/>
  </si>
  <si>
    <t>BLUM上翻门支撑（20K2500.BL）</t>
    <phoneticPr fontId="6" type="noConversion"/>
  </si>
  <si>
    <t>凯光三角射灯,前开关（2700K暖光）</t>
    <phoneticPr fontId="6" type="noConversion"/>
  </si>
  <si>
    <t>护套线2*2.5</t>
    <phoneticPr fontId="6" type="noConversion"/>
  </si>
  <si>
    <t>凯光射灯GX53-CFL3U（2700K暖光） </t>
    <phoneticPr fontId="6" type="noConversion"/>
  </si>
  <si>
    <t>触碰开关（PSC-01）</t>
    <phoneticPr fontId="6" type="noConversion"/>
  </si>
  <si>
    <t>BLUM直臂铰链100°</t>
  </si>
  <si>
    <t>BLUM铰链155°</t>
    <phoneticPr fontId="6" type="noConversion"/>
  </si>
  <si>
    <t>时尚U型封边条（2.2米/支）-家俱公司</t>
    <phoneticPr fontId="6" type="noConversion"/>
  </si>
  <si>
    <t>套</t>
    <phoneticPr fontId="6" type="noConversion"/>
  </si>
  <si>
    <t>隐藏金属吊码</t>
    <phoneticPr fontId="6" type="noConversion"/>
  </si>
  <si>
    <t>拉米诺挂件（UNO30）</t>
    <phoneticPr fontId="6" type="noConversion"/>
  </si>
  <si>
    <t>海福乐层板销</t>
    <phoneticPr fontId="6" type="noConversion"/>
  </si>
  <si>
    <t>铝转角</t>
    <phoneticPr fontId="6" type="noConversion"/>
  </si>
  <si>
    <t>瀛泰角码（TP-S-60N）</t>
    <phoneticPr fontId="6" type="noConversion"/>
  </si>
  <si>
    <t>隔板销带吸盘</t>
    <phoneticPr fontId="6" type="noConversion"/>
  </si>
  <si>
    <t>规格</t>
    <phoneticPr fontId="6" type="noConversion"/>
  </si>
  <si>
    <t>铝扣条（氧化铝16mm板用）6米/支</t>
    <phoneticPr fontId="6" type="noConversion"/>
  </si>
  <si>
    <t>100mm</t>
    <phoneticPr fontId="6" type="noConversion"/>
  </si>
  <si>
    <t>80mm</t>
    <phoneticPr fontId="6" type="noConversion"/>
  </si>
  <si>
    <t>150mm</t>
    <phoneticPr fontId="6" type="noConversion"/>
  </si>
  <si>
    <t>塑料可调脚</t>
    <phoneticPr fontId="6" type="noConversion"/>
  </si>
  <si>
    <t>铝梁角码（3021-L）</t>
    <phoneticPr fontId="6" type="noConversion"/>
  </si>
  <si>
    <t>夹板销（16板）</t>
    <phoneticPr fontId="6" type="noConversion"/>
  </si>
  <si>
    <t>隔板三角压块</t>
    <phoneticPr fontId="6" type="noConversion"/>
  </si>
  <si>
    <t>玻璃三角压块</t>
    <phoneticPr fontId="6" type="noConversion"/>
  </si>
  <si>
    <t>个</t>
    <phoneticPr fontId="6" type="noConversion"/>
  </si>
  <si>
    <t>排孔塞（白色）</t>
    <phoneticPr fontId="6" type="noConversion"/>
  </si>
  <si>
    <t>排孔塞（樱桃色）</t>
    <phoneticPr fontId="6" type="noConversion"/>
  </si>
  <si>
    <t>排孔塞（米黄）</t>
    <phoneticPr fontId="6" type="noConversion"/>
  </si>
  <si>
    <t>排孔塞（横纹锯齿）</t>
    <phoneticPr fontId="6" type="noConversion"/>
  </si>
  <si>
    <t>偏心件装饰盖（横纹锯齿）</t>
    <phoneticPr fontId="6" type="noConversion"/>
  </si>
  <si>
    <t>偏心件装饰盖（白色）</t>
    <phoneticPr fontId="6" type="noConversion"/>
  </si>
  <si>
    <t>偏心件装饰盖（米黄）</t>
    <phoneticPr fontId="6" type="noConversion"/>
  </si>
  <si>
    <t>偏心件装饰盖（樱桃）</t>
    <phoneticPr fontId="6" type="noConversion"/>
  </si>
  <si>
    <t>吊码片盖（白色）</t>
    <phoneticPr fontId="6" type="noConversion"/>
  </si>
  <si>
    <t>吊码片盖（棕色）</t>
    <phoneticPr fontId="6" type="noConversion"/>
  </si>
  <si>
    <t>偏心件（16板）</t>
    <phoneticPr fontId="6" type="noConversion"/>
  </si>
  <si>
    <t>木榫8*30</t>
    <phoneticPr fontId="6" type="noConversion"/>
  </si>
  <si>
    <t>塑料胀塞∮5-家俱公司</t>
    <phoneticPr fontId="6" type="noConversion"/>
  </si>
  <si>
    <t>A6五金</t>
    <phoneticPr fontId="6" type="noConversion"/>
  </si>
  <si>
    <t>速美五金</t>
    <phoneticPr fontId="6" type="noConversion"/>
  </si>
  <si>
    <t>德丰泰U型塑料挡水</t>
    <phoneticPr fontId="6" type="noConversion"/>
  </si>
  <si>
    <t>开关贴</t>
    <phoneticPr fontId="6" type="noConversion"/>
  </si>
  <si>
    <t>凯光LED电源24W(BSD-1224/A)</t>
    <phoneticPr fontId="6" type="noConversion"/>
  </si>
  <si>
    <t>发光镜子</t>
    <phoneticPr fontId="6" type="noConversion"/>
  </si>
  <si>
    <t>乐卡豪华阻尼低帮抽450MM（595.01.945）</t>
    <phoneticPr fontId="6" type="noConversion"/>
  </si>
  <si>
    <t>DTC平门阻尼铰链（45MM)</t>
    <phoneticPr fontId="6" type="noConversion"/>
  </si>
  <si>
    <t>乐卡豪华阻尼高帮抽450MM（595.05.945）</t>
    <phoneticPr fontId="6" type="noConversion"/>
  </si>
  <si>
    <t>DTC直臂阻尼铰链（45MM)</t>
    <phoneticPr fontId="6" type="noConversion"/>
  </si>
  <si>
    <t>LED防水灯带（BS-L001DSA）暖光-5米/根</t>
    <phoneticPr fontId="6" type="noConversion"/>
  </si>
  <si>
    <t>凯光镜子用触摸开关（BSS-MRT）</t>
    <phoneticPr fontId="6" type="noConversion"/>
  </si>
  <si>
    <t>气垫膜1100mm宽</t>
  </si>
  <si>
    <t>硬包装专用板条2440*100*18</t>
    <phoneticPr fontId="20" type="noConversion"/>
  </si>
  <si>
    <t>悍高地柜超窄拉篮304101A</t>
  </si>
  <si>
    <t>悍高地柜调味品架306031A</t>
  </si>
  <si>
    <t>悍高地柜调味品架306051A</t>
  </si>
  <si>
    <t>悍高多功能三边篮303103A</t>
  </si>
  <si>
    <t>悍高多功能三边篮303603A</t>
  </si>
  <si>
    <t>悍高多功能四边篮301004A</t>
  </si>
  <si>
    <t>悍高多功能四边篮301603A</t>
  </si>
  <si>
    <t>悍高多功能四边篮301607A</t>
  </si>
  <si>
    <t>背板镜子</t>
    <phoneticPr fontId="6" type="noConversion"/>
  </si>
  <si>
    <t>硬包装</t>
    <phoneticPr fontId="6" type="noConversion"/>
  </si>
  <si>
    <t>LVL单向多层板15*1220*2440</t>
    <phoneticPr fontId="6" type="noConversion"/>
  </si>
  <si>
    <t>12板（板材）</t>
    <phoneticPr fontId="6" type="noConversion"/>
  </si>
  <si>
    <t>12板（封边）</t>
    <phoneticPr fontId="6" type="noConversion"/>
  </si>
  <si>
    <t>18板（封边）</t>
    <phoneticPr fontId="6" type="noConversion"/>
  </si>
  <si>
    <t>25板（板材）</t>
    <phoneticPr fontId="6" type="noConversion"/>
  </si>
  <si>
    <t>12*1220*2440</t>
    <phoneticPr fontId="6" type="noConversion"/>
  </si>
  <si>
    <t>1.0*16</t>
    <phoneticPr fontId="6" type="noConversion"/>
  </si>
  <si>
    <t>总称</t>
    <phoneticPr fontId="6" type="noConversion"/>
  </si>
  <si>
    <t>物料名称</t>
    <phoneticPr fontId="6" type="noConversion"/>
  </si>
  <si>
    <t>布纹玻璃</t>
    <phoneticPr fontId="6" type="noConversion"/>
  </si>
  <si>
    <t>透明夹胶玻璃</t>
    <phoneticPr fontId="6" type="noConversion"/>
  </si>
  <si>
    <t>透光夹胶玻璃</t>
    <phoneticPr fontId="6" type="noConversion"/>
  </si>
  <si>
    <t>抽屉（速美）</t>
    <phoneticPr fontId="6" type="noConversion"/>
  </si>
  <si>
    <t>铰链</t>
    <phoneticPr fontId="6" type="noConversion"/>
  </si>
  <si>
    <t>铰链（速美）</t>
    <phoneticPr fontId="6" type="noConversion"/>
  </si>
  <si>
    <t>铰链（速美）</t>
    <phoneticPr fontId="6" type="noConversion"/>
  </si>
  <si>
    <t>安装五金</t>
    <phoneticPr fontId="6" type="noConversion"/>
  </si>
  <si>
    <t>16板（板材）</t>
    <phoneticPr fontId="6" type="noConversion"/>
  </si>
  <si>
    <t>16板（封边）</t>
    <phoneticPr fontId="6" type="noConversion"/>
  </si>
  <si>
    <t>18板（板材）</t>
    <phoneticPr fontId="6" type="noConversion"/>
  </si>
  <si>
    <t>25板（封边）</t>
    <phoneticPr fontId="6" type="noConversion"/>
  </si>
  <si>
    <t>欧格风防滑垫</t>
    <phoneticPr fontId="6" type="noConversion"/>
  </si>
  <si>
    <t>订单编号：</t>
    <phoneticPr fontId="6" type="noConversion"/>
  </si>
  <si>
    <t>应完成日期</t>
    <phoneticPr fontId="6" type="noConversion"/>
  </si>
  <si>
    <t>三、整件发货部分（功能柜）</t>
    <phoneticPr fontId="15" type="noConversion"/>
  </si>
  <si>
    <t>宽度</t>
    <phoneticPr fontId="15" type="noConversion"/>
  </si>
  <si>
    <t>高度</t>
    <phoneticPr fontId="15" type="noConversion"/>
  </si>
  <si>
    <t>深度</t>
    <phoneticPr fontId="15" type="noConversion"/>
  </si>
  <si>
    <t>柜型</t>
    <phoneticPr fontId="15" type="noConversion"/>
  </si>
  <si>
    <t>包装材料名称</t>
    <phoneticPr fontId="15" type="noConversion"/>
  </si>
  <si>
    <t>物料编码</t>
    <phoneticPr fontId="15" type="noConversion"/>
  </si>
  <si>
    <t>拉篮柜</t>
    <phoneticPr fontId="15" type="noConversion"/>
  </si>
  <si>
    <t>150宽拉篮柜对口箱（三层瓦楞纸)170*630*750</t>
    <phoneticPr fontId="15" type="noConversion"/>
  </si>
  <si>
    <t>JBZ-JJ000061</t>
    <phoneticPr fontId="6" type="noConversion"/>
  </si>
  <si>
    <t>个</t>
    <phoneticPr fontId="15" type="noConversion"/>
  </si>
  <si>
    <t>FC-BZ010962</t>
    <phoneticPr fontId="15" type="noConversion"/>
  </si>
  <si>
    <t>气垫膜</t>
    <phoneticPr fontId="15" type="noConversion"/>
  </si>
  <si>
    <t>300宽拉篮、抽屉对口箱（三层瓦楞纸)320*630*750</t>
    <phoneticPr fontId="15" type="noConversion"/>
  </si>
  <si>
    <t>JBZ-JJ000062</t>
    <phoneticPr fontId="6" type="noConversion"/>
  </si>
  <si>
    <t>拉篮柜
抽屉柜</t>
    <phoneticPr fontId="15" type="noConversion"/>
  </si>
  <si>
    <t>JBZ-JJ000063</t>
    <phoneticPr fontId="6" type="noConversion"/>
  </si>
  <si>
    <t>米</t>
    <phoneticPr fontId="15" type="noConversion"/>
  </si>
  <si>
    <t>JBZ-JJ000064</t>
    <phoneticPr fontId="6" type="noConversion"/>
  </si>
  <si>
    <t>平板苯板</t>
    <phoneticPr fontId="15" type="noConversion"/>
  </si>
  <si>
    <t>车间调配</t>
    <phoneticPr fontId="15" type="noConversion"/>
  </si>
  <si>
    <t>玻璃门板时增加此项</t>
    <phoneticPr fontId="15" type="noConversion"/>
  </si>
  <si>
    <t>900宽拉篮、抽屉对口箱（三层瓦楞纸)920*630*750</t>
    <phoneticPr fontId="15" type="noConversion"/>
  </si>
  <si>
    <t>JBZ-JJ000065</t>
    <phoneticPr fontId="6" type="noConversion"/>
  </si>
  <si>
    <t>备注</t>
    <phoneticPr fontId="15" type="noConversion"/>
  </si>
  <si>
    <t>W≤600</t>
    <phoneticPr fontId="15" type="noConversion"/>
  </si>
  <si>
    <t>—</t>
    <phoneticPr fontId="15" type="noConversion"/>
  </si>
  <si>
    <t>包装纸板1500mm*2400mm（三层瓦楞纸)</t>
    <phoneticPr fontId="15" type="noConversion"/>
  </si>
  <si>
    <t>FC-BZ011016</t>
    <phoneticPr fontId="15" type="noConversion"/>
  </si>
  <si>
    <t>张</t>
    <phoneticPr fontId="15" type="noConversion"/>
  </si>
  <si>
    <t>FC-BZ010962</t>
    <phoneticPr fontId="15" type="noConversion"/>
  </si>
  <si>
    <t>个</t>
    <phoneticPr fontId="15" type="noConversion"/>
  </si>
  <si>
    <t>气垫膜</t>
    <phoneticPr fontId="15" type="noConversion"/>
  </si>
  <si>
    <t>散件包装的柜体---可使用一片成型包装箱的明细</t>
    <phoneticPr fontId="15" type="noConversion"/>
  </si>
  <si>
    <t>包装编号</t>
    <phoneticPr fontId="15" type="noConversion"/>
  </si>
  <si>
    <t>宽度</t>
    <phoneticPr fontId="15" type="noConversion"/>
  </si>
  <si>
    <t>高度</t>
    <phoneticPr fontId="15" type="noConversion"/>
  </si>
  <si>
    <t>深度</t>
    <phoneticPr fontId="15" type="noConversion"/>
  </si>
  <si>
    <t>适用范围</t>
    <phoneticPr fontId="15" type="noConversion"/>
  </si>
  <si>
    <t>包装材料名称</t>
    <phoneticPr fontId="15" type="noConversion"/>
  </si>
  <si>
    <t>物料编码</t>
    <phoneticPr fontId="15" type="noConversion"/>
  </si>
  <si>
    <t>数量</t>
    <phoneticPr fontId="15" type="noConversion"/>
  </si>
  <si>
    <t>单位</t>
    <phoneticPr fontId="15" type="noConversion"/>
  </si>
  <si>
    <t>备注</t>
    <phoneticPr fontId="15" type="noConversion"/>
  </si>
  <si>
    <t>1#柜体散件包装</t>
    <phoneticPr fontId="15" type="noConversion"/>
  </si>
  <si>
    <t>≤600</t>
    <phoneticPr fontId="15" type="noConversion"/>
  </si>
  <si>
    <t>地柜散件柜体</t>
    <phoneticPr fontId="15" type="noConversion"/>
  </si>
  <si>
    <t>600宽地柜一片成型包装箱（三层瓦楞纸)A型</t>
    <phoneticPr fontId="15" type="noConversion"/>
  </si>
  <si>
    <t>FC-BZ011010</t>
    <phoneticPr fontId="15" type="noConversion"/>
  </si>
  <si>
    <t>车间调配</t>
    <phoneticPr fontId="15" type="noConversion"/>
  </si>
  <si>
    <t>硬纸护角41mm高</t>
    <phoneticPr fontId="15" type="noConversion"/>
  </si>
  <si>
    <t>2#柜体散件包装</t>
    <phoneticPr fontId="15" type="noConversion"/>
  </si>
  <si>
    <t>601-900</t>
    <phoneticPr fontId="15" type="noConversion"/>
  </si>
  <si>
    <t>地柜散件柜体</t>
    <phoneticPr fontId="15" type="noConversion"/>
  </si>
  <si>
    <t>900宽地柜一片成型包装箱（三层瓦楞纸)A型</t>
    <phoneticPr fontId="15" type="noConversion"/>
  </si>
  <si>
    <t>FC-BZ011011</t>
    <phoneticPr fontId="15" type="noConversion"/>
  </si>
  <si>
    <t>个</t>
    <phoneticPr fontId="15" type="noConversion"/>
  </si>
  <si>
    <t>气垫膜</t>
    <phoneticPr fontId="15" type="noConversion"/>
  </si>
  <si>
    <t>平板苯板</t>
    <phoneticPr fontId="15" type="noConversion"/>
  </si>
  <si>
    <t>车间调配</t>
    <phoneticPr fontId="15" type="noConversion"/>
  </si>
  <si>
    <t>FC-BZ010962</t>
    <phoneticPr fontId="15" type="noConversion"/>
  </si>
  <si>
    <t>3#柜体散件包装</t>
    <phoneticPr fontId="15" type="noConversion"/>
  </si>
  <si>
    <t>901-1200</t>
    <phoneticPr fontId="15" type="noConversion"/>
  </si>
  <si>
    <t>1200宽地柜一片成型包装箱（三层瓦楞纸)A型</t>
    <phoneticPr fontId="15" type="noConversion"/>
  </si>
  <si>
    <t>FC-BZ011012</t>
    <phoneticPr fontId="15" type="noConversion"/>
  </si>
  <si>
    <t>4#柜体散件包装</t>
    <phoneticPr fontId="15" type="noConversion"/>
  </si>
  <si>
    <t>≤350</t>
    <phoneticPr fontId="15" type="noConversion"/>
  </si>
  <si>
    <t>吊柜散包柜体</t>
    <phoneticPr fontId="15" type="noConversion"/>
  </si>
  <si>
    <t>300宽吊柜一片成型包装箱（三层瓦楞纸)A型</t>
    <phoneticPr fontId="15" type="noConversion"/>
  </si>
  <si>
    <t>FC-BZ011013</t>
    <phoneticPr fontId="15" type="noConversion"/>
  </si>
  <si>
    <t>5#柜体散件包装</t>
    <phoneticPr fontId="15" type="noConversion"/>
  </si>
  <si>
    <t>351-600</t>
    <phoneticPr fontId="15" type="noConversion"/>
  </si>
  <si>
    <t>600宽吊柜一片成型包装箱（三层瓦楞纸)A型</t>
    <phoneticPr fontId="15" type="noConversion"/>
  </si>
  <si>
    <t>米</t>
    <phoneticPr fontId="15" type="noConversion"/>
  </si>
  <si>
    <t>6#柜体散件包装</t>
    <phoneticPr fontId="15" type="noConversion"/>
  </si>
  <si>
    <t>吊柜散件柜体</t>
    <phoneticPr fontId="15" type="noConversion"/>
  </si>
  <si>
    <t>900宽吊柜一片成型包装箱（三层瓦楞纸)A型</t>
    <phoneticPr fontId="15" type="noConversion"/>
  </si>
  <si>
    <t>FC-BZ011014</t>
    <phoneticPr fontId="15" type="noConversion"/>
  </si>
  <si>
    <t>7#柜体散件包装</t>
    <phoneticPr fontId="15" type="noConversion"/>
  </si>
  <si>
    <t>1200宽吊柜一片成型包装箱（三层瓦楞纸)A型</t>
    <phoneticPr fontId="15" type="noConversion"/>
  </si>
  <si>
    <t>FC-BZ011015</t>
    <phoneticPr fontId="15" type="noConversion"/>
  </si>
  <si>
    <t>高柜散包柜体不适用高身拉篮及内置冰箱高柜</t>
    <phoneticPr fontId="15" type="noConversion"/>
  </si>
  <si>
    <t>2160高柜一片成型包装箱（三层瓦楞纸)A型</t>
    <phoneticPr fontId="15" type="noConversion"/>
  </si>
  <si>
    <t>FC-BZ011016</t>
    <phoneticPr fontId="15" type="noConversion"/>
  </si>
  <si>
    <t>张</t>
    <phoneticPr fontId="15" type="noConversion"/>
  </si>
  <si>
    <t>注：以上包装箱适用地柜560深、720高散件柜体；吊柜300深、720高柜体；高柜560深2160高的散件柜体（除特定两种柜形外），外地所有玻璃层板单独包装</t>
    <phoneticPr fontId="15" type="noConversion"/>
  </si>
  <si>
    <t>散件包装的柜体--所有无法使用一片成型包装箱的柜体散件（玻璃层板单独包装）</t>
    <phoneticPr fontId="15" type="noConversion"/>
  </si>
  <si>
    <t>宽度</t>
    <phoneticPr fontId="15" type="noConversion"/>
  </si>
  <si>
    <t>高度</t>
    <phoneticPr fontId="15" type="noConversion"/>
  </si>
  <si>
    <t>深度</t>
    <phoneticPr fontId="15" type="noConversion"/>
  </si>
  <si>
    <t>适用范围</t>
    <phoneticPr fontId="15" type="noConversion"/>
  </si>
  <si>
    <t>包装材料名称</t>
    <phoneticPr fontId="15" type="noConversion"/>
  </si>
  <si>
    <t>物料编码</t>
    <phoneticPr fontId="15" type="noConversion"/>
  </si>
  <si>
    <t>备注</t>
    <phoneticPr fontId="15" type="noConversion"/>
  </si>
  <si>
    <t>W≤600</t>
    <phoneticPr fontId="15" type="noConversion"/>
  </si>
  <si>
    <t>—</t>
    <phoneticPr fontId="15" type="noConversion"/>
  </si>
  <si>
    <t>吊柜</t>
    <phoneticPr fontId="15" type="noConversion"/>
  </si>
  <si>
    <t>包装纸板1500mm*2400mm（三层瓦楞纸)</t>
    <phoneticPr fontId="15" type="noConversion"/>
  </si>
  <si>
    <t>FC-BZ011016</t>
    <phoneticPr fontId="15" type="noConversion"/>
  </si>
  <si>
    <t>张</t>
    <phoneticPr fontId="15" type="noConversion"/>
  </si>
  <si>
    <t>气垫膜</t>
    <phoneticPr fontId="15" type="noConversion"/>
  </si>
  <si>
    <t>FC-BZ010962</t>
    <phoneticPr fontId="15" type="noConversion"/>
  </si>
  <si>
    <t>个</t>
    <phoneticPr fontId="15" type="noConversion"/>
  </si>
  <si>
    <t>W＞600</t>
    <phoneticPr fontId="15" type="noConversion"/>
  </si>
  <si>
    <t>—</t>
    <phoneticPr fontId="15" type="noConversion"/>
  </si>
  <si>
    <t>W≤600</t>
    <phoneticPr fontId="15" type="noConversion"/>
  </si>
  <si>
    <t>地柜</t>
    <phoneticPr fontId="15" type="noConversion"/>
  </si>
  <si>
    <t>D≤300</t>
    <phoneticPr fontId="15" type="noConversion"/>
  </si>
  <si>
    <t>半高柜、台上柜</t>
    <phoneticPr fontId="15" type="noConversion"/>
  </si>
  <si>
    <t>D＞300</t>
    <phoneticPr fontId="15" type="noConversion"/>
  </si>
  <si>
    <t>半高柜、台上柜</t>
    <phoneticPr fontId="15" type="noConversion"/>
  </si>
  <si>
    <t>D≤300</t>
    <phoneticPr fontId="15" type="noConversion"/>
  </si>
  <si>
    <t>高柜</t>
    <phoneticPr fontId="15" type="noConversion"/>
  </si>
  <si>
    <t>散件包装柜体的背板</t>
    <phoneticPr fontId="15" type="noConversion"/>
  </si>
  <si>
    <t>数量</t>
    <phoneticPr fontId="15" type="noConversion"/>
  </si>
  <si>
    <t>无限制</t>
    <phoneticPr fontId="15" type="noConversion"/>
  </si>
  <si>
    <t>H≤720</t>
    <phoneticPr fontId="15" type="noConversion"/>
  </si>
  <si>
    <t>每套</t>
    <phoneticPr fontId="15" type="noConversion"/>
  </si>
  <si>
    <t>无半高柜、高柜的订单</t>
    <phoneticPr fontId="15" type="noConversion"/>
  </si>
  <si>
    <t>包装纸板1500mm*2400mm（三层瓦楞纸)</t>
    <phoneticPr fontId="15" type="noConversion"/>
  </si>
  <si>
    <t>1.所有背板包装以本包最大尺寸为准选择包装材料及用量
2.所有背板包使用蜂窝纸板</t>
    <phoneticPr fontId="15" type="noConversion"/>
  </si>
  <si>
    <t>蜂窝纸板1250*800*15</t>
    <phoneticPr fontId="6" type="noConversion"/>
  </si>
  <si>
    <t>JBZ-JJ000057</t>
    <phoneticPr fontId="6" type="noConversion"/>
  </si>
  <si>
    <t>张</t>
    <phoneticPr fontId="6" type="noConversion"/>
  </si>
  <si>
    <t>H＞720</t>
    <phoneticPr fontId="15" type="noConversion"/>
  </si>
  <si>
    <t>含半高柜、高柜的订单</t>
    <phoneticPr fontId="15" type="noConversion"/>
  </si>
  <si>
    <t>蜂窝纸板2200*650*15</t>
    <phoneticPr fontId="6" type="noConversion"/>
  </si>
  <si>
    <t>JBZ-JJ000058</t>
    <phoneticPr fontId="6" type="noConversion"/>
  </si>
  <si>
    <r>
      <t>二、散件门板部分（</t>
    </r>
    <r>
      <rPr>
        <b/>
        <sz val="12"/>
        <color rgb="FFFF0000"/>
        <rFont val="宋体"/>
        <family val="3"/>
        <charset val="134"/>
        <scheme val="minor"/>
      </rPr>
      <t>备注：所有速美门板包装需使用双层包装纸箱</t>
    </r>
    <r>
      <rPr>
        <b/>
        <sz val="12"/>
        <color theme="1"/>
        <rFont val="宋体"/>
        <family val="3"/>
        <charset val="134"/>
        <scheme val="minor"/>
      </rPr>
      <t>）</t>
    </r>
    <phoneticPr fontId="15" type="noConversion"/>
  </si>
  <si>
    <t>1.散件包装的门板---可使用一片成型包装箱的明细</t>
    <phoneticPr fontId="15" type="noConversion"/>
  </si>
  <si>
    <t>包装编号</t>
    <phoneticPr fontId="15" type="noConversion"/>
  </si>
  <si>
    <t>厚度</t>
    <phoneticPr fontId="15" type="noConversion"/>
  </si>
  <si>
    <t>包装标准</t>
    <phoneticPr fontId="15" type="noConversion"/>
  </si>
  <si>
    <t>单位</t>
    <phoneticPr fontId="15" type="noConversion"/>
  </si>
  <si>
    <t>1#门板散件包装</t>
    <phoneticPr fontId="15" type="noConversion"/>
  </si>
  <si>
    <t>≤447</t>
    <phoneticPr fontId="15" type="noConversion"/>
  </si>
  <si>
    <t>≤720</t>
    <phoneticPr fontId="15" type="noConversion"/>
  </si>
  <si>
    <t>18/22/25</t>
    <phoneticPr fontId="15" type="noConversion"/>
  </si>
  <si>
    <t>门板材质散包18A：5层/每包、22A：4层/包、25A：3层/包，每层可置多块板件，需保证底层为适合此包装箱规格的最大尺寸门板，25A门板包装时增加一层苯板。</t>
    <phoneticPr fontId="15" type="noConversion"/>
  </si>
  <si>
    <t>450宽门板一片成型包装箱（三层瓦楞纸)A型</t>
    <phoneticPr fontId="15" type="noConversion"/>
  </si>
  <si>
    <t>保证每包最底层门板为此包装箱最大尺寸门板</t>
    <phoneticPr fontId="15" type="noConversion"/>
  </si>
  <si>
    <t>450宽门板一片成型包装箱（三层瓦楞纸)790*490*130</t>
    <phoneticPr fontId="15" type="noConversion"/>
  </si>
  <si>
    <t>JBZ-JJ000059</t>
    <phoneticPr fontId="6" type="noConversion"/>
  </si>
  <si>
    <t>平板苯板18mm厚</t>
    <phoneticPr fontId="15" type="noConversion"/>
  </si>
  <si>
    <t>448-597</t>
    <phoneticPr fontId="15" type="noConversion"/>
  </si>
  <si>
    <t>600宽门板一片成型包装箱（三层瓦楞纸)A型</t>
    <phoneticPr fontId="15" type="noConversion"/>
  </si>
  <si>
    <t>600宽门板一片成型包装箱（三层瓦楞纸)790*640*130</t>
    <phoneticPr fontId="15" type="noConversion"/>
  </si>
  <si>
    <t>JBZ-JJ000060</t>
    <phoneticPr fontId="6" type="noConversion"/>
  </si>
  <si>
    <t>2.散件包装的门板--所有无法使用一片成型包装箱的门板散件</t>
    <phoneticPr fontId="15" type="noConversion"/>
  </si>
  <si>
    <t>-</t>
    <phoneticPr fontId="15" type="noConversion"/>
  </si>
  <si>
    <t>地柜、吊柜、半高柜、台上柜、高柜：4块/包</t>
    <phoneticPr fontId="15" type="noConversion"/>
  </si>
  <si>
    <t>四、装饰部件部分（本地、外地通用）</t>
    <phoneticPr fontId="15" type="noConversion"/>
  </si>
  <si>
    <t>名称</t>
    <phoneticPr fontId="15" type="noConversion"/>
  </si>
  <si>
    <t>宽度</t>
    <phoneticPr fontId="15" type="noConversion"/>
  </si>
  <si>
    <t>高度</t>
    <phoneticPr fontId="15" type="noConversion"/>
  </si>
  <si>
    <t>深度</t>
    <phoneticPr fontId="15" type="noConversion"/>
  </si>
  <si>
    <t>数量</t>
    <phoneticPr fontId="15" type="noConversion"/>
  </si>
  <si>
    <t>包装材料名称</t>
    <phoneticPr fontId="15" type="noConversion"/>
  </si>
  <si>
    <t>物料编码</t>
    <phoneticPr fontId="15" type="noConversion"/>
  </si>
  <si>
    <t>罗马柱箱体</t>
    <phoneticPr fontId="15" type="noConversion"/>
  </si>
  <si>
    <t>H≤840</t>
    <phoneticPr fontId="15" type="noConversion"/>
  </si>
  <si>
    <t>W≤350</t>
    <phoneticPr fontId="15" type="noConversion"/>
  </si>
  <si>
    <t>1个</t>
    <phoneticPr fontId="15" type="noConversion"/>
  </si>
  <si>
    <t>25侧板U型护边280*2600</t>
    <phoneticPr fontId="15" type="noConversion"/>
  </si>
  <si>
    <t>硬纸护角54mm高</t>
    <phoneticPr fontId="15" type="noConversion"/>
  </si>
  <si>
    <t>罗马柱箱体</t>
    <phoneticPr fontId="15" type="noConversion"/>
  </si>
  <si>
    <t>H≤840</t>
    <phoneticPr fontId="15" type="noConversion"/>
  </si>
  <si>
    <t>350＜W≤600</t>
    <phoneticPr fontId="15" type="noConversion"/>
  </si>
  <si>
    <t>1个</t>
    <phoneticPr fontId="15" type="noConversion"/>
  </si>
  <si>
    <t>25侧板U型护边350*2600</t>
    <phoneticPr fontId="15" type="noConversion"/>
  </si>
  <si>
    <t>840＜H≤2260</t>
    <phoneticPr fontId="15" type="noConversion"/>
  </si>
  <si>
    <t>200＜W≤350</t>
    <phoneticPr fontId="15" type="noConversion"/>
  </si>
  <si>
    <t>2个</t>
    <phoneticPr fontId="15" type="noConversion"/>
  </si>
  <si>
    <t>50、75、150</t>
    <phoneticPr fontId="15" type="noConversion"/>
  </si>
  <si>
    <t>W＞600</t>
    <phoneticPr fontId="15" type="noConversion"/>
  </si>
  <si>
    <t>单体罗马柱、顶线、灯线、踢脚板、图兰朵边框</t>
    <phoneticPr fontId="15" type="noConversion"/>
  </si>
  <si>
    <t>W≤2400</t>
    <phoneticPr fontId="15" type="noConversion"/>
  </si>
  <si>
    <t>4层/包</t>
    <phoneticPr fontId="15" type="noConversion"/>
  </si>
  <si>
    <t>L型苯板护角</t>
    <phoneticPr fontId="15" type="noConversion"/>
  </si>
  <si>
    <t>根</t>
    <phoneticPr fontId="15" type="noConversion"/>
  </si>
  <si>
    <t>浴室镜</t>
    <phoneticPr fontId="15" type="noConversion"/>
  </si>
  <si>
    <t>W≤1300</t>
    <phoneticPr fontId="15" type="noConversion"/>
  </si>
  <si>
    <t>H≤1200</t>
    <phoneticPr fontId="15" type="noConversion"/>
  </si>
  <si>
    <t>1块</t>
    <phoneticPr fontId="15" type="noConversion"/>
  </si>
  <si>
    <t>加硬包装</t>
    <phoneticPr fontId="15" type="noConversion"/>
  </si>
  <si>
    <t>1300＜W≤1600</t>
    <phoneticPr fontId="15" type="noConversion"/>
  </si>
  <si>
    <t>烟机罩</t>
    <phoneticPr fontId="15" type="noConversion"/>
  </si>
  <si>
    <t>——</t>
    <phoneticPr fontId="15" type="noConversion"/>
  </si>
  <si>
    <t>图兰朵盖板</t>
    <phoneticPr fontId="15" type="noConversion"/>
  </si>
  <si>
    <t>W≤1200</t>
    <phoneticPr fontId="15" type="noConversion"/>
  </si>
  <si>
    <t>D≤350</t>
    <phoneticPr fontId="15" type="noConversion"/>
  </si>
  <si>
    <t>1层</t>
    <phoneticPr fontId="15" type="noConversion"/>
  </si>
  <si>
    <t>25侧板U型护边280*2600</t>
    <phoneticPr fontId="15" type="noConversion"/>
  </si>
  <si>
    <t>硬纸护角54mm高</t>
    <phoneticPr fontId="15" type="noConversion"/>
  </si>
  <si>
    <t>米</t>
    <phoneticPr fontId="15" type="noConversion"/>
  </si>
  <si>
    <t>图兰朵盖板</t>
    <phoneticPr fontId="15" type="noConversion"/>
  </si>
  <si>
    <t>1200＜W≤2400</t>
    <phoneticPr fontId="15" type="noConversion"/>
  </si>
  <si>
    <t>W≤1200</t>
    <phoneticPr fontId="15" type="noConversion"/>
  </si>
  <si>
    <t>350＜D≤650</t>
    <phoneticPr fontId="15" type="noConversion"/>
  </si>
  <si>
    <t>25侧板U型护边350*2600</t>
    <phoneticPr fontId="15" type="noConversion"/>
  </si>
  <si>
    <t>酒架、调料盒、碗盘架、墙上搁架</t>
    <phoneticPr fontId="15" type="noConversion"/>
  </si>
  <si>
    <t>——</t>
    <phoneticPr fontId="15" type="noConversion"/>
  </si>
  <si>
    <t>1个</t>
    <phoneticPr fontId="15" type="noConversion"/>
  </si>
  <si>
    <t>加硬包装</t>
    <phoneticPr fontId="15" type="noConversion"/>
  </si>
  <si>
    <t>墙上层板</t>
    <phoneticPr fontId="15" type="noConversion"/>
  </si>
  <si>
    <t>4层</t>
    <phoneticPr fontId="15" type="noConversion"/>
  </si>
  <si>
    <t>装饰墙板</t>
    <phoneticPr fontId="15" type="noConversion"/>
  </si>
  <si>
    <t>W≤600</t>
    <phoneticPr fontId="15" type="noConversion"/>
  </si>
  <si>
    <t>H≤2400</t>
    <phoneticPr fontId="15" type="noConversion"/>
  </si>
  <si>
    <t>2层</t>
    <phoneticPr fontId="15" type="noConversion"/>
  </si>
  <si>
    <t>根据板件高度选择硬纸护角的高度（41/54）</t>
    <phoneticPr fontId="15" type="noConversion"/>
  </si>
  <si>
    <t>硬纸护角</t>
    <phoneticPr fontId="15" type="noConversion"/>
  </si>
  <si>
    <t>600＜W≤900</t>
    <phoneticPr fontId="15" type="noConversion"/>
  </si>
  <si>
    <t>半成品</t>
    <phoneticPr fontId="6" type="noConversion"/>
  </si>
  <si>
    <t>气垫膜1100mm宽</t>
    <phoneticPr fontId="20" type="noConversion"/>
  </si>
  <si>
    <t>铝横梁（氧化铝LC-932）6米/支</t>
    <phoneticPr fontId="6" type="noConversion"/>
  </si>
  <si>
    <t>天津拉米诺挂件（K048）</t>
    <phoneticPr fontId="6" type="noConversion"/>
  </si>
  <si>
    <t>硬包装专用板条2440*100*18</t>
    <phoneticPr fontId="6" type="noConversion"/>
  </si>
  <si>
    <t>侧板</t>
    <phoneticPr fontId="15" type="noConversion"/>
  </si>
  <si>
    <t>铣型侧板</t>
    <phoneticPr fontId="15" type="noConversion"/>
  </si>
  <si>
    <t>无槽侧板</t>
    <phoneticPr fontId="15" type="noConversion"/>
  </si>
  <si>
    <t>缺口侧板</t>
    <phoneticPr fontId="15" type="noConversion"/>
  </si>
  <si>
    <t>无槽缺口侧板</t>
    <phoneticPr fontId="15" type="noConversion"/>
  </si>
  <si>
    <t>五角柜侧板</t>
    <phoneticPr fontId="15" type="noConversion"/>
  </si>
  <si>
    <t>消毒柜侧板</t>
    <phoneticPr fontId="15" type="noConversion"/>
  </si>
  <si>
    <t>铣型消毒柜侧板</t>
    <phoneticPr fontId="15" type="noConversion"/>
  </si>
  <si>
    <t>中立板</t>
    <phoneticPr fontId="15" type="noConversion"/>
  </si>
  <si>
    <t>中立板</t>
    <phoneticPr fontId="6" type="noConversion"/>
  </si>
  <si>
    <t>侧板</t>
    <phoneticPr fontId="6" type="noConversion"/>
  </si>
  <si>
    <t>超宽吊柜中立板</t>
    <phoneticPr fontId="15" type="noConversion"/>
  </si>
  <si>
    <t>顶板</t>
    <phoneticPr fontId="15" type="noConversion"/>
  </si>
  <si>
    <t>铣型顶板</t>
    <phoneticPr fontId="15" type="noConversion"/>
  </si>
  <si>
    <t>开槽顶板</t>
    <phoneticPr fontId="15" type="noConversion"/>
  </si>
  <si>
    <t>左后缺口顶板</t>
    <phoneticPr fontId="15" type="noConversion"/>
  </si>
  <si>
    <t>右后缺口顶板</t>
    <phoneticPr fontId="15" type="noConversion"/>
  </si>
  <si>
    <t>顶板</t>
    <phoneticPr fontId="6" type="noConversion"/>
  </si>
  <si>
    <t>底板</t>
    <phoneticPr fontId="15" type="noConversion"/>
  </si>
  <si>
    <t>铣型底板</t>
    <phoneticPr fontId="15" type="noConversion"/>
  </si>
  <si>
    <t>水盆柜底板</t>
    <phoneticPr fontId="15" type="noConversion"/>
  </si>
  <si>
    <t>无槽水盆柜底板</t>
    <phoneticPr fontId="15" type="noConversion"/>
  </si>
  <si>
    <t>无槽铣型底板</t>
    <phoneticPr fontId="15" type="noConversion"/>
  </si>
  <si>
    <t>左后缺口底板</t>
    <phoneticPr fontId="15" type="noConversion"/>
  </si>
  <si>
    <t>无槽左后缺口底板</t>
    <phoneticPr fontId="15" type="noConversion"/>
  </si>
  <si>
    <t>左后缺口水盆柜底板</t>
    <phoneticPr fontId="15" type="noConversion"/>
  </si>
  <si>
    <t>无槽左后缺口水盆柜底板</t>
    <phoneticPr fontId="15" type="noConversion"/>
  </si>
  <si>
    <t>右后缺口底板</t>
    <phoneticPr fontId="15" type="noConversion"/>
  </si>
  <si>
    <t>无槽右后缺口底板</t>
    <phoneticPr fontId="15" type="noConversion"/>
  </si>
  <si>
    <t>右后缺口水盆柜底板</t>
    <phoneticPr fontId="15" type="noConversion"/>
  </si>
  <si>
    <t>无槽右后缺口水盆柜底板</t>
    <phoneticPr fontId="15" type="noConversion"/>
  </si>
  <si>
    <t>底板</t>
    <phoneticPr fontId="6" type="noConversion"/>
  </si>
  <si>
    <t>超宽吊柜底板</t>
    <phoneticPr fontId="15" type="noConversion"/>
  </si>
  <si>
    <t>微波炉吊柜底板</t>
    <phoneticPr fontId="15" type="noConversion"/>
  </si>
  <si>
    <t>无槽底板</t>
    <phoneticPr fontId="15" type="noConversion"/>
  </si>
  <si>
    <t>连接板</t>
    <phoneticPr fontId="15" type="noConversion"/>
  </si>
  <si>
    <t>无孔连接板</t>
    <phoneticPr fontId="15" type="noConversion"/>
  </si>
  <si>
    <t>铣型连接板</t>
    <phoneticPr fontId="15" type="noConversion"/>
  </si>
  <si>
    <t>连接板</t>
    <phoneticPr fontId="15" type="noConversion"/>
  </si>
  <si>
    <t>活动层板</t>
    <phoneticPr fontId="15" type="noConversion"/>
  </si>
  <si>
    <t>铣型活动层板</t>
    <phoneticPr fontId="15" type="noConversion"/>
  </si>
  <si>
    <t>左后缺口活动层板</t>
    <phoneticPr fontId="15" type="noConversion"/>
  </si>
  <si>
    <t>右后缺口活动层板</t>
    <phoneticPr fontId="15" type="noConversion"/>
  </si>
  <si>
    <t>固定层板</t>
    <phoneticPr fontId="15" type="noConversion"/>
  </si>
  <si>
    <t>铣型固定层板</t>
    <phoneticPr fontId="15" type="noConversion"/>
  </si>
  <si>
    <t>左后缺口固定层板</t>
    <phoneticPr fontId="15" type="noConversion"/>
  </si>
  <si>
    <t>右后缺口固定层板</t>
    <phoneticPr fontId="15" type="noConversion"/>
  </si>
  <si>
    <t>层板</t>
    <phoneticPr fontId="6" type="noConversion"/>
  </si>
  <si>
    <t>开槽固定层板</t>
    <phoneticPr fontId="15" type="noConversion"/>
  </si>
  <si>
    <t>梗板</t>
    <phoneticPr fontId="15" type="noConversion"/>
  </si>
  <si>
    <t>下封板</t>
    <phoneticPr fontId="15" type="noConversion"/>
  </si>
  <si>
    <t>梗板</t>
    <phoneticPr fontId="6" type="noConversion"/>
  </si>
  <si>
    <t>厚背板</t>
    <phoneticPr fontId="15" type="noConversion"/>
  </si>
  <si>
    <t>缺口背板</t>
    <phoneticPr fontId="15" type="noConversion"/>
  </si>
  <si>
    <t>开槽厚背板</t>
    <phoneticPr fontId="15" type="noConversion"/>
  </si>
  <si>
    <t>背板</t>
    <phoneticPr fontId="15" type="noConversion"/>
  </si>
  <si>
    <t>背板</t>
    <phoneticPr fontId="6" type="noConversion"/>
  </si>
  <si>
    <t>骑马抽</t>
    <phoneticPr fontId="6" type="noConversion"/>
  </si>
  <si>
    <t>抽屉部件*抽底</t>
    <phoneticPr fontId="15" type="noConversion"/>
  </si>
  <si>
    <t>抽屉部件*抽堵</t>
    <phoneticPr fontId="15" type="noConversion"/>
  </si>
  <si>
    <t>铣型抽底</t>
    <phoneticPr fontId="15" type="noConversion"/>
  </si>
  <si>
    <t>抽屉部件*U型抽通用中隔板</t>
    <phoneticPr fontId="15" type="noConversion"/>
  </si>
  <si>
    <t>板件工艺路线名称（MES使用）</t>
    <phoneticPr fontId="6" type="noConversion"/>
  </si>
  <si>
    <t>托底抽</t>
    <phoneticPr fontId="6" type="noConversion"/>
  </si>
  <si>
    <t>抽屉侧板</t>
    <phoneticPr fontId="15" type="noConversion"/>
  </si>
  <si>
    <t>抽堵</t>
    <phoneticPr fontId="15" type="noConversion"/>
  </si>
  <si>
    <t>防滑垫抽底</t>
    <phoneticPr fontId="15" type="noConversion"/>
  </si>
  <si>
    <t>防滑垫U型抽底</t>
    <phoneticPr fontId="15" type="noConversion"/>
  </si>
  <si>
    <t>SMU抽底</t>
    <phoneticPr fontId="15" type="noConversion"/>
  </si>
  <si>
    <t>SM抽底</t>
    <phoneticPr fontId="15" type="noConversion"/>
  </si>
  <si>
    <t>分类格</t>
    <phoneticPr fontId="6" type="noConversion"/>
  </si>
  <si>
    <t>开槽分类格</t>
    <phoneticPr fontId="15" type="noConversion"/>
  </si>
  <si>
    <t>抽屉部件*抽格</t>
    <phoneticPr fontId="15" type="noConversion"/>
  </si>
  <si>
    <t>砧板拉篮</t>
    <phoneticPr fontId="6" type="noConversion"/>
  </si>
  <si>
    <t>砧板拉篮前挡板</t>
    <phoneticPr fontId="15" type="noConversion"/>
  </si>
  <si>
    <t>砧板拉篮侧板</t>
    <phoneticPr fontId="15" type="noConversion"/>
  </si>
  <si>
    <t>砧板拉篮后挡板</t>
    <phoneticPr fontId="15" type="noConversion"/>
  </si>
  <si>
    <t>砧板拉篮分割板</t>
    <phoneticPr fontId="15" type="noConversion"/>
  </si>
  <si>
    <t>砧板拉篮单孔置物</t>
    <phoneticPr fontId="15" type="noConversion"/>
  </si>
  <si>
    <t>砧板拉篮底板</t>
    <phoneticPr fontId="15" type="noConversion"/>
  </si>
  <si>
    <t xml:space="preserve">砧板拉篮多孔置物                                                                                                                                                                                                                                                                                                                                                                                                                                                                                                                                                                                                                                                                                                                                                                         </t>
    <phoneticPr fontId="15" type="noConversion"/>
  </si>
  <si>
    <t xml:space="preserve">其它 </t>
  </si>
  <si>
    <t>五角柜前立柱</t>
    <phoneticPr fontId="15" type="noConversion"/>
  </si>
  <si>
    <t>安装垫板</t>
    <phoneticPr fontId="15" type="noConversion"/>
  </si>
  <si>
    <t>备用条</t>
    <phoneticPr fontId="15" type="noConversion"/>
  </si>
  <si>
    <t>铣型挂板</t>
    <phoneticPr fontId="15" type="noConversion"/>
  </si>
  <si>
    <t>望板</t>
    <phoneticPr fontId="15" type="noConversion"/>
  </si>
  <si>
    <t>BLUM直臂阻尼器973A0500</t>
    <phoneticPr fontId="6" type="noConversion"/>
  </si>
  <si>
    <t>型号、规格</t>
    <phoneticPr fontId="6" type="noConversion"/>
  </si>
  <si>
    <t>触感红樱桃双贴三聚氰胺E0级刨花板</t>
    <phoneticPr fontId="6" type="noConversion"/>
  </si>
  <si>
    <t>横纹锯齿双贴三聚氰胺E0级刨花板</t>
    <phoneticPr fontId="6" type="noConversion"/>
  </si>
  <si>
    <t>米黄麻PVC封边条</t>
    <phoneticPr fontId="6" type="noConversion"/>
  </si>
  <si>
    <t>16厚樱桃木</t>
  </si>
  <si>
    <t>侧板</t>
  </si>
  <si>
    <t>底板</t>
  </si>
  <si>
    <t>连接板</t>
  </si>
  <si>
    <t>订单编号</t>
    <phoneticPr fontId="6" type="noConversion"/>
  </si>
  <si>
    <t>活动层板</t>
  </si>
  <si>
    <t>悍高地柜超窄拉篮304101A</t>
    <phoneticPr fontId="6" type="noConversion"/>
  </si>
  <si>
    <t>悍高地柜调味品架306031A</t>
    <phoneticPr fontId="6" type="noConversion"/>
  </si>
  <si>
    <t>悍高地柜调味品架306051A</t>
    <phoneticPr fontId="6" type="noConversion"/>
  </si>
  <si>
    <t>玻璃拉手长垫片6.7mm</t>
  </si>
  <si>
    <t>玻璃拉手长垫片6.7mm</t>
    <phoneticPr fontId="6" type="noConversion"/>
  </si>
  <si>
    <t>玻璃拉手长垫片6mm</t>
    <phoneticPr fontId="6" type="noConversion"/>
  </si>
  <si>
    <t>玻璃拉手圆垫片6mm</t>
    <phoneticPr fontId="6" type="noConversion"/>
  </si>
  <si>
    <t>玻璃拉手圆垫片6.7mm</t>
    <phoneticPr fontId="6" type="noConversion"/>
  </si>
  <si>
    <t>背板</t>
  </si>
  <si>
    <t>顶板</t>
  </si>
  <si>
    <t>木业有限公司包装材料单 （外地包装）  (免漆产品包装）</t>
    <phoneticPr fontId="6" type="noConversion"/>
  </si>
  <si>
    <t>布纹玻璃5A</t>
  </si>
  <si>
    <t>包装板材</t>
    <phoneticPr fontId="6" type="noConversion"/>
  </si>
  <si>
    <t>块</t>
    <phoneticPr fontId="6" type="noConversion"/>
  </si>
  <si>
    <t>梗板</t>
  </si>
  <si>
    <t xml:space="preserve">木业有限公司包装材料单 （外地包装）（免漆产品包装）    </t>
    <phoneticPr fontId="6" type="noConversion"/>
  </si>
  <si>
    <t>60mm</t>
    <phoneticPr fontId="6" type="noConversion"/>
  </si>
  <si>
    <t>拉手</t>
    <phoneticPr fontId="6" type="noConversion"/>
  </si>
  <si>
    <t>100mm</t>
    <phoneticPr fontId="6" type="noConversion"/>
  </si>
  <si>
    <r>
      <t xml:space="preserve">（免漆柜体）下料单(此单为偏心件结构)(此单所有柜体请按照最新工艺封边、排孔、开槽，背板后空19mm)   </t>
    </r>
    <r>
      <rPr>
        <b/>
        <sz val="14"/>
        <rFont val="微软雅黑"/>
        <family val="2"/>
        <charset val="134"/>
      </rPr>
      <t>(四周1.0PVC)</t>
    </r>
    <phoneticPr fontId="11" type="noConversion"/>
  </si>
  <si>
    <t>木业橱柜（铝材，玻璃类）作业单（免漆柜体）</t>
    <phoneticPr fontId="6" type="noConversion"/>
  </si>
  <si>
    <t>（免漆柜体）领料单——</t>
    <phoneticPr fontId="6" type="noConversion"/>
  </si>
  <si>
    <t>拉篮柜</t>
    <phoneticPr fontId="15" type="noConversion"/>
  </si>
  <si>
    <t>拉篮柜
抽屉柜</t>
    <phoneticPr fontId="15" type="noConversion"/>
  </si>
  <si>
    <t>蜂窝纸板1250*800*15</t>
    <phoneticPr fontId="15" type="noConversion"/>
  </si>
  <si>
    <t>蜂窝纸板1250*800*15</t>
    <phoneticPr fontId="15" type="noConversion"/>
  </si>
  <si>
    <t>拉篮、抽屉柜、特殊柜</t>
    <phoneticPr fontId="15" type="noConversion"/>
  </si>
  <si>
    <t>W＞600</t>
    <phoneticPr fontId="15" type="noConversion"/>
  </si>
  <si>
    <t>—</t>
    <phoneticPr fontId="15" type="noConversion"/>
  </si>
  <si>
    <r>
      <t>1.整件包装---可使用对口箱的柜体（抽屉柜、拉篮柜）（</t>
    </r>
    <r>
      <rPr>
        <b/>
        <sz val="10"/>
        <color rgb="FFFF0000"/>
        <rFont val="宋体"/>
        <family val="3"/>
        <charset val="134"/>
        <scheme val="minor"/>
      </rPr>
      <t>备注：所有速美整柜包装需增加蜂窝纸板及配一根同柜体材质拉带</t>
    </r>
    <r>
      <rPr>
        <b/>
        <sz val="10"/>
        <color theme="1"/>
        <rFont val="宋体"/>
        <family val="3"/>
        <charset val="134"/>
        <scheme val="minor"/>
      </rPr>
      <t>）</t>
    </r>
    <phoneticPr fontId="15" type="noConversion"/>
  </si>
  <si>
    <t>配半成品拉带</t>
    <phoneticPr fontId="15" type="noConversion"/>
  </si>
  <si>
    <t>根</t>
    <phoneticPr fontId="15" type="noConversion"/>
  </si>
  <si>
    <t>横纹锯齿双贴备用条16*86*1220</t>
  </si>
  <si>
    <t>暖白双贴备用条16*86*1220</t>
    <phoneticPr fontId="15" type="noConversion"/>
  </si>
  <si>
    <r>
      <t>2.整件包装--所有无法使用对口箱的所有柜体</t>
    </r>
    <r>
      <rPr>
        <b/>
        <sz val="10"/>
        <color rgb="FFFF0000"/>
        <rFont val="宋体"/>
        <family val="3"/>
        <charset val="134"/>
        <scheme val="minor"/>
      </rPr>
      <t>（备注：所有速美整柜包装需增加蜂窝纸板及配一根同柜体材质拉带）</t>
    </r>
    <phoneticPr fontId="15" type="noConversion"/>
  </si>
  <si>
    <t>LVL撑板专用板条15*120*2440mm</t>
    <phoneticPr fontId="15" type="noConversion"/>
  </si>
  <si>
    <t>蜂窝纸板1250*800*15</t>
    <phoneticPr fontId="15" type="noConversion"/>
  </si>
  <si>
    <r>
      <t>1.整件包装---可使用对口箱的柜体（抽屉柜、拉篮柜）</t>
    </r>
    <r>
      <rPr>
        <b/>
        <sz val="10"/>
        <color rgb="FFFF0000"/>
        <rFont val="宋体"/>
        <family val="3"/>
        <charset val="134"/>
        <scheme val="minor"/>
      </rPr>
      <t>（备注：所有整柜包装需增加蜂窝纸板)</t>
    </r>
    <phoneticPr fontId="15" type="noConversion"/>
  </si>
  <si>
    <r>
      <t>2.整件包装--所有无法使用对口箱的所有柜体</t>
    </r>
    <r>
      <rPr>
        <b/>
        <sz val="10"/>
        <color rgb="FFFF0000"/>
        <rFont val="宋体"/>
        <family val="3"/>
        <charset val="134"/>
        <scheme val="minor"/>
      </rPr>
      <t>（备注：所有整柜包装需增加蜂窝纸板)</t>
    </r>
    <phoneticPr fontId="15" type="noConversion"/>
  </si>
  <si>
    <t>块</t>
    <phoneticPr fontId="15" type="noConversion"/>
  </si>
  <si>
    <t>家具包装组</t>
    <phoneticPr fontId="15" type="noConversion"/>
  </si>
  <si>
    <t>包装线</t>
    <phoneticPr fontId="15" type="noConversion"/>
  </si>
  <si>
    <t>平米</t>
    <phoneticPr fontId="15" type="noConversion"/>
  </si>
  <si>
    <t>清油打磨组</t>
    <phoneticPr fontId="6" type="noConversion"/>
  </si>
  <si>
    <t>混油打磨组</t>
    <phoneticPr fontId="6" type="noConversion"/>
  </si>
  <si>
    <t>内门线</t>
    <phoneticPr fontId="6" type="noConversion"/>
  </si>
  <si>
    <t>高光喷漆组</t>
    <phoneticPr fontId="15" type="noConversion"/>
  </si>
  <si>
    <t>机涂组</t>
    <phoneticPr fontId="15" type="noConversion"/>
  </si>
  <si>
    <t>家具高光线</t>
    <phoneticPr fontId="15" type="noConversion"/>
  </si>
  <si>
    <t>单</t>
    <phoneticPr fontId="15" type="noConversion"/>
  </si>
  <si>
    <t>五金配套组</t>
    <phoneticPr fontId="15" type="noConversion"/>
  </si>
  <si>
    <t>衣帽间试装组</t>
    <phoneticPr fontId="15" type="noConversion"/>
  </si>
  <si>
    <t>延米</t>
    <phoneticPr fontId="15" type="noConversion"/>
  </si>
  <si>
    <t>橱柜试装组</t>
    <phoneticPr fontId="15" type="noConversion"/>
  </si>
  <si>
    <t>试装线</t>
    <phoneticPr fontId="15" type="noConversion"/>
  </si>
  <si>
    <t>块</t>
    <phoneticPr fontId="15" type="noConversion"/>
  </si>
  <si>
    <t>铝材拼框组</t>
    <phoneticPr fontId="15" type="noConversion"/>
  </si>
  <si>
    <t>打磨组</t>
    <phoneticPr fontId="15" type="noConversion"/>
  </si>
  <si>
    <t>块</t>
    <phoneticPr fontId="15" type="noConversion"/>
  </si>
  <si>
    <t>吸塑组</t>
    <phoneticPr fontId="15" type="noConversion"/>
  </si>
  <si>
    <t>机加组</t>
    <phoneticPr fontId="15" type="noConversion"/>
  </si>
  <si>
    <t>吸塑线</t>
    <phoneticPr fontId="15" type="noConversion"/>
  </si>
  <si>
    <t>钻铣组3</t>
    <phoneticPr fontId="15" type="noConversion"/>
  </si>
  <si>
    <t>下料冷压封边组</t>
    <phoneticPr fontId="15" type="noConversion"/>
  </si>
  <si>
    <t>门板线</t>
    <phoneticPr fontId="15" type="noConversion"/>
  </si>
  <si>
    <t>裁切木皮组</t>
    <phoneticPr fontId="15" type="noConversion"/>
  </si>
  <si>
    <t>木皮线</t>
    <phoneticPr fontId="15" type="noConversion"/>
  </si>
  <si>
    <t>钻铣组2</t>
    <phoneticPr fontId="15" type="noConversion"/>
  </si>
  <si>
    <t>下料组</t>
    <phoneticPr fontId="15" type="noConversion"/>
  </si>
  <si>
    <t>家具线</t>
    <phoneticPr fontId="15" type="noConversion"/>
  </si>
  <si>
    <t>钻铣组1</t>
    <phoneticPr fontId="15" type="noConversion"/>
  </si>
  <si>
    <t>橱柜线</t>
    <phoneticPr fontId="15" type="noConversion"/>
  </si>
  <si>
    <t>备注</t>
    <phoneticPr fontId="15" type="noConversion"/>
  </si>
  <si>
    <t>质检</t>
    <phoneticPr fontId="15" type="noConversion"/>
  </si>
  <si>
    <t>主机手</t>
    <phoneticPr fontId="15" type="noConversion"/>
  </si>
  <si>
    <t>完成日期</t>
    <phoneticPr fontId="15" type="noConversion"/>
  </si>
  <si>
    <t>接单日期</t>
    <phoneticPr fontId="15" type="noConversion"/>
  </si>
  <si>
    <t>单位</t>
    <phoneticPr fontId="15" type="noConversion"/>
  </si>
  <si>
    <t>成品数量</t>
    <phoneticPr fontId="15" type="noConversion"/>
  </si>
  <si>
    <t>工序名称</t>
    <phoneticPr fontId="15" type="noConversion"/>
  </si>
  <si>
    <t>工段班组</t>
    <phoneticPr fontId="15" type="noConversion"/>
  </si>
  <si>
    <t>序号</t>
    <phoneticPr fontId="15" type="noConversion"/>
  </si>
  <si>
    <t>生产周期</t>
    <phoneticPr fontId="15" type="noConversion"/>
  </si>
  <si>
    <t>标准吊柜</t>
    <phoneticPr fontId="15" type="noConversion"/>
  </si>
  <si>
    <t>标准地柜</t>
    <phoneticPr fontId="15" type="noConversion"/>
  </si>
  <si>
    <t>厨浴柜</t>
    <phoneticPr fontId="6" type="noConversion"/>
  </si>
  <si>
    <t>产品类型</t>
    <phoneticPr fontId="6" type="noConversion"/>
  </si>
  <si>
    <t>铝框</t>
    <phoneticPr fontId="15" type="noConversion"/>
  </si>
  <si>
    <t>免漆</t>
    <phoneticPr fontId="15" type="noConversion"/>
  </si>
  <si>
    <t>吸塑</t>
    <phoneticPr fontId="15" type="noConversion"/>
  </si>
  <si>
    <t>清油</t>
    <phoneticPr fontId="15" type="noConversion"/>
  </si>
  <si>
    <t>混油</t>
    <phoneticPr fontId="15" type="noConversion"/>
  </si>
  <si>
    <t>实木</t>
    <phoneticPr fontId="15" type="noConversion"/>
  </si>
  <si>
    <t>产品系列</t>
    <phoneticPr fontId="15" type="noConversion"/>
  </si>
  <si>
    <t>应完成日期</t>
    <phoneticPr fontId="15" type="noConversion"/>
  </si>
  <si>
    <t>版本型号录号</t>
    <phoneticPr fontId="15" type="noConversion"/>
  </si>
  <si>
    <t>销售点</t>
    <phoneticPr fontId="15" type="noConversion"/>
  </si>
  <si>
    <t>下单日期</t>
    <phoneticPr fontId="15" type="noConversion"/>
  </si>
  <si>
    <t>材质/色号</t>
    <phoneticPr fontId="15" type="noConversion"/>
  </si>
  <si>
    <t>款式名称</t>
    <phoneticPr fontId="15" type="noConversion"/>
  </si>
  <si>
    <t>接单日期</t>
    <phoneticPr fontId="15" type="noConversion"/>
  </si>
  <si>
    <t>订单编号</t>
    <phoneticPr fontId="15" type="noConversion"/>
  </si>
  <si>
    <t>客户姓名</t>
    <phoneticPr fontId="15" type="noConversion"/>
  </si>
  <si>
    <t>豪美丽773</t>
    <phoneticPr fontId="6" type="noConversion"/>
  </si>
  <si>
    <t>豪美丽367</t>
    <phoneticPr fontId="6" type="noConversion"/>
  </si>
  <si>
    <t>当使用通长铝拉手时，无拉手装饰板添加在装饰板位置，有拉手的同门板</t>
    <phoneticPr fontId="6" type="noConversion"/>
  </si>
  <si>
    <t>备注：</t>
    <phoneticPr fontId="6" type="noConversion"/>
  </si>
  <si>
    <t>吊柜固定层板</t>
    <phoneticPr fontId="15" type="noConversion"/>
  </si>
  <si>
    <t>LC-003拉手</t>
    <phoneticPr fontId="6" type="noConversion"/>
  </si>
  <si>
    <t>吊柜活动层板</t>
    <phoneticPr fontId="15" type="noConversion"/>
  </si>
  <si>
    <t>外置拉手</t>
    <phoneticPr fontId="6" type="noConversion"/>
  </si>
  <si>
    <t>吊柜侧板</t>
    <phoneticPr fontId="15" type="noConversion"/>
  </si>
  <si>
    <t>减尺规则</t>
    <phoneticPr fontId="6" type="noConversion"/>
  </si>
  <si>
    <t>拉手类型</t>
    <phoneticPr fontId="6" type="noConversion"/>
  </si>
  <si>
    <t>订单减尺</t>
    <phoneticPr fontId="6" type="noConversion"/>
  </si>
  <si>
    <t>吊柜底板</t>
    <phoneticPr fontId="15" type="noConversion"/>
  </si>
  <si>
    <t>如有材质、颜色、尺寸不明请和工艺组联系并确认！</t>
    <phoneticPr fontId="6" type="noConversion"/>
  </si>
  <si>
    <t>吊柜顶板</t>
    <phoneticPr fontId="15" type="noConversion"/>
  </si>
  <si>
    <t>门板材质吊柜</t>
    <phoneticPr fontId="15" type="noConversion"/>
  </si>
  <si>
    <t>同色PVC
封边总和</t>
    <phoneticPr fontId="6" type="noConversion"/>
  </si>
  <si>
    <t>移门镜柜厚背板</t>
    <phoneticPr fontId="15" type="noConversion"/>
  </si>
  <si>
    <t>移门镜柜固定层板</t>
    <phoneticPr fontId="15" type="noConversion"/>
  </si>
  <si>
    <t>卡布奇诺高光PVC封边条2.0*22</t>
    <phoneticPr fontId="6" type="noConversion"/>
  </si>
  <si>
    <t>卡布奇诺单面高光三聚氰胺E1级中密度板18*1220*2440</t>
    <phoneticPr fontId="6" type="noConversion"/>
  </si>
  <si>
    <t>纯色</t>
    <phoneticPr fontId="6" type="noConversion"/>
  </si>
  <si>
    <t>M44卡布奇诺高光</t>
    <phoneticPr fontId="6" type="noConversion"/>
  </si>
  <si>
    <t>移门镜柜中立板</t>
    <phoneticPr fontId="15" type="noConversion"/>
  </si>
  <si>
    <t>米黄麻PVC封边条2.0*22</t>
    <phoneticPr fontId="6" type="noConversion"/>
  </si>
  <si>
    <t>米黄麻双贴三聚氰胺E0级刨花板18*1220*2440</t>
    <phoneticPr fontId="6" type="noConversion"/>
  </si>
  <si>
    <t>M12米黄</t>
    <phoneticPr fontId="6" type="noConversion"/>
  </si>
  <si>
    <t>移门镜柜侧板</t>
    <phoneticPr fontId="15" type="noConversion"/>
  </si>
  <si>
    <t>暖白PVC封边条2.0*22</t>
    <phoneticPr fontId="6" type="noConversion"/>
  </si>
  <si>
    <t>暖白双贴三聚氰胺E0级刨花板18*1220*2440</t>
    <phoneticPr fontId="6" type="noConversion"/>
  </si>
  <si>
    <t>移门镜柜底板</t>
    <phoneticPr fontId="15" type="noConversion"/>
  </si>
  <si>
    <t>铁灰PVC封边条2.0*22</t>
    <phoneticPr fontId="6" type="noConversion"/>
  </si>
  <si>
    <t>触感铁灰双贴三聚氰胺E0级刨花板18*1220*2440</t>
    <phoneticPr fontId="6" type="noConversion"/>
  </si>
  <si>
    <t>移门镜柜顶板</t>
    <phoneticPr fontId="15" type="noConversion"/>
  </si>
  <si>
    <t>移门镜柜</t>
    <phoneticPr fontId="15" type="noConversion"/>
  </si>
  <si>
    <t>纯白高光PVC封边条2.0*22</t>
    <phoneticPr fontId="6" type="noConversion"/>
  </si>
  <si>
    <t>纯白单面高光三聚氰胺E1级中密度板18*1220*2440</t>
    <phoneticPr fontId="6" type="noConversion"/>
  </si>
  <si>
    <t>M42纯白高光</t>
    <phoneticPr fontId="6" type="noConversion"/>
  </si>
  <si>
    <t>开放格厚背板</t>
    <phoneticPr fontId="15" type="noConversion"/>
  </si>
  <si>
    <t>固定竖纹门板</t>
    <phoneticPr fontId="6" type="noConversion"/>
  </si>
  <si>
    <t>荷花白PVC封边条2.0*22</t>
    <phoneticPr fontId="6" type="noConversion"/>
  </si>
  <si>
    <t>荷花白双贴三聚氰胺E0级刨花板18*1220*2440</t>
    <phoneticPr fontId="6" type="noConversion"/>
  </si>
  <si>
    <t>开放格固定层板</t>
    <phoneticPr fontId="15" type="noConversion"/>
  </si>
  <si>
    <t>柠檬绿PVC封边条2.0*22</t>
    <phoneticPr fontId="6" type="noConversion"/>
  </si>
  <si>
    <t>柠檬绿双贴三聚氰胺E0级刨花板18*1220*2440</t>
    <phoneticPr fontId="6" type="noConversion"/>
  </si>
  <si>
    <t>M50柠檬绿</t>
    <phoneticPr fontId="6" type="noConversion"/>
  </si>
  <si>
    <t>开放格中立板</t>
    <phoneticPr fontId="15" type="noConversion"/>
  </si>
  <si>
    <t>柠檬黄PVC封边条2.0*22</t>
    <phoneticPr fontId="6" type="noConversion"/>
  </si>
  <si>
    <t>柠檬黄双贴三聚氰胺E0级刨花板18*1220*2440</t>
    <phoneticPr fontId="6" type="noConversion"/>
  </si>
  <si>
    <t>M51柠檬黄</t>
    <phoneticPr fontId="6" type="noConversion"/>
  </si>
  <si>
    <t>开放格侧板</t>
    <phoneticPr fontId="15" type="noConversion"/>
  </si>
  <si>
    <t>黑檀高光PVC封边条2.0*22</t>
    <phoneticPr fontId="6" type="noConversion"/>
  </si>
  <si>
    <t>黑檀单面高光三聚氰胺E1级中密度板18*1220*2440</t>
    <phoneticPr fontId="6" type="noConversion"/>
  </si>
  <si>
    <t>竖纹</t>
    <phoneticPr fontId="6" type="noConversion"/>
  </si>
  <si>
    <t>M45黑檀高光(竖纹)</t>
    <phoneticPr fontId="6" type="noConversion"/>
  </si>
  <si>
    <t>开放格底板</t>
    <phoneticPr fontId="15" type="noConversion"/>
  </si>
  <si>
    <t>锯纹橡木PVC封边条2.0*22</t>
    <phoneticPr fontId="6" type="noConversion"/>
  </si>
  <si>
    <t>锯纹橡木双贴三聚氰胺E0级刨花板18*1220*2440</t>
    <phoneticPr fontId="6" type="noConversion"/>
  </si>
  <si>
    <t>M56锯纹橡木(竖纹)</t>
    <phoneticPr fontId="6" type="noConversion"/>
  </si>
  <si>
    <t>开放格顶板</t>
    <phoneticPr fontId="15" type="noConversion"/>
  </si>
  <si>
    <t>开放格</t>
    <phoneticPr fontId="15" type="noConversion"/>
  </si>
  <si>
    <t>横纹锯齿PVC封边条2.0*22</t>
    <phoneticPr fontId="6" type="noConversion"/>
  </si>
  <si>
    <t>横纹锯齿双贴三聚氰胺E0级刨花板18*1220*2440</t>
    <phoneticPr fontId="6" type="noConversion"/>
  </si>
  <si>
    <t>M57横纹锯齿(竖纹)</t>
    <phoneticPr fontId="6" type="noConversion"/>
  </si>
  <si>
    <t>浅橡浮雕PVC封边条2.0*22</t>
    <phoneticPr fontId="6" type="noConversion"/>
  </si>
  <si>
    <t>浅橡浮雕双贴三聚氰胺E0级刨花板18*1220*2440</t>
    <phoneticPr fontId="6" type="noConversion"/>
  </si>
  <si>
    <t>M01-2浮雕浅橡(竖纹)</t>
    <phoneticPr fontId="6" type="noConversion"/>
  </si>
  <si>
    <t>柚木PVC封边条2.0*22</t>
    <phoneticPr fontId="6" type="noConversion"/>
  </si>
  <si>
    <t>柚木双贴三聚氰胺E0级刨花板18*1220*2440</t>
    <phoneticPr fontId="6" type="noConversion"/>
  </si>
  <si>
    <t>M30柚木(竖纹)</t>
    <phoneticPr fontId="6" type="noConversion"/>
  </si>
  <si>
    <t>平板踢脚板</t>
    <phoneticPr fontId="15" type="noConversion"/>
  </si>
  <si>
    <t>装饰踢脚板</t>
    <phoneticPr fontId="15" type="noConversion"/>
  </si>
  <si>
    <t>深胡桃PVC封边条2.0*22</t>
    <phoneticPr fontId="6" type="noConversion"/>
  </si>
  <si>
    <t>深胡桃双贴三聚氰胺E0级刨花板18*1220*2440</t>
    <phoneticPr fontId="6" type="noConversion"/>
  </si>
  <si>
    <t>M29-深胡桃(竖纹)</t>
    <phoneticPr fontId="6" type="noConversion"/>
  </si>
  <si>
    <t>铝框玻璃屉面</t>
    <phoneticPr fontId="15" type="noConversion"/>
  </si>
  <si>
    <t>白蜡木PVC封边条2.0*22</t>
    <phoneticPr fontId="6" type="noConversion"/>
  </si>
  <si>
    <t>白蜡木双贴三聚氰胺E0级刨花板18*1220*2440</t>
    <phoneticPr fontId="6" type="noConversion"/>
  </si>
  <si>
    <t>M28白蜡木(竖纹)</t>
    <phoneticPr fontId="6" type="noConversion"/>
  </si>
  <si>
    <t>内嵌拉手屉面</t>
    <phoneticPr fontId="15" type="noConversion"/>
  </si>
  <si>
    <t>腊木PVC封边条2.0*22</t>
    <phoneticPr fontId="6" type="noConversion"/>
  </si>
  <si>
    <t>腊木双贴三聚氰胺E0级刨花板18*1220*2440</t>
    <phoneticPr fontId="6" type="noConversion"/>
  </si>
  <si>
    <t>M55腊木(竖纹)</t>
    <phoneticPr fontId="6" type="noConversion"/>
  </si>
  <si>
    <t>通长铝拉手屉面</t>
    <phoneticPr fontId="15" type="noConversion"/>
  </si>
  <si>
    <t>装饰板（无拉手装饰板）</t>
    <phoneticPr fontId="6" type="noConversion"/>
  </si>
  <si>
    <t>白漆木PVC封边条2.0*22</t>
    <phoneticPr fontId="6" type="noConversion"/>
  </si>
  <si>
    <t>白漆木双贴三聚氰胺E0级刨花板18*1220*2440</t>
    <phoneticPr fontId="6" type="noConversion"/>
  </si>
  <si>
    <t>M54白漆木(竖纹)</t>
    <phoneticPr fontId="6" type="noConversion"/>
  </si>
  <si>
    <t>外置拉手屉面</t>
    <phoneticPr fontId="15" type="noConversion"/>
  </si>
  <si>
    <t>抽屉面</t>
    <phoneticPr fontId="15" type="noConversion"/>
  </si>
  <si>
    <t>铣型装饰板</t>
    <phoneticPr fontId="15" type="noConversion"/>
  </si>
  <si>
    <t>艺术胡桃PVC封边条2.0*22</t>
    <phoneticPr fontId="6" type="noConversion"/>
  </si>
  <si>
    <t>艺术胡桃竖纹双贴三聚氰胺E0级刨花板18*1220*2440</t>
    <phoneticPr fontId="6" type="noConversion"/>
  </si>
  <si>
    <t>M07艺术胡桃(竖纹)</t>
    <phoneticPr fontId="6" type="noConversion"/>
  </si>
  <si>
    <t>通长铝拉手装饰板</t>
    <phoneticPr fontId="15" type="noConversion"/>
  </si>
  <si>
    <t>深橡PVC封边条2.0*22</t>
    <phoneticPr fontId="6" type="noConversion"/>
  </si>
  <si>
    <t>触感深橡双贴三聚氰胺E0级刨花板18*1220*2440</t>
    <phoneticPr fontId="6" type="noConversion"/>
  </si>
  <si>
    <t>M06-01触感深橡(竖纹)</t>
    <phoneticPr fontId="6" type="noConversion"/>
  </si>
  <si>
    <t>内嵌拉手装饰板</t>
    <phoneticPr fontId="15" type="noConversion"/>
  </si>
  <si>
    <t>红樱桃PVC封边条2.0*22</t>
    <phoneticPr fontId="6" type="noConversion"/>
  </si>
  <si>
    <t>触感红樱桃双贴三聚氰胺E0级刨花板18*1220*2440</t>
    <phoneticPr fontId="6" type="noConversion"/>
  </si>
  <si>
    <t>M03-01触感红樱桃(竖纹)</t>
    <phoneticPr fontId="6" type="noConversion"/>
  </si>
  <si>
    <t>外置拉手装饰板</t>
    <phoneticPr fontId="15" type="noConversion"/>
  </si>
  <si>
    <t>浅橡PVC封边条2.0*22</t>
    <phoneticPr fontId="6" type="noConversion"/>
  </si>
  <si>
    <t>触感浅橡双贴三聚氰胺E0级刨花板18*1220*2440</t>
    <phoneticPr fontId="6" type="noConversion"/>
  </si>
  <si>
    <t>M01-01触感浅橡(竖纹)</t>
    <phoneticPr fontId="6" type="noConversion"/>
  </si>
  <si>
    <t>平板装饰板</t>
    <phoneticPr fontId="15" type="noConversion"/>
  </si>
  <si>
    <t>箱体罗马柱装饰侧板</t>
    <phoneticPr fontId="15" type="noConversion"/>
  </si>
  <si>
    <t>平板装饰侧板</t>
    <phoneticPr fontId="15" type="noConversion"/>
  </si>
  <si>
    <t>装饰板</t>
    <phoneticPr fontId="15" type="noConversion"/>
  </si>
  <si>
    <t>横纹</t>
  </si>
  <si>
    <t>M45黑檀高光(横纹)</t>
    <phoneticPr fontId="6" type="noConversion"/>
  </si>
  <si>
    <t>平板固定门板</t>
    <phoneticPr fontId="15" type="noConversion"/>
  </si>
  <si>
    <t>M56锯纹橡木(横纹)</t>
    <phoneticPr fontId="6" type="noConversion"/>
  </si>
  <si>
    <t>背板镜子</t>
    <phoneticPr fontId="15" type="noConversion"/>
  </si>
  <si>
    <t>M57横纹锯齿(横纹)</t>
    <phoneticPr fontId="6" type="noConversion"/>
  </si>
  <si>
    <t>发光背板镜子</t>
    <phoneticPr fontId="15" type="noConversion"/>
  </si>
  <si>
    <t>M01-2浮雕浅橡(横纹)</t>
    <phoneticPr fontId="6" type="noConversion"/>
  </si>
  <si>
    <t>发光镜面门板</t>
    <phoneticPr fontId="15" type="noConversion"/>
  </si>
  <si>
    <t>M30柚木(横纹)</t>
    <phoneticPr fontId="6" type="noConversion"/>
  </si>
  <si>
    <t>镜面门板</t>
    <phoneticPr fontId="15" type="noConversion"/>
  </si>
  <si>
    <t>M29-深胡桃(横纹)</t>
    <phoneticPr fontId="6" type="noConversion"/>
  </si>
  <si>
    <t>移门镜柜门板</t>
    <phoneticPr fontId="15" type="noConversion"/>
  </si>
  <si>
    <t>M28白蜡木(横纹)</t>
    <phoneticPr fontId="6" type="noConversion"/>
  </si>
  <si>
    <t>铝框玻璃门板</t>
    <phoneticPr fontId="15" type="noConversion"/>
  </si>
  <si>
    <t>M55腊木(横纹)</t>
    <phoneticPr fontId="6" type="noConversion"/>
  </si>
  <si>
    <t>无铰链上翻门门板</t>
    <phoneticPr fontId="15" type="noConversion"/>
  </si>
  <si>
    <t>M54白漆木(横纹)</t>
    <phoneticPr fontId="6" type="noConversion"/>
  </si>
  <si>
    <t>连门通长铝拉手门板</t>
    <phoneticPr fontId="15" type="noConversion"/>
  </si>
  <si>
    <t>无拉手门板</t>
    <phoneticPr fontId="15" type="noConversion"/>
  </si>
  <si>
    <t>艺术胡桃横纹双贴三聚氰胺E0级刨花板18*1220*2440</t>
    <phoneticPr fontId="6" type="noConversion"/>
  </si>
  <si>
    <t>M07艺术胡桃(横纹)</t>
    <phoneticPr fontId="6" type="noConversion"/>
  </si>
  <si>
    <t>内嵌拉手门板</t>
    <phoneticPr fontId="15" type="noConversion"/>
  </si>
  <si>
    <t>M06-01触感深橡(横纹)</t>
    <phoneticPr fontId="6" type="noConversion"/>
  </si>
  <si>
    <t>通长铝拉手门板</t>
    <phoneticPr fontId="15" type="noConversion"/>
  </si>
  <si>
    <t>M03-01触感红樱桃(横纹)</t>
    <phoneticPr fontId="6" type="noConversion"/>
  </si>
  <si>
    <t>外置拉手门板</t>
    <phoneticPr fontId="15" type="noConversion"/>
  </si>
  <si>
    <t>门板</t>
    <phoneticPr fontId="15" type="noConversion"/>
  </si>
  <si>
    <t>小于100板件封边</t>
    <phoneticPr fontId="6" type="noConversion"/>
  </si>
  <si>
    <t>通长铝拉手
门板封边</t>
    <phoneticPr fontId="6" type="noConversion"/>
  </si>
  <si>
    <t>门板张数 
（未加出材率）</t>
    <phoneticPr fontId="6" type="noConversion"/>
  </si>
  <si>
    <t>T型铝封边板件
小于80时同色PVC</t>
    <phoneticPr fontId="6" type="noConversion"/>
  </si>
  <si>
    <t>门板四边
同色PVC封边</t>
    <phoneticPr fontId="6" type="noConversion"/>
  </si>
  <si>
    <t>材质备注</t>
    <phoneticPr fontId="6" type="noConversion"/>
  </si>
  <si>
    <t>M01-01触感浅橡(横纹)</t>
    <phoneticPr fontId="6" type="noConversion"/>
  </si>
  <si>
    <t>2.0*22同色PVC</t>
    <phoneticPr fontId="6" type="noConversion"/>
  </si>
  <si>
    <t>门板描述</t>
    <phoneticPr fontId="6" type="noConversion"/>
  </si>
  <si>
    <t>备注：T型铝封边不可使用通长铝拉手</t>
    <phoneticPr fontId="6" type="noConversion"/>
  </si>
  <si>
    <t>总数量</t>
    <phoneticPr fontId="6" type="noConversion"/>
  </si>
  <si>
    <t>饰面</t>
    <phoneticPr fontId="6" type="noConversion"/>
  </si>
  <si>
    <t>2.0*22同色PVC</t>
  </si>
  <si>
    <t>产品类型</t>
    <phoneticPr fontId="6" type="noConversion"/>
  </si>
  <si>
    <t>门板纹理</t>
    <phoneticPr fontId="6" type="noConversion"/>
  </si>
  <si>
    <t>审核日期</t>
    <phoneticPr fontId="6" type="noConversion"/>
  </si>
  <si>
    <t>配料日期</t>
    <phoneticPr fontId="6" type="noConversion"/>
  </si>
  <si>
    <t>外协</t>
    <phoneticPr fontId="6" type="noConversion"/>
  </si>
  <si>
    <t>支</t>
    <phoneticPr fontId="6" type="noConversion"/>
  </si>
  <si>
    <t>丽凯免钉胶（310ml/支）</t>
    <phoneticPr fontId="6" type="noConversion"/>
  </si>
  <si>
    <t>铝拉手（氧化铝XY-156）LC-003（3米/支）</t>
    <phoneticPr fontId="6" type="noConversion"/>
  </si>
  <si>
    <t>铝封边（氧化铝LR4115）LC-001（3米/支）</t>
    <phoneticPr fontId="6" type="noConversion"/>
  </si>
  <si>
    <t>（免漆门板）领料单——</t>
    <phoneticPr fontId="6" type="noConversion"/>
  </si>
  <si>
    <t>块</t>
    <phoneticPr fontId="15" type="noConversion"/>
  </si>
  <si>
    <t>钻铣组1</t>
    <phoneticPr fontId="15" type="noConversion"/>
  </si>
  <si>
    <t>家具线</t>
    <phoneticPr fontId="15" type="noConversion"/>
  </si>
  <si>
    <t>下料组</t>
    <phoneticPr fontId="15" type="noConversion"/>
  </si>
  <si>
    <t>钻铣组2</t>
    <phoneticPr fontId="15" type="noConversion"/>
  </si>
  <si>
    <t>木皮线</t>
    <phoneticPr fontId="15" type="noConversion"/>
  </si>
  <si>
    <t>裁切木皮组</t>
    <phoneticPr fontId="15" type="noConversion"/>
  </si>
  <si>
    <t>门板线</t>
    <phoneticPr fontId="15" type="noConversion"/>
  </si>
  <si>
    <t>下料冷压封边组</t>
    <phoneticPr fontId="15" type="noConversion"/>
  </si>
  <si>
    <t>钻铣组3</t>
    <phoneticPr fontId="15" type="noConversion"/>
  </si>
  <si>
    <t>吸塑线</t>
    <phoneticPr fontId="15" type="noConversion"/>
  </si>
  <si>
    <t>机加组</t>
    <phoneticPr fontId="15" type="noConversion"/>
  </si>
  <si>
    <t>吸塑组</t>
    <phoneticPr fontId="15" type="noConversion"/>
  </si>
  <si>
    <t>打磨组</t>
    <phoneticPr fontId="15" type="noConversion"/>
  </si>
  <si>
    <t>铝材拼框组</t>
    <phoneticPr fontId="15" type="noConversion"/>
  </si>
  <si>
    <t>试装线</t>
    <phoneticPr fontId="15" type="noConversion"/>
  </si>
  <si>
    <t>橱柜试装组</t>
    <phoneticPr fontId="15" type="noConversion"/>
  </si>
  <si>
    <t>延米</t>
    <phoneticPr fontId="15" type="noConversion"/>
  </si>
  <si>
    <t>衣帽间试装组</t>
    <phoneticPr fontId="15" type="noConversion"/>
  </si>
  <si>
    <t>平米</t>
    <phoneticPr fontId="15" type="noConversion"/>
  </si>
  <si>
    <t>五金配套组</t>
    <phoneticPr fontId="15" type="noConversion"/>
  </si>
  <si>
    <t>单</t>
    <phoneticPr fontId="15" type="noConversion"/>
  </si>
  <si>
    <t>家具高光线</t>
    <phoneticPr fontId="15" type="noConversion"/>
  </si>
  <si>
    <t>机涂组</t>
    <phoneticPr fontId="15" type="noConversion"/>
  </si>
  <si>
    <t>高光喷漆组</t>
    <phoneticPr fontId="15" type="noConversion"/>
  </si>
  <si>
    <t>内门线</t>
    <phoneticPr fontId="6" type="noConversion"/>
  </si>
  <si>
    <t>混油打磨组</t>
    <phoneticPr fontId="6" type="noConversion"/>
  </si>
  <si>
    <t>清油打磨组</t>
    <phoneticPr fontId="6" type="noConversion"/>
  </si>
  <si>
    <t>包装线</t>
    <phoneticPr fontId="15" type="noConversion"/>
  </si>
  <si>
    <t>家具包装组</t>
    <phoneticPr fontId="15" type="noConversion"/>
  </si>
  <si>
    <t>家具班组转序交接表</t>
    <phoneticPr fontId="15" type="noConversion"/>
  </si>
  <si>
    <t>客户姓名</t>
    <phoneticPr fontId="15" type="noConversion"/>
  </si>
  <si>
    <t>订单编号</t>
    <phoneticPr fontId="15" type="noConversion"/>
  </si>
  <si>
    <t>接单日期</t>
    <phoneticPr fontId="15" type="noConversion"/>
  </si>
  <si>
    <t>款式名称</t>
    <phoneticPr fontId="15" type="noConversion"/>
  </si>
  <si>
    <t>材质/色号</t>
    <phoneticPr fontId="15" type="noConversion"/>
  </si>
  <si>
    <t>下单日期</t>
    <phoneticPr fontId="15" type="noConversion"/>
  </si>
  <si>
    <t>销售点</t>
    <phoneticPr fontId="15" type="noConversion"/>
  </si>
  <si>
    <t>版本型号录号</t>
    <phoneticPr fontId="15" type="noConversion"/>
  </si>
  <si>
    <t>应完成日期</t>
    <phoneticPr fontId="15" type="noConversion"/>
  </si>
  <si>
    <t>产品系列</t>
    <phoneticPr fontId="15" type="noConversion"/>
  </si>
  <si>
    <t>实木</t>
    <phoneticPr fontId="15" type="noConversion"/>
  </si>
  <si>
    <t>混油</t>
    <phoneticPr fontId="15" type="noConversion"/>
  </si>
  <si>
    <t>清油</t>
    <phoneticPr fontId="15" type="noConversion"/>
  </si>
  <si>
    <t>吸塑</t>
    <phoneticPr fontId="15" type="noConversion"/>
  </si>
  <si>
    <t>免漆</t>
    <phoneticPr fontId="15" type="noConversion"/>
  </si>
  <si>
    <t>铝框</t>
    <phoneticPr fontId="15" type="noConversion"/>
  </si>
  <si>
    <t>产品类型</t>
    <phoneticPr fontId="20" type="noConversion"/>
  </si>
  <si>
    <t>厨浴柜</t>
    <phoneticPr fontId="20" type="noConversion"/>
  </si>
  <si>
    <t>标准地柜</t>
    <phoneticPr fontId="15" type="noConversion"/>
  </si>
  <si>
    <t>标准吊柜</t>
    <phoneticPr fontId="15" type="noConversion"/>
  </si>
  <si>
    <t>生产周期</t>
    <phoneticPr fontId="15" type="noConversion"/>
  </si>
  <si>
    <t>序号</t>
    <phoneticPr fontId="15" type="noConversion"/>
  </si>
  <si>
    <t>工段班组</t>
    <phoneticPr fontId="15" type="noConversion"/>
  </si>
  <si>
    <t>工序名称</t>
    <phoneticPr fontId="15" type="noConversion"/>
  </si>
  <si>
    <t>成品数量</t>
    <phoneticPr fontId="15" type="noConversion"/>
  </si>
  <si>
    <t>单位</t>
    <phoneticPr fontId="15" type="noConversion"/>
  </si>
  <si>
    <t>完成日期</t>
    <phoneticPr fontId="15" type="noConversion"/>
  </si>
  <si>
    <t>主机手</t>
    <phoneticPr fontId="15" type="noConversion"/>
  </si>
  <si>
    <t>质检</t>
    <phoneticPr fontId="15" type="noConversion"/>
  </si>
  <si>
    <t>备注</t>
    <phoneticPr fontId="15" type="noConversion"/>
  </si>
  <si>
    <t>橱柜线</t>
    <phoneticPr fontId="15" type="noConversion"/>
  </si>
  <si>
    <t>下料组</t>
    <phoneticPr fontId="15" type="noConversion"/>
  </si>
  <si>
    <t>M28白蜡木(横纹)</t>
  </si>
  <si>
    <t>（免漆门板）下料单</t>
    <phoneticPr fontId="6" type="noConversion"/>
  </si>
  <si>
    <t>拆解人</t>
    <phoneticPr fontId="72" type="noConversion"/>
  </si>
  <si>
    <t>外置拉手</t>
  </si>
  <si>
    <t>生产类型</t>
    <phoneticPr fontId="6" type="noConversion"/>
  </si>
  <si>
    <t>厨浴柜</t>
    <phoneticPr fontId="6" type="noConversion"/>
  </si>
  <si>
    <t>混油打磨组</t>
  </si>
  <si>
    <t>厨浴柜</t>
    <phoneticPr fontId="6" type="noConversion"/>
  </si>
  <si>
    <t>生产类型</t>
    <phoneticPr fontId="6" type="noConversion"/>
  </si>
  <si>
    <t>内门线</t>
    <phoneticPr fontId="15" type="noConversion"/>
  </si>
  <si>
    <t>清油打磨组</t>
    <phoneticPr fontId="15" type="noConversion"/>
  </si>
  <si>
    <t>横纹锯齿PVC封边条</t>
  </si>
  <si>
    <t>M57横纹锯齿</t>
    <phoneticPr fontId="6" type="noConversion"/>
  </si>
  <si>
    <t>锯纹橡木PVC封边条</t>
  </si>
  <si>
    <t>锯纹橡木双贴三聚氰胺E0级刨花板</t>
    <phoneticPr fontId="6" type="noConversion"/>
  </si>
  <si>
    <t>M56锯纹橡木</t>
    <phoneticPr fontId="6" type="noConversion"/>
  </si>
  <si>
    <t>腊木PVC封边条</t>
    <phoneticPr fontId="6" type="noConversion"/>
  </si>
  <si>
    <t>腊木双贴三聚氰胺E0级刨花板</t>
    <phoneticPr fontId="6" type="noConversion"/>
  </si>
  <si>
    <t>M55腊木</t>
    <phoneticPr fontId="6" type="noConversion"/>
  </si>
  <si>
    <t>白漆木PVC封边条</t>
  </si>
  <si>
    <t>白漆木双贴三聚氰胺E0级刨花板</t>
    <phoneticPr fontId="6" type="noConversion"/>
  </si>
  <si>
    <t>M54白漆木</t>
    <phoneticPr fontId="6" type="noConversion"/>
  </si>
  <si>
    <t>深胡桃PVC封边条</t>
  </si>
  <si>
    <t>M29深胡桃</t>
    <phoneticPr fontId="6" type="noConversion"/>
  </si>
  <si>
    <t>白蜡木PVC封边条</t>
  </si>
  <si>
    <t>M28白蜡木</t>
    <phoneticPr fontId="6" type="noConversion"/>
  </si>
  <si>
    <t>黑檀高光PVC封边条</t>
    <phoneticPr fontId="6" type="noConversion"/>
  </si>
  <si>
    <t>黑檀单面高光三聚氰胺E1级中密度板</t>
    <phoneticPr fontId="6" type="noConversion"/>
  </si>
  <si>
    <t>M45黑檀高光</t>
    <phoneticPr fontId="6" type="noConversion"/>
  </si>
  <si>
    <t>卡布奇诺高光PVC封边条</t>
    <phoneticPr fontId="6" type="noConversion"/>
  </si>
  <si>
    <t>卡布奇诺单面高光三聚氰胺E1级中密度板</t>
    <phoneticPr fontId="6" type="noConversion"/>
  </si>
  <si>
    <t>纯白高光PVC封边条</t>
    <phoneticPr fontId="6" type="noConversion"/>
  </si>
  <si>
    <t>纯白单面高光三聚氰胺E1级中密度板</t>
    <phoneticPr fontId="6" type="noConversion"/>
  </si>
  <si>
    <t>柠檬绿PVC封边条</t>
  </si>
  <si>
    <t>柠檬绿双贴三聚氰胺E0级刨花板</t>
    <phoneticPr fontId="6" type="noConversion"/>
  </si>
  <si>
    <t>柠檬黄PVC封边条</t>
  </si>
  <si>
    <t>柠檬黄双贴三聚氰胺E0级刨花板</t>
    <phoneticPr fontId="6" type="noConversion"/>
  </si>
  <si>
    <t>材质选择</t>
    <phoneticPr fontId="6" type="noConversion"/>
  </si>
  <si>
    <t>门板材质选择</t>
    <phoneticPr fontId="6" type="noConversion"/>
  </si>
  <si>
    <t>拆解人</t>
    <phoneticPr fontId="6" type="noConversion"/>
  </si>
  <si>
    <t>合计</t>
    <phoneticPr fontId="6" type="noConversion"/>
  </si>
  <si>
    <t>注：所有下料纹理方向均为高度方向
如有材质、颜色、尺寸不明请和工艺组联系并确认！</t>
    <phoneticPr fontId="6" type="noConversion"/>
  </si>
  <si>
    <t>12厚装饰侧板（12厚装饰侧板1.5mm封边填在下部，按纹理要求填写位置）</t>
    <phoneticPr fontId="6" type="noConversion"/>
  </si>
  <si>
    <t>开放格（16厚开放格1mm封边填在下部，按纹理要求填写位置）</t>
    <phoneticPr fontId="6" type="noConversion"/>
  </si>
  <si>
    <t>装饰板（无拉手的18厚1.5mm封边竖纹装饰板填在下部）</t>
    <phoneticPr fontId="6" type="noConversion"/>
  </si>
  <si>
    <t>含拉手抽屉类横纹门板（有拉手的18厚1.5mm封边的横纹门板填在下部）</t>
    <phoneticPr fontId="6" type="noConversion"/>
  </si>
  <si>
    <t>含拉手平开门竖纹门板（有拉手的18厚1.5mm封边的竖纹门板填在下部）</t>
    <phoneticPr fontId="6" type="noConversion"/>
  </si>
  <si>
    <t>出材率</t>
    <phoneticPr fontId="6" type="noConversion"/>
  </si>
  <si>
    <t>封边用量</t>
    <phoneticPr fontId="6" type="noConversion"/>
  </si>
  <si>
    <t>注 ：1.此模板可实现最多四种颜色的拆单，需在每行门板颜色的一列填入材质，材质需与上部表头的名称一致，操作时可直接等于上边
2.填写时注意尺寸数据的位置，左右位置决定了纹理方向</t>
    <phoneticPr fontId="6" type="noConversion"/>
  </si>
  <si>
    <t>+</t>
    <phoneticPr fontId="6" type="noConversion"/>
  </si>
  <si>
    <t>M42纯白高光</t>
  </si>
  <si>
    <t>现代</t>
    <phoneticPr fontId="6" type="noConversion"/>
  </si>
  <si>
    <t>通长铝拉手</t>
  </si>
  <si>
    <t>同色PVC</t>
    <phoneticPr fontId="6" type="noConversion"/>
  </si>
  <si>
    <t>所用字符</t>
    <phoneticPr fontId="6" type="noConversion"/>
  </si>
  <si>
    <t>拆解必选项目</t>
    <phoneticPr fontId="6" type="noConversion"/>
  </si>
  <si>
    <t>（速美免漆门板）下料单</t>
    <phoneticPr fontId="6" type="noConversion"/>
  </si>
  <si>
    <t>审核人</t>
    <phoneticPr fontId="6" type="noConversion"/>
  </si>
  <si>
    <t>配料</t>
    <phoneticPr fontId="6" type="noConversion"/>
  </si>
  <si>
    <t>门
板
辅
料</t>
    <phoneticPr fontId="6" type="noConversion"/>
  </si>
  <si>
    <t>板
材</t>
    <phoneticPr fontId="6" type="noConversion"/>
  </si>
  <si>
    <t>领料单——</t>
    <phoneticPr fontId="6" type="noConversion"/>
  </si>
  <si>
    <t>（速美免漆门板）领 料 单</t>
    <phoneticPr fontId="6" type="noConversion"/>
  </si>
  <si>
    <t>门板因横竖纹问题更改减尺时，请工艺自行更改</t>
    <phoneticPr fontId="6" type="noConversion"/>
  </si>
  <si>
    <t>吸塑胶</t>
    <phoneticPr fontId="6" type="noConversion"/>
  </si>
  <si>
    <t>如有材质、颜色、尺寸不明请和工艺组联系并确认！  分机电话：2207</t>
    <phoneticPr fontId="6" type="noConversion"/>
  </si>
  <si>
    <t>吸塑膜</t>
    <phoneticPr fontId="6" type="noConversion"/>
  </si>
  <si>
    <t>说明：按照2012新工艺铣型</t>
    <phoneticPr fontId="6" type="noConversion"/>
  </si>
  <si>
    <t>罗马柱小方块</t>
    <phoneticPr fontId="15" type="noConversion"/>
  </si>
  <si>
    <t>花线半成品</t>
    <phoneticPr fontId="15" type="noConversion"/>
  </si>
  <si>
    <t>18A</t>
    <phoneticPr fontId="6" type="noConversion"/>
  </si>
  <si>
    <t>顶线半成品</t>
    <phoneticPr fontId="15" type="noConversion"/>
  </si>
  <si>
    <t>半成品</t>
    <phoneticPr fontId="15" type="noConversion"/>
  </si>
  <si>
    <t>25A</t>
    <phoneticPr fontId="6" type="noConversion"/>
  </si>
  <si>
    <t>空格架背板</t>
    <phoneticPr fontId="15" type="noConversion"/>
  </si>
  <si>
    <t>一个罗马柱两个</t>
    <phoneticPr fontId="6" type="noConversion"/>
  </si>
  <si>
    <t>罗马柱小方块</t>
    <phoneticPr fontId="6" type="noConversion"/>
  </si>
  <si>
    <t>空格架眉板</t>
    <phoneticPr fontId="15" type="noConversion"/>
  </si>
  <si>
    <t>罗马柱础</t>
    <phoneticPr fontId="6" type="noConversion"/>
  </si>
  <si>
    <t>空格架层板</t>
    <phoneticPr fontId="15" type="noConversion"/>
  </si>
  <si>
    <t>空格架顶板</t>
    <phoneticPr fontId="15" type="noConversion"/>
  </si>
  <si>
    <t>罗马柱</t>
    <phoneticPr fontId="6" type="noConversion"/>
  </si>
  <si>
    <t>空格架侧板</t>
    <phoneticPr fontId="15" type="noConversion"/>
  </si>
  <si>
    <t>壳体装饰侧板</t>
    <phoneticPr fontId="15" type="noConversion"/>
  </si>
  <si>
    <t>壳体侧板</t>
    <phoneticPr fontId="15" type="noConversion"/>
  </si>
  <si>
    <t>平板无刀型</t>
    <phoneticPr fontId="6" type="noConversion"/>
  </si>
  <si>
    <t>罗马柱板</t>
    <phoneticPr fontId="15" type="noConversion"/>
  </si>
  <si>
    <t>空格架</t>
    <phoneticPr fontId="15" type="noConversion"/>
  </si>
  <si>
    <t>玻璃门</t>
    <phoneticPr fontId="6" type="noConversion"/>
  </si>
  <si>
    <t>墙上层板托</t>
    <phoneticPr fontId="15" type="noConversion"/>
  </si>
  <si>
    <t>带孔平板踢脚板</t>
    <phoneticPr fontId="15" type="noConversion"/>
  </si>
  <si>
    <t>无拉手装饰板（平板装饰板）</t>
    <phoneticPr fontId="6" type="noConversion"/>
  </si>
  <si>
    <t>造型踢脚板</t>
    <phoneticPr fontId="15" type="noConversion"/>
  </si>
  <si>
    <t>灯线</t>
    <phoneticPr fontId="15" type="noConversion"/>
  </si>
  <si>
    <t>顶线盖板</t>
    <phoneticPr fontId="15" type="noConversion"/>
  </si>
  <si>
    <t>古典-直边</t>
    <phoneticPr fontId="6" type="noConversion"/>
  </si>
  <si>
    <t>顶线</t>
    <phoneticPr fontId="15" type="noConversion"/>
  </si>
  <si>
    <t>古典-弧边</t>
    <phoneticPr fontId="6" type="noConversion"/>
  </si>
  <si>
    <t>速美装饰顶线</t>
    <phoneticPr fontId="15" type="noConversion"/>
  </si>
  <si>
    <t>最终减尺规则</t>
    <phoneticPr fontId="6" type="noConversion"/>
  </si>
  <si>
    <t>浮士德</t>
    <phoneticPr fontId="6" type="noConversion"/>
  </si>
  <si>
    <t>平板顶线</t>
    <phoneticPr fontId="15" type="noConversion"/>
  </si>
  <si>
    <t>香草天空Ⅱ</t>
    <phoneticPr fontId="6" type="noConversion"/>
  </si>
  <si>
    <t>装饰顶线</t>
    <phoneticPr fontId="15" type="noConversion"/>
  </si>
  <si>
    <t>款式减尺</t>
    <phoneticPr fontId="6" type="noConversion"/>
  </si>
  <si>
    <t>罗马柱</t>
    <phoneticPr fontId="15" type="noConversion"/>
  </si>
  <si>
    <t>罗马柱带柱础</t>
    <phoneticPr fontId="15" type="noConversion"/>
  </si>
  <si>
    <t>吸塑古典镜子</t>
    <phoneticPr fontId="15" type="noConversion"/>
  </si>
  <si>
    <t>古典镜子</t>
    <phoneticPr fontId="15" type="noConversion"/>
  </si>
  <si>
    <t>玻璃屉面</t>
    <phoneticPr fontId="15" type="noConversion"/>
  </si>
  <si>
    <t>平板屉面</t>
    <phoneticPr fontId="15" type="noConversion"/>
  </si>
  <si>
    <t>造型屉面</t>
    <phoneticPr fontId="15" type="noConversion"/>
  </si>
  <si>
    <t>抽屉面</t>
    <phoneticPr fontId="15" type="noConversion"/>
  </si>
  <si>
    <t>拉手装饰板</t>
    <phoneticPr fontId="15" type="noConversion"/>
  </si>
  <si>
    <t>平板装饰板</t>
    <phoneticPr fontId="15" type="noConversion"/>
  </si>
  <si>
    <t>暖白单贴三聚氰胺E1级镂铣中密度板25*1220*2440</t>
    <phoneticPr fontId="6" type="noConversion"/>
  </si>
  <si>
    <t>0.35*1400</t>
    <phoneticPr fontId="6" type="noConversion"/>
  </si>
  <si>
    <t>（银灰）</t>
    <phoneticPr fontId="6" type="noConversion"/>
  </si>
  <si>
    <t>月牙白</t>
  </si>
  <si>
    <t>暖白玻璃压条</t>
  </si>
  <si>
    <t>胡桃木纹吸塑膜0.35*1400(WF14504-79PC)</t>
    <phoneticPr fontId="6" type="noConversion"/>
  </si>
  <si>
    <t>暖白单贴三聚氰胺E1级镂铣中密度板18*1220*2440</t>
    <phoneticPr fontId="6" type="noConversion"/>
  </si>
  <si>
    <t>P17胡桃木纹(开门竖纹）（抽屉和翻门为横纹）/镜框竖纹</t>
    <phoneticPr fontId="6" type="noConversion"/>
  </si>
  <si>
    <t>造型装饰板</t>
    <phoneticPr fontId="15" type="noConversion"/>
  </si>
  <si>
    <t>浅蓝木纹吸塑膜0.35*1400(WF36210-28PC)</t>
    <phoneticPr fontId="6" type="noConversion"/>
  </si>
  <si>
    <t>P14浅蓝木纹(开门竖纹）（抽屉和翻门为横纹）/镜框竖纹</t>
    <phoneticPr fontId="6" type="noConversion"/>
  </si>
  <si>
    <t>平板装饰侧板</t>
    <phoneticPr fontId="15" type="noConversion"/>
  </si>
  <si>
    <t>金色细木纹吸塑膜0.35*1400(SF10073-71GSMPC)</t>
    <phoneticPr fontId="6" type="noConversion"/>
  </si>
  <si>
    <t>P13金色细木纹(开门竖纹）（抽屉和翻门为横纹）</t>
    <phoneticPr fontId="6" type="noConversion"/>
  </si>
  <si>
    <t>箱体罗马柱装饰侧板</t>
    <phoneticPr fontId="15" type="noConversion"/>
  </si>
  <si>
    <t>金色木纹吸塑膜0.35*1400（SF20187-765GMPC）</t>
    <phoneticPr fontId="6" type="noConversion"/>
  </si>
  <si>
    <t>P12金色木纹(开门竖纹）（抽屉和翻门为横纹）/镜框竖纹</t>
    <phoneticPr fontId="6" type="noConversion"/>
  </si>
  <si>
    <t>造型装饰侧板</t>
    <phoneticPr fontId="15" type="noConversion"/>
  </si>
  <si>
    <t>装饰板</t>
    <phoneticPr fontId="15" type="noConversion"/>
  </si>
  <si>
    <t>银灰色木纹吸塑膜0.35*1400（SF20187-773GMPC）</t>
    <phoneticPr fontId="6" type="noConversion"/>
  </si>
  <si>
    <t>P11银灰色木纹(开门竖纹）（抽屉和翻门为横纹）/镜框竖纹</t>
    <phoneticPr fontId="6" type="noConversion"/>
  </si>
  <si>
    <t>造型固定门板</t>
    <phoneticPr fontId="15" type="noConversion"/>
  </si>
  <si>
    <t>珠光木纹吸塑膜0.35*1400（SF10017-22PC）</t>
    <phoneticPr fontId="6" type="noConversion"/>
  </si>
  <si>
    <t>P10珠光木纹(开门竖纹）（抽屉和翻门为横纹）/镜框竖纹</t>
    <phoneticPr fontId="6" type="noConversion"/>
  </si>
  <si>
    <t>按技术部下发文件加工</t>
    <phoneticPr fontId="6" type="noConversion"/>
  </si>
  <si>
    <t>玻璃门板</t>
    <phoneticPr fontId="15" type="noConversion"/>
  </si>
  <si>
    <t>触感红樱桃单贴三聚氰胺E1级镂铣中密度板25*1220*2440</t>
    <phoneticPr fontId="6" type="noConversion"/>
  </si>
  <si>
    <t>0.35*1450</t>
    <phoneticPr fontId="6" type="noConversion"/>
  </si>
  <si>
    <t>（樱桃）</t>
    <phoneticPr fontId="6" type="noConversion"/>
  </si>
  <si>
    <t>樱桃</t>
    <phoneticPr fontId="6" type="noConversion"/>
  </si>
  <si>
    <t>红樱桃玻璃压条</t>
    <phoneticPr fontId="6" type="noConversion"/>
  </si>
  <si>
    <t>樱桃吸塑膜0.35mm*1450mm（W2106S1）</t>
    <phoneticPr fontId="6" type="noConversion"/>
  </si>
  <si>
    <t>触感红樱桃单贴三聚氰胺E1级镂铣中密度板18*1220*2440</t>
    <phoneticPr fontId="6" type="noConversion"/>
  </si>
  <si>
    <t>P08 樱桃色(开门竖纹）（抽屉和翻门为横纹）</t>
    <phoneticPr fontId="6" type="noConversion"/>
  </si>
  <si>
    <t>整板铣型，严格按照技术部下发图纸加工</t>
    <phoneticPr fontId="6" type="noConversion"/>
  </si>
  <si>
    <t>无铰链上翻门门板</t>
    <phoneticPr fontId="15" type="noConversion"/>
  </si>
  <si>
    <t>月牙白</t>
    <phoneticPr fontId="6" type="noConversion"/>
  </si>
  <si>
    <t>月牙白吸塑膜0.35MM*1450MM（WAK2559)</t>
    <phoneticPr fontId="6" type="noConversion"/>
  </si>
  <si>
    <t>P01月牙白</t>
    <phoneticPr fontId="6" type="noConversion"/>
  </si>
  <si>
    <t>LC-003</t>
    <phoneticPr fontId="6" type="noConversion"/>
  </si>
  <si>
    <t>踢脚板</t>
    <phoneticPr fontId="6" type="noConversion"/>
  </si>
  <si>
    <t>罗马柱吸塑胶</t>
    <phoneticPr fontId="6" type="noConversion"/>
  </si>
  <si>
    <t>罗马柱础吸塑胶</t>
    <phoneticPr fontId="6" type="noConversion"/>
  </si>
  <si>
    <t>门板吸塑胶</t>
    <phoneticPr fontId="6" type="noConversion"/>
  </si>
  <si>
    <t>门板压条</t>
    <phoneticPr fontId="6" type="noConversion"/>
  </si>
  <si>
    <t>门板张数</t>
    <phoneticPr fontId="6" type="noConversion"/>
  </si>
  <si>
    <t>吸塑平米</t>
    <phoneticPr fontId="6" type="noConversion"/>
  </si>
  <si>
    <t>门板平米</t>
    <phoneticPr fontId="6" type="noConversion"/>
  </si>
  <si>
    <t>材料备注</t>
    <phoneticPr fontId="6" type="noConversion"/>
  </si>
  <si>
    <t>加工备注</t>
    <phoneticPr fontId="6" type="noConversion"/>
  </si>
  <si>
    <t>数量</t>
    <phoneticPr fontId="6" type="noConversion"/>
  </si>
  <si>
    <t>高度</t>
    <phoneticPr fontId="6" type="noConversion"/>
  </si>
  <si>
    <t>宽度</t>
    <phoneticPr fontId="6" type="noConversion"/>
  </si>
  <si>
    <t>厚度</t>
    <phoneticPr fontId="6" type="noConversion"/>
  </si>
  <si>
    <t>名称</t>
    <phoneticPr fontId="6" type="noConversion"/>
  </si>
  <si>
    <t>箱体序号</t>
    <phoneticPr fontId="6" type="noConversion"/>
  </si>
  <si>
    <t>平板门板</t>
    <phoneticPr fontId="15" type="noConversion"/>
  </si>
  <si>
    <t>米黄麻单贴三聚氰胺E1级镂铣中密度板25*1220*2440</t>
    <phoneticPr fontId="6" type="noConversion"/>
  </si>
  <si>
    <t>（米黄）</t>
    <phoneticPr fontId="6" type="noConversion"/>
  </si>
  <si>
    <t>米黄麻</t>
    <phoneticPr fontId="6" type="noConversion"/>
  </si>
  <si>
    <t>米黄麻玻璃压条</t>
    <phoneticPr fontId="6" type="noConversion"/>
  </si>
  <si>
    <t>米黄麻吸塑膜0.35MM*1450MM(YEL2959)</t>
    <phoneticPr fontId="6" type="noConversion"/>
  </si>
  <si>
    <t>米黄麻单贴三聚氰胺E1级镂铣中密度板18*1220*2440</t>
    <phoneticPr fontId="6" type="noConversion"/>
  </si>
  <si>
    <t>P02米黄</t>
    <phoneticPr fontId="6" type="noConversion"/>
  </si>
  <si>
    <t>备注</t>
    <phoneticPr fontId="6" type="noConversion"/>
  </si>
  <si>
    <t>下料尺寸</t>
    <phoneticPr fontId="6" type="noConversion"/>
  </si>
  <si>
    <t>成型尺寸</t>
    <phoneticPr fontId="6" type="noConversion"/>
  </si>
  <si>
    <t>说明</t>
    <phoneticPr fontId="6" type="noConversion"/>
  </si>
  <si>
    <t>造型门板</t>
    <phoneticPr fontId="15" type="noConversion"/>
  </si>
  <si>
    <t>门板</t>
    <phoneticPr fontId="15" type="noConversion"/>
  </si>
  <si>
    <t>吸塑膜规格</t>
    <phoneticPr fontId="6" type="noConversion"/>
  </si>
  <si>
    <t>出材率</t>
    <phoneticPr fontId="6" type="noConversion"/>
  </si>
  <si>
    <t>门板描述</t>
    <phoneticPr fontId="6" type="noConversion"/>
  </si>
  <si>
    <t>应完成日期</t>
    <phoneticPr fontId="6" type="noConversion"/>
  </si>
  <si>
    <t>下单日期</t>
    <phoneticPr fontId="6" type="noConversion"/>
  </si>
  <si>
    <t>总数量</t>
    <phoneticPr fontId="6" type="noConversion"/>
  </si>
  <si>
    <t>香草天空Ⅱ</t>
  </si>
  <si>
    <t>款式</t>
    <phoneticPr fontId="6" type="noConversion"/>
  </si>
  <si>
    <t>拉手类型</t>
    <phoneticPr fontId="6" type="noConversion"/>
  </si>
  <si>
    <t>版本型录号</t>
    <phoneticPr fontId="6" type="noConversion"/>
  </si>
  <si>
    <t>订单编号</t>
    <phoneticPr fontId="6" type="noConversion"/>
  </si>
  <si>
    <t>厨柜</t>
    <phoneticPr fontId="6" type="noConversion"/>
  </si>
  <si>
    <t>销售点</t>
    <phoneticPr fontId="6" type="noConversion"/>
  </si>
  <si>
    <t>客户姓名</t>
    <phoneticPr fontId="6" type="noConversion"/>
  </si>
  <si>
    <t>（吸塑门板)作业单</t>
    <phoneticPr fontId="6" type="noConversion"/>
  </si>
  <si>
    <t>罗马柱基100*50*23(单贴)</t>
    <phoneticPr fontId="6" type="noConversion"/>
  </si>
  <si>
    <t>罗马柱基60*50*23(单贴)</t>
    <phoneticPr fontId="6" type="noConversion"/>
  </si>
  <si>
    <t>素罗马柱方块42*42*18</t>
    <phoneticPr fontId="6" type="noConversion"/>
  </si>
  <si>
    <t>罗马柱头半成品</t>
    <phoneticPr fontId="6" type="noConversion"/>
  </si>
  <si>
    <t>花线2440*60*18(单贴)</t>
    <phoneticPr fontId="6" type="noConversion"/>
  </si>
  <si>
    <t>顶线2440*83*22(单贴)</t>
    <phoneticPr fontId="6" type="noConversion"/>
  </si>
  <si>
    <t>顶线半成品</t>
    <phoneticPr fontId="6" type="noConversion"/>
  </si>
  <si>
    <t>汉高真空吸塑胶IS205（固化剂）1千克/瓶</t>
    <phoneticPr fontId="6" type="noConversion"/>
  </si>
  <si>
    <t>汉高真空吸塑胶FD3139（主剂）20千克/桶</t>
    <phoneticPr fontId="6" type="noConversion"/>
  </si>
  <si>
    <t>门板辅助材料</t>
    <phoneticPr fontId="6" type="noConversion"/>
  </si>
  <si>
    <t>波音软片</t>
    <phoneticPr fontId="6" type="noConversion"/>
  </si>
  <si>
    <t>玻璃压条</t>
    <phoneticPr fontId="6" type="noConversion"/>
  </si>
  <si>
    <t>5*1830*2440</t>
    <phoneticPr fontId="6" type="noConversion"/>
  </si>
  <si>
    <t>玉砂玻璃</t>
  </si>
  <si>
    <t>玻璃</t>
    <phoneticPr fontId="6" type="noConversion"/>
  </si>
  <si>
    <t>拉米诺挂件UNO30</t>
    <phoneticPr fontId="6" type="noConversion"/>
  </si>
  <si>
    <t>水银镜</t>
    <phoneticPr fontId="6" type="noConversion"/>
  </si>
  <si>
    <t>玉砂玻璃</t>
    <phoneticPr fontId="6" type="noConversion"/>
  </si>
  <si>
    <t>暖白双贴三聚氰胺E1级中密度板</t>
  </si>
  <si>
    <t>3*1220*2440</t>
  </si>
  <si>
    <t>素高林E1级中密度</t>
    <phoneticPr fontId="6" type="noConversion"/>
  </si>
  <si>
    <t>玻璃平米</t>
    <phoneticPr fontId="6" type="noConversion"/>
  </si>
  <si>
    <t>（吸塑门板)领料单——</t>
    <phoneticPr fontId="6" type="noConversion"/>
  </si>
  <si>
    <t>铝拉手（氧化铝XY-156）LC-003（3米/支）</t>
    <phoneticPr fontId="72" type="noConversion"/>
  </si>
  <si>
    <t>豪美丽铁灰色拉手773（3米/支）</t>
    <phoneticPr fontId="72" type="noConversion"/>
  </si>
  <si>
    <t>固定层板</t>
  </si>
  <si>
    <t xml:space="preserve">铝扣条（氧化铝16mm板用）6米/支 </t>
  </si>
  <si>
    <t>516*15</t>
    <phoneticPr fontId="6" type="noConversion"/>
  </si>
  <si>
    <t>516*15</t>
    <phoneticPr fontId="6" type="noConversion"/>
  </si>
  <si>
    <t>15*516</t>
    <phoneticPr fontId="6" type="noConversion"/>
  </si>
  <si>
    <t>51*516</t>
    <phoneticPr fontId="6" type="noConversion"/>
  </si>
  <si>
    <t>拆解人</t>
  </si>
  <si>
    <t>3FF28B02-FE3</t>
  </si>
  <si>
    <t>3FF28B02-FE3</t>
    <phoneticPr fontId="72" type="noConversion"/>
  </si>
  <si>
    <t>连门通长铝拉手门板</t>
  </si>
  <si>
    <t>无铰链上翻门门板</t>
  </si>
  <si>
    <t>玻璃门板</t>
  </si>
  <si>
    <t>3FF28B02-FE3</t>
    <phoneticPr fontId="6" type="noConversion"/>
  </si>
  <si>
    <t>拆解人</t>
    <phoneticPr fontId="6"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</si>
</sst>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176" formatCode="0.000_ "/>
    <numFmt numFmtId="177" formatCode="0_ "/>
    <numFmt numFmtId="178" formatCode="0.00_ "/>
    <numFmt numFmtId="179" formatCode="0.0_ "/>
    <numFmt numFmtId="180" formatCode="yyyy&quot;年&quot;m&quot;月&quot;d&quot;日&quot;;@"/>
    <numFmt numFmtId="181" formatCode="0_);\(0\)"/>
    <numFmt numFmtId="182" formatCode="[$-F800]dddd\,\ mmmm\ dd\,\ yyyy"/>
    <numFmt numFmtId="183" formatCode="0_);[Red]\(0\)"/>
    <numFmt numFmtId="184" formatCode="0.0_);[Red]\(0.0\)"/>
    <numFmt numFmtId="185" formatCode="0&quot;高&quot;"/>
    <numFmt numFmtId="186" formatCode="0.00_);[Red]\(0.00\)"/>
  </numFmts>
  <fonts count="88">
    <font>
      <sz val="12"/>
      <name val="宋体"/>
      <charset val="134"/>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2"/>
      <name val="宋体"/>
      <family val="3"/>
      <charset val="134"/>
    </font>
    <font>
      <sz val="9"/>
      <name val="宋体"/>
      <family val="3"/>
      <charset val="134"/>
    </font>
    <font>
      <sz val="10"/>
      <name val="宋体"/>
      <family val="3"/>
      <charset val="134"/>
    </font>
    <font>
      <b/>
      <sz val="14"/>
      <name val="宋体"/>
      <family val="3"/>
      <charset val="134"/>
    </font>
    <font>
      <sz val="9"/>
      <color indexed="81"/>
      <name val="宋体"/>
      <family val="3"/>
      <charset val="134"/>
    </font>
    <font>
      <b/>
      <sz val="9"/>
      <color indexed="81"/>
      <name val="宋体"/>
      <family val="3"/>
      <charset val="134"/>
    </font>
    <font>
      <sz val="9"/>
      <name val="宋体"/>
      <family val="3"/>
      <charset val="134"/>
    </font>
    <font>
      <sz val="11"/>
      <color theme="1"/>
      <name val="宋体"/>
      <family val="3"/>
      <charset val="134"/>
      <scheme val="minor"/>
    </font>
    <font>
      <b/>
      <sz val="12"/>
      <color theme="1"/>
      <name val="宋体"/>
      <family val="3"/>
      <charset val="134"/>
      <scheme val="minor"/>
    </font>
    <font>
      <sz val="10"/>
      <color theme="1"/>
      <name val="宋体"/>
      <family val="3"/>
      <charset val="134"/>
      <scheme val="minor"/>
    </font>
    <font>
      <sz val="9"/>
      <name val="宋体"/>
      <family val="2"/>
      <charset val="134"/>
      <scheme val="minor"/>
    </font>
    <font>
      <b/>
      <sz val="10"/>
      <color theme="1"/>
      <name val="宋体"/>
      <family val="3"/>
      <charset val="134"/>
      <scheme val="minor"/>
    </font>
    <font>
      <sz val="9"/>
      <color indexed="81"/>
      <name val="Tahoma"/>
      <family val="2"/>
    </font>
    <font>
      <sz val="10"/>
      <color rgb="FFFF0000"/>
      <name val="宋体"/>
      <family val="3"/>
      <charset val="134"/>
      <scheme val="minor"/>
    </font>
    <font>
      <sz val="12"/>
      <name val="宋体"/>
      <family val="3"/>
      <charset val="134"/>
    </font>
    <font>
      <sz val="9"/>
      <name val="宋体"/>
      <family val="3"/>
      <charset val="134"/>
    </font>
    <font>
      <sz val="10"/>
      <name val="宋体"/>
      <family val="3"/>
      <charset val="134"/>
      <scheme val="minor"/>
    </font>
    <font>
      <sz val="9"/>
      <color indexed="20"/>
      <name val="宋体"/>
      <family val="3"/>
      <charset val="134"/>
    </font>
    <font>
      <sz val="11"/>
      <color theme="1"/>
      <name val="宋体"/>
      <family val="3"/>
      <charset val="134"/>
      <scheme val="minor"/>
    </font>
    <font>
      <sz val="9"/>
      <color theme="1"/>
      <name val="宋体"/>
      <family val="3"/>
      <charset val="134"/>
    </font>
    <font>
      <sz val="11"/>
      <color indexed="8"/>
      <name val="宋体"/>
      <family val="3"/>
      <charset val="134"/>
    </font>
    <font>
      <sz val="9"/>
      <color indexed="17"/>
      <name val="宋体"/>
      <family val="3"/>
      <charset val="134"/>
    </font>
    <font>
      <sz val="16"/>
      <name val="宋体"/>
      <family val="3"/>
      <charset val="134"/>
      <scheme val="minor"/>
    </font>
    <font>
      <sz val="10"/>
      <name val="宋体"/>
      <family val="3"/>
      <charset val="134"/>
      <scheme val="minor"/>
    </font>
    <font>
      <sz val="11"/>
      <name val="宋体"/>
      <family val="3"/>
      <charset val="134"/>
      <scheme val="minor"/>
    </font>
    <font>
      <sz val="8"/>
      <color theme="1"/>
      <name val="宋体"/>
      <family val="3"/>
      <charset val="134"/>
      <scheme val="minor"/>
    </font>
    <font>
      <b/>
      <sz val="10"/>
      <color theme="1"/>
      <name val="华文细黑"/>
      <family val="3"/>
      <charset val="134"/>
    </font>
    <font>
      <sz val="9"/>
      <name val="宋体"/>
      <family val="3"/>
      <charset val="134"/>
    </font>
    <font>
      <sz val="12"/>
      <name val="宋体"/>
      <family val="3"/>
      <charset val="134"/>
    </font>
    <font>
      <sz val="11"/>
      <color theme="1"/>
      <name val="宋体"/>
      <family val="3"/>
      <charset val="134"/>
      <scheme val="minor"/>
    </font>
    <font>
      <sz val="12"/>
      <name val="宋体"/>
      <family val="3"/>
      <charset val="134"/>
    </font>
    <font>
      <b/>
      <sz val="9"/>
      <name val="微软雅黑"/>
      <family val="2"/>
      <charset val="134"/>
    </font>
    <font>
      <b/>
      <sz val="10"/>
      <name val="微软雅黑"/>
      <family val="2"/>
      <charset val="134"/>
    </font>
    <font>
      <sz val="8"/>
      <name val="微软雅黑"/>
      <family val="2"/>
      <charset val="134"/>
    </font>
    <font>
      <b/>
      <sz val="9"/>
      <color indexed="81"/>
      <name val="Tahoma"/>
      <family val="2"/>
    </font>
    <font>
      <sz val="10"/>
      <name val="微软雅黑"/>
      <family val="2"/>
      <charset val="134"/>
    </font>
    <font>
      <sz val="9"/>
      <color theme="1"/>
      <name val="微软雅黑"/>
      <family val="2"/>
      <charset val="134"/>
    </font>
    <font>
      <sz val="9"/>
      <name val="微软雅黑"/>
      <family val="2"/>
      <charset val="134"/>
    </font>
    <font>
      <sz val="9"/>
      <color theme="0"/>
      <name val="微软雅黑"/>
      <family val="2"/>
      <charset val="134"/>
    </font>
    <font>
      <sz val="9"/>
      <color theme="2"/>
      <name val="微软雅黑"/>
      <family val="2"/>
      <charset val="134"/>
    </font>
    <font>
      <sz val="9"/>
      <color rgb="FFF0F0F0"/>
      <name val="微软雅黑"/>
      <family val="2"/>
      <charset val="134"/>
    </font>
    <font>
      <sz val="14"/>
      <name val="微软雅黑"/>
      <family val="2"/>
      <charset val="134"/>
    </font>
    <font>
      <sz val="12"/>
      <name val="微软雅黑"/>
      <family val="2"/>
      <charset val="134"/>
    </font>
    <font>
      <b/>
      <sz val="14"/>
      <name val="微软雅黑"/>
      <family val="2"/>
      <charset val="134"/>
    </font>
    <font>
      <sz val="9"/>
      <color rgb="FFFF0000"/>
      <name val="微软雅黑"/>
      <family val="2"/>
      <charset val="134"/>
    </font>
    <font>
      <sz val="11"/>
      <name val="微软雅黑"/>
      <family val="2"/>
      <charset val="134"/>
    </font>
    <font>
      <sz val="14"/>
      <color theme="1"/>
      <name val="宋体"/>
      <family val="2"/>
      <charset val="134"/>
      <scheme val="minor"/>
    </font>
    <font>
      <sz val="14"/>
      <color theme="1"/>
      <name val="宋体"/>
      <family val="3"/>
      <charset val="134"/>
      <scheme val="minor"/>
    </font>
    <font>
      <sz val="11"/>
      <color theme="1"/>
      <name val="微软雅黑"/>
      <family val="2"/>
      <charset val="134"/>
    </font>
    <font>
      <sz val="10"/>
      <color theme="1"/>
      <name val="微软雅黑"/>
      <family val="2"/>
      <charset val="134"/>
    </font>
    <font>
      <sz val="11"/>
      <color rgb="FF9C0006"/>
      <name val="宋体"/>
      <family val="2"/>
      <charset val="134"/>
      <scheme val="minor"/>
    </font>
    <font>
      <b/>
      <sz val="10"/>
      <color rgb="FFFF0000"/>
      <name val="宋体"/>
      <family val="3"/>
      <charset val="134"/>
      <scheme val="minor"/>
    </font>
    <font>
      <sz val="12"/>
      <color rgb="FFFF0000"/>
      <name val="微软雅黑"/>
      <family val="2"/>
      <charset val="134"/>
    </font>
    <font>
      <b/>
      <sz val="9"/>
      <color indexed="8"/>
      <name val="微软雅黑"/>
      <family val="2"/>
      <charset val="134"/>
    </font>
    <font>
      <sz val="9"/>
      <color indexed="8"/>
      <name val="微软雅黑"/>
      <family val="2"/>
      <charset val="134"/>
    </font>
    <font>
      <b/>
      <sz val="9"/>
      <color theme="1"/>
      <name val="微软雅黑"/>
      <family val="2"/>
      <charset val="134"/>
    </font>
    <font>
      <sz val="10"/>
      <color rgb="FFFF0000"/>
      <name val="微软雅黑"/>
      <family val="2"/>
      <charset val="134"/>
    </font>
    <font>
      <b/>
      <sz val="10"/>
      <color rgb="FF7030A0"/>
      <name val="微软雅黑"/>
      <family val="2"/>
      <charset val="134"/>
    </font>
    <font>
      <sz val="10"/>
      <color rgb="FF7030A0"/>
      <name val="微软雅黑"/>
      <family val="2"/>
      <charset val="134"/>
    </font>
    <font>
      <sz val="9"/>
      <color rgb="FF7030A0"/>
      <name val="微软雅黑"/>
      <family val="2"/>
      <charset val="134"/>
    </font>
    <font>
      <sz val="9"/>
      <color rgb="FFFF0000"/>
      <name val="宋体"/>
      <family val="3"/>
      <charset val="134"/>
    </font>
    <font>
      <b/>
      <sz val="12"/>
      <name val="微软雅黑"/>
      <family val="2"/>
      <charset val="134"/>
    </font>
    <font>
      <b/>
      <sz val="9"/>
      <color theme="3" tint="-0.249977111117893"/>
      <name val="微软雅黑"/>
      <family val="2"/>
      <charset val="134"/>
    </font>
    <font>
      <b/>
      <sz val="12"/>
      <color rgb="FFFF0000"/>
      <name val="宋体"/>
      <family val="3"/>
      <charset val="134"/>
      <scheme val="minor"/>
    </font>
    <font>
      <b/>
      <sz val="10"/>
      <color rgb="FFFF0000"/>
      <name val="微软雅黑"/>
      <family val="2"/>
      <charset val="134"/>
    </font>
    <font>
      <b/>
      <sz val="9"/>
      <color rgb="FFFF0000"/>
      <name val="微软雅黑"/>
      <family val="2"/>
      <charset val="134"/>
    </font>
    <font>
      <sz val="10"/>
      <color rgb="FF0070C0"/>
      <name val="微软雅黑"/>
      <family val="2"/>
      <charset val="134"/>
    </font>
    <font>
      <sz val="9"/>
      <name val="宋体"/>
      <family val="3"/>
      <charset val="134"/>
    </font>
    <font>
      <b/>
      <i/>
      <sz val="10"/>
      <name val="微软雅黑"/>
      <family val="2"/>
      <charset val="134"/>
    </font>
    <font>
      <sz val="10"/>
      <color indexed="10"/>
      <name val="微软雅黑"/>
      <family val="2"/>
      <charset val="134"/>
    </font>
    <font>
      <sz val="10"/>
      <color theme="1"/>
      <name val="宋体"/>
      <family val="3"/>
      <charset val="134"/>
    </font>
    <font>
      <sz val="10"/>
      <name val="Times New Roman"/>
      <family val="1"/>
    </font>
    <font>
      <sz val="10"/>
      <color indexed="10"/>
      <name val="宋体"/>
      <family val="3"/>
      <charset val="134"/>
    </font>
    <font>
      <b/>
      <sz val="10"/>
      <color theme="1"/>
      <name val="微软雅黑"/>
      <family val="2"/>
      <charset val="134"/>
    </font>
    <font>
      <b/>
      <sz val="12"/>
      <color theme="1"/>
      <name val="微软雅黑"/>
      <family val="2"/>
      <charset val="134"/>
    </font>
    <font>
      <b/>
      <sz val="14"/>
      <color theme="1"/>
      <name val="宋体"/>
      <family val="3"/>
      <charset val="134"/>
      <scheme val="minor"/>
    </font>
    <font>
      <b/>
      <sz val="10"/>
      <color rgb="FF0070C0"/>
      <name val="微软雅黑"/>
      <family val="2"/>
      <charset val="134"/>
    </font>
    <font>
      <b/>
      <sz val="10"/>
      <color rgb="FF00B050"/>
      <name val="微软雅黑"/>
      <family val="2"/>
      <charset val="134"/>
    </font>
    <font>
      <b/>
      <sz val="10"/>
      <color rgb="FFFFFF00"/>
      <name val="微软雅黑"/>
      <family val="2"/>
      <charset val="134"/>
    </font>
    <font>
      <b/>
      <sz val="10"/>
      <color indexed="10"/>
      <name val="微软雅黑"/>
      <family val="2"/>
      <charset val="134"/>
    </font>
    <font>
      <b/>
      <sz val="18"/>
      <color rgb="FF7030A0"/>
      <name val="微软雅黑"/>
      <family val="2"/>
      <charset val="134"/>
    </font>
    <font>
      <b/>
      <shadow/>
      <sz val="10"/>
      <color rgb="FFF4F1E3"/>
      <name val="微软雅黑"/>
      <family val="2"/>
      <charset val="134"/>
    </font>
    <font>
      <sz val="10"/>
      <color theme="2" tint="-9.9978637043366805E-2"/>
      <name val="微软雅黑"/>
      <family val="2"/>
      <charset val="134"/>
    </font>
  </fonts>
  <fills count="17">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indexed="45"/>
      </patternFill>
    </fill>
    <fill>
      <patternFill patternType="solid">
        <fgColor indexed="42"/>
      </patternFill>
    </fill>
    <fill>
      <patternFill patternType="solid">
        <fgColor theme="8" tint="0.79998168889431442"/>
        <bgColor indexed="64"/>
      </patternFill>
    </fill>
    <fill>
      <patternFill patternType="solid">
        <fgColor theme="0"/>
        <bgColor indexed="64"/>
      </patternFill>
    </fill>
    <fill>
      <patternFill patternType="solid">
        <fgColor theme="3" tint="0.79998168889431442"/>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theme="0" tint="-0.499984740745262"/>
        <bgColor indexed="64"/>
      </patternFill>
    </fill>
    <fill>
      <patternFill patternType="solid">
        <fgColor rgb="FFFFC000"/>
        <bgColor indexed="64"/>
      </patternFill>
    </fill>
    <fill>
      <patternFill patternType="solid">
        <fgColor rgb="FFFFC7CE"/>
      </patternFill>
    </fill>
    <fill>
      <patternFill patternType="solid">
        <fgColor theme="4" tint="0.59999389629810485"/>
        <bgColor indexed="64"/>
      </patternFill>
    </fill>
    <fill>
      <patternFill patternType="solid">
        <fgColor rgb="FFFF0000"/>
        <bgColor indexed="64"/>
      </patternFill>
    </fill>
    <fill>
      <patternFill patternType="solid">
        <fgColor theme="0" tint="-9.9978637043366805E-2"/>
        <bgColor indexed="64"/>
      </patternFill>
    </fill>
  </fills>
  <borders count="4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bottom style="thin">
        <color indexed="64"/>
      </bottom>
      <diagonal/>
    </border>
    <border>
      <left style="hair">
        <color indexed="64"/>
      </left>
      <right style="hair">
        <color indexed="64"/>
      </right>
      <top style="hair">
        <color indexed="64"/>
      </top>
      <bottom style="hair">
        <color indexed="64"/>
      </bottom>
      <diagonal/>
    </border>
    <border>
      <left style="hair">
        <color indexed="64"/>
      </left>
      <right/>
      <top style="hair">
        <color indexed="64"/>
      </top>
      <bottom style="hair">
        <color indexed="64"/>
      </bottom>
      <diagonal/>
    </border>
    <border>
      <left/>
      <right style="hair">
        <color indexed="64"/>
      </right>
      <top style="hair">
        <color indexed="64"/>
      </top>
      <bottom style="hair">
        <color indexed="64"/>
      </bottom>
      <diagonal/>
    </border>
    <border>
      <left/>
      <right style="hair">
        <color indexed="64"/>
      </right>
      <top style="hair">
        <color indexed="64"/>
      </top>
      <bottom/>
      <diagonal/>
    </border>
    <border>
      <left/>
      <right style="hair">
        <color indexed="64"/>
      </right>
      <top/>
      <bottom/>
      <diagonal/>
    </border>
    <border>
      <left style="thin">
        <color indexed="64"/>
      </left>
      <right/>
      <top/>
      <bottom/>
      <diagonal/>
    </border>
    <border>
      <left style="thin">
        <color indexed="64"/>
      </left>
      <right style="thin">
        <color indexed="64"/>
      </right>
      <top style="thin">
        <color indexed="64"/>
      </top>
      <bottom/>
      <diagonal/>
    </border>
    <border>
      <left/>
      <right/>
      <top style="thin">
        <color indexed="64"/>
      </top>
      <bottom/>
      <diagonal/>
    </border>
    <border>
      <left/>
      <right/>
      <top style="hair">
        <color indexed="64"/>
      </top>
      <bottom style="hair">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hair">
        <color indexed="64"/>
      </left>
      <right style="hair">
        <color indexed="64"/>
      </right>
      <top style="hair">
        <color indexed="64"/>
      </top>
      <bottom/>
      <diagonal/>
    </border>
    <border>
      <left style="hair">
        <color indexed="64"/>
      </left>
      <right style="hair">
        <color indexed="64"/>
      </right>
      <top/>
      <bottom/>
      <diagonal/>
    </border>
    <border>
      <left style="hair">
        <color indexed="64"/>
      </left>
      <right style="hair">
        <color indexed="64"/>
      </right>
      <top/>
      <bottom style="hair">
        <color indexed="64"/>
      </bottom>
      <diagonal/>
    </border>
    <border>
      <left style="hair">
        <color indexed="64"/>
      </left>
      <right/>
      <top/>
      <bottom/>
      <diagonal/>
    </border>
    <border>
      <left style="hair">
        <color rgb="FF000000"/>
      </left>
      <right style="hair">
        <color rgb="FF000000"/>
      </right>
      <top style="hair">
        <color rgb="FF000000"/>
      </top>
      <bottom style="hair">
        <color rgb="FF000000"/>
      </bottom>
      <diagonal/>
    </border>
    <border>
      <left style="hair">
        <color rgb="FF000000"/>
      </left>
      <right style="hair">
        <color rgb="FF000000"/>
      </right>
      <top style="hair">
        <color rgb="FF000000"/>
      </top>
      <bottom/>
      <diagonal/>
    </border>
    <border>
      <left style="hair">
        <color rgb="FF000000"/>
      </left>
      <right style="hair">
        <color rgb="FF000000"/>
      </right>
      <top/>
      <bottom/>
      <diagonal/>
    </border>
    <border>
      <left style="hair">
        <color rgb="FF000000"/>
      </left>
      <right style="hair">
        <color rgb="FF000000"/>
      </right>
      <top/>
      <bottom style="hair">
        <color rgb="FF000000"/>
      </bottom>
      <diagonal/>
    </border>
    <border>
      <left style="thin">
        <color indexed="64"/>
      </left>
      <right style="hair">
        <color indexed="64"/>
      </right>
      <top style="hair">
        <color indexed="64"/>
      </top>
      <bottom style="hair">
        <color indexed="64"/>
      </bottom>
      <diagonal/>
    </border>
    <border>
      <left style="thin">
        <color indexed="64"/>
      </left>
      <right style="hair">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top style="thin">
        <color indexed="64"/>
      </top>
      <bottom style="thin">
        <color indexed="64"/>
      </bottom>
      <diagonal/>
    </border>
    <border>
      <left style="thin">
        <color indexed="64"/>
      </left>
      <right style="hair">
        <color indexed="64"/>
      </right>
      <top style="hair">
        <color indexed="64"/>
      </top>
      <bottom/>
      <diagonal/>
    </border>
    <border>
      <left style="hair">
        <color indexed="64"/>
      </left>
      <right/>
      <top/>
      <bottom style="hair">
        <color indexed="64"/>
      </bottom>
      <diagonal/>
    </border>
    <border>
      <left/>
      <right style="hair">
        <color indexed="64"/>
      </right>
      <top/>
      <bottom style="hair">
        <color indexed="64"/>
      </bottom>
      <diagonal/>
    </border>
    <border>
      <left/>
      <right/>
      <top/>
      <bottom style="hair">
        <color indexed="64"/>
      </bottom>
      <diagonal/>
    </border>
    <border>
      <left style="hair">
        <color indexed="64"/>
      </left>
      <right/>
      <top style="hair">
        <color indexed="64"/>
      </top>
      <bottom/>
      <diagonal/>
    </border>
    <border>
      <left style="hair">
        <color rgb="FF000000"/>
      </left>
      <right/>
      <top style="hair">
        <color rgb="FF000000"/>
      </top>
      <bottom style="hair">
        <color rgb="FF000000"/>
      </bottom>
      <diagonal/>
    </border>
    <border>
      <left/>
      <right/>
      <top style="hair">
        <color rgb="FF000000"/>
      </top>
      <bottom style="hair">
        <color rgb="FF000000"/>
      </bottom>
      <diagonal/>
    </border>
    <border>
      <left/>
      <right style="hair">
        <color rgb="FF000000"/>
      </right>
      <top style="hair">
        <color rgb="FF000000"/>
      </top>
      <bottom style="hair">
        <color rgb="FF000000"/>
      </bottom>
      <diagonal/>
    </border>
    <border>
      <left/>
      <right/>
      <top style="hair">
        <color indexed="64"/>
      </top>
      <bottom/>
      <diagonal/>
    </border>
  </borders>
  <cellStyleXfs count="47">
    <xf numFmtId="0" fontId="0" fillId="0" borderId="0">
      <alignment vertical="center"/>
    </xf>
    <xf numFmtId="0" fontId="12" fillId="0" borderId="0">
      <alignment vertical="center"/>
    </xf>
    <xf numFmtId="0" fontId="5" fillId="0" borderId="0">
      <alignment vertical="center"/>
    </xf>
    <xf numFmtId="0" fontId="19" fillId="0" borderId="0"/>
    <xf numFmtId="0" fontId="19" fillId="0" borderId="0">
      <alignment vertical="center"/>
    </xf>
    <xf numFmtId="0" fontId="22" fillId="4" borderId="0" applyNumberFormat="0" applyBorder="0" applyAlignment="0" applyProtection="0">
      <alignment vertical="center"/>
    </xf>
    <xf numFmtId="0" fontId="19" fillId="0" borderId="0"/>
    <xf numFmtId="0" fontId="19" fillId="0" borderId="0"/>
    <xf numFmtId="0" fontId="19" fillId="0" borderId="0"/>
    <xf numFmtId="0" fontId="19" fillId="0" borderId="0"/>
    <xf numFmtId="0" fontId="23" fillId="0" borderId="0">
      <alignment vertical="center"/>
    </xf>
    <xf numFmtId="0" fontId="24" fillId="0" borderId="0">
      <alignment vertical="center"/>
    </xf>
    <xf numFmtId="0" fontId="19" fillId="0" borderId="0"/>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19" fillId="0" borderId="0"/>
    <xf numFmtId="0" fontId="24" fillId="0" borderId="0">
      <alignment vertical="center"/>
    </xf>
    <xf numFmtId="0" fontId="23" fillId="0" borderId="0">
      <alignment vertical="center"/>
    </xf>
    <xf numFmtId="0" fontId="23" fillId="0" borderId="0">
      <alignment vertical="center"/>
    </xf>
    <xf numFmtId="0" fontId="26" fillId="5" borderId="0" applyNumberFormat="0" applyBorder="0" applyAlignment="0" applyProtection="0">
      <alignment vertical="center"/>
    </xf>
    <xf numFmtId="0" fontId="26" fillId="5" borderId="0" applyNumberFormat="0" applyBorder="0" applyAlignment="0" applyProtection="0">
      <alignment vertical="center"/>
    </xf>
    <xf numFmtId="0" fontId="4" fillId="0" borderId="0">
      <alignment vertical="center"/>
    </xf>
    <xf numFmtId="0" fontId="33" fillId="0" borderId="0"/>
    <xf numFmtId="0" fontId="34" fillId="0" borderId="0">
      <alignment vertical="center"/>
    </xf>
    <xf numFmtId="0" fontId="33" fillId="0" borderId="0"/>
    <xf numFmtId="0" fontId="33" fillId="0" borderId="0">
      <alignment vertical="center"/>
    </xf>
    <xf numFmtId="0" fontId="33" fillId="0" borderId="0"/>
    <xf numFmtId="0" fontId="5" fillId="0" borderId="0"/>
    <xf numFmtId="0" fontId="35" fillId="0" borderId="0"/>
    <xf numFmtId="0" fontId="35" fillId="0" borderId="0">
      <alignment vertical="center"/>
    </xf>
    <xf numFmtId="0" fontId="35" fillId="0" borderId="0"/>
    <xf numFmtId="0" fontId="35" fillId="0" borderId="0"/>
    <xf numFmtId="0" fontId="35" fillId="0" borderId="0"/>
    <xf numFmtId="0" fontId="5" fillId="0" borderId="0"/>
    <xf numFmtId="0" fontId="12" fillId="0" borderId="0">
      <alignment vertical="center"/>
    </xf>
    <xf numFmtId="0" fontId="55" fillId="13" borderId="0" applyNumberFormat="0" applyBorder="0" applyAlignment="0" applyProtection="0">
      <alignment vertical="center"/>
    </xf>
    <xf numFmtId="0" fontId="5" fillId="0" borderId="0"/>
    <xf numFmtId="0" fontId="5" fillId="0" borderId="0"/>
    <xf numFmtId="0" fontId="5" fillId="0" borderId="0">
      <alignment vertical="center"/>
    </xf>
    <xf numFmtId="0" fontId="12" fillId="0" borderId="0">
      <alignment vertical="center"/>
    </xf>
    <xf numFmtId="0" fontId="1" fillId="0" borderId="0">
      <alignment vertical="center"/>
    </xf>
    <xf numFmtId="0" fontId="5" fillId="0" borderId="0"/>
    <xf numFmtId="0" fontId="5" fillId="0" borderId="0"/>
  </cellStyleXfs>
  <cellXfs count="891">
    <xf numFmtId="0" fontId="0" fillId="0" borderId="0" xfId="0">
      <alignment vertical="center"/>
    </xf>
    <xf numFmtId="0" fontId="0" fillId="0" borderId="1" xfId="0" applyBorder="1">
      <alignment vertical="center"/>
    </xf>
    <xf numFmtId="0" fontId="14" fillId="0" borderId="1" xfId="0" applyFont="1" applyBorder="1">
      <alignment vertical="center"/>
    </xf>
    <xf numFmtId="0" fontId="4" fillId="0" borderId="0" xfId="25" applyFill="1">
      <alignment vertical="center"/>
    </xf>
    <xf numFmtId="0" fontId="4" fillId="0" borderId="0" xfId="25" applyFill="1" applyAlignment="1">
      <alignment horizontal="center" vertical="center"/>
    </xf>
    <xf numFmtId="0" fontId="4" fillId="2" borderId="0" xfId="25" applyFill="1">
      <alignment vertical="center"/>
    </xf>
    <xf numFmtId="0" fontId="14" fillId="0" borderId="0" xfId="25" applyFont="1" applyFill="1" applyBorder="1" applyAlignment="1">
      <alignment horizontal="left" vertical="center" wrapText="1"/>
    </xf>
    <xf numFmtId="0" fontId="14" fillId="0" borderId="26" xfId="25" applyFont="1" applyFill="1" applyBorder="1" applyAlignment="1">
      <alignment horizontal="center" vertical="center" wrapText="1"/>
    </xf>
    <xf numFmtId="0" fontId="14" fillId="0" borderId="26" xfId="25" applyFont="1" applyFill="1" applyBorder="1" applyAlignment="1">
      <alignment horizontal="left" vertical="center" wrapText="1"/>
    </xf>
    <xf numFmtId="0" fontId="28" fillId="0" borderId="26" xfId="25" applyFont="1" applyFill="1" applyBorder="1">
      <alignment vertical="center"/>
    </xf>
    <xf numFmtId="0" fontId="14" fillId="0" borderId="0" xfId="25" applyFont="1" applyFill="1" applyBorder="1" applyAlignment="1">
      <alignment vertical="center" wrapText="1"/>
    </xf>
    <xf numFmtId="0" fontId="14" fillId="0" borderId="26" xfId="25" applyFont="1" applyFill="1" applyBorder="1">
      <alignment vertical="center"/>
    </xf>
    <xf numFmtId="0" fontId="28" fillId="0" borderId="26" xfId="25" applyFont="1" applyFill="1" applyBorder="1" applyAlignment="1">
      <alignment horizontal="center" vertical="center" wrapText="1"/>
    </xf>
    <xf numFmtId="0" fontId="28" fillId="0" borderId="26" xfId="25" applyFont="1" applyFill="1" applyBorder="1" applyAlignment="1">
      <alignment horizontal="left" vertical="center" wrapText="1"/>
    </xf>
    <xf numFmtId="0" fontId="29" fillId="0" borderId="0" xfId="25" applyFont="1" applyFill="1">
      <alignment vertical="center"/>
    </xf>
    <xf numFmtId="0" fontId="14" fillId="2" borderId="26" xfId="25" applyFont="1" applyFill="1" applyBorder="1" applyAlignment="1">
      <alignment horizontal="center" vertical="center" wrapText="1"/>
    </xf>
    <xf numFmtId="0" fontId="30" fillId="0" borderId="26" xfId="25" applyFont="1" applyFill="1" applyBorder="1" applyAlignment="1">
      <alignment horizontal="center" vertical="center" wrapText="1"/>
    </xf>
    <xf numFmtId="0" fontId="14" fillId="0" borderId="0" xfId="25" applyFont="1" applyFill="1" applyBorder="1" applyAlignment="1">
      <alignment horizontal="center" vertical="center" wrapText="1"/>
    </xf>
    <xf numFmtId="0" fontId="14" fillId="0" borderId="26" xfId="25" applyFont="1" applyFill="1" applyBorder="1" applyAlignment="1">
      <alignment vertical="center" wrapText="1"/>
    </xf>
    <xf numFmtId="0" fontId="14" fillId="0" borderId="27" xfId="25" applyFont="1" applyFill="1" applyBorder="1" applyAlignment="1">
      <alignment horizontal="left" vertical="center" wrapText="1"/>
    </xf>
    <xf numFmtId="0" fontId="12" fillId="0" borderId="1" xfId="0" applyFont="1" applyFill="1" applyBorder="1" applyAlignment="1">
      <alignment horizontal="center" vertical="center"/>
    </xf>
    <xf numFmtId="0" fontId="14" fillId="0" borderId="1" xfId="0" applyFont="1" applyBorder="1" applyAlignment="1">
      <alignment horizontal="center" vertical="center"/>
    </xf>
    <xf numFmtId="0" fontId="7" fillId="0" borderId="1" xfId="37" applyFont="1" applyFill="1" applyBorder="1" applyAlignment="1">
      <alignment horizontal="center" vertical="center" wrapText="1"/>
    </xf>
    <xf numFmtId="0" fontId="7" fillId="0" borderId="0" xfId="0" applyFont="1">
      <alignment vertical="center"/>
    </xf>
    <xf numFmtId="0" fontId="42" fillId="0" borderId="0" xfId="0" applyFont="1" applyFill="1" applyBorder="1">
      <alignment vertical="center"/>
    </xf>
    <xf numFmtId="0" fontId="12" fillId="0" borderId="2" xfId="0" applyFont="1" applyFill="1" applyBorder="1" applyAlignment="1">
      <alignment horizontal="center" vertical="center" wrapText="1"/>
    </xf>
    <xf numFmtId="0" fontId="40" fillId="0" borderId="0" xfId="0" applyFont="1" applyFill="1" applyBorder="1" applyAlignment="1">
      <alignment horizontal="center" vertical="center" wrapText="1"/>
    </xf>
    <xf numFmtId="0" fontId="50" fillId="0" borderId="0" xfId="0" applyFont="1" applyFill="1" applyBorder="1">
      <alignment vertical="center"/>
    </xf>
    <xf numFmtId="0" fontId="51" fillId="0" borderId="0" xfId="25" applyFont="1" applyFill="1">
      <alignment vertical="center"/>
    </xf>
    <xf numFmtId="0" fontId="52" fillId="0" borderId="0" xfId="25" applyFont="1" applyFill="1">
      <alignment vertical="center"/>
    </xf>
    <xf numFmtId="0" fontId="52" fillId="2" borderId="0" xfId="25" applyFont="1" applyFill="1">
      <alignment vertical="center"/>
    </xf>
    <xf numFmtId="0" fontId="14" fillId="0" borderId="26" xfId="25" applyFont="1" applyFill="1" applyBorder="1" applyAlignment="1">
      <alignment horizontal="center" vertical="center" wrapText="1"/>
    </xf>
    <xf numFmtId="0" fontId="14" fillId="3" borderId="26" xfId="25" applyFont="1" applyFill="1" applyBorder="1" applyAlignment="1">
      <alignment horizontal="left" vertical="center" wrapText="1"/>
    </xf>
    <xf numFmtId="0" fontId="42" fillId="0" borderId="5" xfId="0" applyFont="1" applyFill="1" applyBorder="1" applyAlignment="1">
      <alignment horizontal="center" vertical="center" wrapText="1"/>
    </xf>
    <xf numFmtId="0" fontId="42" fillId="0" borderId="1" xfId="0" applyFont="1" applyFill="1" applyBorder="1" applyAlignment="1">
      <alignment horizontal="center" vertical="center" wrapText="1"/>
    </xf>
    <xf numFmtId="0" fontId="42" fillId="0" borderId="1" xfId="0" quotePrefix="1" applyFont="1" applyFill="1" applyBorder="1" applyAlignment="1">
      <alignment horizontal="center" vertical="center" wrapText="1"/>
    </xf>
    <xf numFmtId="0" fontId="40" fillId="0" borderId="1" xfId="0" applyFont="1" applyFill="1" applyBorder="1" applyAlignment="1">
      <alignment horizontal="center" vertical="center" wrapText="1"/>
    </xf>
    <xf numFmtId="0" fontId="42" fillId="0" borderId="0" xfId="0" applyFont="1" applyFill="1" applyBorder="1" applyAlignment="1">
      <alignment horizontal="center" vertical="center"/>
    </xf>
    <xf numFmtId="0" fontId="47" fillId="0" borderId="0" xfId="0" applyFont="1" applyFill="1" applyBorder="1">
      <alignment vertical="center"/>
    </xf>
    <xf numFmtId="0" fontId="47" fillId="0" borderId="0" xfId="0" applyFont="1" applyFill="1" applyBorder="1" applyAlignment="1">
      <alignment horizontal="center" vertical="center"/>
    </xf>
    <xf numFmtId="183" fontId="40" fillId="0" borderId="1" xfId="0" applyNumberFormat="1" applyFont="1" applyFill="1" applyBorder="1" applyAlignment="1">
      <alignment horizontal="center" vertical="center"/>
    </xf>
    <xf numFmtId="0" fontId="40" fillId="0" borderId="1" xfId="0" applyFont="1" applyFill="1" applyBorder="1" applyAlignment="1">
      <alignment horizontal="center" vertical="center"/>
    </xf>
    <xf numFmtId="0" fontId="42" fillId="0" borderId="5" xfId="0" applyFont="1" applyFill="1" applyBorder="1" applyAlignment="1">
      <alignment horizontal="center" vertical="center"/>
    </xf>
    <xf numFmtId="0" fontId="38" fillId="0" borderId="0" xfId="0" applyFont="1" applyFill="1" applyBorder="1">
      <alignment vertical="center"/>
    </xf>
    <xf numFmtId="0" fontId="36" fillId="0" borderId="0" xfId="0" applyFont="1" applyFill="1" applyBorder="1" applyAlignment="1">
      <alignment horizontal="center" vertical="center"/>
    </xf>
    <xf numFmtId="0" fontId="53" fillId="0" borderId="0" xfId="38" applyFont="1" applyFill="1" applyAlignment="1">
      <alignment horizontal="left" vertical="center" wrapText="1"/>
    </xf>
    <xf numFmtId="0" fontId="48" fillId="0" borderId="0" xfId="0" applyFont="1" applyFill="1" applyBorder="1">
      <alignment vertical="center"/>
    </xf>
    <xf numFmtId="179" fontId="42" fillId="0" borderId="5" xfId="0" applyNumberFormat="1" applyFont="1" applyFill="1" applyBorder="1" applyAlignment="1">
      <alignment horizontal="center" vertical="center" wrapText="1"/>
    </xf>
    <xf numFmtId="0" fontId="47" fillId="0" borderId="5" xfId="0" applyFont="1" applyFill="1" applyBorder="1">
      <alignment vertical="center"/>
    </xf>
    <xf numFmtId="0" fontId="47" fillId="0" borderId="5" xfId="0" applyFont="1" applyFill="1" applyBorder="1" applyAlignment="1">
      <alignment vertical="center" wrapText="1"/>
    </xf>
    <xf numFmtId="0" fontId="47" fillId="0" borderId="5" xfId="0" applyFont="1" applyFill="1" applyBorder="1" applyAlignment="1">
      <alignment horizontal="center" vertical="center" wrapText="1"/>
    </xf>
    <xf numFmtId="183" fontId="42" fillId="0" borderId="5" xfId="0" applyNumberFormat="1" applyFont="1" applyFill="1" applyBorder="1" applyAlignment="1">
      <alignment horizontal="center" vertical="center" wrapText="1"/>
    </xf>
    <xf numFmtId="0" fontId="45" fillId="0" borderId="5" xfId="0" applyFont="1" applyFill="1" applyBorder="1" applyAlignment="1">
      <alignment horizontal="center" vertical="center" wrapText="1"/>
    </xf>
    <xf numFmtId="0" fontId="42" fillId="0" borderId="5" xfId="0" applyFont="1" applyFill="1" applyBorder="1" applyAlignment="1">
      <alignment vertical="center" wrapText="1"/>
    </xf>
    <xf numFmtId="176" fontId="42" fillId="0" borderId="5" xfId="0" applyNumberFormat="1" applyFont="1" applyFill="1" applyBorder="1" applyAlignment="1">
      <alignment horizontal="center" vertical="center" wrapText="1"/>
    </xf>
    <xf numFmtId="0" fontId="43" fillId="0" borderId="5" xfId="0" applyFont="1" applyFill="1" applyBorder="1" applyAlignment="1">
      <alignment horizontal="center" vertical="center" wrapText="1"/>
    </xf>
    <xf numFmtId="0" fontId="42" fillId="0" borderId="5" xfId="0" quotePrefix="1" applyFont="1" applyFill="1" applyBorder="1" applyAlignment="1">
      <alignment horizontal="center" vertical="center" wrapText="1"/>
    </xf>
    <xf numFmtId="0" fontId="42" fillId="0" borderId="5" xfId="39" applyFont="1" applyFill="1" applyBorder="1" applyAlignment="1">
      <alignment horizontal="center" vertical="center" wrapText="1"/>
    </xf>
    <xf numFmtId="181" fontId="42" fillId="0" borderId="5" xfId="0" applyNumberFormat="1" applyFont="1" applyFill="1" applyBorder="1" applyAlignment="1">
      <alignment horizontal="center" vertical="center" wrapText="1"/>
    </xf>
    <xf numFmtId="0" fontId="44" fillId="0" borderId="5" xfId="0" applyFont="1" applyFill="1" applyBorder="1" applyAlignment="1">
      <alignment horizontal="center" vertical="center" wrapText="1"/>
    </xf>
    <xf numFmtId="0" fontId="42" fillId="0" borderId="25" xfId="0" applyFont="1" applyFill="1" applyBorder="1" applyAlignment="1">
      <alignment vertical="center" wrapText="1"/>
    </xf>
    <xf numFmtId="0" fontId="54" fillId="0" borderId="0" xfId="38" applyFont="1" applyFill="1" applyAlignment="1">
      <alignment horizontal="left" vertical="center" wrapText="1"/>
    </xf>
    <xf numFmtId="0" fontId="42" fillId="0" borderId="1" xfId="0" applyFont="1" applyFill="1" applyBorder="1" applyAlignment="1">
      <alignment horizontal="center" vertical="center"/>
    </xf>
    <xf numFmtId="0" fontId="41" fillId="0" borderId="1" xfId="38" applyFont="1" applyFill="1" applyBorder="1" applyAlignment="1">
      <alignment horizontal="center" vertical="center" wrapText="1"/>
    </xf>
    <xf numFmtId="0" fontId="42" fillId="0" borderId="1" xfId="0" applyFont="1" applyFill="1" applyBorder="1" applyAlignment="1">
      <alignment vertical="center" wrapText="1"/>
    </xf>
    <xf numFmtId="0" fontId="47" fillId="0" borderId="1" xfId="0" applyFont="1" applyFill="1" applyBorder="1" applyAlignment="1">
      <alignment horizontal="center" vertical="center"/>
    </xf>
    <xf numFmtId="0" fontId="47" fillId="0" borderId="1" xfId="0" applyFont="1" applyFill="1" applyBorder="1">
      <alignment vertical="center"/>
    </xf>
    <xf numFmtId="0" fontId="42" fillId="0" borderId="0" xfId="0" applyFont="1" applyFill="1" applyBorder="1" applyAlignment="1">
      <alignment horizontal="center" vertical="center" wrapText="1"/>
    </xf>
    <xf numFmtId="0" fontId="38" fillId="0" borderId="0" xfId="0" applyFont="1" applyFill="1" applyBorder="1" applyAlignment="1">
      <alignment horizontal="center" vertical="center" wrapText="1"/>
    </xf>
    <xf numFmtId="0" fontId="38" fillId="0" borderId="1" xfId="0" applyFont="1" applyFill="1" applyBorder="1" applyAlignment="1">
      <alignment horizontal="center" vertical="center" wrapText="1"/>
    </xf>
    <xf numFmtId="0" fontId="42" fillId="0" borderId="1" xfId="0" applyFont="1" applyFill="1" applyBorder="1">
      <alignment vertical="center"/>
    </xf>
    <xf numFmtId="0" fontId="49" fillId="0" borderId="1" xfId="0" applyFont="1" applyFill="1" applyBorder="1" applyAlignment="1">
      <alignment horizontal="center" vertical="center"/>
    </xf>
    <xf numFmtId="0" fontId="36" fillId="0" borderId="1" xfId="0" applyFont="1" applyFill="1" applyBorder="1" applyAlignment="1">
      <alignment horizontal="center" vertical="center"/>
    </xf>
    <xf numFmtId="0" fontId="53" fillId="0" borderId="0" xfId="38" applyFont="1" applyFill="1" applyAlignment="1">
      <alignment horizontal="center" vertical="center" wrapText="1"/>
    </xf>
    <xf numFmtId="0" fontId="54" fillId="0" borderId="0" xfId="38" applyFont="1" applyFill="1" applyAlignment="1">
      <alignment horizontal="center" vertical="center" wrapText="1"/>
    </xf>
    <xf numFmtId="0" fontId="42" fillId="0" borderId="22" xfId="0" applyFont="1" applyFill="1" applyBorder="1" applyAlignment="1">
      <alignment horizontal="center" vertical="center"/>
    </xf>
    <xf numFmtId="0" fontId="42" fillId="0" borderId="23" xfId="0" applyFont="1" applyFill="1" applyBorder="1" applyAlignment="1">
      <alignment horizontal="center" vertical="center"/>
    </xf>
    <xf numFmtId="0" fontId="42" fillId="0" borderId="24" xfId="0" applyFont="1" applyFill="1" applyBorder="1" applyAlignment="1">
      <alignment horizontal="center" vertical="center"/>
    </xf>
    <xf numFmtId="0" fontId="42" fillId="0" borderId="24" xfId="0" applyFont="1" applyFill="1" applyBorder="1" applyAlignment="1">
      <alignment horizontal="center" vertical="center" wrapText="1"/>
    </xf>
    <xf numFmtId="186" fontId="40" fillId="10" borderId="1" xfId="0" applyNumberFormat="1" applyFont="1" applyFill="1" applyBorder="1" applyAlignment="1">
      <alignment horizontal="center" vertical="center"/>
    </xf>
    <xf numFmtId="0" fontId="40" fillId="0" borderId="1" xfId="26" applyFont="1" applyBorder="1" applyAlignment="1">
      <alignment horizontal="center" vertical="center"/>
    </xf>
    <xf numFmtId="0" fontId="40" fillId="10" borderId="0" xfId="0" applyFont="1" applyFill="1" applyBorder="1" applyAlignment="1">
      <alignment horizontal="center" vertical="center"/>
    </xf>
    <xf numFmtId="186" fontId="40" fillId="10" borderId="0" xfId="0" applyNumberFormat="1" applyFont="1" applyFill="1" applyBorder="1" applyAlignment="1">
      <alignment horizontal="center" vertical="center"/>
    </xf>
    <xf numFmtId="0" fontId="40" fillId="10" borderId="0" xfId="0" applyFont="1" applyFill="1" applyBorder="1">
      <alignment vertical="center"/>
    </xf>
    <xf numFmtId="0" fontId="40" fillId="0" borderId="0" xfId="0" applyFont="1" applyBorder="1">
      <alignment vertical="center"/>
    </xf>
    <xf numFmtId="0" fontId="40" fillId="10" borderId="19" xfId="0" applyFont="1" applyFill="1" applyBorder="1" applyAlignment="1">
      <alignment horizontal="center" vertical="center"/>
    </xf>
    <xf numFmtId="0" fontId="40" fillId="10" borderId="0" xfId="0" applyFont="1" applyFill="1" applyBorder="1" applyAlignment="1">
      <alignment vertical="center"/>
    </xf>
    <xf numFmtId="0" fontId="40" fillId="0" borderId="0" xfId="0" applyFont="1" applyBorder="1" applyAlignment="1">
      <alignment vertical="center"/>
    </xf>
    <xf numFmtId="0" fontId="40" fillId="0" borderId="0" xfId="0" applyFont="1" applyFill="1" applyBorder="1">
      <alignment vertical="center"/>
    </xf>
    <xf numFmtId="186" fontId="40" fillId="11" borderId="1" xfId="0" applyNumberFormat="1" applyFont="1" applyFill="1" applyBorder="1" applyAlignment="1">
      <alignment horizontal="center" vertical="center"/>
    </xf>
    <xf numFmtId="0" fontId="37" fillId="10" borderId="19" xfId="0" applyFont="1" applyFill="1" applyBorder="1" applyAlignment="1">
      <alignment horizontal="center" vertical="center"/>
    </xf>
    <xf numFmtId="0" fontId="37" fillId="10" borderId="0" xfId="0" applyFont="1" applyFill="1" applyBorder="1" applyAlignment="1">
      <alignment horizontal="center" vertical="center"/>
    </xf>
    <xf numFmtId="186" fontId="37" fillId="10" borderId="0" xfId="0" applyNumberFormat="1" applyFont="1" applyFill="1" applyBorder="1" applyAlignment="1">
      <alignment horizontal="center" vertical="center"/>
    </xf>
    <xf numFmtId="0" fontId="40" fillId="0" borderId="0" xfId="0" applyFont="1" applyFill="1" applyBorder="1" applyAlignment="1">
      <alignment horizontal="center" vertical="center"/>
    </xf>
    <xf numFmtId="0" fontId="40" fillId="0" borderId="0" xfId="0" applyFont="1" applyAlignment="1">
      <alignment horizontal="center" vertical="center"/>
    </xf>
    <xf numFmtId="0" fontId="40" fillId="10" borderId="0" xfId="0" applyFont="1" applyFill="1" applyBorder="1" applyAlignment="1">
      <alignment horizontal="center" vertical="center"/>
    </xf>
    <xf numFmtId="186" fontId="40" fillId="10" borderId="0" xfId="0" applyNumberFormat="1" applyFont="1" applyFill="1" applyBorder="1">
      <alignment vertical="center"/>
    </xf>
    <xf numFmtId="0" fontId="40" fillId="10" borderId="0" xfId="0" applyFont="1" applyFill="1" applyBorder="1" applyAlignment="1">
      <alignment horizontal="left" vertical="center"/>
    </xf>
    <xf numFmtId="186" fontId="40" fillId="10" borderId="0" xfId="0" applyNumberFormat="1" applyFont="1" applyFill="1" applyBorder="1" applyAlignment="1">
      <alignment horizontal="left" vertical="center"/>
    </xf>
    <xf numFmtId="186" fontId="40" fillId="10" borderId="0" xfId="0" applyNumberFormat="1" applyFont="1" applyFill="1" applyBorder="1" applyAlignment="1">
      <alignment vertical="center"/>
    </xf>
    <xf numFmtId="0" fontId="40" fillId="0" borderId="0" xfId="0" applyFont="1" applyBorder="1" applyAlignment="1">
      <alignment horizontal="left" vertical="center"/>
    </xf>
    <xf numFmtId="0" fontId="42" fillId="0" borderId="0" xfId="0" applyFont="1" applyBorder="1" applyAlignment="1">
      <alignment horizontal="center" vertical="center"/>
    </xf>
    <xf numFmtId="180" fontId="42" fillId="8" borderId="12" xfId="0" applyNumberFormat="1" applyFont="1" applyFill="1" applyBorder="1" applyAlignment="1">
      <alignment horizontal="left" vertical="center"/>
    </xf>
    <xf numFmtId="180" fontId="42" fillId="8" borderId="18" xfId="0" applyNumberFormat="1" applyFont="1" applyFill="1" applyBorder="1" applyAlignment="1">
      <alignment horizontal="left" vertical="center"/>
    </xf>
    <xf numFmtId="14" fontId="42" fillId="8" borderId="12" xfId="0" applyNumberFormat="1" applyFont="1" applyFill="1" applyBorder="1" applyAlignment="1">
      <alignment horizontal="left" vertical="center"/>
    </xf>
    <xf numFmtId="0" fontId="42" fillId="0" borderId="30" xfId="0" applyFont="1" applyBorder="1" applyAlignment="1">
      <alignment horizontal="center" vertical="center"/>
    </xf>
    <xf numFmtId="0" fontId="42" fillId="0" borderId="5" xfId="0" applyFont="1" applyBorder="1" applyAlignment="1">
      <alignment horizontal="center" vertical="center"/>
    </xf>
    <xf numFmtId="0" fontId="42" fillId="0" borderId="30" xfId="0" applyFont="1" applyFill="1" applyBorder="1" applyAlignment="1">
      <alignment horizontal="center" vertical="center"/>
    </xf>
    <xf numFmtId="177" fontId="42" fillId="0" borderId="5" xfId="0" applyNumberFormat="1" applyFont="1" applyBorder="1" applyAlignment="1">
      <alignment horizontal="center" vertical="center"/>
    </xf>
    <xf numFmtId="177" fontId="42" fillId="0" borderId="5" xfId="0" applyNumberFormat="1" applyFont="1" applyFill="1" applyBorder="1" applyAlignment="1">
      <alignment horizontal="center" vertical="center"/>
    </xf>
    <xf numFmtId="0" fontId="42" fillId="0" borderId="34" xfId="0" applyFont="1" applyFill="1" applyBorder="1" applyAlignment="1">
      <alignment horizontal="center" vertical="center"/>
    </xf>
    <xf numFmtId="0" fontId="36" fillId="9" borderId="32" xfId="0" applyFont="1" applyFill="1" applyBorder="1" applyAlignment="1">
      <alignment horizontal="center" vertical="center"/>
    </xf>
    <xf numFmtId="184" fontId="36" fillId="9" borderId="32" xfId="0" applyNumberFormat="1" applyFont="1" applyFill="1" applyBorder="1" applyAlignment="1">
      <alignment horizontal="center" vertical="center"/>
    </xf>
    <xf numFmtId="0" fontId="42" fillId="0" borderId="5" xfId="0" applyFont="1" applyBorder="1" applyAlignment="1">
      <alignment horizontal="center" vertical="center"/>
    </xf>
    <xf numFmtId="0" fontId="42" fillId="0" borderId="35" xfId="0" applyFont="1" applyBorder="1" applyAlignment="1">
      <alignment horizontal="center" vertical="center"/>
    </xf>
    <xf numFmtId="0" fontId="42" fillId="0" borderId="5" xfId="0" applyFont="1" applyFill="1" applyBorder="1" applyAlignment="1">
      <alignment horizontal="center" vertical="center"/>
    </xf>
    <xf numFmtId="0" fontId="42" fillId="0" borderId="5" xfId="0" applyFont="1" applyFill="1" applyBorder="1" applyAlignment="1">
      <alignment vertical="center"/>
    </xf>
    <xf numFmtId="0" fontId="36" fillId="9" borderId="5" xfId="0" applyFont="1" applyFill="1" applyBorder="1" applyAlignment="1">
      <alignment horizontal="center" vertical="center"/>
    </xf>
    <xf numFmtId="0" fontId="36" fillId="0" borderId="0" xfId="0" applyFont="1" applyBorder="1" applyAlignment="1">
      <alignment horizontal="center" vertical="center"/>
    </xf>
    <xf numFmtId="0" fontId="42" fillId="0" borderId="5" xfId="0" applyFont="1" applyFill="1" applyBorder="1" applyAlignment="1">
      <alignment horizontal="center" vertical="center" wrapText="1"/>
    </xf>
    <xf numFmtId="0" fontId="42" fillId="0" borderId="6" xfId="0" applyFont="1" applyFill="1" applyBorder="1" applyAlignment="1">
      <alignment horizontal="center" vertical="center"/>
    </xf>
    <xf numFmtId="0" fontId="42" fillId="0" borderId="0" xfId="0" applyFont="1" applyBorder="1">
      <alignment vertical="center"/>
    </xf>
    <xf numFmtId="180" fontId="42" fillId="0" borderId="0" xfId="0" applyNumberFormat="1" applyFont="1" applyBorder="1" applyAlignment="1">
      <alignment horizontal="center" vertical="center"/>
    </xf>
    <xf numFmtId="0" fontId="42" fillId="0" borderId="0" xfId="0" applyFont="1" applyFill="1" applyBorder="1" applyAlignment="1">
      <alignment horizontal="center" vertical="center"/>
    </xf>
    <xf numFmtId="0" fontId="42" fillId="10" borderId="0" xfId="0" applyFont="1" applyFill="1" applyBorder="1">
      <alignment vertical="center"/>
    </xf>
    <xf numFmtId="0" fontId="42" fillId="10" borderId="0" xfId="0" applyFont="1" applyFill="1" applyBorder="1" applyAlignment="1">
      <alignment horizontal="center" vertical="center"/>
    </xf>
    <xf numFmtId="0" fontId="42" fillId="10" borderId="0" xfId="0" applyFont="1" applyFill="1" applyBorder="1" applyAlignment="1">
      <alignment vertical="center"/>
    </xf>
    <xf numFmtId="0" fontId="42" fillId="10" borderId="0" xfId="0" applyFont="1" applyFill="1" applyBorder="1" applyAlignment="1">
      <alignment horizontal="left" vertical="center"/>
    </xf>
    <xf numFmtId="0" fontId="42" fillId="10" borderId="1" xfId="0" applyFont="1" applyFill="1" applyBorder="1" applyAlignment="1">
      <alignment horizontal="left" vertical="center"/>
    </xf>
    <xf numFmtId="0" fontId="42" fillId="0" borderId="6" xfId="0" applyFont="1" applyBorder="1" applyAlignment="1">
      <alignment horizontal="center" vertical="center"/>
    </xf>
    <xf numFmtId="0" fontId="42" fillId="0" borderId="38" xfId="0" applyFont="1" applyFill="1" applyBorder="1" applyAlignment="1">
      <alignment horizontal="center" vertical="center"/>
    </xf>
    <xf numFmtId="0" fontId="36" fillId="9" borderId="33" xfId="0" applyFont="1" applyFill="1" applyBorder="1" applyAlignment="1">
      <alignment horizontal="center" vertical="center"/>
    </xf>
    <xf numFmtId="0" fontId="60" fillId="10" borderId="0" xfId="0" applyFont="1" applyFill="1" applyBorder="1" applyAlignment="1">
      <alignment horizontal="left" vertical="center"/>
    </xf>
    <xf numFmtId="0" fontId="36" fillId="10" borderId="0" xfId="0" applyFont="1" applyFill="1" applyBorder="1" applyAlignment="1">
      <alignment horizontal="left" vertical="center"/>
    </xf>
    <xf numFmtId="0" fontId="42" fillId="0" borderId="0" xfId="0" applyFont="1" applyBorder="1" applyAlignment="1">
      <alignment vertical="center"/>
    </xf>
    <xf numFmtId="0" fontId="42" fillId="0" borderId="0" xfId="0" applyFont="1" applyFill="1" applyBorder="1" applyAlignment="1">
      <alignment vertical="center"/>
    </xf>
    <xf numFmtId="0" fontId="42" fillId="0" borderId="0" xfId="0" applyFont="1" applyBorder="1" applyAlignment="1">
      <alignment horizontal="right" vertical="center"/>
    </xf>
    <xf numFmtId="180" fontId="42" fillId="0" borderId="0" xfId="0" applyNumberFormat="1" applyFont="1" applyBorder="1" applyAlignment="1">
      <alignment vertical="center"/>
    </xf>
    <xf numFmtId="186" fontId="40" fillId="8" borderId="1" xfId="0" applyNumberFormat="1" applyFont="1" applyFill="1" applyBorder="1" applyAlignment="1">
      <alignment horizontal="center" vertical="center"/>
    </xf>
    <xf numFmtId="186" fontId="61" fillId="11" borderId="1" xfId="0" applyNumberFormat="1" applyFont="1" applyFill="1" applyBorder="1" applyAlignment="1">
      <alignment horizontal="center" vertical="center"/>
    </xf>
    <xf numFmtId="186" fontId="61" fillId="10" borderId="1" xfId="0" applyNumberFormat="1" applyFont="1" applyFill="1" applyBorder="1" applyAlignment="1">
      <alignment horizontal="center" vertical="center"/>
    </xf>
    <xf numFmtId="186" fontId="62" fillId="11" borderId="1" xfId="0" applyNumberFormat="1" applyFont="1" applyFill="1" applyBorder="1" applyAlignment="1">
      <alignment horizontal="center" vertical="center"/>
    </xf>
    <xf numFmtId="0" fontId="36" fillId="9" borderId="31" xfId="0" applyFont="1" applyFill="1" applyBorder="1" applyAlignment="1">
      <alignment horizontal="left" vertical="center"/>
    </xf>
    <xf numFmtId="0" fontId="36" fillId="0" borderId="5" xfId="0" applyFont="1" applyFill="1" applyBorder="1" applyAlignment="1">
      <alignment horizontal="center" vertical="center"/>
    </xf>
    <xf numFmtId="0" fontId="42" fillId="0" borderId="5" xfId="0" applyFont="1" applyBorder="1" applyAlignment="1">
      <alignment vertical="center"/>
    </xf>
    <xf numFmtId="0" fontId="42" fillId="0" borderId="5" xfId="0" applyFont="1" applyBorder="1">
      <alignment vertical="center"/>
    </xf>
    <xf numFmtId="0" fontId="36" fillId="0" borderId="5" xfId="0" applyFont="1" applyFill="1" applyBorder="1" applyAlignment="1">
      <alignment vertical="center"/>
    </xf>
    <xf numFmtId="0" fontId="42" fillId="0" borderId="9" xfId="0" applyFont="1" applyBorder="1" applyAlignment="1">
      <alignment vertical="center"/>
    </xf>
    <xf numFmtId="0" fontId="42" fillId="0" borderId="23" xfId="0" applyFont="1" applyBorder="1" applyAlignment="1">
      <alignment vertical="center"/>
    </xf>
    <xf numFmtId="0" fontId="42" fillId="0" borderId="23" xfId="0" applyFont="1" applyBorder="1" applyAlignment="1">
      <alignment horizontal="center" vertical="center"/>
    </xf>
    <xf numFmtId="0" fontId="42" fillId="0" borderId="23" xfId="0" applyFont="1" applyFill="1" applyBorder="1" applyAlignment="1">
      <alignment vertical="center"/>
    </xf>
    <xf numFmtId="0" fontId="42" fillId="0" borderId="25" xfId="0" applyFont="1" applyFill="1" applyBorder="1" applyAlignment="1">
      <alignment horizontal="center" vertical="center"/>
    </xf>
    <xf numFmtId="0" fontId="40" fillId="8" borderId="0" xfId="0" applyFont="1" applyFill="1" applyBorder="1" applyAlignment="1">
      <alignment horizontal="center" vertical="center"/>
    </xf>
    <xf numFmtId="0" fontId="40" fillId="8" borderId="0" xfId="0" applyNumberFormat="1" applyFont="1" applyFill="1" applyBorder="1" applyAlignment="1">
      <alignment horizontal="center" vertical="center"/>
    </xf>
    <xf numFmtId="0" fontId="42" fillId="0" borderId="24" xfId="0" applyFont="1" applyBorder="1" applyAlignment="1">
      <alignment vertical="center"/>
    </xf>
    <xf numFmtId="0" fontId="42" fillId="0" borderId="24" xfId="0" applyFont="1" applyBorder="1" applyAlignment="1">
      <alignment horizontal="center" vertical="center"/>
    </xf>
    <xf numFmtId="0" fontId="42" fillId="0" borderId="24" xfId="0" applyFont="1" applyBorder="1">
      <alignment vertical="center"/>
    </xf>
    <xf numFmtId="0" fontId="42" fillId="0" borderId="24" xfId="0" applyFont="1" applyFill="1" applyBorder="1" applyAlignment="1">
      <alignment vertical="center"/>
    </xf>
    <xf numFmtId="0" fontId="36" fillId="9" borderId="1" xfId="0" applyFont="1" applyFill="1" applyBorder="1" applyAlignment="1">
      <alignment vertical="center"/>
    </xf>
    <xf numFmtId="0" fontId="36" fillId="9" borderId="1" xfId="0" applyFont="1" applyFill="1" applyBorder="1" applyAlignment="1">
      <alignment horizontal="center" vertical="center"/>
    </xf>
    <xf numFmtId="0" fontId="59" fillId="9" borderId="1" xfId="0" applyFont="1" applyFill="1" applyBorder="1" applyAlignment="1">
      <alignment horizontal="center" vertical="center"/>
    </xf>
    <xf numFmtId="0" fontId="42" fillId="9" borderId="1" xfId="0" applyFont="1" applyFill="1" applyBorder="1" applyAlignment="1">
      <alignment horizontal="center" vertical="center"/>
    </xf>
    <xf numFmtId="177" fontId="42" fillId="0" borderId="24" xfId="0" applyNumberFormat="1" applyFont="1" applyBorder="1" applyAlignment="1">
      <alignment horizontal="center" vertical="center"/>
    </xf>
    <xf numFmtId="0" fontId="58" fillId="9" borderId="1" xfId="0" applyFont="1" applyFill="1" applyBorder="1" applyAlignment="1">
      <alignment horizontal="center" vertical="center" wrapText="1"/>
    </xf>
    <xf numFmtId="0" fontId="58" fillId="9" borderId="16" xfId="0" applyFont="1" applyFill="1" applyBorder="1" applyAlignment="1">
      <alignment horizontal="center" vertical="center" wrapText="1"/>
    </xf>
    <xf numFmtId="0" fontId="59" fillId="9" borderId="16" xfId="0" applyFont="1" applyFill="1" applyBorder="1" applyAlignment="1">
      <alignment horizontal="center" vertical="center"/>
    </xf>
    <xf numFmtId="0" fontId="42" fillId="0" borderId="0" xfId="0" applyFont="1" applyFill="1" applyBorder="1" applyAlignment="1">
      <alignment horizontal="left" vertical="center" wrapText="1"/>
    </xf>
    <xf numFmtId="0" fontId="42" fillId="0" borderId="0" xfId="0" applyFont="1" applyFill="1" applyBorder="1" applyAlignment="1">
      <alignment horizontal="left" vertical="center"/>
    </xf>
    <xf numFmtId="0" fontId="36" fillId="0" borderId="0" xfId="0" applyFont="1" applyBorder="1" applyAlignment="1">
      <alignment vertical="center"/>
    </xf>
    <xf numFmtId="0" fontId="7" fillId="0" borderId="30" xfId="0" applyFont="1" applyBorder="1" applyAlignment="1">
      <alignment horizontal="center" vertical="center"/>
    </xf>
    <xf numFmtId="0" fontId="7" fillId="0" borderId="5" xfId="0" applyFont="1" applyBorder="1" applyAlignment="1">
      <alignment horizontal="center" vertical="center"/>
    </xf>
    <xf numFmtId="0" fontId="42" fillId="0" borderId="34" xfId="0" applyFont="1" applyBorder="1" applyAlignment="1">
      <alignment horizontal="center" vertical="center"/>
    </xf>
    <xf numFmtId="0" fontId="7" fillId="0" borderId="22" xfId="0" applyFont="1" applyBorder="1" applyAlignment="1">
      <alignment horizontal="center" vertical="center"/>
    </xf>
    <xf numFmtId="0" fontId="42" fillId="0" borderId="22" xfId="0" applyFont="1" applyBorder="1" applyAlignment="1">
      <alignment horizontal="center" vertical="center"/>
    </xf>
    <xf numFmtId="177" fontId="42" fillId="0" borderId="22" xfId="0" applyNumberFormat="1" applyFont="1" applyBorder="1" applyAlignment="1">
      <alignment horizontal="center" vertical="center"/>
    </xf>
    <xf numFmtId="0" fontId="42" fillId="0" borderId="38" xfId="0" applyFont="1" applyBorder="1" applyAlignment="1">
      <alignment horizontal="center" vertical="center"/>
    </xf>
    <xf numFmtId="0" fontId="36" fillId="0" borderId="1" xfId="0" applyFont="1" applyBorder="1" applyAlignment="1">
      <alignment horizontal="center" vertical="center"/>
    </xf>
    <xf numFmtId="0" fontId="40" fillId="0" borderId="0" xfId="0" applyFont="1" applyBorder="1" applyAlignment="1">
      <alignment horizontal="center" vertical="center"/>
    </xf>
    <xf numFmtId="0" fontId="60" fillId="10" borderId="1" xfId="0" applyFont="1" applyFill="1" applyBorder="1" applyAlignment="1">
      <alignment horizontal="center" vertical="center"/>
    </xf>
    <xf numFmtId="0" fontId="41" fillId="10" borderId="1" xfId="0" applyFont="1" applyFill="1" applyBorder="1" applyAlignment="1">
      <alignment horizontal="center" vertical="center"/>
    </xf>
    <xf numFmtId="178" fontId="41" fillId="10" borderId="1" xfId="0" applyNumberFormat="1" applyFont="1" applyFill="1" applyBorder="1" applyAlignment="1">
      <alignment horizontal="center" vertical="center"/>
    </xf>
    <xf numFmtId="0" fontId="40" fillId="0" borderId="16" xfId="0" applyFont="1" applyBorder="1" applyAlignment="1">
      <alignment horizontal="center" vertical="center"/>
    </xf>
    <xf numFmtId="0" fontId="40" fillId="0" borderId="1" xfId="0" applyFont="1" applyBorder="1" applyAlignment="1">
      <alignment horizontal="center" vertical="center"/>
    </xf>
    <xf numFmtId="0" fontId="41" fillId="10" borderId="5" xfId="0" applyFont="1" applyFill="1" applyBorder="1" applyAlignment="1">
      <alignment horizontal="left" vertical="center"/>
    </xf>
    <xf numFmtId="0" fontId="41" fillId="10" borderId="5" xfId="0" applyFont="1" applyFill="1" applyBorder="1" applyAlignment="1">
      <alignment horizontal="center" vertical="center"/>
    </xf>
    <xf numFmtId="0" fontId="41" fillId="10" borderId="5" xfId="0" applyFont="1" applyFill="1" applyBorder="1" applyAlignment="1">
      <alignment vertical="center"/>
    </xf>
    <xf numFmtId="178" fontId="41" fillId="10" borderId="5" xfId="0" applyNumberFormat="1" applyFont="1" applyFill="1" applyBorder="1" applyAlignment="1">
      <alignment horizontal="center" vertical="center"/>
    </xf>
    <xf numFmtId="178" fontId="41" fillId="10" borderId="24" xfId="0" applyNumberFormat="1" applyFont="1" applyFill="1" applyBorder="1" applyAlignment="1">
      <alignment horizontal="left" vertical="center"/>
    </xf>
    <xf numFmtId="184" fontId="41" fillId="10" borderId="24" xfId="0" applyNumberFormat="1" applyFont="1" applyFill="1" applyBorder="1" applyAlignment="1">
      <alignment horizontal="left" vertical="center"/>
    </xf>
    <xf numFmtId="0" fontId="41" fillId="10" borderId="24" xfId="0" applyFont="1" applyFill="1" applyBorder="1" applyAlignment="1">
      <alignment horizontal="center" vertical="center"/>
    </xf>
    <xf numFmtId="184" fontId="41" fillId="10" borderId="24" xfId="0" applyNumberFormat="1" applyFont="1" applyFill="1" applyBorder="1" applyAlignment="1">
      <alignment horizontal="center" vertical="center"/>
    </xf>
    <xf numFmtId="0" fontId="42" fillId="0" borderId="22" xfId="0" applyFont="1" applyFill="1" applyBorder="1" applyAlignment="1">
      <alignment horizontal="center" vertical="center" wrapText="1"/>
    </xf>
    <xf numFmtId="0" fontId="49" fillId="2" borderId="0" xfId="0" applyFont="1" applyFill="1" applyBorder="1" applyAlignment="1">
      <alignment horizontal="center" vertical="center"/>
    </xf>
    <xf numFmtId="0" fontId="65" fillId="2" borderId="0" xfId="0" applyFont="1" applyFill="1" applyAlignment="1">
      <alignment horizontal="center" vertical="center"/>
    </xf>
    <xf numFmtId="0" fontId="65" fillId="0" borderId="0" xfId="0" applyFont="1" applyAlignment="1">
      <alignment horizontal="center" vertical="center"/>
    </xf>
    <xf numFmtId="0" fontId="48" fillId="0" borderId="0" xfId="0" applyFont="1" applyFill="1" applyBorder="1" applyAlignment="1">
      <alignment horizontal="center" vertical="center"/>
    </xf>
    <xf numFmtId="0" fontId="24" fillId="2" borderId="1" xfId="0" applyFont="1" applyFill="1" applyBorder="1" applyAlignment="1">
      <alignment horizontal="center" vertical="center"/>
    </xf>
    <xf numFmtId="0" fontId="24" fillId="0" borderId="1" xfId="0" applyFont="1" applyBorder="1" applyAlignment="1">
      <alignment horizontal="center" vertical="center"/>
    </xf>
    <xf numFmtId="0" fontId="40" fillId="0" borderId="0" xfId="0" applyFont="1" applyFill="1" applyBorder="1" applyAlignment="1">
      <alignment vertical="center" wrapText="1"/>
    </xf>
    <xf numFmtId="0" fontId="42" fillId="0" borderId="22" xfId="0" applyFont="1" applyFill="1" applyBorder="1" applyAlignment="1">
      <alignment vertical="center" wrapText="1"/>
    </xf>
    <xf numFmtId="0" fontId="47" fillId="0" borderId="22" xfId="0" applyFont="1" applyFill="1" applyBorder="1" applyAlignment="1">
      <alignment horizontal="center" vertical="center" wrapText="1"/>
    </xf>
    <xf numFmtId="0" fontId="47" fillId="0" borderId="22" xfId="0" applyFont="1" applyFill="1" applyBorder="1" applyAlignment="1">
      <alignment vertical="center" wrapText="1"/>
    </xf>
    <xf numFmtId="0" fontId="42" fillId="0" borderId="1" xfId="0" applyNumberFormat="1" applyFont="1" applyFill="1" applyBorder="1" applyAlignment="1">
      <alignment horizontal="center" vertical="center"/>
    </xf>
    <xf numFmtId="0" fontId="42" fillId="0" borderId="0" xfId="0" applyFont="1" applyBorder="1" applyAlignment="1">
      <alignment horizontal="center" vertical="center"/>
    </xf>
    <xf numFmtId="0" fontId="36" fillId="0" borderId="0" xfId="0" applyFont="1" applyBorder="1" applyAlignment="1">
      <alignment horizontal="center" vertical="center"/>
    </xf>
    <xf numFmtId="0" fontId="42" fillId="0" borderId="14" xfId="0" applyFont="1" applyFill="1" applyBorder="1" applyAlignment="1">
      <alignment horizontal="center" vertical="center"/>
    </xf>
    <xf numFmtId="0" fontId="42" fillId="0" borderId="5" xfId="0" applyFont="1" applyFill="1" applyBorder="1" applyAlignment="1">
      <alignment horizontal="center" vertical="center" wrapText="1"/>
    </xf>
    <xf numFmtId="0" fontId="42" fillId="0" borderId="24" xfId="0" applyFont="1" applyFill="1" applyBorder="1" applyAlignment="1">
      <alignment horizontal="center" vertical="center"/>
    </xf>
    <xf numFmtId="0" fontId="42" fillId="0" borderId="22" xfId="0" applyFont="1" applyFill="1" applyBorder="1" applyAlignment="1">
      <alignment horizontal="center" vertical="center" wrapText="1"/>
    </xf>
    <xf numFmtId="0" fontId="42" fillId="0" borderId="24" xfId="0" applyFont="1" applyFill="1" applyBorder="1" applyAlignment="1">
      <alignment horizontal="center" vertical="center" wrapText="1"/>
    </xf>
    <xf numFmtId="0" fontId="42" fillId="0" borderId="6" xfId="0" applyFont="1" applyFill="1" applyBorder="1" applyAlignment="1">
      <alignment horizontal="center" vertical="center" wrapText="1"/>
    </xf>
    <xf numFmtId="0" fontId="14" fillId="0" borderId="26" xfId="25" applyFont="1" applyFill="1" applyBorder="1" applyAlignment="1">
      <alignment horizontal="left" vertical="center" wrapText="1"/>
    </xf>
    <xf numFmtId="14" fontId="42" fillId="0" borderId="5" xfId="0" applyNumberFormat="1" applyFont="1" applyFill="1" applyBorder="1" applyAlignment="1">
      <alignment horizontal="center" vertical="center" wrapText="1"/>
    </xf>
    <xf numFmtId="0" fontId="42" fillId="7" borderId="5" xfId="0" applyFont="1" applyFill="1" applyBorder="1" applyAlignment="1">
      <alignment vertical="center"/>
    </xf>
    <xf numFmtId="0" fontId="42" fillId="14" borderId="1" xfId="0" applyFont="1" applyFill="1" applyBorder="1" applyAlignment="1">
      <alignment horizontal="center" vertical="center"/>
    </xf>
    <xf numFmtId="180" fontId="42" fillId="14" borderId="1" xfId="0" applyNumberFormat="1" applyFont="1" applyFill="1" applyBorder="1" applyAlignment="1">
      <alignment horizontal="center" vertical="center"/>
    </xf>
    <xf numFmtId="14" fontId="42" fillId="14" borderId="1" xfId="0" applyNumberFormat="1" applyFont="1" applyFill="1" applyBorder="1" applyAlignment="1">
      <alignment horizontal="center" vertical="center"/>
    </xf>
    <xf numFmtId="0" fontId="0" fillId="14" borderId="1" xfId="0" applyFill="1" applyBorder="1">
      <alignment vertical="center"/>
    </xf>
    <xf numFmtId="181" fontId="42" fillId="0" borderId="5" xfId="39" applyNumberFormat="1" applyFont="1" applyFill="1" applyBorder="1" applyAlignment="1">
      <alignment horizontal="center" vertical="center" wrapText="1"/>
    </xf>
    <xf numFmtId="0" fontId="42" fillId="0" borderId="5" xfId="39" quotePrefix="1" applyFont="1" applyFill="1" applyBorder="1" applyAlignment="1">
      <alignment horizontal="center" vertical="center" wrapText="1"/>
    </xf>
    <xf numFmtId="0" fontId="66" fillId="0" borderId="0" xfId="0" applyFont="1" applyFill="1" applyBorder="1" applyAlignment="1">
      <alignment horizontal="center" vertical="center"/>
    </xf>
    <xf numFmtId="0" fontId="41" fillId="0" borderId="5" xfId="0" applyFont="1" applyFill="1" applyBorder="1" applyAlignment="1">
      <alignment horizontal="center" vertical="center" wrapText="1"/>
    </xf>
    <xf numFmtId="186" fontId="61" fillId="10" borderId="3" xfId="0" applyNumberFormat="1" applyFont="1" applyFill="1" applyBorder="1" applyAlignment="1">
      <alignment horizontal="center" vertical="center"/>
    </xf>
    <xf numFmtId="186" fontId="63" fillId="11" borderId="16" xfId="0" applyNumberFormat="1" applyFont="1" applyFill="1" applyBorder="1" applyAlignment="1">
      <alignment horizontal="center" vertical="center"/>
    </xf>
    <xf numFmtId="186" fontId="40" fillId="10" borderId="3" xfId="0" applyNumberFormat="1" applyFont="1" applyFill="1" applyBorder="1" applyAlignment="1">
      <alignment horizontal="center" vertical="center"/>
    </xf>
    <xf numFmtId="0" fontId="42" fillId="0" borderId="0" xfId="0" applyFont="1" applyFill="1" applyBorder="1" applyAlignment="1">
      <alignment vertical="center" wrapText="1"/>
    </xf>
    <xf numFmtId="179" fontId="42" fillId="0" borderId="22" xfId="0" applyNumberFormat="1" applyFont="1" applyFill="1" applyBorder="1" applyAlignment="1">
      <alignment horizontal="center" vertical="center" wrapText="1"/>
    </xf>
    <xf numFmtId="179" fontId="42" fillId="0" borderId="24" xfId="0" applyNumberFormat="1" applyFont="1" applyFill="1" applyBorder="1" applyAlignment="1">
      <alignment horizontal="center" vertical="center" wrapText="1"/>
    </xf>
    <xf numFmtId="14" fontId="42" fillId="0" borderId="1" xfId="0" applyNumberFormat="1" applyFont="1" applyFill="1" applyBorder="1" applyAlignment="1">
      <alignment horizontal="center" vertical="center" wrapText="1"/>
    </xf>
    <xf numFmtId="0" fontId="42" fillId="10" borderId="1" xfId="0" applyFont="1" applyFill="1" applyBorder="1" applyAlignment="1">
      <alignment horizontal="center" vertical="center"/>
    </xf>
    <xf numFmtId="0" fontId="6" fillId="0" borderId="0" xfId="0" applyFont="1">
      <alignment vertical="center"/>
    </xf>
    <xf numFmtId="0" fontId="6" fillId="0" borderId="0" xfId="0" applyFont="1" applyFill="1" applyBorder="1">
      <alignment vertical="center"/>
    </xf>
    <xf numFmtId="186" fontId="42" fillId="0" borderId="0" xfId="0" applyNumberFormat="1" applyFont="1" applyFill="1" applyBorder="1" applyAlignment="1">
      <alignment vertical="center" wrapText="1"/>
    </xf>
    <xf numFmtId="186" fontId="42" fillId="0" borderId="0" xfId="0" applyNumberFormat="1" applyFont="1" applyFill="1" applyBorder="1" applyAlignment="1">
      <alignment horizontal="center" vertical="center"/>
    </xf>
    <xf numFmtId="186" fontId="42" fillId="0" borderId="1" xfId="0" applyNumberFormat="1" applyFont="1" applyFill="1" applyBorder="1" applyAlignment="1">
      <alignment horizontal="center" vertical="center"/>
    </xf>
    <xf numFmtId="186" fontId="42" fillId="10" borderId="1" xfId="0" applyNumberFormat="1" applyFont="1" applyFill="1" applyBorder="1" applyAlignment="1">
      <alignment horizontal="center" vertical="center"/>
    </xf>
    <xf numFmtId="0" fontId="6" fillId="0" borderId="1" xfId="0" applyFont="1" applyBorder="1">
      <alignment vertical="center"/>
    </xf>
    <xf numFmtId="0" fontId="6" fillId="0" borderId="0" xfId="0" applyFont="1" applyAlignment="1">
      <alignment horizontal="center" vertical="center"/>
    </xf>
    <xf numFmtId="0" fontId="42" fillId="10" borderId="14" xfId="0" applyFont="1" applyFill="1" applyBorder="1" applyAlignment="1">
      <alignment horizontal="center" vertical="center"/>
    </xf>
    <xf numFmtId="0" fontId="49" fillId="10" borderId="1" xfId="0" applyFont="1" applyFill="1" applyBorder="1" applyAlignment="1">
      <alignment horizontal="left" vertical="center"/>
    </xf>
    <xf numFmtId="0" fontId="49" fillId="10" borderId="1" xfId="0" applyFont="1" applyFill="1" applyBorder="1" applyAlignment="1">
      <alignment horizontal="center" vertical="center"/>
    </xf>
    <xf numFmtId="186" fontId="42" fillId="10" borderId="0" xfId="0" applyNumberFormat="1" applyFont="1" applyFill="1" applyBorder="1" applyAlignment="1">
      <alignment horizontal="center" vertical="center"/>
    </xf>
    <xf numFmtId="0" fontId="49" fillId="0" borderId="1" xfId="0" applyNumberFormat="1" applyFont="1" applyFill="1" applyBorder="1" applyAlignment="1">
      <alignment horizontal="center" vertical="center"/>
    </xf>
    <xf numFmtId="186" fontId="67" fillId="10" borderId="0" xfId="0" applyNumberFormat="1" applyFont="1" applyFill="1" applyBorder="1" applyAlignment="1">
      <alignment horizontal="center" vertical="center"/>
    </xf>
    <xf numFmtId="186" fontId="42" fillId="10" borderId="0" xfId="0" applyNumberFormat="1" applyFont="1" applyFill="1" applyBorder="1" applyAlignment="1">
      <alignment horizontal="left" vertical="center"/>
    </xf>
    <xf numFmtId="0" fontId="14" fillId="0" borderId="26" xfId="25" applyFont="1" applyFill="1" applyBorder="1" applyAlignment="1">
      <alignment horizontal="center" vertical="center" wrapText="1"/>
    </xf>
    <xf numFmtId="0" fontId="14" fillId="0" borderId="26" xfId="25" applyFont="1" applyFill="1" applyBorder="1" applyAlignment="1">
      <alignment horizontal="left" vertical="center" wrapText="1"/>
    </xf>
    <xf numFmtId="0" fontId="14" fillId="0" borderId="27" xfId="25" applyFont="1" applyFill="1" applyBorder="1" applyAlignment="1">
      <alignment horizontal="center" vertical="center" wrapText="1"/>
    </xf>
    <xf numFmtId="0" fontId="14" fillId="3" borderId="26" xfId="25" applyFont="1" applyFill="1" applyBorder="1">
      <alignment vertical="center"/>
    </xf>
    <xf numFmtId="0" fontId="21" fillId="0" borderId="26" xfId="25" applyFont="1" applyFill="1" applyBorder="1" applyAlignment="1">
      <alignment horizontal="left" vertical="center" wrapText="1"/>
    </xf>
    <xf numFmtId="0" fontId="21" fillId="0" borderId="26" xfId="25" applyFont="1" applyFill="1" applyBorder="1">
      <alignment vertical="center"/>
    </xf>
    <xf numFmtId="0" fontId="21" fillId="0" borderId="26" xfId="25" applyFont="1" applyFill="1" applyBorder="1" applyAlignment="1">
      <alignment horizontal="center" vertical="center" wrapText="1"/>
    </xf>
    <xf numFmtId="0" fontId="3" fillId="0" borderId="0" xfId="25" applyFont="1" applyFill="1">
      <alignment vertical="center"/>
    </xf>
    <xf numFmtId="0" fontId="3" fillId="2" borderId="0" xfId="25" applyFont="1" applyFill="1">
      <alignment vertical="center"/>
    </xf>
    <xf numFmtId="0" fontId="3" fillId="0" borderId="0" xfId="25" applyFont="1" applyFill="1" applyAlignment="1">
      <alignment horizontal="center" vertical="center"/>
    </xf>
    <xf numFmtId="0" fontId="21" fillId="6" borderId="4" xfId="25" applyNumberFormat="1" applyFont="1" applyFill="1" applyBorder="1" applyAlignment="1">
      <alignment horizontal="center" vertical="center"/>
    </xf>
    <xf numFmtId="0" fontId="49" fillId="0" borderId="5" xfId="0" applyFont="1" applyFill="1" applyBorder="1" applyAlignment="1">
      <alignment horizontal="center" vertical="center" wrapText="1"/>
    </xf>
    <xf numFmtId="0" fontId="42" fillId="0" borderId="5" xfId="0" applyFont="1" applyFill="1" applyBorder="1" applyAlignment="1">
      <alignment horizontal="center" vertical="center" wrapText="1"/>
    </xf>
    <xf numFmtId="0" fontId="28" fillId="6" borderId="4" xfId="25" applyFont="1" applyFill="1" applyBorder="1" applyAlignment="1">
      <alignment vertical="center"/>
    </xf>
    <xf numFmtId="0" fontId="21" fillId="6" borderId="4" xfId="25" applyFont="1" applyFill="1" applyBorder="1" applyAlignment="1">
      <alignment vertical="center"/>
    </xf>
    <xf numFmtId="0" fontId="42" fillId="0" borderId="5" xfId="0" applyFont="1" applyFill="1" applyBorder="1" applyAlignment="1">
      <alignment horizontal="center" vertical="center" wrapText="1"/>
    </xf>
    <xf numFmtId="0" fontId="41" fillId="0" borderId="1" xfId="0" applyFont="1" applyFill="1" applyBorder="1" applyAlignment="1">
      <alignment vertical="center" wrapText="1"/>
    </xf>
    <xf numFmtId="0" fontId="41" fillId="2" borderId="1" xfId="0" applyFont="1" applyFill="1" applyBorder="1" applyAlignment="1">
      <alignment vertical="center" wrapText="1"/>
    </xf>
    <xf numFmtId="0" fontId="41" fillId="0" borderId="3" xfId="0" applyFont="1" applyFill="1" applyBorder="1" applyAlignment="1">
      <alignment vertical="center" wrapText="1"/>
    </xf>
    <xf numFmtId="0" fontId="41" fillId="2" borderId="3" xfId="0" applyFont="1" applyFill="1" applyBorder="1" applyAlignment="1">
      <alignment vertical="center" wrapText="1"/>
    </xf>
    <xf numFmtId="0" fontId="42" fillId="2" borderId="1" xfId="0" applyFont="1" applyFill="1" applyBorder="1" applyAlignment="1">
      <alignment vertical="center" wrapText="1"/>
    </xf>
    <xf numFmtId="0" fontId="41" fillId="2" borderId="1" xfId="0" applyFont="1" applyFill="1" applyBorder="1" applyAlignment="1">
      <alignment horizontal="left" vertical="center" wrapText="1"/>
    </xf>
    <xf numFmtId="0" fontId="69" fillId="0" borderId="1" xfId="0" applyFont="1" applyBorder="1" applyAlignment="1">
      <alignment horizontal="left" vertical="center"/>
    </xf>
    <xf numFmtId="0" fontId="69" fillId="0" borderId="3" xfId="0" applyFont="1" applyBorder="1" applyAlignment="1">
      <alignment horizontal="left" vertical="center"/>
    </xf>
    <xf numFmtId="0" fontId="70" fillId="0" borderId="3" xfId="0" applyFont="1" applyFill="1" applyBorder="1" applyAlignment="1">
      <alignment vertical="center" wrapText="1"/>
    </xf>
    <xf numFmtId="0" fontId="42" fillId="0" borderId="5" xfId="0" applyFont="1" applyFill="1" applyBorder="1" applyAlignment="1">
      <alignment horizontal="center" vertical="center" wrapText="1"/>
    </xf>
    <xf numFmtId="0" fontId="42" fillId="0" borderId="0" xfId="0" applyFont="1" applyBorder="1" applyAlignment="1">
      <alignment horizontal="center" vertical="center"/>
    </xf>
    <xf numFmtId="0" fontId="42" fillId="0" borderId="24" xfId="0" applyFont="1" applyFill="1" applyBorder="1" applyAlignment="1">
      <alignment horizontal="center" vertical="center"/>
    </xf>
    <xf numFmtId="0" fontId="42" fillId="0" borderId="5" xfId="0" applyFont="1" applyFill="1" applyBorder="1" applyAlignment="1">
      <alignment horizontal="center" vertical="center" wrapText="1"/>
    </xf>
    <xf numFmtId="0" fontId="42" fillId="0" borderId="23" xfId="0" applyFont="1" applyFill="1" applyBorder="1" applyAlignment="1">
      <alignment horizontal="center" vertical="center"/>
    </xf>
    <xf numFmtId="0" fontId="42" fillId="9" borderId="3" xfId="0" applyFont="1" applyFill="1" applyBorder="1" applyAlignment="1">
      <alignment horizontal="center" vertical="center"/>
    </xf>
    <xf numFmtId="0" fontId="42" fillId="0" borderId="7" xfId="0" applyFont="1" applyBorder="1" applyAlignment="1">
      <alignment horizontal="center" vertical="center"/>
    </xf>
    <xf numFmtId="0" fontId="59" fillId="9" borderId="3" xfId="0" applyFont="1" applyFill="1" applyBorder="1" applyAlignment="1">
      <alignment horizontal="center" vertical="center"/>
    </xf>
    <xf numFmtId="0" fontId="42" fillId="9" borderId="14" xfId="0" applyFont="1" applyFill="1" applyBorder="1" applyAlignment="1">
      <alignment horizontal="center" vertical="center"/>
    </xf>
    <xf numFmtId="0" fontId="59" fillId="9" borderId="14" xfId="0" applyFont="1" applyFill="1" applyBorder="1" applyAlignment="1">
      <alignment horizontal="center" vertical="center"/>
    </xf>
    <xf numFmtId="0" fontId="42" fillId="9" borderId="5" xfId="0" applyFont="1" applyFill="1" applyBorder="1" applyAlignment="1">
      <alignment horizontal="center" vertical="center"/>
    </xf>
    <xf numFmtId="0" fontId="42" fillId="0" borderId="24" xfId="0" applyFont="1" applyFill="1" applyBorder="1" applyAlignment="1">
      <alignment horizontal="center" vertical="center"/>
    </xf>
    <xf numFmtId="0" fontId="41" fillId="0" borderId="5" xfId="0" applyFont="1" applyFill="1" applyBorder="1" applyAlignment="1">
      <alignment horizontal="center" vertical="center"/>
    </xf>
    <xf numFmtId="0" fontId="64" fillId="9" borderId="5" xfId="0" applyFont="1" applyFill="1" applyBorder="1" applyAlignment="1">
      <alignment horizontal="center" vertical="center"/>
    </xf>
    <xf numFmtId="0" fontId="42" fillId="15" borderId="1" xfId="0" applyFont="1" applyFill="1" applyBorder="1" applyAlignment="1">
      <alignment horizontal="center" vertical="center"/>
    </xf>
    <xf numFmtId="0" fontId="49" fillId="15" borderId="1" xfId="0" applyFont="1" applyFill="1" applyBorder="1" applyAlignment="1">
      <alignment horizontal="center" vertical="center" wrapText="1"/>
    </xf>
    <xf numFmtId="0" fontId="42" fillId="7" borderId="5" xfId="0" applyFont="1" applyFill="1" applyBorder="1" applyAlignment="1">
      <alignment horizontal="center" vertical="center" wrapText="1"/>
    </xf>
    <xf numFmtId="0" fontId="43" fillId="7" borderId="5" xfId="0" applyFont="1" applyFill="1" applyBorder="1" applyAlignment="1">
      <alignment horizontal="center" vertical="center" wrapText="1"/>
    </xf>
    <xf numFmtId="14" fontId="42" fillId="0" borderId="5" xfId="0" applyNumberFormat="1" applyFont="1" applyFill="1" applyBorder="1" applyAlignment="1">
      <alignment vertical="center"/>
    </xf>
    <xf numFmtId="185" fontId="42" fillId="0" borderId="5" xfId="0" applyNumberFormat="1" applyFont="1" applyFill="1" applyBorder="1" applyAlignment="1">
      <alignment vertical="center"/>
    </xf>
    <xf numFmtId="14" fontId="42" fillId="7" borderId="5" xfId="0" applyNumberFormat="1" applyFont="1" applyFill="1" applyBorder="1" applyAlignment="1">
      <alignment vertical="center"/>
    </xf>
    <xf numFmtId="14" fontId="42" fillId="0" borderId="24" xfId="0" applyNumberFormat="1" applyFont="1" applyFill="1" applyBorder="1" applyAlignment="1">
      <alignment vertical="center"/>
    </xf>
    <xf numFmtId="185" fontId="42" fillId="0" borderId="24" xfId="0" applyNumberFormat="1" applyFont="1" applyFill="1" applyBorder="1" applyAlignment="1">
      <alignment vertical="center"/>
    </xf>
    <xf numFmtId="0" fontId="28" fillId="6" borderId="4" xfId="25" applyNumberFormat="1" applyFont="1" applyFill="1" applyBorder="1" applyAlignment="1">
      <alignment horizontal="center" vertical="center"/>
    </xf>
    <xf numFmtId="0" fontId="42" fillId="0" borderId="24" xfId="0" applyFont="1" applyFill="1" applyBorder="1" applyAlignment="1">
      <alignment horizontal="center" vertical="center" wrapText="1"/>
    </xf>
    <xf numFmtId="0" fontId="42" fillId="0" borderId="24" xfId="0" applyFont="1" applyFill="1" applyBorder="1" applyAlignment="1">
      <alignment horizontal="center" vertical="center"/>
    </xf>
    <xf numFmtId="0" fontId="42" fillId="0" borderId="5" xfId="0" applyFont="1" applyFill="1" applyBorder="1" applyAlignment="1">
      <alignment horizontal="center" vertical="center" wrapText="1"/>
    </xf>
    <xf numFmtId="0" fontId="59" fillId="9" borderId="20" xfId="0" applyFont="1" applyFill="1" applyBorder="1" applyAlignment="1">
      <alignment horizontal="center" vertical="center"/>
    </xf>
    <xf numFmtId="0" fontId="42" fillId="0" borderId="5" xfId="0" applyFont="1" applyFill="1" applyBorder="1" applyAlignment="1">
      <alignment horizontal="center" vertical="center" wrapText="1"/>
    </xf>
    <xf numFmtId="0" fontId="42" fillId="0" borderId="24" xfId="0" applyFont="1" applyFill="1" applyBorder="1" applyAlignment="1">
      <alignment horizontal="center" vertical="center"/>
    </xf>
    <xf numFmtId="0" fontId="42" fillId="0" borderId="22" xfId="0" applyFont="1" applyFill="1" applyBorder="1" applyAlignment="1">
      <alignment horizontal="center" vertical="center" wrapText="1"/>
    </xf>
    <xf numFmtId="0" fontId="42" fillId="0" borderId="24" xfId="0" applyFont="1" applyFill="1" applyBorder="1" applyAlignment="1">
      <alignment horizontal="center" vertical="center" wrapText="1"/>
    </xf>
    <xf numFmtId="186" fontId="71" fillId="10" borderId="1" xfId="0" applyNumberFormat="1" applyFont="1" applyFill="1" applyBorder="1" applyAlignment="1">
      <alignment horizontal="center" vertical="center"/>
    </xf>
    <xf numFmtId="186" fontId="71" fillId="0" borderId="1" xfId="0" applyNumberFormat="1" applyFont="1" applyBorder="1" applyAlignment="1">
      <alignment horizontal="center" vertical="center"/>
    </xf>
    <xf numFmtId="0" fontId="42" fillId="0" borderId="1" xfId="0" applyFont="1" applyBorder="1" applyAlignment="1">
      <alignment horizontal="center" vertical="center"/>
    </xf>
    <xf numFmtId="0" fontId="42" fillId="0" borderId="5" xfId="0" applyFont="1" applyFill="1" applyBorder="1" applyAlignment="1">
      <alignment horizontal="center" vertical="center" wrapText="1"/>
    </xf>
    <xf numFmtId="0" fontId="42" fillId="0" borderId="5" xfId="0" applyFont="1" applyFill="1" applyBorder="1" applyAlignment="1">
      <alignment horizontal="center" vertical="center" wrapText="1"/>
    </xf>
    <xf numFmtId="0" fontId="14" fillId="0" borderId="26" xfId="25" applyFont="1" applyFill="1" applyBorder="1" applyAlignment="1">
      <alignment horizontal="center" vertical="center" wrapText="1"/>
    </xf>
    <xf numFmtId="0" fontId="14" fillId="0" borderId="26" xfId="25" applyFont="1" applyFill="1" applyBorder="1" applyAlignment="1">
      <alignment horizontal="left" vertical="center" wrapText="1"/>
    </xf>
    <xf numFmtId="0" fontId="14" fillId="0" borderId="27" xfId="25" applyFont="1" applyFill="1" applyBorder="1" applyAlignment="1">
      <alignment horizontal="center" vertical="center" wrapText="1"/>
    </xf>
    <xf numFmtId="0" fontId="14" fillId="0" borderId="29" xfId="25" applyFont="1" applyFill="1" applyBorder="1" applyAlignment="1">
      <alignment horizontal="center" vertical="center" wrapText="1"/>
    </xf>
    <xf numFmtId="0" fontId="14" fillId="0" borderId="40" xfId="25" applyFont="1" applyFill="1" applyBorder="1">
      <alignment vertical="center"/>
    </xf>
    <xf numFmtId="0" fontId="30" fillId="0" borderId="41" xfId="25" applyFont="1" applyFill="1" applyBorder="1" applyAlignment="1">
      <alignment horizontal="center" vertical="center" wrapText="1"/>
    </xf>
    <xf numFmtId="0" fontId="14" fillId="2" borderId="26" xfId="25" applyFont="1" applyFill="1" applyBorder="1" applyAlignment="1">
      <alignment horizontal="left" vertical="center" wrapText="1"/>
    </xf>
    <xf numFmtId="0" fontId="3" fillId="0" borderId="5" xfId="25" applyFont="1" applyFill="1" applyBorder="1">
      <alignment vertical="center"/>
    </xf>
    <xf numFmtId="0" fontId="3" fillId="2" borderId="5" xfId="25" applyFont="1" applyFill="1" applyBorder="1">
      <alignment vertical="center"/>
    </xf>
    <xf numFmtId="0" fontId="2" fillId="0" borderId="5" xfId="25" applyFont="1" applyFill="1" applyBorder="1">
      <alignment vertical="center"/>
    </xf>
    <xf numFmtId="0" fontId="14" fillId="0" borderId="5" xfId="25" applyFont="1" applyFill="1" applyBorder="1" applyAlignment="1">
      <alignment horizontal="center" vertical="center" wrapText="1"/>
    </xf>
    <xf numFmtId="0" fontId="3" fillId="0" borderId="5" xfId="25" applyFont="1" applyFill="1" applyBorder="1" applyAlignment="1">
      <alignment horizontal="center" vertical="center"/>
    </xf>
    <xf numFmtId="0" fontId="5" fillId="0" borderId="0" xfId="0" applyFont="1">
      <alignment vertical="center"/>
    </xf>
    <xf numFmtId="0" fontId="14" fillId="0" borderId="26" xfId="25" applyFont="1" applyFill="1" applyBorder="1" applyAlignment="1">
      <alignment horizontal="left" vertical="center"/>
    </xf>
    <xf numFmtId="0" fontId="14" fillId="0" borderId="5" xfId="25" applyFont="1" applyFill="1" applyBorder="1" applyAlignment="1">
      <alignment horizontal="left" vertical="center" wrapText="1"/>
    </xf>
    <xf numFmtId="0" fontId="28" fillId="0" borderId="5" xfId="25" applyFont="1" applyFill="1" applyBorder="1">
      <alignment vertical="center"/>
    </xf>
    <xf numFmtId="0" fontId="4" fillId="0" borderId="5" xfId="25" applyFill="1" applyBorder="1">
      <alignment vertical="center"/>
    </xf>
    <xf numFmtId="0" fontId="4" fillId="2" borderId="5" xfId="25" applyFill="1" applyBorder="1">
      <alignment vertical="center"/>
    </xf>
    <xf numFmtId="0" fontId="4" fillId="0" borderId="5" xfId="25" applyFill="1" applyBorder="1" applyAlignment="1">
      <alignment horizontal="center" vertical="center"/>
    </xf>
    <xf numFmtId="0" fontId="12" fillId="0" borderId="1" xfId="0" applyFont="1" applyBorder="1" applyAlignment="1">
      <alignment horizontal="center" vertical="center"/>
    </xf>
    <xf numFmtId="0" fontId="42" fillId="0" borderId="5" xfId="0" applyFont="1" applyFill="1" applyBorder="1" applyAlignment="1">
      <alignment horizontal="center" vertical="center" wrapText="1"/>
    </xf>
    <xf numFmtId="0" fontId="14" fillId="0" borderId="1" xfId="0" applyFont="1" applyFill="1" applyBorder="1" applyAlignment="1">
      <alignment horizontal="center" vertical="center" wrapText="1"/>
    </xf>
    <xf numFmtId="0" fontId="14" fillId="0" borderId="2" xfId="0" applyFont="1" applyFill="1" applyBorder="1" applyAlignment="1">
      <alignment horizontal="center" vertical="center" wrapText="1"/>
    </xf>
    <xf numFmtId="0" fontId="14" fillId="0" borderId="1" xfId="0" applyFont="1" applyFill="1" applyBorder="1" applyAlignment="1">
      <alignment horizontal="center" vertical="center"/>
    </xf>
    <xf numFmtId="0" fontId="21" fillId="0" borderId="1" xfId="0" applyFont="1" applyFill="1" applyBorder="1" applyAlignment="1">
      <alignment horizontal="center" vertical="center" wrapText="1"/>
    </xf>
    <xf numFmtId="0" fontId="14" fillId="2" borderId="1" xfId="0" applyFont="1" applyFill="1" applyBorder="1" applyAlignment="1">
      <alignment horizontal="center" vertical="center"/>
    </xf>
    <xf numFmtId="0" fontId="14" fillId="0" borderId="1" xfId="0" applyFont="1" applyBorder="1" applyAlignment="1">
      <alignment horizontal="center" vertical="center" wrapText="1"/>
    </xf>
    <xf numFmtId="0" fontId="7" fillId="0" borderId="1" xfId="0" applyFont="1" applyBorder="1" applyAlignment="1">
      <alignment horizontal="center" vertical="center"/>
    </xf>
    <xf numFmtId="0" fontId="40" fillId="0" borderId="0" xfId="30" applyFont="1" applyAlignment="1">
      <alignment horizontal="center" vertical="center"/>
    </xf>
    <xf numFmtId="186" fontId="40" fillId="0" borderId="0" xfId="30" applyNumberFormat="1" applyFont="1" applyAlignment="1">
      <alignment horizontal="center" vertical="center"/>
    </xf>
    <xf numFmtId="0" fontId="40" fillId="12" borderId="0" xfId="30" applyFont="1" applyFill="1" applyAlignment="1">
      <alignment horizontal="center" vertical="center"/>
    </xf>
    <xf numFmtId="0" fontId="40" fillId="0" borderId="0" xfId="30" applyFont="1" applyFill="1" applyAlignment="1">
      <alignment horizontal="center" vertical="center"/>
    </xf>
    <xf numFmtId="0" fontId="40" fillId="7" borderId="0" xfId="30" applyFont="1" applyFill="1" applyAlignment="1">
      <alignment horizontal="center" vertical="center"/>
    </xf>
    <xf numFmtId="0" fontId="54" fillId="0" borderId="0" xfId="0" applyFont="1" applyBorder="1" applyAlignment="1">
      <alignment horizontal="center" vertical="center" wrapText="1"/>
    </xf>
    <xf numFmtId="178" fontId="40" fillId="0" borderId="0" xfId="30" applyNumberFormat="1" applyFont="1" applyAlignment="1">
      <alignment horizontal="center" vertical="center"/>
    </xf>
    <xf numFmtId="0" fontId="40" fillId="0" borderId="0" xfId="30" applyFont="1" applyAlignment="1">
      <alignment horizontal="center" vertical="center" wrapText="1"/>
    </xf>
    <xf numFmtId="0" fontId="61" fillId="0" borderId="0" xfId="30" applyFont="1" applyFill="1" applyAlignment="1">
      <alignment horizontal="center" vertical="center"/>
    </xf>
    <xf numFmtId="0" fontId="61" fillId="0" borderId="0" xfId="30" applyFont="1" applyAlignment="1">
      <alignment horizontal="center" vertical="center"/>
    </xf>
    <xf numFmtId="0" fontId="61" fillId="0" borderId="0" xfId="30" applyFont="1" applyAlignment="1">
      <alignment horizontal="left" vertical="center"/>
    </xf>
    <xf numFmtId="0" fontId="54" fillId="0" borderId="1" xfId="0" applyFont="1" applyBorder="1" applyAlignment="1">
      <alignment horizontal="center" vertical="center" wrapText="1"/>
    </xf>
    <xf numFmtId="0" fontId="40" fillId="0" borderId="0" xfId="30" applyFont="1" applyBorder="1" applyAlignment="1">
      <alignment horizontal="center" vertical="center"/>
    </xf>
    <xf numFmtId="0" fontId="40" fillId="7" borderId="0" xfId="30" applyFont="1" applyFill="1" applyBorder="1" applyAlignment="1">
      <alignment horizontal="center" vertical="center"/>
    </xf>
    <xf numFmtId="0" fontId="40" fillId="0" borderId="0" xfId="30" applyFont="1" applyFill="1" applyBorder="1" applyAlignment="1">
      <alignment horizontal="center" vertical="center"/>
    </xf>
    <xf numFmtId="180" fontId="40" fillId="0" borderId="0" xfId="30" applyNumberFormat="1" applyFont="1" applyBorder="1" applyAlignment="1">
      <alignment horizontal="center" vertical="center"/>
    </xf>
    <xf numFmtId="58" fontId="40" fillId="0" borderId="0" xfId="30" applyNumberFormat="1" applyFont="1" applyBorder="1" applyAlignment="1">
      <alignment horizontal="center" vertical="center"/>
    </xf>
    <xf numFmtId="0" fontId="40" fillId="0" borderId="0" xfId="30" applyNumberFormat="1" applyFont="1" applyBorder="1" applyAlignment="1">
      <alignment horizontal="center" vertical="center"/>
    </xf>
    <xf numFmtId="0" fontId="73" fillId="0" borderId="0" xfId="30" applyFont="1" applyAlignment="1">
      <alignment horizontal="center" vertical="center"/>
    </xf>
    <xf numFmtId="0" fontId="40" fillId="0" borderId="0" xfId="30" applyFont="1" applyBorder="1" applyAlignment="1">
      <alignment vertical="center"/>
    </xf>
    <xf numFmtId="0" fontId="40" fillId="0" borderId="0" xfId="30" quotePrefix="1" applyFont="1" applyAlignment="1">
      <alignment horizontal="center" vertical="center"/>
    </xf>
    <xf numFmtId="178" fontId="40" fillId="0" borderId="0" xfId="30" applyNumberFormat="1" applyFont="1" applyAlignment="1">
      <alignment horizontal="center" vertical="center" wrapText="1"/>
    </xf>
    <xf numFmtId="0" fontId="40" fillId="0" borderId="0" xfId="30" applyNumberFormat="1" applyFont="1" applyBorder="1" applyAlignment="1">
      <alignment vertical="center"/>
    </xf>
    <xf numFmtId="178" fontId="61" fillId="2" borderId="0" xfId="30" applyNumberFormat="1" applyFont="1" applyFill="1" applyAlignment="1">
      <alignment horizontal="center" vertical="center"/>
    </xf>
    <xf numFmtId="0" fontId="61" fillId="2" borderId="0" xfId="30" applyFont="1" applyFill="1" applyAlignment="1">
      <alignment horizontal="center" vertical="center"/>
    </xf>
    <xf numFmtId="186" fontId="61" fillId="2" borderId="0" xfId="30" applyNumberFormat="1" applyFont="1" applyFill="1" applyAlignment="1">
      <alignment horizontal="center" vertical="center"/>
    </xf>
    <xf numFmtId="0" fontId="40" fillId="3" borderId="0" xfId="30" applyFont="1" applyFill="1" applyAlignment="1">
      <alignment horizontal="center" vertical="center"/>
    </xf>
    <xf numFmtId="0" fontId="40" fillId="0" borderId="5" xfId="30" applyFont="1" applyFill="1" applyBorder="1" applyAlignment="1">
      <alignment horizontal="center" vertical="center"/>
    </xf>
    <xf numFmtId="0" fontId="40" fillId="0" borderId="5" xfId="30" applyFont="1" applyFill="1" applyBorder="1" applyAlignment="1">
      <alignment vertical="center"/>
    </xf>
    <xf numFmtId="0" fontId="40" fillId="0" borderId="24" xfId="30" applyFont="1" applyFill="1" applyBorder="1" applyAlignment="1">
      <alignment horizontal="center" vertical="center"/>
    </xf>
    <xf numFmtId="0" fontId="40" fillId="0" borderId="5" xfId="30" applyNumberFormat="1" applyFont="1" applyFill="1" applyBorder="1" applyAlignment="1">
      <alignment horizontal="center" vertical="center"/>
    </xf>
    <xf numFmtId="0" fontId="40" fillId="0" borderId="19" xfId="30" applyNumberFormat="1" applyFont="1" applyFill="1" applyBorder="1" applyAlignment="1">
      <alignment horizontal="left" vertical="center"/>
    </xf>
    <xf numFmtId="0" fontId="40" fillId="0" borderId="0" xfId="30" applyNumberFormat="1" applyFont="1" applyFill="1" applyBorder="1" applyAlignment="1">
      <alignment horizontal="left" vertical="center"/>
    </xf>
    <xf numFmtId="0" fontId="40" fillId="0" borderId="0" xfId="30" applyFont="1" applyFill="1" applyBorder="1" applyAlignment="1">
      <alignment horizontal="left" vertical="center"/>
    </xf>
    <xf numFmtId="0" fontId="37" fillId="0" borderId="10" xfId="30" applyNumberFormat="1" applyFont="1" applyFill="1" applyBorder="1" applyAlignment="1">
      <alignment horizontal="left" vertical="center"/>
    </xf>
    <xf numFmtId="0" fontId="54" fillId="2" borderId="1" xfId="0" applyFont="1" applyFill="1" applyBorder="1" applyAlignment="1">
      <alignment horizontal="center" vertical="center" wrapText="1"/>
    </xf>
    <xf numFmtId="0" fontId="40" fillId="0" borderId="5" xfId="40" applyFont="1" applyBorder="1" applyAlignment="1">
      <alignment horizontal="center" vertical="center"/>
    </xf>
    <xf numFmtId="0" fontId="40" fillId="0" borderId="5" xfId="40" applyFont="1" applyBorder="1" applyAlignment="1">
      <alignment horizontal="center"/>
    </xf>
    <xf numFmtId="0" fontId="40" fillId="0" borderId="5" xfId="40" applyNumberFormat="1" applyFont="1" applyBorder="1" applyAlignment="1">
      <alignment horizontal="center"/>
    </xf>
    <xf numFmtId="0" fontId="40" fillId="0" borderId="0" xfId="40" applyFont="1" applyAlignment="1">
      <alignment horizontal="center" vertical="center"/>
    </xf>
    <xf numFmtId="0" fontId="40" fillId="0" borderId="0" xfId="40" applyFont="1" applyFill="1" applyAlignment="1">
      <alignment horizontal="center" vertical="center"/>
    </xf>
    <xf numFmtId="178" fontId="40" fillId="0" borderId="0" xfId="40" applyNumberFormat="1" applyFont="1" applyAlignment="1">
      <alignment horizontal="center" vertical="center"/>
    </xf>
    <xf numFmtId="186" fontId="40" fillId="0" borderId="0" xfId="40" applyNumberFormat="1" applyFont="1" applyAlignment="1">
      <alignment horizontal="center" vertical="center"/>
    </xf>
    <xf numFmtId="0" fontId="40" fillId="0" borderId="5" xfId="40" applyFont="1" applyFill="1" applyBorder="1" applyAlignment="1">
      <alignment horizontal="center" vertical="center"/>
    </xf>
    <xf numFmtId="0" fontId="40" fillId="0" borderId="5" xfId="40" applyFont="1" applyFill="1" applyBorder="1" applyAlignment="1">
      <alignment vertical="center"/>
    </xf>
    <xf numFmtId="0" fontId="40" fillId="0" borderId="24" xfId="40" applyFont="1" applyFill="1" applyBorder="1" applyAlignment="1">
      <alignment horizontal="center" vertical="center"/>
    </xf>
    <xf numFmtId="0" fontId="54" fillId="0" borderId="11" xfId="0" applyFont="1" applyBorder="1" applyAlignment="1">
      <alignment horizontal="center" vertical="center" wrapText="1"/>
    </xf>
    <xf numFmtId="0" fontId="61" fillId="0" borderId="11" xfId="0" applyFont="1" applyBorder="1" applyAlignment="1">
      <alignment horizontal="center" vertical="center" wrapText="1"/>
    </xf>
    <xf numFmtId="0" fontId="54" fillId="0" borderId="16" xfId="0" applyFont="1" applyBorder="1" applyAlignment="1">
      <alignment horizontal="center" vertical="center" wrapText="1"/>
    </xf>
    <xf numFmtId="0" fontId="61" fillId="0" borderId="16" xfId="0" applyFont="1" applyBorder="1" applyAlignment="1">
      <alignment horizontal="center" vertical="center" wrapText="1"/>
    </xf>
    <xf numFmtId="0" fontId="54" fillId="0" borderId="11" xfId="0" applyFont="1" applyFill="1" applyBorder="1" applyAlignment="1">
      <alignment horizontal="center" vertical="center" wrapText="1"/>
    </xf>
    <xf numFmtId="177" fontId="40" fillId="0" borderId="5" xfId="40" applyNumberFormat="1" applyFont="1" applyBorder="1" applyAlignment="1">
      <alignment horizontal="center"/>
    </xf>
    <xf numFmtId="177" fontId="40" fillId="0" borderId="19" xfId="40" applyNumberFormat="1" applyFont="1" applyFill="1" applyBorder="1" applyAlignment="1">
      <alignment horizontal="left" vertical="center"/>
    </xf>
    <xf numFmtId="177" fontId="40" fillId="0" borderId="0" xfId="40" applyNumberFormat="1" applyFont="1" applyFill="1" applyBorder="1" applyAlignment="1">
      <alignment horizontal="left" vertical="center"/>
    </xf>
    <xf numFmtId="0" fontId="40" fillId="0" borderId="0" xfId="40" applyFont="1" applyFill="1" applyBorder="1" applyAlignment="1">
      <alignment horizontal="left" vertical="center"/>
    </xf>
    <xf numFmtId="177" fontId="37" fillId="0" borderId="10" xfId="40" applyNumberFormat="1" applyFont="1" applyFill="1" applyBorder="1" applyAlignment="1">
      <alignment horizontal="left" vertical="center"/>
    </xf>
    <xf numFmtId="177" fontId="40" fillId="0" borderId="5" xfId="40" applyNumberFormat="1" applyFont="1" applyFill="1" applyBorder="1" applyAlignment="1">
      <alignment horizontal="center" vertical="center"/>
    </xf>
    <xf numFmtId="0" fontId="54" fillId="0" borderId="1" xfId="0" applyFont="1" applyFill="1" applyBorder="1" applyAlignment="1">
      <alignment horizontal="center" vertical="center" wrapText="1"/>
    </xf>
    <xf numFmtId="0" fontId="40" fillId="0" borderId="5" xfId="40" applyNumberFormat="1" applyFont="1" applyFill="1" applyBorder="1" applyAlignment="1">
      <alignment horizontal="center" vertical="center"/>
    </xf>
    <xf numFmtId="0" fontId="40" fillId="0" borderId="24" xfId="40" applyFont="1" applyFill="1" applyBorder="1" applyAlignment="1">
      <alignment vertical="center"/>
    </xf>
    <xf numFmtId="0" fontId="40" fillId="0" borderId="24" xfId="40" applyFont="1" applyBorder="1" applyAlignment="1">
      <alignment horizontal="center" vertical="center"/>
    </xf>
    <xf numFmtId="0" fontId="40" fillId="0" borderId="24" xfId="40" applyFont="1" applyBorder="1" applyAlignment="1">
      <alignment horizontal="center"/>
    </xf>
    <xf numFmtId="0" fontId="40" fillId="0" borderId="24" xfId="40" applyNumberFormat="1" applyFont="1" applyBorder="1" applyAlignment="1">
      <alignment horizontal="center"/>
    </xf>
    <xf numFmtId="0" fontId="40" fillId="0" borderId="1" xfId="40" applyFont="1" applyBorder="1" applyAlignment="1">
      <alignment horizontal="center" vertical="center" wrapText="1"/>
    </xf>
    <xf numFmtId="0" fontId="40" fillId="0" borderId="1" xfId="40" applyFont="1" applyFill="1" applyBorder="1" applyAlignment="1">
      <alignment horizontal="center" vertical="center" wrapText="1"/>
    </xf>
    <xf numFmtId="186" fontId="40" fillId="0" borderId="1" xfId="40" applyNumberFormat="1" applyFont="1" applyFill="1" applyBorder="1" applyAlignment="1">
      <alignment horizontal="center" vertical="center" wrapText="1"/>
    </xf>
    <xf numFmtId="0" fontId="40" fillId="0" borderId="1" xfId="40" applyFont="1" applyFill="1" applyBorder="1" applyAlignment="1">
      <alignment horizontal="center" vertical="center"/>
    </xf>
    <xf numFmtId="0" fontId="40" fillId="0" borderId="14" xfId="40" applyFont="1" applyFill="1" applyBorder="1" applyAlignment="1">
      <alignment horizontal="center" vertical="center" wrapText="1"/>
    </xf>
    <xf numFmtId="0" fontId="74" fillId="0" borderId="2" xfId="40" applyFont="1" applyFill="1" applyBorder="1" applyAlignment="1">
      <alignment horizontal="left" vertical="center"/>
    </xf>
    <xf numFmtId="0" fontId="74" fillId="0" borderId="19" xfId="40" applyFont="1" applyFill="1" applyBorder="1" applyAlignment="1">
      <alignment horizontal="center" vertical="center"/>
    </xf>
    <xf numFmtId="0" fontId="40" fillId="0" borderId="0" xfId="40" applyFont="1" applyFill="1" applyBorder="1" applyAlignment="1">
      <alignment horizontal="center" vertical="center"/>
    </xf>
    <xf numFmtId="0" fontId="40" fillId="0" borderId="17" xfId="40" applyFont="1" applyFill="1" applyBorder="1" applyAlignment="1">
      <alignment horizontal="center" vertical="center"/>
    </xf>
    <xf numFmtId="0" fontId="40" fillId="0" borderId="3" xfId="40" applyFont="1" applyFill="1" applyBorder="1" applyAlignment="1">
      <alignment horizontal="center" vertical="center"/>
    </xf>
    <xf numFmtId="186" fontId="61" fillId="0" borderId="0" xfId="40" applyNumberFormat="1" applyFont="1" applyFill="1" applyBorder="1" applyAlignment="1">
      <alignment horizontal="center" vertical="center"/>
    </xf>
    <xf numFmtId="186" fontId="61" fillId="0" borderId="25" xfId="40" applyNumberFormat="1" applyFont="1" applyFill="1" applyBorder="1" applyAlignment="1">
      <alignment horizontal="left" vertical="center"/>
    </xf>
    <xf numFmtId="14" fontId="40" fillId="0" borderId="11" xfId="40" applyNumberFormat="1" applyFont="1" applyFill="1" applyBorder="1" applyAlignment="1">
      <alignment horizontal="center" vertical="center"/>
    </xf>
    <xf numFmtId="0" fontId="40" fillId="0" borderId="11" xfId="40" applyFont="1" applyFill="1" applyBorder="1" applyAlignment="1">
      <alignment horizontal="center" vertical="center"/>
    </xf>
    <xf numFmtId="0" fontId="74" fillId="0" borderId="11" xfId="40" applyFont="1" applyFill="1" applyBorder="1" applyAlignment="1">
      <alignment horizontal="center" vertical="center"/>
    </xf>
    <xf numFmtId="0" fontId="74" fillId="0" borderId="1" xfId="40" applyFont="1" applyFill="1" applyBorder="1" applyAlignment="1">
      <alignment horizontal="center" vertical="center"/>
    </xf>
    <xf numFmtId="0" fontId="40" fillId="0" borderId="1" xfId="40" applyNumberFormat="1" applyFont="1" applyFill="1" applyBorder="1" applyAlignment="1">
      <alignment horizontal="center" vertical="center"/>
    </xf>
    <xf numFmtId="0" fontId="7" fillId="0" borderId="0" xfId="28" applyFont="1" applyBorder="1" applyProtection="1"/>
    <xf numFmtId="0" fontId="7" fillId="0" borderId="0" xfId="28" applyFont="1" applyBorder="1" applyAlignment="1" applyProtection="1">
      <alignment horizontal="center" vertical="center"/>
    </xf>
    <xf numFmtId="0" fontId="7" fillId="0" borderId="0" xfId="28" applyFont="1" applyBorder="1" applyAlignment="1" applyProtection="1">
      <alignment horizontal="center"/>
    </xf>
    <xf numFmtId="0" fontId="7" fillId="0" borderId="1" xfId="28" applyFont="1" applyBorder="1" applyProtection="1"/>
    <xf numFmtId="0" fontId="7" fillId="0" borderId="0" xfId="28" applyFont="1" applyFill="1" applyBorder="1" applyProtection="1"/>
    <xf numFmtId="0" fontId="7" fillId="0" borderId="0" xfId="28" applyFont="1" applyFill="1" applyBorder="1" applyAlignment="1" applyProtection="1">
      <alignment horizontal="center"/>
    </xf>
    <xf numFmtId="0" fontId="7" fillId="0" borderId="0" xfId="28" applyFont="1" applyFill="1" applyAlignment="1" applyProtection="1">
      <alignment horizontal="center"/>
    </xf>
    <xf numFmtId="0" fontId="7" fillId="0" borderId="0" xfId="28" applyFont="1" applyFill="1" applyAlignment="1" applyProtection="1">
      <alignment horizontal="center" vertical="center"/>
    </xf>
    <xf numFmtId="0" fontId="7" fillId="0" borderId="0" xfId="28" applyFont="1" applyFill="1" applyProtection="1"/>
    <xf numFmtId="0" fontId="7" fillId="0" borderId="0" xfId="28" applyFont="1" applyFill="1" applyBorder="1" applyAlignment="1" applyProtection="1">
      <alignment horizontal="center" vertical="center"/>
    </xf>
    <xf numFmtId="0" fontId="7" fillId="0" borderId="0" xfId="28" applyFont="1" applyFill="1" applyBorder="1" applyAlignment="1" applyProtection="1">
      <alignment horizontal="center" vertical="center" wrapText="1"/>
    </xf>
    <xf numFmtId="0" fontId="7" fillId="0" borderId="5" xfId="28" applyFont="1" applyFill="1" applyBorder="1" applyAlignment="1" applyProtection="1">
      <alignment horizontal="center" vertical="center"/>
    </xf>
    <xf numFmtId="0" fontId="7" fillId="0" borderId="5" xfId="28" applyFont="1" applyFill="1" applyBorder="1" applyAlignment="1" applyProtection="1">
      <alignment horizontal="center" vertical="center" wrapText="1"/>
    </xf>
    <xf numFmtId="0" fontId="7" fillId="0" borderId="0" xfId="28" applyFont="1" applyFill="1" applyBorder="1" applyAlignment="1" applyProtection="1">
      <alignment horizontal="right" vertical="center"/>
    </xf>
    <xf numFmtId="0" fontId="7" fillId="0" borderId="0" xfId="28" applyFont="1" applyFill="1" applyBorder="1" applyAlignment="1" applyProtection="1">
      <alignment vertical="center"/>
    </xf>
    <xf numFmtId="0" fontId="0" fillId="0" borderId="0" xfId="0" applyBorder="1" applyAlignment="1">
      <alignment vertical="center"/>
    </xf>
    <xf numFmtId="0" fontId="0" fillId="0" borderId="5" xfId="0" applyBorder="1" applyAlignment="1">
      <alignment horizontal="center" vertical="center"/>
    </xf>
    <xf numFmtId="178" fontId="7" fillId="0" borderId="5" xfId="28" applyNumberFormat="1" applyFont="1" applyFill="1" applyBorder="1" applyAlignment="1" applyProtection="1">
      <alignment horizontal="center" vertical="center"/>
    </xf>
    <xf numFmtId="0" fontId="7" fillId="0" borderId="5" xfId="28" applyFont="1" applyBorder="1" applyAlignment="1" applyProtection="1">
      <alignment horizontal="center"/>
    </xf>
    <xf numFmtId="186" fontId="7" fillId="0" borderId="5" xfId="28" applyNumberFormat="1" applyFont="1" applyFill="1" applyBorder="1" applyAlignment="1" applyProtection="1">
      <alignment horizontal="center" vertical="center"/>
    </xf>
    <xf numFmtId="0" fontId="75" fillId="0" borderId="5" xfId="28" applyFont="1" applyFill="1" applyBorder="1" applyAlignment="1" applyProtection="1">
      <alignment horizontal="center" vertical="center"/>
    </xf>
    <xf numFmtId="179" fontId="7" fillId="0" borderId="5" xfId="28" applyNumberFormat="1" applyFont="1" applyFill="1" applyBorder="1" applyAlignment="1" applyProtection="1">
      <alignment horizontal="center" vertical="center"/>
    </xf>
    <xf numFmtId="0" fontId="75" fillId="0" borderId="5" xfId="28" applyFont="1" applyFill="1" applyBorder="1" applyAlignment="1" applyProtection="1">
      <alignment horizontal="center" vertical="center" wrapText="1"/>
    </xf>
    <xf numFmtId="177" fontId="7" fillId="0" borderId="5" xfId="28" applyNumberFormat="1" applyFont="1" applyFill="1" applyBorder="1" applyAlignment="1" applyProtection="1">
      <alignment horizontal="center" vertical="center"/>
    </xf>
    <xf numFmtId="0" fontId="7" fillId="0" borderId="1" xfId="28" applyFont="1" applyBorder="1"/>
    <xf numFmtId="0" fontId="7" fillId="0" borderId="1" xfId="28" applyFont="1" applyFill="1" applyBorder="1" applyAlignment="1" applyProtection="1">
      <alignment horizontal="center" vertical="center" wrapText="1"/>
    </xf>
    <xf numFmtId="0" fontId="7" fillId="0" borderId="13" xfId="28" applyFont="1" applyFill="1" applyBorder="1" applyAlignment="1" applyProtection="1">
      <alignment horizontal="center" vertical="center" wrapText="1"/>
    </xf>
    <xf numFmtId="0" fontId="7" fillId="0" borderId="5" xfId="28" applyFont="1" applyBorder="1" applyAlignment="1" applyProtection="1">
      <alignment horizontal="center" vertical="center"/>
    </xf>
    <xf numFmtId="180" fontId="7" fillId="0" borderId="0" xfId="28" applyNumberFormat="1" applyFont="1" applyBorder="1" applyAlignment="1" applyProtection="1">
      <alignment horizontal="center"/>
    </xf>
    <xf numFmtId="0" fontId="7" fillId="0" borderId="0" xfId="28" applyFont="1" applyAlignment="1" applyProtection="1"/>
    <xf numFmtId="0" fontId="7" fillId="0" borderId="1" xfId="28" applyFont="1" applyBorder="1" applyAlignment="1" applyProtection="1"/>
    <xf numFmtId="0" fontId="7" fillId="0" borderId="1" xfId="28" applyFont="1" applyBorder="1" applyAlignment="1" applyProtection="1">
      <alignment horizontal="center" vertical="center"/>
    </xf>
    <xf numFmtId="0" fontId="7" fillId="0" borderId="1" xfId="28" applyFont="1" applyBorder="1" applyAlignment="1" applyProtection="1">
      <alignment vertical="center"/>
    </xf>
    <xf numFmtId="0" fontId="77" fillId="0" borderId="0" xfId="28" applyFont="1" applyBorder="1" applyAlignment="1" applyProtection="1">
      <alignment horizontal="center"/>
    </xf>
    <xf numFmtId="0" fontId="7" fillId="0" borderId="0" xfId="28" applyFont="1" applyBorder="1" applyAlignment="1" applyProtection="1"/>
    <xf numFmtId="0" fontId="7" fillId="0" borderId="0" xfId="28" applyFont="1" applyAlignment="1" applyProtection="1">
      <alignment vertical="center"/>
    </xf>
    <xf numFmtId="0" fontId="40" fillId="0" borderId="1" xfId="37" applyFont="1" applyFill="1" applyBorder="1" applyAlignment="1">
      <alignment horizontal="center" vertical="center" wrapText="1"/>
    </xf>
    <xf numFmtId="0" fontId="54" fillId="0" borderId="1" xfId="0" applyFont="1" applyBorder="1" applyAlignment="1">
      <alignment horizontal="center" vertical="center"/>
    </xf>
    <xf numFmtId="0" fontId="54" fillId="0" borderId="1" xfId="0" applyFont="1" applyBorder="1">
      <alignment vertical="center"/>
    </xf>
    <xf numFmtId="0" fontId="40" fillId="0" borderId="0" xfId="0" applyFont="1">
      <alignment vertical="center"/>
    </xf>
    <xf numFmtId="0" fontId="54" fillId="2" borderId="1" xfId="0" applyFont="1" applyFill="1" applyBorder="1" applyAlignment="1">
      <alignment horizontal="center" vertical="center"/>
    </xf>
    <xf numFmtId="0" fontId="54" fillId="0" borderId="1" xfId="0" applyFont="1" applyFill="1" applyBorder="1" applyAlignment="1">
      <alignment horizontal="center" vertical="center"/>
    </xf>
    <xf numFmtId="0" fontId="54" fillId="0" borderId="2" xfId="0" applyFont="1" applyFill="1" applyBorder="1" applyAlignment="1">
      <alignment horizontal="center" vertical="center" wrapText="1"/>
    </xf>
    <xf numFmtId="179" fontId="54" fillId="0" borderId="1" xfId="0" applyNumberFormat="1" applyFont="1" applyBorder="1" applyAlignment="1">
      <alignment horizontal="center" vertical="center"/>
    </xf>
    <xf numFmtId="0" fontId="54" fillId="0" borderId="0" xfId="0" applyFont="1" applyBorder="1" applyAlignment="1">
      <alignment horizontal="center" vertical="center"/>
    </xf>
    <xf numFmtId="0" fontId="54" fillId="0" borderId="0" xfId="0" applyFont="1" applyBorder="1">
      <alignment vertical="center"/>
    </xf>
    <xf numFmtId="0" fontId="40" fillId="0" borderId="0" xfId="0" applyFont="1" applyFill="1" applyBorder="1" applyAlignment="1">
      <alignment horizontal="center" wrapText="1"/>
    </xf>
    <xf numFmtId="0" fontId="40" fillId="0" borderId="0" xfId="37" applyFont="1" applyFill="1" applyBorder="1" applyAlignment="1">
      <alignment horizontal="center" vertical="center" wrapText="1"/>
    </xf>
    <xf numFmtId="0" fontId="54" fillId="0" borderId="0" xfId="0" applyFont="1" applyFill="1" applyBorder="1" applyAlignment="1">
      <alignment horizontal="center" vertical="center" wrapText="1"/>
    </xf>
    <xf numFmtId="0" fontId="54" fillId="0" borderId="0" xfId="0" applyNumberFormat="1" applyFont="1" applyBorder="1" applyAlignment="1">
      <alignment horizontal="center" vertical="center" wrapText="1"/>
    </xf>
    <xf numFmtId="0" fontId="40" fillId="0" borderId="0" xfId="40" applyFont="1"/>
    <xf numFmtId="0" fontId="40" fillId="0" borderId="0" xfId="40" applyFont="1" applyAlignment="1">
      <alignment vertical="center"/>
    </xf>
    <xf numFmtId="0" fontId="40" fillId="0" borderId="0" xfId="40" applyFont="1" applyFill="1"/>
    <xf numFmtId="0" fontId="40" fillId="7" borderId="0" xfId="40" applyFont="1" applyFill="1"/>
    <xf numFmtId="0" fontId="40" fillId="0" borderId="1" xfId="40" applyFont="1" applyBorder="1" applyAlignment="1">
      <alignment wrapText="1"/>
    </xf>
    <xf numFmtId="0" fontId="40" fillId="0" borderId="1" xfId="40" applyFont="1" applyFill="1" applyBorder="1" applyAlignment="1">
      <alignment wrapText="1"/>
    </xf>
    <xf numFmtId="0" fontId="40" fillId="0" borderId="0" xfId="40" applyFont="1" applyAlignment="1">
      <alignment vertical="center" wrapText="1"/>
    </xf>
    <xf numFmtId="0" fontId="40" fillId="0" borderId="0" xfId="40" applyFont="1" applyFill="1" applyAlignment="1">
      <alignment vertical="center"/>
    </xf>
    <xf numFmtId="0" fontId="40" fillId="0" borderId="0" xfId="40" quotePrefix="1" applyFont="1" applyAlignment="1">
      <alignment vertical="center"/>
    </xf>
    <xf numFmtId="178" fontId="40" fillId="0" borderId="0" xfId="40" applyNumberFormat="1" applyFont="1" applyAlignment="1">
      <alignment vertical="center"/>
    </xf>
    <xf numFmtId="0" fontId="40" fillId="0" borderId="0" xfId="40" applyFont="1" applyFill="1" applyAlignment="1">
      <alignment vertical="center" wrapText="1"/>
    </xf>
    <xf numFmtId="178" fontId="40" fillId="0" borderId="0" xfId="40" applyNumberFormat="1" applyFont="1" applyAlignment="1">
      <alignment vertical="center" wrapText="1"/>
    </xf>
    <xf numFmtId="0" fontId="40" fillId="0" borderId="0" xfId="40" applyFont="1" applyBorder="1" applyAlignment="1">
      <alignment horizontal="center"/>
    </xf>
    <xf numFmtId="0" fontId="40" fillId="7" borderId="0" xfId="40" applyFont="1" applyFill="1" applyBorder="1" applyAlignment="1">
      <alignment horizontal="center"/>
    </xf>
    <xf numFmtId="0" fontId="40" fillId="0" borderId="0" xfId="40" applyFont="1" applyFill="1" applyBorder="1" applyAlignment="1">
      <alignment horizontal="center"/>
    </xf>
    <xf numFmtId="0" fontId="40" fillId="0" borderId="0" xfId="40" applyFont="1" applyBorder="1" applyAlignment="1">
      <alignment horizontal="center" vertical="center"/>
    </xf>
    <xf numFmtId="58" fontId="40" fillId="0" borderId="0" xfId="40" applyNumberFormat="1" applyFont="1" applyBorder="1"/>
    <xf numFmtId="0" fontId="40" fillId="0" borderId="0" xfId="40" applyFont="1" applyBorder="1" applyAlignment="1">
      <alignment horizontal="left"/>
    </xf>
    <xf numFmtId="0" fontId="40" fillId="7" borderId="0" xfId="40" applyFont="1" applyFill="1" applyBorder="1" applyAlignment="1">
      <alignment horizontal="left"/>
    </xf>
    <xf numFmtId="0" fontId="40" fillId="0" borderId="0" xfId="40" applyFont="1" applyBorder="1" applyAlignment="1">
      <alignment horizontal="left" vertical="center"/>
    </xf>
    <xf numFmtId="0" fontId="40" fillId="0" borderId="0" xfId="40" applyNumberFormat="1" applyFont="1" applyBorder="1" applyAlignment="1">
      <alignment horizontal="left"/>
    </xf>
    <xf numFmtId="178" fontId="81" fillId="0" borderId="0" xfId="40" applyNumberFormat="1" applyFont="1" applyAlignment="1">
      <alignment vertical="center"/>
    </xf>
    <xf numFmtId="178" fontId="82" fillId="0" borderId="0" xfId="40" applyNumberFormat="1" applyFont="1" applyAlignment="1">
      <alignment vertical="center"/>
    </xf>
    <xf numFmtId="178" fontId="83" fillId="0" borderId="0" xfId="40" applyNumberFormat="1" applyFont="1" applyAlignment="1">
      <alignment vertical="center"/>
    </xf>
    <xf numFmtId="178" fontId="62" fillId="0" borderId="0" xfId="40" applyNumberFormat="1" applyFont="1" applyAlignment="1">
      <alignment vertical="center"/>
    </xf>
    <xf numFmtId="178" fontId="61" fillId="0" borderId="0" xfId="40" applyNumberFormat="1" applyFont="1" applyAlignment="1">
      <alignment vertical="center"/>
    </xf>
    <xf numFmtId="178" fontId="81" fillId="2" borderId="0" xfId="40" applyNumberFormat="1" applyFont="1" applyFill="1" applyAlignment="1">
      <alignment vertical="center"/>
    </xf>
    <xf numFmtId="178" fontId="61" fillId="2" borderId="0" xfId="40" applyNumberFormat="1" applyFont="1" applyFill="1" applyAlignment="1">
      <alignment vertical="center"/>
    </xf>
    <xf numFmtId="178" fontId="82" fillId="2" borderId="0" xfId="40" applyNumberFormat="1" applyFont="1" applyFill="1" applyAlignment="1">
      <alignment vertical="center"/>
    </xf>
    <xf numFmtId="178" fontId="83" fillId="2" borderId="0" xfId="40" applyNumberFormat="1" applyFont="1" applyFill="1" applyAlignment="1">
      <alignment vertical="center"/>
    </xf>
    <xf numFmtId="178" fontId="62" fillId="2" borderId="0" xfId="40" applyNumberFormat="1" applyFont="1" applyFill="1" applyAlignment="1">
      <alignment vertical="center"/>
    </xf>
    <xf numFmtId="0" fontId="37" fillId="0" borderId="0" xfId="40" applyFont="1" applyBorder="1" applyAlignment="1">
      <alignment horizontal="left"/>
    </xf>
    <xf numFmtId="0" fontId="40" fillId="0" borderId="1" xfId="40" applyFont="1" applyBorder="1" applyAlignment="1">
      <alignment horizontal="center"/>
    </xf>
    <xf numFmtId="0" fontId="40" fillId="0" borderId="1" xfId="40" applyFont="1" applyBorder="1"/>
    <xf numFmtId="0" fontId="40" fillId="0" borderId="1" xfId="40" applyFont="1" applyBorder="1" applyAlignment="1">
      <alignment horizontal="center" vertical="center"/>
    </xf>
    <xf numFmtId="0" fontId="40" fillId="0" borderId="1" xfId="40" applyFont="1" applyFill="1" applyBorder="1" applyAlignment="1">
      <alignment horizontal="center"/>
    </xf>
    <xf numFmtId="0" fontId="40" fillId="0" borderId="16" xfId="40" applyFont="1" applyBorder="1" applyAlignment="1">
      <alignment horizontal="center" vertical="center"/>
    </xf>
    <xf numFmtId="0" fontId="40" fillId="0" borderId="16" xfId="40" applyFont="1" applyBorder="1" applyAlignment="1">
      <alignment horizontal="center"/>
    </xf>
    <xf numFmtId="0" fontId="40" fillId="0" borderId="16" xfId="40" applyFont="1" applyBorder="1"/>
    <xf numFmtId="0" fontId="40" fillId="0" borderId="16" xfId="40" applyFont="1" applyFill="1" applyBorder="1" applyAlignment="1">
      <alignment horizontal="center"/>
    </xf>
    <xf numFmtId="177" fontId="40" fillId="0" borderId="14" xfId="40" applyNumberFormat="1" applyFont="1" applyBorder="1" applyAlignment="1"/>
    <xf numFmtId="0" fontId="40" fillId="0" borderId="15" xfId="40" applyFont="1" applyBorder="1"/>
    <xf numFmtId="177" fontId="40" fillId="0" borderId="15" xfId="40" applyNumberFormat="1" applyFont="1" applyBorder="1" applyAlignment="1"/>
    <xf numFmtId="177" fontId="37" fillId="0" borderId="3" xfId="40" applyNumberFormat="1" applyFont="1" applyBorder="1" applyAlignment="1"/>
    <xf numFmtId="0" fontId="40" fillId="0" borderId="11" xfId="40" applyFont="1" applyBorder="1" applyAlignment="1">
      <alignment horizontal="center"/>
    </xf>
    <xf numFmtId="0" fontId="40" fillId="0" borderId="11" xfId="40" applyFont="1" applyBorder="1"/>
    <xf numFmtId="0" fontId="40" fillId="0" borderId="11" xfId="40" applyFont="1" applyBorder="1" applyAlignment="1">
      <alignment horizontal="center" vertical="center"/>
    </xf>
    <xf numFmtId="0" fontId="40" fillId="0" borderId="11" xfId="40" applyFont="1" applyFill="1" applyBorder="1" applyAlignment="1">
      <alignment horizontal="center"/>
    </xf>
    <xf numFmtId="0" fontId="40" fillId="0" borderId="11" xfId="40" applyFont="1" applyBorder="1" applyAlignment="1">
      <alignment vertical="center"/>
    </xf>
    <xf numFmtId="177" fontId="40" fillId="0" borderId="11" xfId="40" applyNumberFormat="1" applyFont="1" applyBorder="1" applyAlignment="1">
      <alignment horizontal="center"/>
    </xf>
    <xf numFmtId="0" fontId="40" fillId="0" borderId="1" xfId="40" applyFont="1" applyBorder="1" applyAlignment="1">
      <alignment vertical="center"/>
    </xf>
    <xf numFmtId="177" fontId="40" fillId="0" borderId="1" xfId="40" applyNumberFormat="1" applyFont="1" applyBorder="1" applyAlignment="1">
      <alignment horizontal="center"/>
    </xf>
    <xf numFmtId="0" fontId="40" fillId="0" borderId="16" xfId="40" applyFont="1" applyBorder="1" applyAlignment="1">
      <alignment vertical="center"/>
    </xf>
    <xf numFmtId="0" fontId="40" fillId="0" borderId="16" xfId="40" applyFont="1" applyFill="1" applyBorder="1" applyAlignment="1">
      <alignment horizontal="center" vertical="center"/>
    </xf>
    <xf numFmtId="177" fontId="40" fillId="0" borderId="16" xfId="40" applyNumberFormat="1" applyFont="1" applyBorder="1" applyAlignment="1">
      <alignment horizontal="center"/>
    </xf>
    <xf numFmtId="0" fontId="40" fillId="0" borderId="11" xfId="40" applyNumberFormat="1" applyFont="1" applyBorder="1" applyAlignment="1">
      <alignment horizontal="center"/>
    </xf>
    <xf numFmtId="0" fontId="40" fillId="0" borderId="1" xfId="40" applyNumberFormat="1" applyFont="1" applyBorder="1" applyAlignment="1">
      <alignment horizontal="center"/>
    </xf>
    <xf numFmtId="0" fontId="40" fillId="0" borderId="16" xfId="40" applyNumberFormat="1" applyFont="1" applyBorder="1" applyAlignment="1">
      <alignment horizontal="center"/>
    </xf>
    <xf numFmtId="0" fontId="40" fillId="0" borderId="0" xfId="40" applyFont="1" applyFill="1" applyBorder="1" applyAlignment="1">
      <alignment vertical="center" wrapText="1"/>
    </xf>
    <xf numFmtId="0" fontId="40" fillId="0" borderId="0" xfId="40" applyFont="1" applyFill="1" applyBorder="1" applyAlignment="1">
      <alignment vertical="center"/>
    </xf>
    <xf numFmtId="0" fontId="40" fillId="0" borderId="11" xfId="32" applyFont="1" applyFill="1" applyBorder="1" applyAlignment="1">
      <alignment horizontal="center" vertical="center"/>
    </xf>
    <xf numFmtId="0" fontId="40" fillId="0" borderId="11" xfId="32" applyFont="1" applyFill="1" applyBorder="1" applyAlignment="1">
      <alignment horizontal="center" vertical="center" wrapText="1"/>
    </xf>
    <xf numFmtId="0" fontId="40" fillId="0" borderId="2" xfId="40" applyFont="1" applyBorder="1" applyAlignment="1">
      <alignment horizontal="center" vertical="center" wrapText="1"/>
    </xf>
    <xf numFmtId="0" fontId="84" fillId="0" borderId="1" xfId="40" applyFont="1" applyBorder="1" applyAlignment="1">
      <alignment vertical="center"/>
    </xf>
    <xf numFmtId="0" fontId="40" fillId="0" borderId="1" xfId="40" applyFont="1" applyBorder="1" applyAlignment="1">
      <alignment horizontal="left" vertical="center"/>
    </xf>
    <xf numFmtId="0" fontId="40" fillId="0" borderId="14" xfId="40" applyFont="1" applyBorder="1" applyAlignment="1">
      <alignment vertical="center"/>
    </xf>
    <xf numFmtId="0" fontId="40" fillId="0" borderId="15" xfId="40" applyFont="1" applyBorder="1" applyAlignment="1">
      <alignment vertical="center"/>
    </xf>
    <xf numFmtId="0" fontId="40" fillId="0" borderId="3" xfId="40" applyFont="1" applyBorder="1" applyAlignment="1">
      <alignment vertical="center"/>
    </xf>
    <xf numFmtId="0" fontId="40" fillId="0" borderId="11" xfId="40" applyFont="1" applyBorder="1" applyAlignment="1">
      <alignment horizontal="center" vertical="center" wrapText="1"/>
    </xf>
    <xf numFmtId="0" fontId="63" fillId="0" borderId="0" xfId="40" applyFont="1" applyBorder="1" applyAlignment="1">
      <alignment vertical="center" wrapText="1"/>
    </xf>
    <xf numFmtId="0" fontId="63" fillId="0" borderId="0" xfId="40" applyFont="1" applyBorder="1" applyAlignment="1">
      <alignment vertical="center"/>
    </xf>
    <xf numFmtId="0" fontId="40" fillId="0" borderId="14" xfId="40" applyFont="1" applyBorder="1" applyAlignment="1"/>
    <xf numFmtId="0" fontId="40" fillId="0" borderId="15" xfId="40" applyFont="1" applyBorder="1" applyAlignment="1"/>
    <xf numFmtId="0" fontId="40" fillId="0" borderId="3" xfId="40" applyFont="1" applyBorder="1" applyAlignment="1"/>
    <xf numFmtId="14" fontId="40" fillId="0" borderId="1" xfId="40" applyNumberFormat="1" applyFont="1" applyBorder="1" applyAlignment="1">
      <alignment horizontal="center" vertical="center"/>
    </xf>
    <xf numFmtId="0" fontId="74" fillId="0" borderId="1" xfId="40" applyFont="1" applyBorder="1" applyAlignment="1">
      <alignment horizontal="center" vertical="center"/>
    </xf>
    <xf numFmtId="0" fontId="40" fillId="0" borderId="1" xfId="36" applyFont="1" applyBorder="1" applyAlignment="1">
      <alignment horizontal="center" vertical="center" wrapText="1"/>
    </xf>
    <xf numFmtId="0" fontId="40" fillId="0" borderId="1" xfId="40" applyNumberFormat="1" applyFont="1" applyBorder="1" applyAlignment="1">
      <alignment horizontal="center" vertical="center"/>
    </xf>
    <xf numFmtId="0" fontId="47" fillId="0" borderId="0" xfId="28" applyFont="1" applyBorder="1" applyAlignment="1" applyProtection="1">
      <alignment wrapText="1"/>
    </xf>
    <xf numFmtId="0" fontId="47" fillId="0" borderId="0" xfId="28" applyFont="1" applyBorder="1" applyAlignment="1" applyProtection="1">
      <alignment horizontal="center" vertical="center" wrapText="1"/>
    </xf>
    <xf numFmtId="0" fontId="47" fillId="0" borderId="0" xfId="28" applyFont="1" applyBorder="1" applyAlignment="1" applyProtection="1">
      <alignment horizontal="center" wrapText="1"/>
    </xf>
    <xf numFmtId="0" fontId="38" fillId="0" borderId="0" xfId="28" applyFont="1" applyFill="1" applyBorder="1" applyAlignment="1" applyProtection="1">
      <alignment horizontal="center" vertical="center" wrapText="1"/>
    </xf>
    <xf numFmtId="0" fontId="40" fillId="0" borderId="0" xfId="28" applyFont="1" applyBorder="1" applyAlignment="1" applyProtection="1">
      <alignment wrapText="1"/>
    </xf>
    <xf numFmtId="0" fontId="40" fillId="0" borderId="0" xfId="28" applyFont="1" applyBorder="1" applyAlignment="1" applyProtection="1">
      <alignment horizontal="center" vertical="center" wrapText="1"/>
    </xf>
    <xf numFmtId="0" fontId="40" fillId="0" borderId="0" xfId="28" applyFont="1" applyFill="1" applyBorder="1" applyAlignment="1" applyProtection="1">
      <alignment vertical="center" wrapText="1"/>
    </xf>
    <xf numFmtId="0" fontId="38" fillId="0" borderId="0" xfId="28" applyFont="1" applyFill="1" applyBorder="1" applyAlignment="1" applyProtection="1">
      <alignment vertical="center" wrapText="1"/>
    </xf>
    <xf numFmtId="0" fontId="38" fillId="0" borderId="0" xfId="28" applyFont="1" applyBorder="1" applyAlignment="1" applyProtection="1">
      <alignment wrapText="1"/>
    </xf>
    <xf numFmtId="0" fontId="38" fillId="0" borderId="0" xfId="28" applyFont="1" applyBorder="1" applyAlignment="1" applyProtection="1">
      <alignment horizontal="center" wrapText="1"/>
    </xf>
    <xf numFmtId="0" fontId="40" fillId="0" borderId="0" xfId="28" applyFont="1" applyFill="1" applyBorder="1" applyAlignment="1" applyProtection="1">
      <alignment wrapText="1"/>
    </xf>
    <xf numFmtId="0" fontId="40" fillId="0" borderId="0" xfId="28" applyFont="1" applyFill="1" applyBorder="1" applyAlignment="1" applyProtection="1">
      <alignment horizontal="center" vertical="center" wrapText="1"/>
    </xf>
    <xf numFmtId="0" fontId="38" fillId="0" borderId="0" xfId="28" applyFont="1" applyFill="1" applyBorder="1" applyAlignment="1" applyProtection="1">
      <alignment horizontal="center" wrapText="1"/>
    </xf>
    <xf numFmtId="0" fontId="47" fillId="0" borderId="1" xfId="28" applyFont="1" applyBorder="1" applyAlignment="1" applyProtection="1">
      <alignment wrapText="1"/>
    </xf>
    <xf numFmtId="0" fontId="40" fillId="0" borderId="1" xfId="28" applyFont="1" applyFill="1" applyBorder="1" applyAlignment="1" applyProtection="1">
      <alignment horizontal="center" vertical="center" wrapText="1"/>
    </xf>
    <xf numFmtId="184" fontId="40" fillId="0" borderId="1" xfId="28" applyNumberFormat="1" applyFont="1" applyFill="1" applyBorder="1" applyAlignment="1" applyProtection="1">
      <alignment horizontal="center" vertical="center" wrapText="1"/>
    </xf>
    <xf numFmtId="0" fontId="40" fillId="0" borderId="15" xfId="28" applyFont="1" applyFill="1" applyBorder="1" applyAlignment="1" applyProtection="1">
      <alignment horizontal="center" vertical="center" wrapText="1"/>
    </xf>
    <xf numFmtId="0" fontId="40" fillId="0" borderId="1" xfId="28" applyFont="1" applyFill="1" applyBorder="1" applyAlignment="1" applyProtection="1">
      <alignment horizontal="center" vertical="center"/>
    </xf>
    <xf numFmtId="179" fontId="40" fillId="0" borderId="1" xfId="28" applyNumberFormat="1" applyFont="1" applyFill="1" applyBorder="1" applyAlignment="1" applyProtection="1">
      <alignment horizontal="center" vertical="center" wrapText="1"/>
    </xf>
    <xf numFmtId="0" fontId="40" fillId="0" borderId="3" xfId="28" applyFont="1" applyFill="1" applyBorder="1" applyAlignment="1" applyProtection="1">
      <alignment horizontal="center" vertical="center" wrapText="1"/>
    </xf>
    <xf numFmtId="0" fontId="40" fillId="0" borderId="1" xfId="28" applyFont="1" applyBorder="1" applyAlignment="1" applyProtection="1">
      <alignment horizontal="center" wrapText="1"/>
    </xf>
    <xf numFmtId="0" fontId="40" fillId="0" borderId="1" xfId="28" applyFont="1" applyBorder="1" applyAlignment="1" applyProtection="1">
      <alignment wrapText="1"/>
    </xf>
    <xf numFmtId="178" fontId="40" fillId="0" borderId="1" xfId="28" applyNumberFormat="1" applyFont="1" applyFill="1" applyBorder="1" applyAlignment="1" applyProtection="1">
      <alignment horizontal="center" vertical="center" wrapText="1"/>
    </xf>
    <xf numFmtId="0" fontId="40" fillId="0" borderId="1" xfId="28" applyNumberFormat="1" applyFont="1" applyBorder="1" applyAlignment="1" applyProtection="1">
      <alignment horizontal="center" vertical="center" wrapText="1"/>
    </xf>
    <xf numFmtId="0" fontId="40" fillId="0" borderId="0" xfId="28" applyFont="1" applyAlignment="1">
      <alignment wrapText="1"/>
    </xf>
    <xf numFmtId="180" fontId="40" fillId="0" borderId="0" xfId="28" applyNumberFormat="1" applyFont="1" applyBorder="1" applyAlignment="1" applyProtection="1">
      <alignment horizontal="center" wrapText="1"/>
    </xf>
    <xf numFmtId="0" fontId="40" fillId="0" borderId="0" xfId="28" applyFont="1" applyBorder="1" applyAlignment="1" applyProtection="1">
      <alignment horizontal="center" wrapText="1"/>
    </xf>
    <xf numFmtId="0" fontId="40" fillId="0" borderId="0" xfId="28" applyFont="1" applyBorder="1" applyAlignment="1" applyProtection="1">
      <alignment vertical="center" wrapText="1"/>
    </xf>
    <xf numFmtId="0" fontId="74" fillId="0" borderId="0" xfId="28" applyFont="1" applyBorder="1" applyAlignment="1" applyProtection="1">
      <alignment horizontal="center" wrapText="1"/>
    </xf>
    <xf numFmtId="182" fontId="40" fillId="0" borderId="0" xfId="28" applyNumberFormat="1" applyFont="1" applyFill="1" applyBorder="1" applyAlignment="1" applyProtection="1">
      <alignment vertical="center" wrapText="1"/>
    </xf>
    <xf numFmtId="180" fontId="40" fillId="0" borderId="1" xfId="28" applyNumberFormat="1" applyFont="1" applyFill="1" applyBorder="1" applyAlignment="1" applyProtection="1">
      <alignment vertical="center" wrapText="1"/>
    </xf>
    <xf numFmtId="0" fontId="40" fillId="0" borderId="1" xfId="28" applyFont="1" applyFill="1" applyBorder="1" applyAlignment="1" applyProtection="1">
      <alignment vertical="center" wrapText="1"/>
    </xf>
    <xf numFmtId="0" fontId="40" fillId="0" borderId="12" xfId="28" applyFont="1" applyBorder="1" applyAlignment="1" applyProtection="1">
      <alignment horizontal="center" wrapText="1"/>
    </xf>
    <xf numFmtId="0" fontId="46" fillId="0" borderId="0" xfId="28" applyFont="1" applyAlignment="1" applyProtection="1">
      <alignment vertical="center" wrapText="1"/>
    </xf>
    <xf numFmtId="0" fontId="46" fillId="0" borderId="0" xfId="28" applyFont="1" applyBorder="1" applyAlignment="1" applyProtection="1">
      <alignment vertical="center" wrapText="1"/>
    </xf>
    <xf numFmtId="0" fontId="46" fillId="0" borderId="0" xfId="28" applyFont="1" applyBorder="1" applyAlignment="1" applyProtection="1">
      <alignment horizontal="center" vertical="center" wrapText="1"/>
    </xf>
    <xf numFmtId="0" fontId="40" fillId="0" borderId="1" xfId="28" applyFont="1" applyBorder="1" applyAlignment="1" applyProtection="1">
      <alignment horizontal="center" vertical="center" wrapText="1"/>
    </xf>
    <xf numFmtId="179" fontId="14" fillId="0" borderId="1" xfId="0" applyNumberFormat="1" applyFont="1" applyBorder="1" applyAlignment="1">
      <alignment horizontal="center" vertical="center"/>
    </xf>
    <xf numFmtId="0" fontId="40" fillId="0" borderId="0" xfId="26" applyFont="1"/>
    <xf numFmtId="0" fontId="40" fillId="0" borderId="0" xfId="26" applyFont="1" applyAlignment="1">
      <alignment wrapText="1"/>
    </xf>
    <xf numFmtId="0" fontId="40" fillId="0" borderId="0" xfId="26" applyFont="1" applyAlignment="1">
      <alignment horizontal="center"/>
    </xf>
    <xf numFmtId="0" fontId="40" fillId="0" borderId="0" xfId="26" applyFont="1" applyAlignment="1">
      <alignment horizontal="left"/>
    </xf>
    <xf numFmtId="0" fontId="37" fillId="0" borderId="0" xfId="26" applyFont="1"/>
    <xf numFmtId="0" fontId="40" fillId="0" borderId="0" xfId="26" applyFont="1" applyBorder="1"/>
    <xf numFmtId="0" fontId="40" fillId="0" borderId="0" xfId="26" applyFont="1" applyBorder="1" applyAlignment="1">
      <alignment horizontal="left"/>
    </xf>
    <xf numFmtId="0" fontId="40" fillId="0" borderId="0" xfId="26" applyFont="1" applyBorder="1" applyAlignment="1">
      <alignment horizontal="center"/>
    </xf>
    <xf numFmtId="58" fontId="40" fillId="0" borderId="0" xfId="26" applyNumberFormat="1" applyFont="1" applyBorder="1"/>
    <xf numFmtId="0" fontId="40" fillId="0" borderId="0" xfId="26" applyNumberFormat="1" applyFont="1" applyBorder="1" applyAlignment="1">
      <alignment horizontal="left"/>
    </xf>
    <xf numFmtId="0" fontId="40" fillId="0" borderId="0" xfId="26" applyFont="1" applyAlignment="1">
      <alignment horizontal="center" vertical="center"/>
    </xf>
    <xf numFmtId="0" fontId="40" fillId="0" borderId="0" xfId="26" applyFont="1" applyAlignment="1">
      <alignment horizontal="center" vertical="center" wrapText="1"/>
    </xf>
    <xf numFmtId="0" fontId="61" fillId="0" borderId="1" xfId="26" applyFont="1" applyBorder="1" applyAlignment="1">
      <alignment horizontal="center" vertical="center"/>
    </xf>
    <xf numFmtId="0" fontId="61" fillId="2" borderId="1" xfId="26" applyFont="1" applyFill="1" applyBorder="1" applyAlignment="1">
      <alignment horizontal="center" vertical="center"/>
    </xf>
    <xf numFmtId="184" fontId="40" fillId="0" borderId="1" xfId="26" applyNumberFormat="1" applyFont="1" applyBorder="1" applyAlignment="1">
      <alignment horizontal="center" vertical="center"/>
    </xf>
    <xf numFmtId="0" fontId="40" fillId="0" borderId="0" xfId="26" applyFont="1" applyBorder="1" applyAlignment="1">
      <alignment horizontal="left" vertical="center"/>
    </xf>
    <xf numFmtId="179" fontId="40" fillId="0" borderId="1" xfId="26" applyNumberFormat="1" applyFont="1" applyBorder="1" applyAlignment="1">
      <alignment horizontal="center" vertical="center"/>
    </xf>
    <xf numFmtId="0" fontId="40" fillId="0" borderId="0" xfId="26" applyNumberFormat="1" applyFont="1" applyBorder="1" applyAlignment="1">
      <alignment horizontal="left" vertical="center"/>
    </xf>
    <xf numFmtId="0" fontId="71" fillId="0" borderId="0" xfId="26" applyFont="1" applyAlignment="1">
      <alignment horizontal="center" vertical="center"/>
    </xf>
    <xf numFmtId="0" fontId="61" fillId="0" borderId="0" xfId="26" applyFont="1" applyAlignment="1">
      <alignment horizontal="center" vertical="center"/>
    </xf>
    <xf numFmtId="0" fontId="37" fillId="0" borderId="0" xfId="26" applyFont="1" applyBorder="1" applyAlignment="1">
      <alignment horizontal="left" vertical="center"/>
    </xf>
    <xf numFmtId="0" fontId="40" fillId="0" borderId="5" xfId="26" applyFont="1" applyBorder="1" applyAlignment="1">
      <alignment horizontal="center" vertical="center"/>
    </xf>
    <xf numFmtId="0" fontId="40" fillId="0" borderId="5" xfId="26" applyFont="1" applyBorder="1" applyAlignment="1">
      <alignment vertical="center"/>
    </xf>
    <xf numFmtId="0" fontId="40" fillId="0" borderId="5" xfId="26" applyFont="1" applyBorder="1" applyAlignment="1">
      <alignment horizontal="left" vertical="center"/>
    </xf>
    <xf numFmtId="0" fontId="40" fillId="0" borderId="24" xfId="0" applyFont="1" applyFill="1" applyBorder="1" applyAlignment="1">
      <alignment horizontal="center"/>
    </xf>
    <xf numFmtId="0" fontId="40" fillId="0" borderId="5" xfId="26" applyNumberFormat="1" applyFont="1" applyBorder="1" applyAlignment="1">
      <alignment horizontal="center" vertical="center"/>
    </xf>
    <xf numFmtId="177" fontId="40" fillId="0" borderId="5" xfId="26" applyNumberFormat="1" applyFont="1" applyBorder="1" applyAlignment="1">
      <alignment horizontal="center" vertical="center"/>
    </xf>
    <xf numFmtId="177" fontId="40" fillId="0" borderId="5" xfId="26" applyNumberFormat="1" applyFont="1" applyBorder="1" applyAlignment="1">
      <alignment vertical="center"/>
    </xf>
    <xf numFmtId="0" fontId="40" fillId="16" borderId="0" xfId="26" applyFont="1" applyFill="1"/>
    <xf numFmtId="0" fontId="40" fillId="16" borderId="0" xfId="26" applyFont="1" applyFill="1" applyAlignment="1">
      <alignment wrapText="1"/>
    </xf>
    <xf numFmtId="0" fontId="40" fillId="16" borderId="0" xfId="26" applyFont="1" applyFill="1" applyAlignment="1">
      <alignment horizontal="center"/>
    </xf>
    <xf numFmtId="0" fontId="40" fillId="16" borderId="0" xfId="26" applyFont="1" applyFill="1" applyAlignment="1">
      <alignment horizontal="center" vertical="center"/>
    </xf>
    <xf numFmtId="0" fontId="40" fillId="16" borderId="0" xfId="26" applyFont="1" applyFill="1" applyAlignment="1">
      <alignment horizontal="center" vertical="center" wrapText="1"/>
    </xf>
    <xf numFmtId="0" fontId="40" fillId="16" borderId="5" xfId="26" applyFont="1" applyFill="1" applyBorder="1" applyAlignment="1">
      <alignment horizontal="center" vertical="center"/>
    </xf>
    <xf numFmtId="0" fontId="40" fillId="16" borderId="5" xfId="26" applyFont="1" applyFill="1" applyBorder="1" applyAlignment="1">
      <alignment vertical="center"/>
    </xf>
    <xf numFmtId="0" fontId="40" fillId="16" borderId="5" xfId="26" applyNumberFormat="1" applyFont="1" applyFill="1" applyBorder="1" applyAlignment="1">
      <alignment horizontal="center" vertical="center"/>
    </xf>
    <xf numFmtId="0" fontId="40" fillId="2" borderId="5" xfId="26" applyNumberFormat="1" applyFont="1" applyFill="1" applyBorder="1" applyAlignment="1">
      <alignment horizontal="center" vertical="center"/>
    </xf>
    <xf numFmtId="0" fontId="61" fillId="0" borderId="1" xfId="0" applyFont="1" applyBorder="1" applyAlignment="1">
      <alignment horizontal="center" vertical="center" wrapText="1"/>
    </xf>
    <xf numFmtId="0" fontId="69" fillId="0" borderId="0" xfId="26" applyFont="1" applyAlignment="1">
      <alignment horizontal="center" vertical="center"/>
    </xf>
    <xf numFmtId="0" fontId="86" fillId="0" borderId="0" xfId="0" applyFont="1" applyAlignment="1">
      <alignment horizontal="center" vertical="center" wrapText="1"/>
    </xf>
    <xf numFmtId="0" fontId="41" fillId="0" borderId="5" xfId="26" applyFont="1" applyBorder="1" applyAlignment="1">
      <alignment horizontal="left" vertical="center" wrapText="1"/>
    </xf>
    <xf numFmtId="0" fontId="42" fillId="0" borderId="5" xfId="26" applyFont="1" applyBorder="1" applyAlignment="1">
      <alignment horizontal="center"/>
    </xf>
    <xf numFmtId="0" fontId="41" fillId="0" borderId="5" xfId="26" applyFont="1" applyBorder="1" applyAlignment="1">
      <alignment horizontal="center" vertical="center"/>
    </xf>
    <xf numFmtId="0" fontId="41" fillId="0" borderId="5" xfId="26" applyFont="1" applyBorder="1" applyAlignment="1">
      <alignment vertical="center"/>
    </xf>
    <xf numFmtId="9" fontId="41" fillId="0" borderId="5" xfId="26" applyNumberFormat="1" applyFont="1" applyBorder="1" applyAlignment="1">
      <alignment horizontal="center" vertical="center"/>
    </xf>
    <xf numFmtId="0" fontId="41" fillId="0" borderId="5" xfId="26" applyFont="1" applyBorder="1" applyAlignment="1">
      <alignment vertical="center" wrapText="1"/>
    </xf>
    <xf numFmtId="0" fontId="41" fillId="0" borderId="5" xfId="26" applyFont="1" applyBorder="1" applyAlignment="1">
      <alignment horizontal="left" vertical="center"/>
    </xf>
    <xf numFmtId="0" fontId="40" fillId="0" borderId="5" xfId="0" applyFont="1" applyFill="1" applyBorder="1" applyAlignment="1">
      <alignment horizontal="center" vertical="center"/>
    </xf>
    <xf numFmtId="0" fontId="40" fillId="0" borderId="5" xfId="0" applyFont="1" applyFill="1" applyBorder="1" applyAlignment="1">
      <alignment vertical="center"/>
    </xf>
    <xf numFmtId="0" fontId="40" fillId="0" borderId="5" xfId="0" applyFont="1" applyFill="1" applyBorder="1" applyAlignment="1">
      <alignment horizontal="left" vertical="center"/>
    </xf>
    <xf numFmtId="0" fontId="40" fillId="0" borderId="5" xfId="0" applyFont="1" applyFill="1" applyBorder="1" applyAlignment="1">
      <alignment horizontal="center"/>
    </xf>
    <xf numFmtId="0" fontId="40" fillId="0" borderId="5" xfId="0" applyNumberFormat="1" applyFont="1" applyFill="1" applyBorder="1" applyAlignment="1">
      <alignment horizontal="center"/>
    </xf>
    <xf numFmtId="0" fontId="40" fillId="0" borderId="5" xfId="0" applyFont="1" applyFill="1" applyBorder="1" applyAlignment="1"/>
    <xf numFmtId="0" fontId="40" fillId="0" borderId="5" xfId="0" applyNumberFormat="1" applyFont="1" applyFill="1" applyBorder="1" applyAlignment="1">
      <alignment horizontal="center" wrapText="1"/>
    </xf>
    <xf numFmtId="0" fontId="40" fillId="0" borderId="24" xfId="0" applyFont="1" applyFill="1" applyBorder="1" applyAlignment="1"/>
    <xf numFmtId="0" fontId="40" fillId="0" borderId="24" xfId="0" applyFont="1" applyFill="1" applyBorder="1" applyAlignment="1">
      <alignment horizontal="left" vertical="center"/>
    </xf>
    <xf numFmtId="0" fontId="37" fillId="0" borderId="24" xfId="0" applyFont="1" applyFill="1" applyBorder="1" applyAlignment="1">
      <alignment horizontal="center"/>
    </xf>
    <xf numFmtId="0" fontId="40" fillId="0" borderId="24" xfId="0" applyNumberFormat="1" applyFont="1" applyFill="1" applyBorder="1" applyAlignment="1">
      <alignment horizontal="center"/>
    </xf>
    <xf numFmtId="0" fontId="40" fillId="0" borderId="3" xfId="26" applyFont="1" applyBorder="1" applyAlignment="1">
      <alignment horizontal="center" vertical="center"/>
    </xf>
    <xf numFmtId="0" fontId="40" fillId="0" borderId="1" xfId="26" applyFont="1" applyFill="1" applyBorder="1" applyAlignment="1">
      <alignment horizontal="center" vertical="center"/>
    </xf>
    <xf numFmtId="0" fontId="40" fillId="0" borderId="14" xfId="26" applyFont="1" applyBorder="1" applyAlignment="1">
      <alignment horizontal="center" vertical="center"/>
    </xf>
    <xf numFmtId="180" fontId="40" fillId="0" borderId="1" xfId="26" applyNumberFormat="1" applyFont="1" applyFill="1" applyBorder="1" applyAlignment="1">
      <alignment horizontal="center" vertical="center"/>
    </xf>
    <xf numFmtId="0" fontId="40" fillId="0" borderId="3" xfId="26" applyFont="1" applyFill="1" applyBorder="1" applyAlignment="1">
      <alignment horizontal="center" vertical="center"/>
    </xf>
    <xf numFmtId="0" fontId="40" fillId="0" borderId="16" xfId="26" applyFont="1" applyFill="1" applyBorder="1" applyAlignment="1">
      <alignment horizontal="center" vertical="center"/>
    </xf>
    <xf numFmtId="0" fontId="74" fillId="0" borderId="1" xfId="26" applyFont="1" applyFill="1" applyBorder="1" applyAlignment="1">
      <alignment horizontal="center" vertical="center"/>
    </xf>
    <xf numFmtId="0" fontId="74" fillId="0" borderId="15" xfId="26" applyFont="1" applyFill="1" applyBorder="1" applyAlignment="1">
      <alignment vertical="center"/>
    </xf>
    <xf numFmtId="0" fontId="40" fillId="0" borderId="14" xfId="26" applyFont="1" applyFill="1" applyBorder="1" applyAlignment="1">
      <alignment vertical="center"/>
    </xf>
    <xf numFmtId="0" fontId="40" fillId="0" borderId="15" xfId="26" applyFont="1" applyFill="1" applyBorder="1" applyAlignment="1">
      <alignment vertical="center"/>
    </xf>
    <xf numFmtId="0" fontId="40" fillId="0" borderId="3" xfId="26" applyFont="1" applyFill="1" applyBorder="1" applyAlignment="1">
      <alignment vertical="center"/>
    </xf>
    <xf numFmtId="0" fontId="42" fillId="0" borderId="5" xfId="26" applyFont="1" applyBorder="1" applyAlignment="1">
      <alignment wrapText="1"/>
    </xf>
    <xf numFmtId="0" fontId="42" fillId="0" borderId="5" xfId="26" applyFont="1" applyBorder="1"/>
    <xf numFmtId="0" fontId="42" fillId="0" borderId="5" xfId="26" applyFont="1" applyBorder="1" applyAlignment="1">
      <alignment horizontal="center" vertical="center"/>
    </xf>
    <xf numFmtId="180" fontId="40" fillId="0" borderId="18" xfId="26" applyNumberFormat="1" applyFont="1" applyFill="1" applyBorder="1" applyAlignment="1">
      <alignment horizontal="center" vertical="center"/>
    </xf>
    <xf numFmtId="180" fontId="40" fillId="0" borderId="12" xfId="26" applyNumberFormat="1" applyFont="1" applyFill="1" applyBorder="1" applyAlignment="1">
      <alignment horizontal="center" vertical="center"/>
    </xf>
    <xf numFmtId="0" fontId="40" fillId="0" borderId="12" xfId="26" applyFont="1" applyFill="1" applyBorder="1" applyAlignment="1">
      <alignment horizontal="center" vertical="center"/>
    </xf>
    <xf numFmtId="0" fontId="40" fillId="0" borderId="12" xfId="26" applyFont="1" applyBorder="1"/>
    <xf numFmtId="0" fontId="40" fillId="0" borderId="17" xfId="26" applyFont="1" applyFill="1" applyBorder="1" applyAlignment="1">
      <alignment horizontal="center" vertical="center"/>
    </xf>
    <xf numFmtId="14" fontId="40" fillId="0" borderId="11" xfId="26" applyNumberFormat="1" applyFont="1" applyFill="1" applyBorder="1" applyAlignment="1">
      <alignment horizontal="center" vertical="center"/>
    </xf>
    <xf numFmtId="0" fontId="40" fillId="0" borderId="11" xfId="26" applyFont="1" applyFill="1" applyBorder="1" applyAlignment="1">
      <alignment horizontal="center" vertical="center"/>
    </xf>
    <xf numFmtId="14" fontId="40" fillId="0" borderId="11" xfId="26" applyNumberFormat="1" applyFont="1" applyFill="1" applyBorder="1" applyAlignment="1">
      <alignment horizontal="center"/>
    </xf>
    <xf numFmtId="0" fontId="40" fillId="0" borderId="11" xfId="26" applyFont="1" applyFill="1" applyBorder="1" applyAlignment="1">
      <alignment horizontal="center"/>
    </xf>
    <xf numFmtId="0" fontId="74" fillId="0" borderId="11" xfId="26" applyFont="1" applyFill="1" applyBorder="1" applyAlignment="1">
      <alignment horizontal="center" vertical="center"/>
    </xf>
    <xf numFmtId="180" fontId="74" fillId="0" borderId="11" xfId="26" applyNumberFormat="1" applyFont="1" applyFill="1" applyBorder="1" applyAlignment="1">
      <alignment horizontal="center" vertical="center"/>
    </xf>
    <xf numFmtId="180" fontId="40" fillId="0" borderId="11" xfId="26" applyNumberFormat="1" applyFont="1" applyFill="1" applyBorder="1" applyAlignment="1">
      <alignment horizontal="center" vertical="center"/>
    </xf>
    <xf numFmtId="0" fontId="40" fillId="0" borderId="0" xfId="26" applyFont="1" applyBorder="1" applyAlignment="1">
      <alignment horizontal="center" vertical="center"/>
    </xf>
    <xf numFmtId="178" fontId="40" fillId="0" borderId="0" xfId="26" applyNumberFormat="1" applyFont="1" applyBorder="1" applyAlignment="1">
      <alignment horizontal="center" vertical="center"/>
    </xf>
    <xf numFmtId="0" fontId="87" fillId="2" borderId="0" xfId="26" applyFont="1" applyFill="1" applyBorder="1" applyAlignment="1">
      <alignment horizontal="center" vertical="center"/>
    </xf>
    <xf numFmtId="0" fontId="40" fillId="0" borderId="0" xfId="26" applyFont="1" applyFill="1" applyBorder="1" applyAlignment="1">
      <alignment horizontal="center" vertical="center"/>
    </xf>
    <xf numFmtId="0" fontId="40" fillId="0" borderId="0" xfId="26" applyFont="1" applyFill="1"/>
    <xf numFmtId="0" fontId="40" fillId="0" borderId="0" xfId="26" applyFont="1" applyFill="1" applyAlignment="1">
      <alignment horizontal="center" vertical="center"/>
    </xf>
    <xf numFmtId="0" fontId="54" fillId="0" borderId="0" xfId="27" applyFont="1" applyFill="1" applyBorder="1" applyAlignment="1">
      <alignment horizontal="center" vertical="center" wrapText="1"/>
    </xf>
    <xf numFmtId="0" fontId="40" fillId="0" borderId="0" xfId="26" applyFont="1" applyFill="1" applyBorder="1" applyAlignment="1">
      <alignment horizontal="center" vertical="center" wrapText="1"/>
    </xf>
    <xf numFmtId="179" fontId="40" fillId="0" borderId="0" xfId="26" applyNumberFormat="1" applyFont="1" applyFill="1" applyBorder="1" applyAlignment="1">
      <alignment horizontal="center" vertical="center" wrapText="1"/>
    </xf>
    <xf numFmtId="0" fontId="40" fillId="0" borderId="0" xfId="26" applyFont="1" applyFill="1" applyAlignment="1">
      <alignment vertical="center"/>
    </xf>
    <xf numFmtId="0" fontId="40" fillId="0" borderId="0" xfId="26" applyFont="1" applyFill="1" applyBorder="1" applyAlignment="1">
      <alignment vertical="center" wrapText="1"/>
    </xf>
    <xf numFmtId="0" fontId="40" fillId="0" borderId="1" xfId="26" applyFont="1" applyFill="1" applyBorder="1" applyAlignment="1">
      <alignment horizontal="center" vertical="center" wrapText="1"/>
    </xf>
    <xf numFmtId="179" fontId="40" fillId="0" borderId="1" xfId="26" applyNumberFormat="1" applyFont="1" applyFill="1" applyBorder="1" applyAlignment="1">
      <alignment horizontal="center" vertical="center" wrapText="1"/>
    </xf>
    <xf numFmtId="177" fontId="40" fillId="0" borderId="1" xfId="26" applyNumberFormat="1" applyFont="1" applyFill="1" applyBorder="1" applyAlignment="1">
      <alignment horizontal="center" vertical="center" wrapText="1"/>
    </xf>
    <xf numFmtId="178" fontId="40" fillId="0" borderId="0" xfId="26" applyNumberFormat="1" applyFont="1" applyBorder="1" applyAlignment="1">
      <alignment horizontal="left" vertical="center"/>
    </xf>
    <xf numFmtId="178" fontId="40" fillId="0" borderId="0" xfId="0" applyNumberFormat="1" applyFont="1" applyFill="1" applyBorder="1" applyAlignment="1">
      <alignment horizontal="center" vertical="center" wrapText="1"/>
    </xf>
    <xf numFmtId="184" fontId="40" fillId="0" borderId="1" xfId="26" applyNumberFormat="1" applyFont="1" applyFill="1" applyBorder="1" applyAlignment="1">
      <alignment horizontal="center" vertical="center" wrapText="1"/>
    </xf>
    <xf numFmtId="178" fontId="40" fillId="0" borderId="1" xfId="26" applyNumberFormat="1" applyFont="1" applyFill="1" applyBorder="1" applyAlignment="1">
      <alignment horizontal="center"/>
    </xf>
    <xf numFmtId="178" fontId="40" fillId="0" borderId="1" xfId="26" applyNumberFormat="1" applyFont="1" applyFill="1" applyBorder="1" applyAlignment="1">
      <alignment horizontal="left"/>
    </xf>
    <xf numFmtId="184" fontId="40" fillId="0" borderId="0" xfId="26" applyNumberFormat="1" applyFont="1" applyFill="1" applyBorder="1" applyAlignment="1">
      <alignment horizontal="center" vertical="center" wrapText="1"/>
    </xf>
    <xf numFmtId="178" fontId="40" fillId="0" borderId="1" xfId="26" applyNumberFormat="1" applyFont="1" applyBorder="1" applyAlignment="1">
      <alignment horizontal="center"/>
    </xf>
    <xf numFmtId="178" fontId="40" fillId="0" borderId="1" xfId="26" applyNumberFormat="1" applyFont="1" applyBorder="1" applyAlignment="1">
      <alignment horizontal="left"/>
    </xf>
    <xf numFmtId="178" fontId="40" fillId="0" borderId="1" xfId="26" applyNumberFormat="1" applyFont="1" applyBorder="1" applyAlignment="1">
      <alignment horizontal="center" vertical="center"/>
    </xf>
    <xf numFmtId="0" fontId="40" fillId="0" borderId="0" xfId="26" applyFont="1" applyBorder="1" applyAlignment="1">
      <alignment vertical="center"/>
    </xf>
    <xf numFmtId="0" fontId="40" fillId="0" borderId="1" xfId="26" applyFont="1" applyBorder="1" applyAlignment="1">
      <alignment horizontal="center"/>
    </xf>
    <xf numFmtId="0" fontId="40" fillId="0" borderId="1" xfId="0" quotePrefix="1" applyFont="1" applyFill="1" applyBorder="1" applyAlignment="1">
      <alignment horizontal="center" vertical="center" wrapText="1"/>
    </xf>
    <xf numFmtId="0" fontId="40" fillId="0" borderId="35" xfId="0" applyFont="1" applyFill="1" applyBorder="1" applyAlignment="1">
      <alignment horizontal="center" vertical="center" wrapText="1"/>
    </xf>
    <xf numFmtId="0" fontId="61" fillId="0" borderId="14" xfId="0" applyFont="1" applyFill="1" applyBorder="1" applyAlignment="1">
      <alignment horizontal="center" vertical="center"/>
    </xf>
    <xf numFmtId="0" fontId="40" fillId="0" borderId="0" xfId="26" applyFont="1" applyAlignment="1">
      <alignment vertical="center"/>
    </xf>
    <xf numFmtId="0" fontId="40" fillId="0" borderId="1" xfId="26" applyFont="1" applyBorder="1" applyAlignment="1">
      <alignment horizontal="center" vertical="center" wrapText="1"/>
    </xf>
    <xf numFmtId="0" fontId="87" fillId="0" borderId="0" xfId="26" applyFont="1" applyFill="1" applyBorder="1" applyAlignment="1">
      <alignment horizontal="center" vertical="center"/>
    </xf>
    <xf numFmtId="0" fontId="40" fillId="0" borderId="0" xfId="26" applyFont="1" applyFill="1" applyAlignment="1">
      <alignment horizontal="left" vertical="center"/>
    </xf>
    <xf numFmtId="0" fontId="87" fillId="0" borderId="0" xfId="26" applyFont="1" applyFill="1" applyBorder="1" applyAlignment="1">
      <alignment vertical="center"/>
    </xf>
    <xf numFmtId="0" fontId="40" fillId="0" borderId="0" xfId="30" applyFont="1" applyAlignment="1">
      <alignment vertical="center"/>
    </xf>
    <xf numFmtId="178" fontId="40" fillId="0" borderId="0" xfId="30" applyNumberFormat="1" applyFont="1" applyAlignment="1">
      <alignment vertical="center"/>
    </xf>
    <xf numFmtId="0" fontId="42" fillId="0" borderId="5" xfId="0" applyFont="1" applyFill="1" applyBorder="1" applyAlignment="1">
      <alignment horizontal="center" vertical="center" wrapText="1"/>
    </xf>
    <xf numFmtId="0" fontId="40" fillId="0" borderId="0" xfId="26" applyFont="1" applyBorder="1"/>
    <xf numFmtId="0" fontId="79" fillId="0" borderId="1" xfId="0" applyFont="1" applyBorder="1" applyAlignment="1">
      <alignment horizontal="center" vertical="center"/>
    </xf>
    <xf numFmtId="0" fontId="54" fillId="0" borderId="1" xfId="0" applyFont="1" applyBorder="1" applyAlignment="1">
      <alignment horizontal="center" vertical="center"/>
    </xf>
    <xf numFmtId="182" fontId="54" fillId="0" borderId="1" xfId="0" applyNumberFormat="1" applyFont="1" applyBorder="1" applyAlignment="1">
      <alignment horizontal="center" vertical="center"/>
    </xf>
    <xf numFmtId="0" fontId="54" fillId="2" borderId="1" xfId="0" applyFont="1" applyFill="1" applyBorder="1" applyAlignment="1">
      <alignment horizontal="center" vertical="center" wrapText="1"/>
    </xf>
    <xf numFmtId="0" fontId="54" fillId="0" borderId="1" xfId="0" applyFont="1" applyFill="1" applyBorder="1" applyAlignment="1">
      <alignment horizontal="center" vertical="center" wrapText="1"/>
    </xf>
    <xf numFmtId="0" fontId="54" fillId="0" borderId="1" xfId="0" applyFont="1" applyBorder="1" applyAlignment="1">
      <alignment horizontal="center" vertical="center" wrapText="1"/>
    </xf>
    <xf numFmtId="0" fontId="54" fillId="0" borderId="11" xfId="0" applyFont="1" applyBorder="1" applyAlignment="1">
      <alignment horizontal="center" vertical="center" wrapText="1"/>
    </xf>
    <xf numFmtId="0" fontId="54" fillId="0" borderId="16" xfId="0" applyFont="1" applyBorder="1" applyAlignment="1">
      <alignment horizontal="center" vertical="center" wrapText="1"/>
    </xf>
    <xf numFmtId="0" fontId="36" fillId="9" borderId="3" xfId="0" applyFont="1" applyFill="1" applyBorder="1" applyAlignment="1">
      <alignment horizontal="center" vertical="center"/>
    </xf>
    <xf numFmtId="0" fontId="36" fillId="9" borderId="15" xfId="0" applyFont="1" applyFill="1" applyBorder="1" applyAlignment="1">
      <alignment horizontal="center" vertical="center"/>
    </xf>
    <xf numFmtId="0" fontId="36" fillId="9" borderId="14" xfId="0" applyFont="1" applyFill="1" applyBorder="1" applyAlignment="1">
      <alignment horizontal="center" vertical="center"/>
    </xf>
    <xf numFmtId="0" fontId="42" fillId="0" borderId="0" xfId="0" applyFont="1" applyBorder="1" applyAlignment="1">
      <alignment horizontal="center" vertical="center"/>
    </xf>
    <xf numFmtId="180" fontId="42" fillId="0" borderId="0" xfId="0" applyNumberFormat="1" applyFont="1" applyBorder="1" applyAlignment="1">
      <alignment horizontal="center" vertical="center"/>
    </xf>
    <xf numFmtId="0" fontId="46" fillId="0" borderId="4" xfId="0" applyFont="1" applyBorder="1" applyAlignment="1">
      <alignment horizontal="center" vertical="center"/>
    </xf>
    <xf numFmtId="0" fontId="42" fillId="8" borderId="3" xfId="0" applyFont="1" applyFill="1" applyBorder="1" applyAlignment="1">
      <alignment horizontal="center" vertical="center"/>
    </xf>
    <xf numFmtId="0" fontId="42" fillId="8" borderId="15" xfId="0" applyFont="1" applyFill="1" applyBorder="1" applyAlignment="1">
      <alignment horizontal="center" vertical="center"/>
    </xf>
    <xf numFmtId="0" fontId="42" fillId="8" borderId="14" xfId="0" applyFont="1" applyFill="1" applyBorder="1" applyAlignment="1">
      <alignment horizontal="center" vertical="center"/>
    </xf>
    <xf numFmtId="14" fontId="42" fillId="8" borderId="3" xfId="0" applyNumberFormat="1" applyFont="1" applyFill="1" applyBorder="1" applyAlignment="1">
      <alignment horizontal="center" vertical="center"/>
    </xf>
    <xf numFmtId="14" fontId="42" fillId="8" borderId="15" xfId="0" applyNumberFormat="1" applyFont="1" applyFill="1" applyBorder="1" applyAlignment="1">
      <alignment horizontal="center" vertical="center"/>
    </xf>
    <xf numFmtId="14" fontId="42" fillId="8" borderId="14" xfId="0" applyNumberFormat="1" applyFont="1" applyFill="1" applyBorder="1" applyAlignment="1">
      <alignment horizontal="center" vertical="center"/>
    </xf>
    <xf numFmtId="180" fontId="42" fillId="8" borderId="3" xfId="0" applyNumberFormat="1" applyFont="1" applyFill="1" applyBorder="1" applyAlignment="1">
      <alignment horizontal="center" vertical="center"/>
    </xf>
    <xf numFmtId="180" fontId="42" fillId="8" borderId="14" xfId="0" applyNumberFormat="1" applyFont="1" applyFill="1" applyBorder="1" applyAlignment="1">
      <alignment horizontal="center" vertical="center"/>
    </xf>
    <xf numFmtId="0" fontId="48" fillId="0" borderId="22" xfId="0" applyFont="1" applyBorder="1" applyAlignment="1">
      <alignment horizontal="center" vertical="center"/>
    </xf>
    <xf numFmtId="0" fontId="41" fillId="9" borderId="5" xfId="0" applyFont="1" applyFill="1" applyBorder="1" applyAlignment="1">
      <alignment horizontal="center" vertical="center"/>
    </xf>
    <xf numFmtId="0" fontId="42" fillId="9" borderId="5" xfId="0" applyFont="1" applyFill="1" applyBorder="1" applyAlignment="1">
      <alignment horizontal="center" vertical="center"/>
    </xf>
    <xf numFmtId="0" fontId="42" fillId="0" borderId="6" xfId="0" applyFont="1" applyFill="1" applyBorder="1" applyAlignment="1">
      <alignment horizontal="center" vertical="center"/>
    </xf>
    <xf numFmtId="0" fontId="42" fillId="0" borderId="7" xfId="0" applyFont="1" applyFill="1" applyBorder="1" applyAlignment="1">
      <alignment horizontal="center" vertical="center"/>
    </xf>
    <xf numFmtId="0" fontId="42" fillId="0" borderId="13" xfId="0" applyFont="1" applyFill="1" applyBorder="1" applyAlignment="1">
      <alignment horizontal="center" vertical="center"/>
    </xf>
    <xf numFmtId="0" fontId="36" fillId="0" borderId="1" xfId="0" applyFont="1" applyFill="1" applyBorder="1" applyAlignment="1">
      <alignment horizontal="center" vertical="center"/>
    </xf>
    <xf numFmtId="0" fontId="48" fillId="0" borderId="1" xfId="0" applyFont="1" applyBorder="1" applyAlignment="1">
      <alignment horizontal="center" vertical="center"/>
    </xf>
    <xf numFmtId="0" fontId="42" fillId="9" borderId="24" xfId="0" applyFont="1" applyFill="1" applyBorder="1" applyAlignment="1">
      <alignment horizontal="center" vertical="center"/>
    </xf>
    <xf numFmtId="0" fontId="42" fillId="0" borderId="38" xfId="0" applyFont="1" applyFill="1" applyBorder="1" applyAlignment="1">
      <alignment horizontal="center" vertical="center" textRotation="255" wrapText="1"/>
    </xf>
    <xf numFmtId="0" fontId="0" fillId="0" borderId="25" xfId="0" applyBorder="1">
      <alignment vertical="center"/>
    </xf>
    <xf numFmtId="0" fontId="0" fillId="0" borderId="23" xfId="0" applyBorder="1">
      <alignment vertical="center"/>
    </xf>
    <xf numFmtId="0" fontId="0" fillId="0" borderId="24" xfId="0" applyBorder="1">
      <alignment vertical="center"/>
    </xf>
    <xf numFmtId="0" fontId="47" fillId="0" borderId="0" xfId="0" applyFont="1" applyFill="1" applyBorder="1" applyAlignment="1">
      <alignment horizontal="left" vertical="center" wrapText="1"/>
    </xf>
    <xf numFmtId="0" fontId="40" fillId="0" borderId="6" xfId="0" applyFont="1" applyFill="1" applyBorder="1" applyAlignment="1">
      <alignment horizontal="left" vertical="center" wrapText="1"/>
    </xf>
    <xf numFmtId="0" fontId="40" fillId="0" borderId="13" xfId="0" applyFont="1" applyFill="1" applyBorder="1" applyAlignment="1">
      <alignment horizontal="left" vertical="center" wrapText="1"/>
    </xf>
    <xf numFmtId="0" fontId="40" fillId="0" borderId="7" xfId="0" applyFont="1" applyFill="1" applyBorder="1" applyAlignment="1">
      <alignment horizontal="left" vertical="center" wrapText="1"/>
    </xf>
    <xf numFmtId="0" fontId="42" fillId="0" borderId="22" xfId="0" applyFont="1" applyFill="1" applyBorder="1" applyAlignment="1">
      <alignment horizontal="center" vertical="center" textRotation="255" wrapText="1"/>
    </xf>
    <xf numFmtId="0" fontId="42" fillId="0" borderId="23" xfId="0" applyFont="1" applyFill="1" applyBorder="1" applyAlignment="1">
      <alignment horizontal="center" vertical="center" textRotation="255" wrapText="1"/>
    </xf>
    <xf numFmtId="0" fontId="42" fillId="0" borderId="24" xfId="0" applyFont="1" applyFill="1" applyBorder="1" applyAlignment="1">
      <alignment horizontal="center" vertical="center" textRotation="255" wrapText="1"/>
    </xf>
    <xf numFmtId="0" fontId="42" fillId="0" borderId="22" xfId="0" applyFont="1" applyFill="1" applyBorder="1" applyAlignment="1">
      <alignment horizontal="center" vertical="center" wrapText="1"/>
    </xf>
    <xf numFmtId="0" fontId="42" fillId="0" borderId="24" xfId="0" applyFont="1" applyFill="1" applyBorder="1" applyAlignment="1">
      <alignment horizontal="center" vertical="center" wrapText="1"/>
    </xf>
    <xf numFmtId="0" fontId="46" fillId="0" borderId="38" xfId="0" applyFont="1" applyFill="1" applyBorder="1" applyAlignment="1">
      <alignment horizontal="center" vertical="center" wrapText="1"/>
    </xf>
    <xf numFmtId="0" fontId="46" fillId="0" borderId="42" xfId="0" applyFont="1" applyFill="1" applyBorder="1" applyAlignment="1">
      <alignment horizontal="center" vertical="center" wrapText="1"/>
    </xf>
    <xf numFmtId="0" fontId="46" fillId="0" borderId="8" xfId="0" applyFont="1" applyFill="1" applyBorder="1" applyAlignment="1">
      <alignment horizontal="center" vertical="center" wrapText="1"/>
    </xf>
    <xf numFmtId="0" fontId="46" fillId="0" borderId="35" xfId="0" applyFont="1" applyFill="1" applyBorder="1" applyAlignment="1">
      <alignment horizontal="center" vertical="center" wrapText="1"/>
    </xf>
    <xf numFmtId="0" fontId="46" fillId="0" borderId="37" xfId="0" applyFont="1" applyFill="1" applyBorder="1" applyAlignment="1">
      <alignment horizontal="center" vertical="center" wrapText="1"/>
    </xf>
    <xf numFmtId="0" fontId="46" fillId="0" borderId="36" xfId="0" applyFont="1" applyFill="1" applyBorder="1" applyAlignment="1">
      <alignment horizontal="center" vertical="center" wrapText="1"/>
    </xf>
    <xf numFmtId="0" fontId="42" fillId="0" borderId="6" xfId="0" applyFont="1" applyFill="1" applyBorder="1" applyAlignment="1">
      <alignment horizontal="center" vertical="center" wrapText="1"/>
    </xf>
    <xf numFmtId="0" fontId="42" fillId="0" borderId="7" xfId="0" applyFont="1" applyFill="1" applyBorder="1" applyAlignment="1">
      <alignment horizontal="center" vertical="center" wrapText="1"/>
    </xf>
    <xf numFmtId="0" fontId="42" fillId="0" borderId="22" xfId="0" applyFont="1" applyFill="1" applyBorder="1" applyAlignment="1">
      <alignment horizontal="center" vertical="center"/>
    </xf>
    <xf numFmtId="0" fontId="42" fillId="0" borderId="24" xfId="0" applyFont="1" applyFill="1" applyBorder="1" applyAlignment="1">
      <alignment horizontal="center" vertical="center"/>
    </xf>
    <xf numFmtId="0" fontId="42" fillId="0" borderId="23" xfId="0" applyFont="1" applyFill="1" applyBorder="1" applyAlignment="1">
      <alignment horizontal="center" vertical="center"/>
    </xf>
    <xf numFmtId="0" fontId="42" fillId="0" borderId="23" xfId="0" applyFont="1" applyFill="1" applyBorder="1" applyAlignment="1">
      <alignment horizontal="center" vertical="center" wrapText="1"/>
    </xf>
    <xf numFmtId="0" fontId="42" fillId="0" borderId="3" xfId="0" applyFont="1" applyFill="1" applyBorder="1" applyAlignment="1">
      <alignment horizontal="center" vertical="center"/>
    </xf>
    <xf numFmtId="0" fontId="42" fillId="0" borderId="14" xfId="0" applyFont="1" applyFill="1" applyBorder="1" applyAlignment="1">
      <alignment horizontal="center" vertical="center"/>
    </xf>
    <xf numFmtId="0" fontId="42" fillId="0" borderId="17" xfId="0" applyFont="1" applyFill="1" applyBorder="1" applyAlignment="1">
      <alignment horizontal="center" vertical="center"/>
    </xf>
    <xf numFmtId="0" fontId="42" fillId="0" borderId="18" xfId="0" applyFont="1" applyFill="1" applyBorder="1" applyAlignment="1">
      <alignment horizontal="center" vertical="center"/>
    </xf>
    <xf numFmtId="0" fontId="42" fillId="0" borderId="20" xfId="0" applyFont="1" applyFill="1" applyBorder="1" applyAlignment="1">
      <alignment horizontal="center" vertical="center"/>
    </xf>
    <xf numFmtId="0" fontId="42" fillId="0" borderId="21" xfId="0" applyFont="1" applyFill="1" applyBorder="1" applyAlignment="1">
      <alignment horizontal="center" vertical="center"/>
    </xf>
    <xf numFmtId="0" fontId="57" fillId="0" borderId="4" xfId="0" applyFont="1" applyFill="1" applyBorder="1" applyAlignment="1">
      <alignment horizontal="center" vertical="center"/>
    </xf>
    <xf numFmtId="183" fontId="42" fillId="0" borderId="11" xfId="0" applyNumberFormat="1" applyFont="1" applyFill="1" applyBorder="1" applyAlignment="1">
      <alignment horizontal="center" vertical="center"/>
    </xf>
    <xf numFmtId="183" fontId="42" fillId="0" borderId="16" xfId="0" applyNumberFormat="1" applyFont="1" applyFill="1" applyBorder="1" applyAlignment="1">
      <alignment horizontal="center" vertical="center"/>
    </xf>
    <xf numFmtId="0" fontId="42" fillId="0" borderId="5" xfId="0" applyFont="1" applyFill="1" applyBorder="1" applyAlignment="1">
      <alignment horizontal="center" vertical="center" textRotation="255" wrapText="1"/>
    </xf>
    <xf numFmtId="0" fontId="42" fillId="0" borderId="11" xfId="0" applyFont="1" applyFill="1" applyBorder="1" applyAlignment="1">
      <alignment horizontal="center" vertical="center"/>
    </xf>
    <xf numFmtId="0" fontId="42" fillId="0" borderId="16" xfId="0" applyFont="1" applyFill="1" applyBorder="1" applyAlignment="1">
      <alignment horizontal="center" vertical="center"/>
    </xf>
    <xf numFmtId="0" fontId="49" fillId="0" borderId="3" xfId="0" applyFont="1" applyFill="1" applyBorder="1" applyAlignment="1">
      <alignment horizontal="center" vertical="center"/>
    </xf>
    <xf numFmtId="0" fontId="49" fillId="0" borderId="14" xfId="0" applyFont="1" applyFill="1" applyBorder="1" applyAlignment="1">
      <alignment horizontal="center" vertical="center"/>
    </xf>
    <xf numFmtId="0" fontId="42" fillId="0" borderId="5" xfId="0" applyFont="1" applyFill="1" applyBorder="1" applyAlignment="1">
      <alignment horizontal="center" vertical="center" wrapText="1"/>
    </xf>
    <xf numFmtId="0" fontId="46" fillId="0" borderId="6" xfId="0" applyFont="1" applyFill="1" applyBorder="1" applyAlignment="1">
      <alignment horizontal="center" vertical="center" wrapText="1"/>
    </xf>
    <xf numFmtId="0" fontId="46" fillId="0" borderId="13" xfId="0" applyFont="1" applyFill="1" applyBorder="1" applyAlignment="1">
      <alignment horizontal="center" vertical="center" wrapText="1"/>
    </xf>
    <xf numFmtId="0" fontId="46" fillId="0" borderId="7" xfId="0" applyFont="1" applyFill="1" applyBorder="1" applyAlignment="1">
      <alignment horizontal="center" vertical="center" wrapText="1"/>
    </xf>
    <xf numFmtId="0" fontId="42" fillId="0" borderId="35" xfId="0" applyFont="1" applyFill="1" applyBorder="1" applyAlignment="1">
      <alignment horizontal="center" vertical="center" textRotation="255" wrapText="1"/>
    </xf>
    <xf numFmtId="0" fontId="14" fillId="0" borderId="27" xfId="25" applyFont="1" applyFill="1" applyBorder="1" applyAlignment="1">
      <alignment horizontal="center" vertical="center" wrapText="1"/>
    </xf>
    <xf numFmtId="0" fontId="14" fillId="0" borderId="28" xfId="25" applyFont="1" applyFill="1" applyBorder="1" applyAlignment="1">
      <alignment horizontal="center" vertical="center" wrapText="1"/>
    </xf>
    <xf numFmtId="0" fontId="14" fillId="0" borderId="29" xfId="25" applyFont="1" applyFill="1" applyBorder="1" applyAlignment="1">
      <alignment horizontal="center" vertical="center" wrapText="1"/>
    </xf>
    <xf numFmtId="0" fontId="14" fillId="2" borderId="27" xfId="25" applyFont="1" applyFill="1" applyBorder="1" applyAlignment="1">
      <alignment horizontal="center" vertical="center" wrapText="1"/>
    </xf>
    <xf numFmtId="0" fontId="14" fillId="2" borderId="28" xfId="25" applyFont="1" applyFill="1" applyBorder="1" applyAlignment="1">
      <alignment horizontal="center" vertical="center" wrapText="1"/>
    </xf>
    <xf numFmtId="0" fontId="14" fillId="2" borderId="29" xfId="25" applyFont="1" applyFill="1" applyBorder="1" applyAlignment="1">
      <alignment horizontal="center" vertical="center" wrapText="1"/>
    </xf>
    <xf numFmtId="0" fontId="28" fillId="6" borderId="17" xfId="25" applyFont="1" applyFill="1" applyBorder="1" applyAlignment="1">
      <alignment horizontal="center" vertical="center"/>
    </xf>
    <xf numFmtId="0" fontId="28" fillId="6" borderId="20" xfId="25" applyFont="1" applyFill="1" applyBorder="1" applyAlignment="1">
      <alignment horizontal="center" vertical="center"/>
    </xf>
    <xf numFmtId="0" fontId="14" fillId="0" borderId="26" xfId="25" applyFont="1" applyFill="1" applyBorder="1" applyAlignment="1">
      <alignment horizontal="center" vertical="center" wrapText="1"/>
    </xf>
    <xf numFmtId="0" fontId="28" fillId="2" borderId="27" xfId="25" applyFont="1" applyFill="1" applyBorder="1" applyAlignment="1">
      <alignment horizontal="center" vertical="center" wrapText="1"/>
    </xf>
    <xf numFmtId="0" fontId="28" fillId="2" borderId="28" xfId="25" applyFont="1" applyFill="1" applyBorder="1" applyAlignment="1">
      <alignment horizontal="center" vertical="center" wrapText="1"/>
    </xf>
    <xf numFmtId="0" fontId="28" fillId="2" borderId="29" xfId="25" applyFont="1" applyFill="1" applyBorder="1" applyAlignment="1">
      <alignment horizontal="center" vertical="center" wrapText="1"/>
    </xf>
    <xf numFmtId="0" fontId="16" fillId="0" borderId="26" xfId="25" applyFont="1" applyFill="1" applyBorder="1" applyAlignment="1">
      <alignment horizontal="left" vertical="center" wrapText="1"/>
    </xf>
    <xf numFmtId="0" fontId="16" fillId="0" borderId="39" xfId="25" applyFont="1" applyFill="1" applyBorder="1" applyAlignment="1">
      <alignment horizontal="left" vertical="center" wrapText="1"/>
    </xf>
    <xf numFmtId="0" fontId="16" fillId="0" borderId="40" xfId="25" applyFont="1" applyFill="1" applyBorder="1" applyAlignment="1">
      <alignment horizontal="left" vertical="center" wrapText="1"/>
    </xf>
    <xf numFmtId="0" fontId="16" fillId="0" borderId="41" xfId="25" applyFont="1" applyFill="1" applyBorder="1" applyAlignment="1">
      <alignment horizontal="left" vertical="center" wrapText="1"/>
    </xf>
    <xf numFmtId="0" fontId="28" fillId="0" borderId="26" xfId="25" applyFont="1" applyFill="1" applyBorder="1" applyAlignment="1">
      <alignment horizontal="center" vertical="center" wrapText="1"/>
    </xf>
    <xf numFmtId="0" fontId="14" fillId="0" borderId="26" xfId="25" applyFont="1" applyFill="1" applyBorder="1" applyAlignment="1">
      <alignment horizontal="left" vertical="center" wrapText="1"/>
    </xf>
    <xf numFmtId="0" fontId="13" fillId="0" borderId="26" xfId="25" applyFont="1" applyFill="1" applyBorder="1" applyAlignment="1">
      <alignment horizontal="left" vertical="center"/>
    </xf>
    <xf numFmtId="0" fontId="14" fillId="0" borderId="5" xfId="25" applyFont="1" applyFill="1" applyBorder="1" applyAlignment="1">
      <alignment horizontal="center" vertical="center" wrapText="1"/>
    </xf>
    <xf numFmtId="49" fontId="14" fillId="0" borderId="26" xfId="25" applyNumberFormat="1" applyFont="1" applyFill="1" applyBorder="1" applyAlignment="1">
      <alignment horizontal="center" vertical="center" wrapText="1"/>
    </xf>
    <xf numFmtId="49" fontId="14" fillId="0" borderId="27" xfId="25" applyNumberFormat="1" applyFont="1" applyFill="1" applyBorder="1" applyAlignment="1">
      <alignment horizontal="center" vertical="center" wrapText="1"/>
    </xf>
    <xf numFmtId="49" fontId="14" fillId="0" borderId="5" xfId="25" applyNumberFormat="1" applyFont="1" applyFill="1" applyBorder="1" applyAlignment="1">
      <alignment horizontal="center" vertical="center" wrapText="1"/>
    </xf>
    <xf numFmtId="0" fontId="14" fillId="2" borderId="5" xfId="25" applyFont="1" applyFill="1" applyBorder="1" applyAlignment="1">
      <alignment horizontal="center" vertical="center" wrapText="1"/>
    </xf>
    <xf numFmtId="0" fontId="18" fillId="0" borderId="26" xfId="25" applyFont="1" applyFill="1" applyBorder="1" applyAlignment="1">
      <alignment horizontal="center" vertical="center" wrapText="1"/>
    </xf>
    <xf numFmtId="0" fontId="28" fillId="6" borderId="1" xfId="25" applyFont="1" applyFill="1" applyBorder="1" applyAlignment="1">
      <alignment horizontal="center" vertical="center"/>
    </xf>
    <xf numFmtId="180" fontId="28" fillId="6" borderId="1" xfId="25" applyNumberFormat="1" applyFont="1" applyFill="1" applyBorder="1" applyAlignment="1">
      <alignment horizontal="center" vertical="center"/>
    </xf>
    <xf numFmtId="0" fontId="21" fillId="6" borderId="1" xfId="25" applyFont="1" applyFill="1" applyBorder="1" applyAlignment="1">
      <alignment horizontal="center" vertical="center"/>
    </xf>
    <xf numFmtId="182" fontId="28" fillId="6" borderId="1" xfId="25" applyNumberFormat="1" applyFont="1" applyFill="1" applyBorder="1" applyAlignment="1">
      <alignment horizontal="center" vertical="center"/>
    </xf>
    <xf numFmtId="0" fontId="27" fillId="6" borderId="0" xfId="25" applyFont="1" applyFill="1" applyBorder="1" applyAlignment="1">
      <alignment horizontal="center" vertical="center"/>
    </xf>
    <xf numFmtId="0" fontId="28" fillId="6" borderId="0" xfId="25" applyFont="1" applyFill="1" applyBorder="1" applyAlignment="1">
      <alignment horizontal="center" vertical="center"/>
    </xf>
    <xf numFmtId="0" fontId="21" fillId="6" borderId="0" xfId="25" applyFont="1" applyFill="1" applyBorder="1" applyAlignment="1">
      <alignment horizontal="center" vertical="center"/>
    </xf>
    <xf numFmtId="0" fontId="31" fillId="0" borderId="26" xfId="25" applyFont="1" applyFill="1" applyBorder="1" applyAlignment="1">
      <alignment horizontal="left" vertical="center" wrapText="1"/>
    </xf>
    <xf numFmtId="0" fontId="21" fillId="0" borderId="26" xfId="25" applyFont="1" applyFill="1" applyBorder="1" applyAlignment="1">
      <alignment horizontal="center" vertical="center" wrapText="1"/>
    </xf>
    <xf numFmtId="0" fontId="21" fillId="2" borderId="27" xfId="25" applyFont="1" applyFill="1" applyBorder="1" applyAlignment="1">
      <alignment horizontal="center" vertical="center" wrapText="1"/>
    </xf>
    <xf numFmtId="0" fontId="21" fillId="2" borderId="28" xfId="25" applyFont="1" applyFill="1" applyBorder="1" applyAlignment="1">
      <alignment horizontal="center" vertical="center" wrapText="1"/>
    </xf>
    <xf numFmtId="0" fontId="21" fillId="2" borderId="29" xfId="25" applyFont="1" applyFill="1" applyBorder="1" applyAlignment="1">
      <alignment horizontal="center" vertical="center" wrapText="1"/>
    </xf>
    <xf numFmtId="182" fontId="21" fillId="6" borderId="1" xfId="25" applyNumberFormat="1" applyFont="1" applyFill="1" applyBorder="1" applyAlignment="1">
      <alignment horizontal="center" vertical="center"/>
    </xf>
    <xf numFmtId="180" fontId="21" fillId="6" borderId="1" xfId="25" applyNumberFormat="1" applyFont="1" applyFill="1" applyBorder="1" applyAlignment="1">
      <alignment horizontal="center" vertical="center"/>
    </xf>
    <xf numFmtId="14" fontId="21" fillId="6" borderId="17" xfId="25" applyNumberFormat="1" applyFont="1" applyFill="1" applyBorder="1" applyAlignment="1">
      <alignment horizontal="center" vertical="center"/>
    </xf>
    <xf numFmtId="0" fontId="21" fillId="6" borderId="20" xfId="25" applyFont="1" applyFill="1" applyBorder="1" applyAlignment="1">
      <alignment horizontal="center" vertical="center"/>
    </xf>
    <xf numFmtId="0" fontId="14" fillId="0" borderId="1" xfId="0" applyFont="1" applyBorder="1" applyAlignment="1">
      <alignment horizontal="center" vertical="center"/>
    </xf>
    <xf numFmtId="0" fontId="80" fillId="0" borderId="1" xfId="0" applyFont="1" applyBorder="1" applyAlignment="1">
      <alignment horizontal="center" vertical="center"/>
    </xf>
    <xf numFmtId="182" fontId="14" fillId="0" borderId="1" xfId="0" applyNumberFormat="1" applyFont="1" applyBorder="1" applyAlignment="1">
      <alignment horizontal="center" vertical="center"/>
    </xf>
    <xf numFmtId="0" fontId="14" fillId="0" borderId="1" xfId="0" applyFont="1" applyBorder="1" applyAlignment="1">
      <alignment horizontal="center" vertical="center" wrapText="1"/>
    </xf>
    <xf numFmtId="0" fontId="14" fillId="0" borderId="11" xfId="0" applyFont="1" applyBorder="1" applyAlignment="1">
      <alignment horizontal="center" vertical="center" wrapText="1"/>
    </xf>
    <xf numFmtId="0" fontId="14" fillId="0" borderId="16" xfId="0" applyFont="1" applyBorder="1" applyAlignment="1">
      <alignment horizontal="center" vertical="center" wrapText="1"/>
    </xf>
    <xf numFmtId="0" fontId="14" fillId="0" borderId="1" xfId="0" applyFont="1" applyFill="1" applyBorder="1" applyAlignment="1">
      <alignment horizontal="center" vertical="center" wrapText="1"/>
    </xf>
    <xf numFmtId="0" fontId="61" fillId="0" borderId="1" xfId="0" applyFont="1" applyBorder="1" applyAlignment="1">
      <alignment horizontal="center" vertical="center" wrapText="1"/>
    </xf>
    <xf numFmtId="0" fontId="61" fillId="0" borderId="0" xfId="0" applyFont="1" applyBorder="1" applyAlignment="1">
      <alignment horizontal="center" vertical="center" wrapText="1"/>
    </xf>
    <xf numFmtId="0" fontId="48" fillId="0" borderId="3" xfId="40" applyFont="1" applyFill="1" applyBorder="1" applyAlignment="1">
      <alignment horizontal="center" vertical="center"/>
    </xf>
    <xf numFmtId="0" fontId="48" fillId="0" borderId="15" xfId="40" applyFont="1" applyFill="1" applyBorder="1" applyAlignment="1">
      <alignment horizontal="center" vertical="center"/>
    </xf>
    <xf numFmtId="0" fontId="48" fillId="0" borderId="14" xfId="40" applyFont="1" applyFill="1" applyBorder="1" applyAlignment="1">
      <alignment horizontal="center" vertical="center"/>
    </xf>
    <xf numFmtId="0" fontId="40" fillId="0" borderId="3" xfId="40" applyFont="1" applyFill="1" applyBorder="1" applyAlignment="1">
      <alignment horizontal="left" vertical="center"/>
    </xf>
    <xf numFmtId="0" fontId="40" fillId="0" borderId="15" xfId="40" applyFont="1" applyFill="1" applyBorder="1" applyAlignment="1">
      <alignment horizontal="left" vertical="center"/>
    </xf>
    <xf numFmtId="0" fontId="40" fillId="0" borderId="14" xfId="40" applyFont="1" applyFill="1" applyBorder="1" applyAlignment="1">
      <alignment horizontal="left" vertical="center"/>
    </xf>
    <xf numFmtId="0" fontId="40" fillId="0" borderId="3" xfId="40" applyFont="1" applyFill="1" applyBorder="1" applyAlignment="1">
      <alignment horizontal="center" vertical="center"/>
    </xf>
    <xf numFmtId="0" fontId="40" fillId="0" borderId="15" xfId="40" applyFont="1" applyFill="1" applyBorder="1" applyAlignment="1">
      <alignment horizontal="center" vertical="center"/>
    </xf>
    <xf numFmtId="0" fontId="40" fillId="0" borderId="14" xfId="40" applyFont="1" applyFill="1" applyBorder="1" applyAlignment="1">
      <alignment horizontal="center" vertical="center"/>
    </xf>
    <xf numFmtId="0" fontId="8" fillId="0" borderId="0" xfId="28" applyFont="1" applyAlignment="1" applyProtection="1">
      <alignment horizontal="center" vertical="center"/>
    </xf>
    <xf numFmtId="0" fontId="7" fillId="0" borderId="0" xfId="28" applyFont="1" applyFill="1" applyBorder="1" applyAlignment="1" applyProtection="1">
      <alignment horizontal="center" vertical="center"/>
    </xf>
    <xf numFmtId="180" fontId="7" fillId="0" borderId="0" xfId="28" applyNumberFormat="1" applyFont="1" applyFill="1" applyBorder="1" applyAlignment="1" applyProtection="1">
      <alignment horizontal="center" vertical="center"/>
    </xf>
    <xf numFmtId="0" fontId="7" fillId="0" borderId="0" xfId="28" applyFont="1" applyBorder="1" applyAlignment="1" applyProtection="1">
      <alignment horizontal="center"/>
    </xf>
    <xf numFmtId="0" fontId="76" fillId="0" borderId="0" xfId="28" applyFont="1" applyBorder="1" applyAlignment="1" applyProtection="1">
      <alignment horizontal="center"/>
    </xf>
    <xf numFmtId="0" fontId="7" fillId="0" borderId="0" xfId="28" applyFont="1" applyFill="1" applyBorder="1" applyAlignment="1" applyProtection="1">
      <alignment horizontal="right" vertical="center"/>
    </xf>
    <xf numFmtId="0" fontId="78" fillId="0" borderId="1" xfId="0" applyFont="1" applyBorder="1" applyAlignment="1">
      <alignment horizontal="center" vertical="center"/>
    </xf>
    <xf numFmtId="0" fontId="54" fillId="0" borderId="3" xfId="0" applyFont="1" applyBorder="1" applyAlignment="1">
      <alignment horizontal="center" vertical="center" wrapText="1"/>
    </xf>
    <xf numFmtId="0" fontId="54" fillId="0" borderId="15" xfId="0" applyFont="1" applyBorder="1" applyAlignment="1">
      <alignment horizontal="center" vertical="center" wrapText="1"/>
    </xf>
    <xf numFmtId="0" fontId="54" fillId="0" borderId="14" xfId="0" applyFont="1" applyBorder="1" applyAlignment="1">
      <alignment horizontal="center" vertical="center" wrapText="1"/>
    </xf>
    <xf numFmtId="0" fontId="42" fillId="0" borderId="1" xfId="40" applyFont="1" applyBorder="1" applyAlignment="1">
      <alignment vertical="center" wrapText="1"/>
    </xf>
    <xf numFmtId="0" fontId="48" fillId="0" borderId="15" xfId="40" applyFont="1" applyBorder="1" applyAlignment="1">
      <alignment horizontal="center" vertical="center"/>
    </xf>
    <xf numFmtId="0" fontId="48" fillId="0" borderId="14" xfId="40" applyFont="1" applyBorder="1" applyAlignment="1">
      <alignment horizontal="center" vertical="center"/>
    </xf>
    <xf numFmtId="0" fontId="40" fillId="0" borderId="3" xfId="40" applyFont="1" applyBorder="1" applyAlignment="1">
      <alignment horizontal="center" vertical="center"/>
    </xf>
    <xf numFmtId="0" fontId="40" fillId="0" borderId="15" xfId="40" applyFont="1" applyBorder="1" applyAlignment="1">
      <alignment horizontal="center" vertical="center"/>
    </xf>
    <xf numFmtId="0" fontId="46" fillId="0" borderId="1" xfId="40" applyFont="1" applyBorder="1" applyAlignment="1">
      <alignment horizontal="center" wrapText="1"/>
    </xf>
    <xf numFmtId="0" fontId="40" fillId="0" borderId="1" xfId="40" applyFont="1" applyBorder="1" applyAlignment="1">
      <alignment horizontal="center" wrapText="1"/>
    </xf>
    <xf numFmtId="0" fontId="85" fillId="0" borderId="4" xfId="40" applyFont="1" applyBorder="1" applyAlignment="1">
      <alignment horizontal="center" vertical="center"/>
    </xf>
    <xf numFmtId="0" fontId="69" fillId="0" borderId="0" xfId="40" applyFont="1" applyAlignment="1">
      <alignment horizontal="left" wrapText="1"/>
    </xf>
    <xf numFmtId="180" fontId="40" fillId="0" borderId="0" xfId="40" applyNumberFormat="1" applyFont="1" applyBorder="1" applyAlignment="1">
      <alignment horizontal="center"/>
    </xf>
    <xf numFmtId="0" fontId="42" fillId="0" borderId="14" xfId="40" applyFont="1" applyFill="1" applyBorder="1" applyAlignment="1">
      <alignment horizontal="center" vertical="center" wrapText="1"/>
    </xf>
    <xf numFmtId="0" fontId="42" fillId="0" borderId="1" xfId="40" applyFont="1" applyFill="1" applyBorder="1" applyAlignment="1">
      <alignment horizontal="center" vertical="center" wrapText="1"/>
    </xf>
    <xf numFmtId="0" fontId="42" fillId="0" borderId="1" xfId="40" applyFont="1" applyFill="1" applyBorder="1" applyAlignment="1">
      <alignment horizontal="center" vertical="center"/>
    </xf>
    <xf numFmtId="0" fontId="40" fillId="0" borderId="0" xfId="28" applyFont="1" applyBorder="1" applyAlignment="1" applyProtection="1">
      <alignment horizontal="center" wrapText="1"/>
    </xf>
    <xf numFmtId="0" fontId="40" fillId="0" borderId="0" xfId="28" applyFont="1" applyAlignment="1" applyProtection="1">
      <alignment horizontal="center" wrapText="1"/>
    </xf>
    <xf numFmtId="0" fontId="40" fillId="0" borderId="3" xfId="28" applyFont="1" applyBorder="1" applyAlignment="1" applyProtection="1">
      <alignment horizontal="center" wrapText="1"/>
    </xf>
    <xf numFmtId="0" fontId="40" fillId="0" borderId="15" xfId="28" applyFont="1" applyBorder="1" applyAlignment="1" applyProtection="1">
      <alignment horizontal="center" wrapText="1"/>
    </xf>
    <xf numFmtId="0" fontId="46" fillId="0" borderId="3" xfId="28" applyFont="1" applyBorder="1" applyAlignment="1" applyProtection="1">
      <alignment horizontal="center" vertical="center" wrapText="1"/>
    </xf>
    <xf numFmtId="0" fontId="46" fillId="0" borderId="15" xfId="28" applyFont="1" applyBorder="1" applyAlignment="1" applyProtection="1">
      <alignment horizontal="center" vertical="center" wrapText="1"/>
    </xf>
    <xf numFmtId="0" fontId="40" fillId="0" borderId="11" xfId="28" applyFont="1" applyFill="1" applyBorder="1" applyAlignment="1" applyProtection="1">
      <alignment horizontal="center" vertical="center" wrapText="1"/>
    </xf>
    <xf numFmtId="0" fontId="40" fillId="0" borderId="2" xfId="28" applyFont="1" applyFill="1" applyBorder="1" applyAlignment="1" applyProtection="1">
      <alignment horizontal="center" vertical="center" wrapText="1"/>
    </xf>
    <xf numFmtId="0" fontId="40" fillId="0" borderId="16" xfId="28" applyFont="1" applyFill="1" applyBorder="1" applyAlignment="1" applyProtection="1">
      <alignment horizontal="center" vertical="center" wrapText="1"/>
    </xf>
    <xf numFmtId="0" fontId="42" fillId="0" borderId="1" xfId="0" applyFont="1" applyFill="1" applyBorder="1" applyAlignment="1">
      <alignment horizontal="center" vertical="center"/>
    </xf>
    <xf numFmtId="0" fontId="49" fillId="0" borderId="1" xfId="0" applyFont="1" applyFill="1" applyBorder="1" applyAlignment="1">
      <alignment horizontal="center" vertical="center"/>
    </xf>
    <xf numFmtId="0" fontId="48" fillId="0" borderId="4" xfId="26" applyFont="1" applyFill="1" applyBorder="1" applyAlignment="1">
      <alignment horizontal="center" vertical="center"/>
    </xf>
    <xf numFmtId="0" fontId="48" fillId="0" borderId="21" xfId="26" applyFont="1" applyFill="1" applyBorder="1" applyAlignment="1">
      <alignment horizontal="center" vertical="center"/>
    </xf>
    <xf numFmtId="180" fontId="40" fillId="0" borderId="0" xfId="26" applyNumberFormat="1" applyFont="1" applyBorder="1" applyAlignment="1">
      <alignment horizontal="center"/>
    </xf>
    <xf numFmtId="0" fontId="61" fillId="0" borderId="11" xfId="0" applyFont="1" applyBorder="1" applyAlignment="1">
      <alignment horizontal="center" vertical="center" wrapText="1"/>
    </xf>
    <xf numFmtId="0" fontId="61" fillId="0" borderId="2" xfId="0" applyFont="1" applyBorder="1" applyAlignment="1">
      <alignment horizontal="center" vertical="center" wrapText="1"/>
    </xf>
    <xf numFmtId="0" fontId="40" fillId="0" borderId="1" xfId="26" applyFont="1" applyFill="1" applyBorder="1" applyAlignment="1">
      <alignment horizontal="center" vertical="center" wrapText="1"/>
    </xf>
    <xf numFmtId="0" fontId="40" fillId="2" borderId="1" xfId="26" applyFont="1" applyFill="1" applyBorder="1" applyAlignment="1">
      <alignment horizontal="center" vertical="center" wrapText="1"/>
    </xf>
    <xf numFmtId="0" fontId="40" fillId="0" borderId="0" xfId="26" applyFont="1" applyFill="1" applyBorder="1" applyAlignment="1">
      <alignment horizontal="center" vertical="center" wrapText="1"/>
    </xf>
    <xf numFmtId="0" fontId="40" fillId="0" borderId="1" xfId="0" quotePrefix="1" applyFont="1" applyFill="1" applyBorder="1" applyAlignment="1">
      <alignment horizontal="center" vertical="center" wrapText="1"/>
    </xf>
    <xf numFmtId="0" fontId="40" fillId="0" borderId="1" xfId="0" applyFont="1" applyBorder="1" applyAlignment="1">
      <alignment horizontal="center"/>
    </xf>
    <xf numFmtId="0" fontId="40" fillId="0" borderId="1" xfId="0" applyFont="1" applyFill="1" applyBorder="1" applyAlignment="1">
      <alignment horizontal="center" vertical="center" wrapText="1"/>
    </xf>
    <xf numFmtId="0" fontId="61" fillId="0" borderId="1" xfId="0" applyFont="1" applyFill="1" applyBorder="1" applyAlignment="1">
      <alignment horizontal="center" vertical="center"/>
    </xf>
    <xf numFmtId="0" fontId="40" fillId="0" borderId="0" xfId="0" applyFont="1" applyFill="1" applyBorder="1" applyAlignment="1">
      <alignment horizontal="center" vertical="center" wrapText="1"/>
    </xf>
    <xf numFmtId="0" fontId="40" fillId="0" borderId="0" xfId="26" applyFont="1" applyFill="1" applyBorder="1" applyAlignment="1">
      <alignment horizontal="center" vertical="center"/>
    </xf>
    <xf numFmtId="0" fontId="54" fillId="0" borderId="0" xfId="27" applyFont="1" applyFill="1" applyBorder="1" applyAlignment="1">
      <alignment horizontal="center" vertical="center" wrapText="1"/>
    </xf>
    <xf numFmtId="0" fontId="40" fillId="0" borderId="1" xfId="26" applyFont="1" applyBorder="1" applyAlignment="1">
      <alignment horizontal="center" vertical="center" wrapText="1"/>
    </xf>
    <xf numFmtId="0" fontId="40" fillId="0" borderId="14" xfId="0" applyFont="1" applyFill="1" applyBorder="1" applyAlignment="1">
      <alignment horizontal="center" vertical="center"/>
    </xf>
    <xf numFmtId="178" fontId="40" fillId="0" borderId="0" xfId="0" applyNumberFormat="1" applyFont="1" applyFill="1" applyBorder="1" applyAlignment="1">
      <alignment horizontal="center" vertical="center" wrapText="1"/>
    </xf>
    <xf numFmtId="0" fontId="40" fillId="0" borderId="0" xfId="26" applyFont="1" applyBorder="1" applyAlignment="1">
      <alignment horizontal="center"/>
    </xf>
    <xf numFmtId="0" fontId="40" fillId="0" borderId="0" xfId="26" applyFont="1" applyBorder="1"/>
    <xf numFmtId="0" fontId="40" fillId="0" borderId="1" xfId="0" applyFont="1" applyFill="1" applyBorder="1" applyAlignment="1">
      <alignment horizontal="center" vertical="center"/>
    </xf>
  </cellXfs>
  <cellStyles count="47">
    <cellStyle name="差" xfId="39" builtinId="27"/>
    <cellStyle name="差_油漆领料单(NEW 2009-3-16)" xfId="5"/>
    <cellStyle name="常规" xfId="0" builtinId="0"/>
    <cellStyle name="常规 10" xfId="32"/>
    <cellStyle name="常规 11" xfId="35"/>
    <cellStyle name="常规 12" xfId="36"/>
    <cellStyle name="常规 13" xfId="41"/>
    <cellStyle name="常规 14" xfId="45"/>
    <cellStyle name="常规 16" xfId="42"/>
    <cellStyle name="常规 17" xfId="46"/>
    <cellStyle name="常规 2" xfId="1"/>
    <cellStyle name="常规 2 2" xfId="2"/>
    <cellStyle name="常规 2 2 2" xfId="6"/>
    <cellStyle name="常规 2 3" xfId="4"/>
    <cellStyle name="常规 2 3 2" xfId="7"/>
    <cellStyle name="常规 2 4" xfId="8"/>
    <cellStyle name="常规 2 4 2" xfId="9"/>
    <cellStyle name="常规 2 4 3" xfId="28"/>
    <cellStyle name="常规 2 4 4" xfId="31"/>
    <cellStyle name="常规 2 4 5" xfId="34"/>
    <cellStyle name="常规 2 5" xfId="29"/>
    <cellStyle name="常规 2 6" xfId="33"/>
    <cellStyle name="常规 21" xfId="38"/>
    <cellStyle name="常规 3" xfId="3"/>
    <cellStyle name="常规 3 2" xfId="10"/>
    <cellStyle name="常规 4" xfId="11"/>
    <cellStyle name="常规 4 2" xfId="12"/>
    <cellStyle name="常规 4 2 2" xfId="13"/>
    <cellStyle name="常规 4 2 2 2" xfId="14"/>
    <cellStyle name="常规 4 2 2 3" xfId="15"/>
    <cellStyle name="常规 4 2 2 3 2" xfId="16"/>
    <cellStyle name="常规 4 2 2 3 2 2" xfId="17"/>
    <cellStyle name="常规 4 2 2 3 3" xfId="18"/>
    <cellStyle name="常规 4 3" xfId="19"/>
    <cellStyle name="常规 4 4" xfId="20"/>
    <cellStyle name="常规 5" xfId="21"/>
    <cellStyle name="常规 6" xfId="22"/>
    <cellStyle name="常规 7" xfId="25"/>
    <cellStyle name="常规 7 2" xfId="27"/>
    <cellStyle name="常规 7 2 2" xfId="43"/>
    <cellStyle name="常规 7 3" xfId="44"/>
    <cellStyle name="常规 8" xfId="26"/>
    <cellStyle name="常规 9" xfId="30"/>
    <cellStyle name="常规 9 2" xfId="40"/>
    <cellStyle name="常规_6月份不良统计分析_1" xfId="37"/>
    <cellStyle name="好_半成品油漆领料单模板(NEW 2009-4-1)" xfId="23"/>
    <cellStyle name="好_油漆领料单(NEW 2009-3-16)" xfId="24"/>
  </cellStyles>
  <dxfs count="72">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s>
  <tableStyles count="0" defaultTableStyle="TableStyleMedium9" defaultPivotStyle="PivotStyleLight16"/>
  <colors>
    <mruColors>
      <color rgb="FFF0F0F0"/>
      <color rgb="FF18E6E6"/>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3.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2.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17</xdr:col>
      <xdr:colOff>533400</xdr:colOff>
      <xdr:row>1</xdr:row>
      <xdr:rowOff>247651</xdr:rowOff>
    </xdr:from>
    <xdr:to>
      <xdr:col>22</xdr:col>
      <xdr:colOff>571500</xdr:colOff>
      <xdr:row>4</xdr:row>
      <xdr:rowOff>38100</xdr:rowOff>
    </xdr:to>
    <xdr:sp macro="" textlink="">
      <xdr:nvSpPr>
        <xdr:cNvPr id="2" name="矩形 1"/>
        <xdr:cNvSpPr/>
      </xdr:nvSpPr>
      <xdr:spPr>
        <a:xfrm>
          <a:off x="12192000" y="361951"/>
          <a:ext cx="3467100" cy="400049"/>
        </a:xfrm>
        <a:prstGeom prst="rect">
          <a:avLst/>
        </a:prstGeom>
        <a:noFill/>
        <a:ln>
          <a:noFill/>
        </a:ln>
        <a:effectLst>
          <a:glow rad="101600">
            <a:schemeClr val="accent2">
              <a:satMod val="175000"/>
              <a:alpha val="40000"/>
            </a:schemeClr>
          </a:glow>
        </a:effectLst>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zh-CN" altLang="en-US" sz="1600" b="1">
              <a:solidFill>
                <a:srgbClr val="0070C0"/>
              </a:solidFill>
              <a:effectLst>
                <a:glow rad="63500">
                  <a:schemeClr val="accent5">
                    <a:satMod val="175000"/>
                    <a:alpha val="40000"/>
                  </a:schemeClr>
                </a:glow>
                <a:outerShdw blurRad="50800" dist="38100" algn="tr" rotWithShape="0">
                  <a:prstClr val="black">
                    <a:alpha val="40000"/>
                  </a:prstClr>
                </a:outerShdw>
              </a:effectLst>
              <a:latin typeface="+mn-lt"/>
              <a:ea typeface="+mn-ea"/>
              <a:cs typeface="+mn-cs"/>
            </a:rPr>
            <a:t>此单门板先开拉手槽，后吸塑详见研发下发工艺文件加工</a:t>
          </a:r>
          <a:endParaRPr lang="zh-CN" sz="1600">
            <a:solidFill>
              <a:srgbClr val="0070C0"/>
            </a:solidFill>
            <a:effectLst>
              <a:glow rad="63500">
                <a:schemeClr val="accent5">
                  <a:satMod val="175000"/>
                  <a:alpha val="40000"/>
                </a:schemeClr>
              </a:glow>
              <a:outerShdw blurRad="50800" dist="38100" algn="tr" rotWithShape="0">
                <a:prstClr val="black">
                  <a:alpha val="40000"/>
                </a:prstClr>
              </a:outerShdw>
            </a:effectLst>
          </a:endParaRPr>
        </a:p>
        <a:p>
          <a:pPr algn="ctr"/>
          <a:endParaRPr lang="zh-CN" altLang="en-US" sz="1100">
            <a:solidFill>
              <a:srgbClr val="00B0F0"/>
            </a:solidFill>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E:\YunKu_Temp\YunKu_Open\f261c79af7ce424df8c3c7391ff065341efa74f8\&#36895;&#32654;&#26588;&#20307;ME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E:\YunKu_Temp\YunKu_Open\f261c79af7ce424df8c3c7391ff065341efa74f8\&#20813;&#28422;&#38376;&#26495;&#65288;&#29289;&#26009;&#21464;&#26356;&#21518;&#65289;.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E:\&#36213;&#34122;\&#23478;&#20855;&#25286;&#21333;&#27169;&#26495;\&#21416;&#26588;&#27169;&#26495;\2014-2-28&#29616;&#23384;&#37327;.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btasto@she3#"/>
      <sheetName val="柜体"/>
      <sheetName val="下料单"/>
      <sheetName val="领料单"/>
      <sheetName val="交接表"/>
      <sheetName val="Sheet1"/>
      <sheetName val="外地"/>
      <sheetName val="免漆 (2)"/>
      <sheetName val="免漆门板单 (2)"/>
      <sheetName val="免漆料单 (2)"/>
      <sheetName val="色诱"/>
      <sheetName val="作(4)"/>
      <sheetName val="料单 (4)"/>
      <sheetName val="实木"/>
      <sheetName val="作(5)"/>
      <sheetName val="料单 (5)"/>
      <sheetName val="香颂"/>
      <sheetName val="罗丹"/>
      <sheetName val="本地包装"/>
      <sheetName val="外阜包装"/>
    </sheetNames>
    <sheetDataSet>
      <sheetData sheetId="0" refreshError="1"/>
      <sheetData sheetId="1" refreshError="1"/>
      <sheetData sheetId="2">
        <row r="2">
          <cell r="L2" t="str">
            <v>版本型录号</v>
          </cell>
        </row>
      </sheetData>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btasto@she3#"/>
      <sheetName val="交接表"/>
      <sheetName val="Sheet1"/>
      <sheetName val="免漆"/>
      <sheetName val="免漆门板单"/>
      <sheetName val="免漆料单"/>
      <sheetName val="免漆 (2)"/>
      <sheetName val="免漆门板单 (2)"/>
      <sheetName val="免漆料单 (2)"/>
      <sheetName val="色诱"/>
      <sheetName val="作(4)"/>
      <sheetName val="料单 (4)"/>
      <sheetName val="实木"/>
      <sheetName val="作(5)"/>
      <sheetName val="料单 (5)"/>
      <sheetName val="香颂"/>
      <sheetName val="罗丹"/>
      <sheetName val="本地包装"/>
      <sheetName val="外阜包装"/>
    </sheetNames>
    <sheetDataSet>
      <sheetData sheetId="0"/>
      <sheetData sheetId="1"/>
      <sheetData sheetId="2"/>
      <sheetData sheetId="3"/>
      <sheetData sheetId="4">
        <row r="3">
          <cell r="J3" t="str">
            <v>下单日期</v>
          </cell>
        </row>
      </sheetData>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14-2-28现存量"/>
      <sheetName val="库位代码"/>
      <sheetName val="2-28日计划科查看--车间暂存内容"/>
      <sheetName val="2-26、2-27入库记录"/>
    </sheetNames>
    <sheetDataSet>
      <sheetData sheetId="0" refreshError="1">
        <row r="889">
          <cell r="C889" t="str">
            <v>尼龙胀塞8*60</v>
          </cell>
        </row>
      </sheetData>
      <sheetData sheetId="1" refreshError="1"/>
      <sheetData sheetId="2" refreshError="1"/>
      <sheetData sheetId="3" refreshError="1"/>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47"/>
  <sheetViews>
    <sheetView view="pageBreakPreview" zoomScale="115" zoomScaleSheetLayoutView="115" workbookViewId="0">
      <selection activeCell="Q20" sqref="Q20"/>
    </sheetView>
  </sheetViews>
  <sheetFormatPr defaultRowHeight="16.5"/>
  <cols>
    <col min="1" max="1" width="7.25" style="454" customWidth="1"/>
    <col min="2" max="2" width="10.125" style="94" customWidth="1"/>
    <col min="3" max="3" width="12.875" style="94" customWidth="1"/>
    <col min="4" max="4" width="10.75" style="94" customWidth="1"/>
    <col min="5" max="5" width="4.875" style="454" customWidth="1"/>
    <col min="6" max="6" width="7.375" style="454" customWidth="1"/>
    <col min="7" max="7" width="7.875" style="454" customWidth="1"/>
    <col min="8" max="8" width="8.75" style="454" customWidth="1"/>
    <col min="9" max="10" width="6.375" style="454" customWidth="1"/>
    <col min="11" max="16384" width="9" style="454"/>
  </cols>
  <sheetData>
    <row r="1" spans="1:10" ht="27" customHeight="1">
      <c r="A1" s="702" t="s">
        <v>267</v>
      </c>
      <c r="B1" s="702"/>
      <c r="C1" s="702"/>
      <c r="D1" s="702"/>
      <c r="E1" s="702"/>
      <c r="F1" s="702"/>
      <c r="G1" s="702"/>
      <c r="H1" s="702"/>
      <c r="I1" s="702"/>
      <c r="J1" s="702"/>
    </row>
    <row r="2" spans="1:10" ht="21" customHeight="1">
      <c r="A2" s="182" t="s">
        <v>1327</v>
      </c>
      <c r="B2" s="703">
        <f>下料单!C2</f>
        <v>0</v>
      </c>
      <c r="C2" s="703"/>
      <c r="D2" s="452" t="s">
        <v>1328</v>
      </c>
      <c r="E2" s="703">
        <f>下料单!H2</f>
        <v>0</v>
      </c>
      <c r="F2" s="703"/>
      <c r="G2" s="703"/>
      <c r="H2" s="452" t="s">
        <v>1329</v>
      </c>
      <c r="I2" s="704"/>
      <c r="J2" s="704"/>
    </row>
    <row r="3" spans="1:10" ht="21" customHeight="1">
      <c r="A3" s="452" t="s">
        <v>1330</v>
      </c>
      <c r="B3" s="703" t="str">
        <f>下料单!AQ2</f>
        <v>简爱</v>
      </c>
      <c r="C3" s="703"/>
      <c r="D3" s="452" t="s">
        <v>1331</v>
      </c>
      <c r="E3" s="703" t="str">
        <f>下料单!M2</f>
        <v>16厚樱桃木</v>
      </c>
      <c r="F3" s="703"/>
      <c r="G3" s="703"/>
      <c r="H3" s="452" t="s">
        <v>1332</v>
      </c>
      <c r="I3" s="704">
        <f>下料单!AB2</f>
        <v>43075</v>
      </c>
      <c r="J3" s="704"/>
    </row>
    <row r="4" spans="1:10" ht="21" customHeight="1">
      <c r="A4" s="452" t="s">
        <v>1333</v>
      </c>
      <c r="B4" s="703">
        <f>下料单!W2</f>
        <v>0</v>
      </c>
      <c r="C4" s="703"/>
      <c r="D4" s="346" t="s">
        <v>1334</v>
      </c>
      <c r="E4" s="707">
        <f>下料单!R2</f>
        <v>0</v>
      </c>
      <c r="F4" s="707"/>
      <c r="G4" s="707"/>
      <c r="H4" s="452" t="s">
        <v>1335</v>
      </c>
      <c r="I4" s="704">
        <f>下料单!AG2</f>
        <v>43076</v>
      </c>
      <c r="J4" s="704"/>
    </row>
    <row r="5" spans="1:10" ht="21" customHeight="1">
      <c r="A5" s="452" t="s">
        <v>1336</v>
      </c>
      <c r="B5" s="452" t="s">
        <v>1337</v>
      </c>
      <c r="C5" s="452" t="s">
        <v>1338</v>
      </c>
      <c r="D5" s="452" t="s">
        <v>1339</v>
      </c>
      <c r="E5" s="452" t="s">
        <v>1340</v>
      </c>
      <c r="F5" s="455" t="s">
        <v>1341</v>
      </c>
      <c r="G5" s="452" t="s">
        <v>1342</v>
      </c>
      <c r="H5" s="452" t="s">
        <v>1343</v>
      </c>
      <c r="I5" s="703" t="s">
        <v>1344</v>
      </c>
      <c r="J5" s="703"/>
    </row>
    <row r="6" spans="1:10" ht="21" customHeight="1">
      <c r="A6" s="452" t="s">
        <v>1345</v>
      </c>
      <c r="B6" s="703">
        <f>下料单!E21</f>
        <v>2</v>
      </c>
      <c r="C6" s="703"/>
      <c r="D6" s="452" t="s">
        <v>1346</v>
      </c>
      <c r="E6" s="703">
        <f>下料单!E33</f>
        <v>8</v>
      </c>
      <c r="F6" s="703"/>
      <c r="G6" s="703"/>
      <c r="H6" s="452" t="s">
        <v>1347</v>
      </c>
      <c r="I6" s="703"/>
      <c r="J6" s="703"/>
    </row>
    <row r="7" spans="1:10" ht="21" customHeight="1">
      <c r="A7" s="452" t="s">
        <v>1348</v>
      </c>
      <c r="B7" s="452" t="s">
        <v>1349</v>
      </c>
      <c r="C7" s="452" t="s">
        <v>1350</v>
      </c>
      <c r="D7" s="452" t="s">
        <v>1351</v>
      </c>
      <c r="E7" s="452" t="s">
        <v>1352</v>
      </c>
      <c r="F7" s="452" t="s">
        <v>1329</v>
      </c>
      <c r="G7" s="452" t="s">
        <v>1353</v>
      </c>
      <c r="H7" s="452" t="s">
        <v>1354</v>
      </c>
      <c r="I7" s="452" t="s">
        <v>1355</v>
      </c>
      <c r="J7" s="452" t="s">
        <v>1356</v>
      </c>
    </row>
    <row r="8" spans="1:10" ht="21" customHeight="1">
      <c r="A8" s="452">
        <v>1</v>
      </c>
      <c r="B8" s="705" t="s">
        <v>1357</v>
      </c>
      <c r="C8" s="392" t="s">
        <v>1358</v>
      </c>
      <c r="D8" s="452">
        <f>下料单!F48</f>
        <v>77</v>
      </c>
      <c r="E8" s="452" t="s">
        <v>1071</v>
      </c>
      <c r="F8" s="452"/>
      <c r="G8" s="452"/>
      <c r="H8" s="452"/>
      <c r="I8" s="452"/>
      <c r="J8" s="453"/>
    </row>
    <row r="9" spans="1:10" ht="21" customHeight="1">
      <c r="A9" s="452">
        <v>2</v>
      </c>
      <c r="B9" s="705"/>
      <c r="C9" s="392" t="s">
        <v>266</v>
      </c>
      <c r="D9" s="452">
        <f>下料单!I48</f>
        <v>67</v>
      </c>
      <c r="E9" s="452" t="s">
        <v>1296</v>
      </c>
      <c r="F9" s="452"/>
      <c r="G9" s="452"/>
      <c r="H9" s="452"/>
      <c r="I9" s="452"/>
      <c r="J9" s="453"/>
    </row>
    <row r="10" spans="1:10" ht="21" customHeight="1">
      <c r="A10" s="452">
        <v>3</v>
      </c>
      <c r="B10" s="705"/>
      <c r="C10" s="456" t="s">
        <v>1297</v>
      </c>
      <c r="D10" s="452">
        <f>下料单!L48</f>
        <v>31</v>
      </c>
      <c r="E10" s="452" t="s">
        <v>1296</v>
      </c>
      <c r="F10" s="452"/>
      <c r="G10" s="452"/>
      <c r="H10" s="452"/>
      <c r="I10" s="452"/>
      <c r="J10" s="453"/>
    </row>
    <row r="11" spans="1:10" ht="21" customHeight="1">
      <c r="A11" s="452">
        <v>4</v>
      </c>
      <c r="B11" s="706" t="s">
        <v>1298</v>
      </c>
      <c r="C11" s="392" t="s">
        <v>1299</v>
      </c>
      <c r="D11" s="452"/>
      <c r="E11" s="452" t="s">
        <v>1296</v>
      </c>
      <c r="F11" s="452"/>
      <c r="G11" s="452"/>
      <c r="H11" s="452"/>
      <c r="I11" s="452"/>
      <c r="J11" s="453"/>
    </row>
    <row r="12" spans="1:10" ht="21" customHeight="1">
      <c r="A12" s="452">
        <v>5</v>
      </c>
      <c r="B12" s="706"/>
      <c r="C12" s="392" t="s">
        <v>266</v>
      </c>
      <c r="D12" s="452"/>
      <c r="E12" s="452" t="s">
        <v>1296</v>
      </c>
      <c r="F12" s="452"/>
      <c r="G12" s="452"/>
      <c r="H12" s="452"/>
      <c r="I12" s="452"/>
      <c r="J12" s="453"/>
    </row>
    <row r="13" spans="1:10" ht="21" customHeight="1">
      <c r="A13" s="452">
        <v>6</v>
      </c>
      <c r="B13" s="706"/>
      <c r="C13" s="456" t="s">
        <v>1300</v>
      </c>
      <c r="D13" s="452"/>
      <c r="E13" s="452" t="s">
        <v>1296</v>
      </c>
      <c r="F13" s="452"/>
      <c r="G13" s="452"/>
      <c r="H13" s="452"/>
      <c r="I13" s="452"/>
      <c r="J13" s="453"/>
    </row>
    <row r="14" spans="1:10" ht="21" customHeight="1">
      <c r="A14" s="452">
        <v>7</v>
      </c>
      <c r="B14" s="457" t="s">
        <v>1301</v>
      </c>
      <c r="C14" s="456" t="s">
        <v>1302</v>
      </c>
      <c r="D14" s="452"/>
      <c r="E14" s="452" t="s">
        <v>1296</v>
      </c>
      <c r="F14" s="452"/>
      <c r="G14" s="452"/>
      <c r="H14" s="452"/>
      <c r="I14" s="452"/>
      <c r="J14" s="453"/>
    </row>
    <row r="15" spans="1:10" ht="21" customHeight="1">
      <c r="A15" s="452">
        <v>8</v>
      </c>
      <c r="B15" s="706" t="s">
        <v>1303</v>
      </c>
      <c r="C15" s="392" t="s">
        <v>1304</v>
      </c>
      <c r="D15" s="452"/>
      <c r="E15" s="452" t="s">
        <v>1296</v>
      </c>
      <c r="F15" s="452"/>
      <c r="G15" s="452"/>
      <c r="H15" s="452"/>
      <c r="I15" s="452"/>
      <c r="J15" s="453"/>
    </row>
    <row r="16" spans="1:10" ht="21" customHeight="1">
      <c r="A16" s="452">
        <v>9</v>
      </c>
      <c r="B16" s="706"/>
      <c r="C16" s="392" t="s">
        <v>1305</v>
      </c>
      <c r="D16" s="452"/>
      <c r="E16" s="452" t="s">
        <v>1296</v>
      </c>
      <c r="F16" s="452"/>
      <c r="G16" s="452"/>
      <c r="H16" s="452"/>
      <c r="I16" s="452"/>
      <c r="J16" s="453"/>
    </row>
    <row r="17" spans="1:10" ht="21" customHeight="1">
      <c r="A17" s="452">
        <v>10</v>
      </c>
      <c r="B17" s="706" t="s">
        <v>1306</v>
      </c>
      <c r="C17" s="392" t="s">
        <v>1307</v>
      </c>
      <c r="D17" s="452"/>
      <c r="E17" s="452" t="s">
        <v>1296</v>
      </c>
      <c r="F17" s="452"/>
      <c r="G17" s="452"/>
      <c r="H17" s="452"/>
      <c r="I17" s="452"/>
      <c r="J17" s="453"/>
    </row>
    <row r="18" spans="1:10" ht="21" customHeight="1">
      <c r="A18" s="452">
        <v>11</v>
      </c>
      <c r="B18" s="706"/>
      <c r="C18" s="392" t="s">
        <v>1308</v>
      </c>
      <c r="D18" s="452"/>
      <c r="E18" s="452" t="s">
        <v>1296</v>
      </c>
      <c r="F18" s="452"/>
      <c r="G18" s="452"/>
      <c r="H18" s="452"/>
      <c r="I18" s="452"/>
      <c r="J18" s="453"/>
    </row>
    <row r="19" spans="1:10" ht="21" customHeight="1">
      <c r="A19" s="452">
        <v>12</v>
      </c>
      <c r="B19" s="706"/>
      <c r="C19" s="392" t="s">
        <v>1309</v>
      </c>
      <c r="D19" s="452"/>
      <c r="E19" s="452" t="s">
        <v>1296</v>
      </c>
      <c r="F19" s="452"/>
      <c r="G19" s="452"/>
      <c r="H19" s="452"/>
      <c r="I19" s="452"/>
      <c r="J19" s="453"/>
    </row>
    <row r="20" spans="1:10" ht="21" customHeight="1">
      <c r="A20" s="452">
        <v>13</v>
      </c>
      <c r="B20" s="706"/>
      <c r="C20" s="392" t="s">
        <v>1310</v>
      </c>
      <c r="D20" s="452"/>
      <c r="E20" s="452" t="s">
        <v>1296</v>
      </c>
      <c r="F20" s="452"/>
      <c r="G20" s="452"/>
      <c r="H20" s="452"/>
      <c r="I20" s="452"/>
      <c r="J20" s="453"/>
    </row>
    <row r="21" spans="1:10" ht="21" customHeight="1">
      <c r="A21" s="452">
        <v>14</v>
      </c>
      <c r="B21" s="705" t="s">
        <v>1311</v>
      </c>
      <c r="C21" s="392" t="s">
        <v>1312</v>
      </c>
      <c r="D21" s="458">
        <f>下料单!C48</f>
        <v>1.8000000000000002E-2</v>
      </c>
      <c r="E21" s="452" t="s">
        <v>1313</v>
      </c>
      <c r="F21" s="452"/>
      <c r="G21" s="452"/>
      <c r="H21" s="452"/>
      <c r="I21" s="452"/>
      <c r="J21" s="453"/>
    </row>
    <row r="22" spans="1:10" ht="21" customHeight="1">
      <c r="A22" s="452">
        <v>15</v>
      </c>
      <c r="B22" s="705"/>
      <c r="C22" s="392" t="s">
        <v>1314</v>
      </c>
      <c r="D22" s="452"/>
      <c r="E22" s="452" t="s">
        <v>1315</v>
      </c>
      <c r="F22" s="452"/>
      <c r="G22" s="452"/>
      <c r="H22" s="452"/>
      <c r="I22" s="452"/>
      <c r="J22" s="453"/>
    </row>
    <row r="23" spans="1:10" ht="21" customHeight="1">
      <c r="A23" s="452">
        <v>16</v>
      </c>
      <c r="B23" s="705"/>
      <c r="C23" s="36" t="s">
        <v>1316</v>
      </c>
      <c r="D23" s="452">
        <v>1</v>
      </c>
      <c r="E23" s="452" t="s">
        <v>1317</v>
      </c>
      <c r="F23" s="452"/>
      <c r="G23" s="452"/>
      <c r="H23" s="452"/>
      <c r="I23" s="452"/>
      <c r="J23" s="453"/>
    </row>
    <row r="24" spans="1:10" ht="21" customHeight="1">
      <c r="A24" s="452">
        <v>17</v>
      </c>
      <c r="B24" s="707" t="s">
        <v>1318</v>
      </c>
      <c r="C24" s="451" t="s">
        <v>1319</v>
      </c>
      <c r="D24" s="452"/>
      <c r="E24" s="452" t="s">
        <v>1315</v>
      </c>
      <c r="F24" s="452"/>
      <c r="G24" s="452"/>
      <c r="H24" s="452"/>
      <c r="I24" s="452"/>
      <c r="J24" s="453"/>
    </row>
    <row r="25" spans="1:10" ht="21" customHeight="1">
      <c r="A25" s="452">
        <v>18</v>
      </c>
      <c r="B25" s="707"/>
      <c r="C25" s="451" t="s">
        <v>1320</v>
      </c>
      <c r="D25" s="452"/>
      <c r="E25" s="452" t="s">
        <v>1315</v>
      </c>
      <c r="F25" s="452"/>
      <c r="G25" s="452"/>
      <c r="H25" s="452"/>
      <c r="I25" s="452"/>
      <c r="J25" s="453"/>
    </row>
    <row r="26" spans="1:10" ht="20.100000000000001" customHeight="1">
      <c r="A26" s="452">
        <v>19</v>
      </c>
      <c r="B26" s="708" t="s">
        <v>1321</v>
      </c>
      <c r="C26" s="451" t="s">
        <v>1322</v>
      </c>
      <c r="D26" s="452"/>
      <c r="E26" s="452" t="s">
        <v>1315</v>
      </c>
      <c r="F26" s="452"/>
      <c r="G26" s="452"/>
      <c r="H26" s="452"/>
      <c r="I26" s="452"/>
      <c r="J26" s="453"/>
    </row>
    <row r="27" spans="1:10" ht="20.100000000000001" customHeight="1">
      <c r="A27" s="452">
        <v>20</v>
      </c>
      <c r="B27" s="709"/>
      <c r="C27" s="451" t="s">
        <v>1323</v>
      </c>
      <c r="D27" s="452"/>
      <c r="E27" s="452" t="s">
        <v>1315</v>
      </c>
      <c r="F27" s="452"/>
      <c r="G27" s="452"/>
      <c r="H27" s="452"/>
      <c r="I27" s="452"/>
      <c r="J27" s="453"/>
    </row>
    <row r="28" spans="1:10" ht="25.5" customHeight="1">
      <c r="A28" s="452">
        <v>21</v>
      </c>
      <c r="B28" s="455" t="s">
        <v>1324</v>
      </c>
      <c r="C28" s="451" t="s">
        <v>1325</v>
      </c>
      <c r="D28" s="452">
        <f>D8</f>
        <v>77</v>
      </c>
      <c r="E28" s="452" t="s">
        <v>1296</v>
      </c>
      <c r="F28" s="452"/>
      <c r="G28" s="452"/>
      <c r="H28" s="452"/>
      <c r="I28" s="452"/>
      <c r="J28" s="453"/>
    </row>
    <row r="29" spans="1:10">
      <c r="A29" s="459"/>
      <c r="B29" s="459"/>
      <c r="C29" s="26"/>
      <c r="D29" s="459"/>
      <c r="E29" s="459"/>
      <c r="F29" s="459"/>
      <c r="G29" s="459"/>
      <c r="H29" s="459"/>
      <c r="I29" s="459"/>
      <c r="J29" s="460"/>
    </row>
    <row r="30" spans="1:10">
      <c r="A30" s="459"/>
      <c r="B30" s="459"/>
      <c r="C30" s="461"/>
      <c r="D30" s="459"/>
      <c r="E30" s="459"/>
      <c r="F30" s="459"/>
      <c r="G30" s="459"/>
      <c r="H30" s="459"/>
      <c r="I30" s="459"/>
      <c r="J30" s="460"/>
    </row>
    <row r="31" spans="1:10">
      <c r="A31" s="459"/>
      <c r="B31" s="459"/>
      <c r="C31" s="462"/>
      <c r="D31" s="459"/>
      <c r="E31" s="459"/>
      <c r="F31" s="459"/>
      <c r="G31" s="459"/>
      <c r="H31" s="459"/>
      <c r="I31" s="459"/>
      <c r="J31" s="460"/>
    </row>
    <row r="32" spans="1:10">
      <c r="A32" s="459"/>
      <c r="B32" s="459"/>
      <c r="C32" s="462"/>
      <c r="D32" s="459"/>
      <c r="E32" s="459"/>
      <c r="F32" s="459"/>
      <c r="G32" s="459"/>
      <c r="H32" s="459"/>
      <c r="I32" s="459"/>
      <c r="J32" s="460"/>
    </row>
    <row r="33" spans="1:10">
      <c r="A33" s="459"/>
      <c r="B33" s="459"/>
      <c r="C33" s="459"/>
      <c r="D33" s="459"/>
      <c r="E33" s="459"/>
      <c r="F33" s="459"/>
      <c r="G33" s="459"/>
      <c r="H33" s="459"/>
      <c r="I33" s="459"/>
      <c r="J33" s="460"/>
    </row>
    <row r="34" spans="1:10">
      <c r="A34" s="459"/>
      <c r="B34" s="459"/>
      <c r="C34" s="459"/>
      <c r="D34" s="459"/>
      <c r="E34" s="459"/>
      <c r="F34" s="459"/>
      <c r="G34" s="459"/>
      <c r="H34" s="459"/>
      <c r="I34" s="459"/>
      <c r="J34" s="460"/>
    </row>
    <row r="35" spans="1:10">
      <c r="A35" s="459"/>
      <c r="B35" s="459"/>
      <c r="C35" s="459"/>
      <c r="D35" s="459"/>
      <c r="E35" s="459"/>
      <c r="F35" s="459"/>
      <c r="G35" s="459"/>
      <c r="H35" s="459"/>
      <c r="I35" s="459"/>
      <c r="J35" s="460"/>
    </row>
    <row r="36" spans="1:10">
      <c r="A36" s="459"/>
      <c r="B36" s="459"/>
      <c r="C36" s="459"/>
      <c r="D36" s="459"/>
      <c r="E36" s="459"/>
      <c r="F36" s="459"/>
      <c r="G36" s="459"/>
      <c r="H36" s="459"/>
      <c r="I36" s="459"/>
      <c r="J36" s="460"/>
    </row>
    <row r="37" spans="1:10">
      <c r="A37" s="459"/>
      <c r="B37" s="459"/>
      <c r="C37" s="26"/>
      <c r="D37" s="459"/>
      <c r="E37" s="459"/>
      <c r="F37" s="459"/>
      <c r="G37" s="459"/>
      <c r="H37" s="459"/>
      <c r="I37" s="459"/>
      <c r="J37" s="460"/>
    </row>
    <row r="38" spans="1:10">
      <c r="A38" s="459"/>
      <c r="B38" s="459"/>
      <c r="C38" s="26"/>
      <c r="D38" s="459"/>
      <c r="E38" s="459"/>
      <c r="F38" s="459"/>
      <c r="G38" s="459"/>
      <c r="H38" s="459"/>
      <c r="I38" s="459"/>
      <c r="J38" s="460"/>
    </row>
    <row r="39" spans="1:10" ht="18.75" customHeight="1">
      <c r="A39" s="459"/>
      <c r="B39" s="459"/>
      <c r="C39" s="463"/>
      <c r="D39" s="459"/>
      <c r="E39" s="459"/>
      <c r="F39" s="459"/>
      <c r="G39" s="459"/>
      <c r="H39" s="459"/>
      <c r="I39" s="459"/>
      <c r="J39" s="460"/>
    </row>
    <row r="40" spans="1:10">
      <c r="A40" s="459"/>
      <c r="B40" s="459"/>
      <c r="C40" s="459"/>
      <c r="D40" s="459"/>
      <c r="E40" s="459"/>
      <c r="F40" s="459"/>
      <c r="G40" s="459"/>
      <c r="H40" s="459"/>
      <c r="I40" s="459"/>
      <c r="J40" s="460"/>
    </row>
    <row r="41" spans="1:10">
      <c r="A41" s="459"/>
      <c r="B41" s="459"/>
      <c r="C41" s="459"/>
      <c r="D41" s="459"/>
      <c r="E41" s="459"/>
      <c r="F41" s="459"/>
      <c r="G41" s="459"/>
      <c r="H41" s="459"/>
      <c r="I41" s="459"/>
      <c r="J41" s="460"/>
    </row>
    <row r="42" spans="1:10">
      <c r="A42" s="459"/>
      <c r="B42" s="459"/>
      <c r="C42" s="464"/>
      <c r="D42" s="459"/>
      <c r="E42" s="459"/>
      <c r="F42" s="459"/>
      <c r="G42" s="459"/>
      <c r="H42" s="459"/>
      <c r="I42" s="459"/>
      <c r="J42" s="460"/>
    </row>
    <row r="43" spans="1:10">
      <c r="A43" s="459"/>
      <c r="B43" s="459"/>
      <c r="C43" s="464"/>
      <c r="D43" s="459"/>
      <c r="E43" s="459"/>
      <c r="F43" s="459"/>
      <c r="G43" s="459"/>
      <c r="H43" s="459"/>
      <c r="I43" s="459"/>
      <c r="J43" s="460"/>
    </row>
    <row r="44" spans="1:10">
      <c r="A44" s="459"/>
      <c r="B44" s="459"/>
      <c r="C44" s="459"/>
      <c r="D44" s="459"/>
      <c r="E44" s="459"/>
      <c r="F44" s="459"/>
      <c r="G44" s="459"/>
      <c r="H44" s="459"/>
      <c r="I44" s="459"/>
      <c r="J44" s="460"/>
    </row>
    <row r="45" spans="1:10">
      <c r="A45" s="459"/>
      <c r="B45" s="459"/>
      <c r="C45" s="459"/>
      <c r="D45" s="459"/>
      <c r="E45" s="459"/>
      <c r="F45" s="459"/>
      <c r="G45" s="459"/>
      <c r="H45" s="459"/>
      <c r="I45" s="459"/>
      <c r="J45" s="460"/>
    </row>
    <row r="46" spans="1:10">
      <c r="A46" s="459"/>
      <c r="B46" s="459"/>
      <c r="C46" s="459"/>
      <c r="D46" s="459"/>
      <c r="E46" s="459"/>
      <c r="F46" s="459"/>
      <c r="G46" s="459"/>
      <c r="H46" s="459"/>
      <c r="I46" s="459"/>
      <c r="J46" s="460"/>
    </row>
    <row r="47" spans="1:10">
      <c r="A47" s="84"/>
      <c r="B47" s="177"/>
      <c r="C47" s="177"/>
      <c r="D47" s="177"/>
      <c r="E47" s="84"/>
      <c r="F47" s="84"/>
      <c r="G47" s="84"/>
      <c r="H47" s="84"/>
      <c r="I47" s="84"/>
      <c r="J47" s="84"/>
    </row>
  </sheetData>
  <mergeCells count="21">
    <mergeCell ref="B26:B27"/>
    <mergeCell ref="B17:B20"/>
    <mergeCell ref="B21:B23"/>
    <mergeCell ref="B24:B25"/>
    <mergeCell ref="E6:G6"/>
    <mergeCell ref="I6:J6"/>
    <mergeCell ref="B8:B10"/>
    <mergeCell ref="B11:B13"/>
    <mergeCell ref="B15:B16"/>
    <mergeCell ref="B2:C2"/>
    <mergeCell ref="E4:G4"/>
    <mergeCell ref="I4:J4"/>
    <mergeCell ref="B6:C6"/>
    <mergeCell ref="B4:C4"/>
    <mergeCell ref="I5:J5"/>
    <mergeCell ref="A1:J1"/>
    <mergeCell ref="E2:G2"/>
    <mergeCell ref="I2:J2"/>
    <mergeCell ref="E3:G3"/>
    <mergeCell ref="I3:J3"/>
    <mergeCell ref="B3:C3"/>
  </mergeCells>
  <phoneticPr fontId="20" type="noConversion"/>
  <conditionalFormatting sqref="C18:C19">
    <cfRule type="duplicateValues" dxfId="71" priority="14" stopIfTrue="1"/>
  </conditionalFormatting>
  <conditionalFormatting sqref="C21">
    <cfRule type="duplicateValues" dxfId="70" priority="13" stopIfTrue="1"/>
  </conditionalFormatting>
  <conditionalFormatting sqref="C20 C22">
    <cfRule type="duplicateValues" dxfId="69" priority="12" stopIfTrue="1"/>
  </conditionalFormatting>
  <conditionalFormatting sqref="C20">
    <cfRule type="duplicateValues" dxfId="68" priority="11"/>
  </conditionalFormatting>
  <conditionalFormatting sqref="C13:C17">
    <cfRule type="duplicateValues" dxfId="67" priority="10" stopIfTrue="1"/>
  </conditionalFormatting>
  <conditionalFormatting sqref="C10">
    <cfRule type="duplicateValues" dxfId="66" priority="9" stopIfTrue="1"/>
  </conditionalFormatting>
  <conditionalFormatting sqref="C11">
    <cfRule type="duplicateValues" dxfId="65" priority="8" stopIfTrue="1"/>
  </conditionalFormatting>
  <conditionalFormatting sqref="C12">
    <cfRule type="duplicateValues" dxfId="64" priority="7" stopIfTrue="1"/>
  </conditionalFormatting>
  <conditionalFormatting sqref="C17">
    <cfRule type="duplicateValues" dxfId="63" priority="6" stopIfTrue="1"/>
  </conditionalFormatting>
  <conditionalFormatting sqref="C23">
    <cfRule type="duplicateValues" dxfId="62" priority="5"/>
  </conditionalFormatting>
  <conditionalFormatting sqref="C39">
    <cfRule type="duplicateValues" dxfId="61" priority="4" stopIfTrue="1"/>
  </conditionalFormatting>
  <conditionalFormatting sqref="C13:C14">
    <cfRule type="duplicateValues" dxfId="60" priority="3" stopIfTrue="1"/>
  </conditionalFormatting>
  <conditionalFormatting sqref="C14">
    <cfRule type="duplicateValues" dxfId="59" priority="2" stopIfTrue="1"/>
  </conditionalFormatting>
  <conditionalFormatting sqref="C14">
    <cfRule type="duplicateValues" dxfId="58" priority="1" stopIfTrue="1"/>
  </conditionalFormatting>
  <pageMargins left="0.48" right="0.39370078740157483" top="0.35433070866141736" bottom="0.35433070866141736" header="0.15748031496062992" footer="0.23622047244094491"/>
  <pageSetup paperSize="9" orientation="portrait" r:id="rId1"/>
  <headerFooter alignWithMargins="0"/>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50"/>
  </sheetPr>
  <dimension ref="A1:J28"/>
  <sheetViews>
    <sheetView view="pageBreakPreview" zoomScaleSheetLayoutView="100" workbookViewId="0">
      <selection activeCell="R22" sqref="R22"/>
    </sheetView>
  </sheetViews>
  <sheetFormatPr defaultRowHeight="20.100000000000001" customHeight="1"/>
  <cols>
    <col min="1" max="1" width="8.375" style="454" customWidth="1"/>
    <col min="2" max="2" width="8.625" style="454" customWidth="1"/>
    <col min="3" max="3" width="8.5" style="454" customWidth="1"/>
    <col min="4" max="4" width="9" style="454"/>
    <col min="5" max="5" width="6.375" style="454" customWidth="1"/>
    <col min="6" max="7" width="8" style="454" customWidth="1"/>
    <col min="8" max="8" width="9" style="454"/>
    <col min="9" max="10" width="6.75" style="454" customWidth="1"/>
    <col min="11" max="16384" width="9" style="454"/>
  </cols>
  <sheetData>
    <row r="1" spans="1:10" ht="20.100000000000001" customHeight="1">
      <c r="A1" s="842" t="s">
        <v>1326</v>
      </c>
      <c r="B1" s="842"/>
      <c r="C1" s="842"/>
      <c r="D1" s="842"/>
      <c r="E1" s="842"/>
      <c r="F1" s="842"/>
      <c r="G1" s="842"/>
      <c r="H1" s="842"/>
      <c r="I1" s="842"/>
      <c r="J1" s="842"/>
    </row>
    <row r="2" spans="1:10" ht="20.100000000000001" customHeight="1">
      <c r="A2" s="182" t="s">
        <v>1327</v>
      </c>
      <c r="B2" s="703">
        <f>柜体转序单!B2</f>
        <v>0</v>
      </c>
      <c r="C2" s="703"/>
      <c r="D2" s="452" t="s">
        <v>1328</v>
      </c>
      <c r="E2" s="703">
        <f>柜体转序单!E2</f>
        <v>0</v>
      </c>
      <c r="F2" s="703"/>
      <c r="G2" s="703"/>
      <c r="H2" s="452" t="s">
        <v>1329</v>
      </c>
      <c r="I2" s="704">
        <f>柜体转序单!I2</f>
        <v>0</v>
      </c>
      <c r="J2" s="704"/>
    </row>
    <row r="3" spans="1:10" ht="32.25" customHeight="1">
      <c r="A3" s="452" t="s">
        <v>1330</v>
      </c>
      <c r="B3" s="703" t="str">
        <f>速美免漆下料单!G3</f>
        <v>现代</v>
      </c>
      <c r="C3" s="703"/>
      <c r="D3" s="452" t="s">
        <v>1331</v>
      </c>
      <c r="E3" s="843" t="str">
        <f>速美免漆下料单!O3&amp;速美免漆下料单!P3&amp;速美免漆下料单!Q3&amp;速美免漆下料单!R3</f>
        <v>M42纯白高光</v>
      </c>
      <c r="F3" s="844"/>
      <c r="G3" s="845"/>
      <c r="H3" s="452" t="s">
        <v>1332</v>
      </c>
      <c r="I3" s="704">
        <f>柜体转序单!I3</f>
        <v>43075</v>
      </c>
      <c r="J3" s="704"/>
    </row>
    <row r="4" spans="1:10" ht="20.100000000000001" customHeight="1">
      <c r="A4" s="452" t="s">
        <v>1333</v>
      </c>
      <c r="B4" s="703">
        <f>柜体转序单!B4</f>
        <v>0</v>
      </c>
      <c r="C4" s="703"/>
      <c r="D4" s="346" t="s">
        <v>1334</v>
      </c>
      <c r="E4" s="707">
        <f>柜体转序单!E4</f>
        <v>0</v>
      </c>
      <c r="F4" s="707"/>
      <c r="G4" s="707"/>
      <c r="H4" s="452" t="s">
        <v>1335</v>
      </c>
      <c r="I4" s="704">
        <f>柜体转序单!I4</f>
        <v>43076</v>
      </c>
      <c r="J4" s="704"/>
    </row>
    <row r="5" spans="1:10" ht="20.100000000000001" customHeight="1">
      <c r="A5" s="452" t="s">
        <v>1336</v>
      </c>
      <c r="B5" s="452" t="s">
        <v>1337</v>
      </c>
      <c r="C5" s="452" t="s">
        <v>1338</v>
      </c>
      <c r="D5" s="452" t="s">
        <v>1339</v>
      </c>
      <c r="E5" s="452" t="s">
        <v>1340</v>
      </c>
      <c r="F5" s="455" t="s">
        <v>1341</v>
      </c>
      <c r="G5" s="452" t="s">
        <v>1342</v>
      </c>
      <c r="H5" s="452" t="s">
        <v>1363</v>
      </c>
      <c r="I5" s="703" t="s">
        <v>1364</v>
      </c>
      <c r="J5" s="703"/>
    </row>
    <row r="6" spans="1:10" ht="20.100000000000001" customHeight="1">
      <c r="A6" s="452" t="s">
        <v>1345</v>
      </c>
      <c r="B6" s="703"/>
      <c r="C6" s="703"/>
      <c r="D6" s="452" t="s">
        <v>1346</v>
      </c>
      <c r="E6" s="703"/>
      <c r="F6" s="703"/>
      <c r="G6" s="703"/>
      <c r="H6" s="452" t="s">
        <v>1347</v>
      </c>
      <c r="I6" s="703"/>
      <c r="J6" s="703"/>
    </row>
    <row r="7" spans="1:10" ht="20.100000000000001" customHeight="1">
      <c r="A7" s="452" t="s">
        <v>1348</v>
      </c>
      <c r="B7" s="452" t="s">
        <v>1349</v>
      </c>
      <c r="C7" s="452" t="s">
        <v>1350</v>
      </c>
      <c r="D7" s="452" t="s">
        <v>1351</v>
      </c>
      <c r="E7" s="452" t="s">
        <v>1352</v>
      </c>
      <c r="F7" s="452" t="s">
        <v>1329</v>
      </c>
      <c r="G7" s="452" t="s">
        <v>1353</v>
      </c>
      <c r="H7" s="452" t="s">
        <v>1354</v>
      </c>
      <c r="I7" s="452" t="s">
        <v>1355</v>
      </c>
      <c r="J7" s="452" t="s">
        <v>1356</v>
      </c>
    </row>
    <row r="8" spans="1:10" ht="20.100000000000001" customHeight="1">
      <c r="A8" s="452">
        <v>1</v>
      </c>
      <c r="B8" s="706" t="s">
        <v>1357</v>
      </c>
      <c r="C8" s="392" t="s">
        <v>1358</v>
      </c>
      <c r="D8" s="452"/>
      <c r="E8" s="452" t="s">
        <v>1071</v>
      </c>
      <c r="F8" s="452"/>
      <c r="G8" s="452"/>
      <c r="H8" s="452"/>
      <c r="I8" s="452"/>
      <c r="J8" s="453"/>
    </row>
    <row r="9" spans="1:10" ht="20.100000000000001" customHeight="1">
      <c r="A9" s="452">
        <v>2</v>
      </c>
      <c r="B9" s="706"/>
      <c r="C9" s="392" t="s">
        <v>266</v>
      </c>
      <c r="D9" s="452"/>
      <c r="E9" s="452" t="s">
        <v>1296</v>
      </c>
      <c r="F9" s="452"/>
      <c r="G9" s="452"/>
      <c r="H9" s="452"/>
      <c r="I9" s="452"/>
      <c r="J9" s="453"/>
    </row>
    <row r="10" spans="1:10" ht="20.100000000000001" customHeight="1">
      <c r="A10" s="452">
        <v>3</v>
      </c>
      <c r="B10" s="706"/>
      <c r="C10" s="456" t="s">
        <v>1297</v>
      </c>
      <c r="D10" s="452"/>
      <c r="E10" s="452" t="s">
        <v>1296</v>
      </c>
      <c r="F10" s="452"/>
      <c r="G10" s="452"/>
      <c r="H10" s="452"/>
      <c r="I10" s="452"/>
      <c r="J10" s="453"/>
    </row>
    <row r="11" spans="1:10" ht="20.100000000000001" customHeight="1">
      <c r="A11" s="452">
        <v>4</v>
      </c>
      <c r="B11" s="706" t="s">
        <v>1298</v>
      </c>
      <c r="C11" s="392" t="s">
        <v>1299</v>
      </c>
      <c r="D11" s="452"/>
      <c r="E11" s="452" t="s">
        <v>1296</v>
      </c>
      <c r="F11" s="452"/>
      <c r="G11" s="452"/>
      <c r="H11" s="452"/>
      <c r="I11" s="452"/>
      <c r="J11" s="453"/>
    </row>
    <row r="12" spans="1:10" ht="20.100000000000001" customHeight="1">
      <c r="A12" s="452">
        <v>5</v>
      </c>
      <c r="B12" s="706"/>
      <c r="C12" s="392" t="s">
        <v>266</v>
      </c>
      <c r="D12" s="452"/>
      <c r="E12" s="452" t="s">
        <v>1296</v>
      </c>
      <c r="F12" s="452"/>
      <c r="G12" s="452"/>
      <c r="H12" s="452"/>
      <c r="I12" s="452"/>
      <c r="J12" s="453"/>
    </row>
    <row r="13" spans="1:10" ht="20.100000000000001" customHeight="1">
      <c r="A13" s="452">
        <v>6</v>
      </c>
      <c r="B13" s="706"/>
      <c r="C13" s="456" t="s">
        <v>1300</v>
      </c>
      <c r="D13" s="452"/>
      <c r="E13" s="452" t="s">
        <v>1296</v>
      </c>
      <c r="F13" s="452"/>
      <c r="G13" s="452"/>
      <c r="H13" s="452"/>
      <c r="I13" s="452"/>
      <c r="J13" s="453"/>
    </row>
    <row r="14" spans="1:10" ht="20.100000000000001" customHeight="1">
      <c r="A14" s="452">
        <v>7</v>
      </c>
      <c r="B14" s="457" t="s">
        <v>1301</v>
      </c>
      <c r="C14" s="456" t="s">
        <v>1302</v>
      </c>
      <c r="D14" s="452"/>
      <c r="E14" s="452" t="s">
        <v>1296</v>
      </c>
      <c r="F14" s="452"/>
      <c r="G14" s="452"/>
      <c r="H14" s="452"/>
      <c r="I14" s="452"/>
      <c r="J14" s="453"/>
    </row>
    <row r="15" spans="1:10" ht="20.100000000000001" customHeight="1">
      <c r="A15" s="452">
        <v>8</v>
      </c>
      <c r="B15" s="706" t="s">
        <v>1303</v>
      </c>
      <c r="C15" s="392" t="s">
        <v>1304</v>
      </c>
      <c r="D15" s="452">
        <f>速美免漆下料单!I3</f>
        <v>1</v>
      </c>
      <c r="E15" s="452" t="s">
        <v>1296</v>
      </c>
      <c r="F15" s="452"/>
      <c r="G15" s="452"/>
      <c r="H15" s="452"/>
      <c r="I15" s="452"/>
      <c r="J15" s="453"/>
    </row>
    <row r="16" spans="1:10" ht="20.100000000000001" customHeight="1">
      <c r="A16" s="452">
        <v>9</v>
      </c>
      <c r="B16" s="706"/>
      <c r="C16" s="392" t="s">
        <v>1305</v>
      </c>
      <c r="D16" s="452">
        <f>D15</f>
        <v>1</v>
      </c>
      <c r="E16" s="452" t="s">
        <v>1296</v>
      </c>
      <c r="F16" s="452"/>
      <c r="G16" s="452"/>
      <c r="H16" s="452"/>
      <c r="I16" s="452"/>
      <c r="J16" s="453"/>
    </row>
    <row r="17" spans="1:10" ht="20.100000000000001" customHeight="1">
      <c r="A17" s="452">
        <v>10</v>
      </c>
      <c r="B17" s="706" t="s">
        <v>1306</v>
      </c>
      <c r="C17" s="392" t="s">
        <v>1307</v>
      </c>
      <c r="D17" s="452"/>
      <c r="E17" s="452" t="s">
        <v>1296</v>
      </c>
      <c r="F17" s="452"/>
      <c r="G17" s="452"/>
      <c r="H17" s="452"/>
      <c r="I17" s="452"/>
      <c r="J17" s="453"/>
    </row>
    <row r="18" spans="1:10" ht="20.100000000000001" customHeight="1">
      <c r="A18" s="452">
        <v>11</v>
      </c>
      <c r="B18" s="706"/>
      <c r="C18" s="392" t="s">
        <v>1308</v>
      </c>
      <c r="D18" s="452"/>
      <c r="E18" s="452" t="s">
        <v>1296</v>
      </c>
      <c r="F18" s="452"/>
      <c r="G18" s="452"/>
      <c r="H18" s="452"/>
      <c r="I18" s="452"/>
      <c r="J18" s="453"/>
    </row>
    <row r="19" spans="1:10" ht="20.100000000000001" customHeight="1">
      <c r="A19" s="452">
        <v>12</v>
      </c>
      <c r="B19" s="706"/>
      <c r="C19" s="392" t="s">
        <v>1309</v>
      </c>
      <c r="D19" s="452"/>
      <c r="E19" s="452" t="s">
        <v>1296</v>
      </c>
      <c r="F19" s="452"/>
      <c r="G19" s="452"/>
      <c r="H19" s="452"/>
      <c r="I19" s="452"/>
      <c r="J19" s="453"/>
    </row>
    <row r="20" spans="1:10" ht="20.100000000000001" customHeight="1">
      <c r="A20" s="452">
        <v>13</v>
      </c>
      <c r="B20" s="706"/>
      <c r="C20" s="392" t="s">
        <v>1310</v>
      </c>
      <c r="D20" s="452"/>
      <c r="E20" s="452" t="s">
        <v>1296</v>
      </c>
      <c r="F20" s="452"/>
      <c r="G20" s="452"/>
      <c r="H20" s="452"/>
      <c r="I20" s="452"/>
      <c r="J20" s="453"/>
    </row>
    <row r="21" spans="1:10" ht="20.100000000000001" customHeight="1">
      <c r="A21" s="452">
        <v>14</v>
      </c>
      <c r="B21" s="705" t="s">
        <v>1311</v>
      </c>
      <c r="C21" s="392" t="s">
        <v>1312</v>
      </c>
      <c r="D21" s="452"/>
      <c r="E21" s="452" t="s">
        <v>1313</v>
      </c>
      <c r="F21" s="452"/>
      <c r="G21" s="452"/>
      <c r="H21" s="452"/>
      <c r="I21" s="452"/>
      <c r="J21" s="453"/>
    </row>
    <row r="22" spans="1:10" ht="20.100000000000001" customHeight="1">
      <c r="A22" s="452">
        <v>15</v>
      </c>
      <c r="B22" s="705"/>
      <c r="C22" s="392" t="s">
        <v>1314</v>
      </c>
      <c r="D22" s="452"/>
      <c r="E22" s="452" t="s">
        <v>1315</v>
      </c>
      <c r="F22" s="452"/>
      <c r="G22" s="452"/>
      <c r="H22" s="452"/>
      <c r="I22" s="452"/>
      <c r="J22" s="453"/>
    </row>
    <row r="23" spans="1:10" ht="20.100000000000001" customHeight="1">
      <c r="A23" s="452">
        <v>16</v>
      </c>
      <c r="B23" s="705"/>
      <c r="C23" s="36" t="s">
        <v>1316</v>
      </c>
      <c r="D23" s="452">
        <v>1</v>
      </c>
      <c r="E23" s="452" t="s">
        <v>1317</v>
      </c>
      <c r="F23" s="452"/>
      <c r="G23" s="452"/>
      <c r="H23" s="452"/>
      <c r="I23" s="452"/>
      <c r="J23" s="453"/>
    </row>
    <row r="24" spans="1:10" ht="20.100000000000001" customHeight="1">
      <c r="A24" s="452">
        <v>17</v>
      </c>
      <c r="B24" s="707" t="s">
        <v>1318</v>
      </c>
      <c r="C24" s="451" t="s">
        <v>1319</v>
      </c>
      <c r="D24" s="452"/>
      <c r="E24" s="452" t="s">
        <v>1315</v>
      </c>
      <c r="F24" s="452"/>
      <c r="G24" s="452"/>
      <c r="H24" s="452"/>
      <c r="I24" s="452"/>
      <c r="J24" s="453"/>
    </row>
    <row r="25" spans="1:10" ht="20.100000000000001" customHeight="1">
      <c r="A25" s="452">
        <v>18</v>
      </c>
      <c r="B25" s="707"/>
      <c r="C25" s="451" t="s">
        <v>1320</v>
      </c>
      <c r="D25" s="452"/>
      <c r="E25" s="452" t="s">
        <v>1315</v>
      </c>
      <c r="F25" s="452"/>
      <c r="G25" s="452"/>
      <c r="H25" s="452"/>
      <c r="I25" s="452"/>
      <c r="J25" s="453"/>
    </row>
    <row r="26" spans="1:10" ht="20.100000000000001" customHeight="1">
      <c r="A26" s="452">
        <v>19</v>
      </c>
      <c r="B26" s="708" t="s">
        <v>1368</v>
      </c>
      <c r="C26" s="182" t="s">
        <v>1365</v>
      </c>
      <c r="D26" s="452"/>
      <c r="E26" s="452" t="s">
        <v>1315</v>
      </c>
      <c r="F26" s="452"/>
      <c r="G26" s="452"/>
      <c r="H26" s="452"/>
      <c r="I26" s="452"/>
      <c r="J26" s="453"/>
    </row>
    <row r="27" spans="1:10" ht="20.100000000000001" customHeight="1">
      <c r="A27" s="452">
        <v>20</v>
      </c>
      <c r="B27" s="709"/>
      <c r="C27" s="182" t="s">
        <v>1369</v>
      </c>
      <c r="D27" s="452"/>
      <c r="E27" s="452" t="s">
        <v>1315</v>
      </c>
      <c r="F27" s="452"/>
      <c r="G27" s="452"/>
      <c r="H27" s="452"/>
      <c r="I27" s="452"/>
      <c r="J27" s="453"/>
    </row>
    <row r="28" spans="1:10" ht="20.100000000000001" customHeight="1">
      <c r="A28" s="452">
        <v>21</v>
      </c>
      <c r="B28" s="455" t="s">
        <v>1324</v>
      </c>
      <c r="C28" s="451" t="s">
        <v>1325</v>
      </c>
      <c r="D28" s="452">
        <f>D15</f>
        <v>1</v>
      </c>
      <c r="E28" s="452" t="s">
        <v>1296</v>
      </c>
      <c r="F28" s="452"/>
      <c r="G28" s="452"/>
      <c r="H28" s="452"/>
      <c r="I28" s="452"/>
      <c r="J28" s="453"/>
    </row>
  </sheetData>
  <mergeCells count="21">
    <mergeCell ref="B26:B27"/>
    <mergeCell ref="B8:B10"/>
    <mergeCell ref="B11:B13"/>
    <mergeCell ref="B15:B16"/>
    <mergeCell ref="B17:B20"/>
    <mergeCell ref="B21:B23"/>
    <mergeCell ref="B24:B25"/>
    <mergeCell ref="B4:C4"/>
    <mergeCell ref="E4:G4"/>
    <mergeCell ref="I4:J4"/>
    <mergeCell ref="I5:J5"/>
    <mergeCell ref="B6:C6"/>
    <mergeCell ref="E6:G6"/>
    <mergeCell ref="I6:J6"/>
    <mergeCell ref="A1:J1"/>
    <mergeCell ref="B2:C2"/>
    <mergeCell ref="E2:G2"/>
    <mergeCell ref="I2:J2"/>
    <mergeCell ref="B3:C3"/>
    <mergeCell ref="E3:G3"/>
    <mergeCell ref="I3:J3"/>
  </mergeCells>
  <phoneticPr fontId="6" type="noConversion"/>
  <conditionalFormatting sqref="C18:C19">
    <cfRule type="duplicateValues" dxfId="38" priority="13" stopIfTrue="1"/>
  </conditionalFormatting>
  <conditionalFormatting sqref="C21">
    <cfRule type="duplicateValues" dxfId="37" priority="12" stopIfTrue="1"/>
  </conditionalFormatting>
  <conditionalFormatting sqref="C20 C22">
    <cfRule type="duplicateValues" dxfId="36" priority="11" stopIfTrue="1"/>
  </conditionalFormatting>
  <conditionalFormatting sqref="C20">
    <cfRule type="duplicateValues" dxfId="35" priority="10"/>
  </conditionalFormatting>
  <conditionalFormatting sqref="C13:C17">
    <cfRule type="duplicateValues" dxfId="34" priority="9" stopIfTrue="1"/>
  </conditionalFormatting>
  <conditionalFormatting sqref="C10">
    <cfRule type="duplicateValues" dxfId="33" priority="8" stopIfTrue="1"/>
  </conditionalFormatting>
  <conditionalFormatting sqref="C11">
    <cfRule type="duplicateValues" dxfId="32" priority="7" stopIfTrue="1"/>
  </conditionalFormatting>
  <conditionalFormatting sqref="C12">
    <cfRule type="duplicateValues" dxfId="31" priority="6" stopIfTrue="1"/>
  </conditionalFormatting>
  <conditionalFormatting sqref="C17">
    <cfRule type="duplicateValues" dxfId="30" priority="5" stopIfTrue="1"/>
  </conditionalFormatting>
  <conditionalFormatting sqref="C23">
    <cfRule type="duplicateValues" dxfId="29" priority="4"/>
  </conditionalFormatting>
  <conditionalFormatting sqref="C13:C14">
    <cfRule type="duplicateValues" dxfId="28" priority="3" stopIfTrue="1"/>
  </conditionalFormatting>
  <conditionalFormatting sqref="C14">
    <cfRule type="duplicateValues" dxfId="27" priority="2" stopIfTrue="1"/>
  </conditionalFormatting>
  <conditionalFormatting sqref="C14">
    <cfRule type="duplicateValues" dxfId="26" priority="1" stopIfTrue="1"/>
  </conditionalFormatting>
  <pageMargins left="0.7" right="0.7" top="0.75" bottom="0.75" header="0.3" footer="0.3"/>
  <pageSetup paperSize="9" orientation="portrait" r:id="rId1"/>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AD126"/>
  <sheetViews>
    <sheetView view="pageBreakPreview" zoomScaleSheetLayoutView="100" workbookViewId="0">
      <selection activeCell="I73" sqref="I73"/>
    </sheetView>
  </sheetViews>
  <sheetFormatPr defaultRowHeight="16.5"/>
  <cols>
    <col min="1" max="1" width="8.125" style="465" customWidth="1"/>
    <col min="2" max="2" width="8.875" style="465" customWidth="1"/>
    <col min="3" max="4" width="6.5" style="466" customWidth="1"/>
    <col min="5" max="5" width="9.25" style="466" customWidth="1"/>
    <col min="6" max="6" width="7.875" style="466" customWidth="1"/>
    <col min="7" max="7" width="7.875" style="375" customWidth="1"/>
    <col min="8" max="8" width="7.875" style="467" customWidth="1"/>
    <col min="9" max="10" width="10.5" style="465" customWidth="1"/>
    <col min="11" max="11" width="14.5" style="465" customWidth="1"/>
    <col min="12" max="12" width="9.5" style="465" customWidth="1"/>
    <col min="13" max="13" width="10.5" style="465" customWidth="1"/>
    <col min="14" max="17" width="10.5" style="466" customWidth="1"/>
    <col min="18" max="18" width="15.375" style="466" customWidth="1"/>
    <col min="19" max="19" width="15.125" style="466" customWidth="1"/>
    <col min="20" max="21" width="14.375" style="466" customWidth="1"/>
    <col min="22" max="22" width="15.875" style="466" customWidth="1"/>
    <col min="23" max="23" width="14.375" style="466" customWidth="1"/>
    <col min="24" max="24" width="16.5" style="466" customWidth="1"/>
    <col min="25" max="30" width="14.375" style="466" customWidth="1"/>
    <col min="31" max="31" width="23.375" style="465" customWidth="1"/>
    <col min="32" max="34" width="9" style="465"/>
    <col min="35" max="35" width="15.125" style="465" customWidth="1"/>
    <col min="36" max="36" width="12.25" style="465" customWidth="1"/>
    <col min="37" max="37" width="8.375" style="465" customWidth="1"/>
    <col min="38" max="16384" width="9" style="465"/>
  </cols>
  <sheetData>
    <row r="1" spans="1:30" ht="24.75" customHeight="1">
      <c r="A1" s="847" t="s">
        <v>1416</v>
      </c>
      <c r="B1" s="847"/>
      <c r="C1" s="847"/>
      <c r="D1" s="847"/>
      <c r="E1" s="847"/>
      <c r="F1" s="847"/>
      <c r="G1" s="847"/>
      <c r="H1" s="847"/>
      <c r="I1" s="847"/>
      <c r="J1" s="847"/>
      <c r="K1" s="847"/>
      <c r="L1" s="847"/>
      <c r="M1" s="848"/>
      <c r="N1" s="853" t="s">
        <v>1415</v>
      </c>
      <c r="O1" s="853"/>
      <c r="P1" s="853"/>
      <c r="Q1" s="853"/>
      <c r="R1" s="853"/>
      <c r="S1" s="515" t="s">
        <v>1414</v>
      </c>
      <c r="AB1" s="472"/>
    </row>
    <row r="2" spans="1:30">
      <c r="A2" s="499" t="s">
        <v>6</v>
      </c>
      <c r="B2" s="499">
        <f>下料单!C2</f>
        <v>0</v>
      </c>
      <c r="C2" s="499" t="s">
        <v>16</v>
      </c>
      <c r="D2" s="542">
        <f>下料单!W2</f>
        <v>0</v>
      </c>
      <c r="E2" s="499"/>
      <c r="F2" s="541" t="s">
        <v>1286</v>
      </c>
      <c r="G2" s="541" t="s">
        <v>484</v>
      </c>
      <c r="H2" s="499" t="s">
        <v>2</v>
      </c>
      <c r="I2" s="540" t="s">
        <v>1413</v>
      </c>
      <c r="J2" s="499" t="s">
        <v>244</v>
      </c>
      <c r="K2" s="499">
        <f>下料单!H2</f>
        <v>0</v>
      </c>
      <c r="L2" s="499" t="s">
        <v>37</v>
      </c>
      <c r="M2" s="499">
        <f>下料单!R2</f>
        <v>0</v>
      </c>
      <c r="N2" s="530" t="s">
        <v>1142</v>
      </c>
      <c r="O2" s="849" t="s">
        <v>221</v>
      </c>
      <c r="P2" s="850"/>
      <c r="Q2" s="850"/>
      <c r="R2" s="850"/>
      <c r="S2" s="515"/>
      <c r="AD2" s="473"/>
    </row>
    <row r="3" spans="1:30">
      <c r="A3" s="499" t="s">
        <v>1145</v>
      </c>
      <c r="B3" s="499" t="s">
        <v>1412</v>
      </c>
      <c r="C3" s="499" t="s">
        <v>1284</v>
      </c>
      <c r="D3" s="499" t="s">
        <v>247</v>
      </c>
      <c r="E3" s="499"/>
      <c r="F3" s="499" t="s">
        <v>211</v>
      </c>
      <c r="G3" s="499" t="s">
        <v>1411</v>
      </c>
      <c r="H3" s="398" t="s">
        <v>1283</v>
      </c>
      <c r="I3" s="398">
        <f>SUM(D8:D65)</f>
        <v>1</v>
      </c>
      <c r="J3" s="499" t="s">
        <v>8</v>
      </c>
      <c r="K3" s="539">
        <f>下料单!AB2</f>
        <v>43075</v>
      </c>
      <c r="L3" s="499" t="s">
        <v>17</v>
      </c>
      <c r="M3" s="539">
        <f>下料单!AG2</f>
        <v>43076</v>
      </c>
      <c r="N3" s="530" t="s">
        <v>234</v>
      </c>
      <c r="O3" s="499" t="s">
        <v>1410</v>
      </c>
      <c r="P3" s="499"/>
      <c r="Q3" s="499"/>
      <c r="R3" s="499"/>
      <c r="S3" s="499" t="s">
        <v>1409</v>
      </c>
    </row>
    <row r="4" spans="1:30">
      <c r="A4" s="497" t="s">
        <v>1281</v>
      </c>
      <c r="B4" s="538" t="str">
        <f>O3&amp;S3&amp;P3&amp;S3&amp;Q3&amp;S3&amp;R3</f>
        <v>M42纯白高光+++</v>
      </c>
      <c r="C4" s="537"/>
      <c r="D4" s="537"/>
      <c r="E4" s="537"/>
      <c r="F4" s="537"/>
      <c r="G4" s="537"/>
      <c r="H4" s="537"/>
      <c r="I4" s="536"/>
      <c r="J4" s="497"/>
      <c r="K4" s="497"/>
      <c r="N4" s="535" t="s">
        <v>1408</v>
      </c>
      <c r="O4" s="534"/>
      <c r="P4" s="534"/>
      <c r="Q4" s="534"/>
      <c r="R4" s="534"/>
    </row>
    <row r="5" spans="1:30" ht="16.5" customHeight="1">
      <c r="A5" s="533" t="s">
        <v>215</v>
      </c>
      <c r="B5" s="532"/>
      <c r="C5" s="531" t="s">
        <v>216</v>
      </c>
      <c r="D5" s="530"/>
      <c r="E5" s="532"/>
      <c r="F5" s="531"/>
      <c r="G5" s="531" t="s">
        <v>217</v>
      </c>
      <c r="H5" s="531"/>
      <c r="I5" s="530"/>
      <c r="J5" s="499" t="s">
        <v>0</v>
      </c>
      <c r="K5" s="529" t="s">
        <v>218</v>
      </c>
      <c r="L5" s="528"/>
      <c r="M5" s="528"/>
      <c r="N5" s="856" t="s">
        <v>1407</v>
      </c>
      <c r="O5" s="857" t="s">
        <v>1406</v>
      </c>
      <c r="P5" s="858" t="s">
        <v>224</v>
      </c>
      <c r="Q5" s="857" t="s">
        <v>234</v>
      </c>
      <c r="R5" s="846" t="str">
        <f>VLOOKUP($O$3,$A$72:$C$82,2,0)</f>
        <v>纯白单面高光三聚氰胺E1级中密度板</v>
      </c>
      <c r="S5" s="846" t="str">
        <f>VLOOKUP($O$3,$A$72:$C$82,3,0)</f>
        <v>纯白高光PVC封边条</v>
      </c>
      <c r="T5" s="846" t="e">
        <f>VLOOKUP($P$3,$A$72:$C$82,2,0)</f>
        <v>#N/A</v>
      </c>
      <c r="U5" s="846" t="e">
        <f>VLOOKUP($P$3,$A$72:$C$82,3,0)</f>
        <v>#N/A</v>
      </c>
      <c r="V5" s="846" t="e">
        <f>VLOOKUP($Q$3,$A$72:$C$82,2,0)</f>
        <v>#N/A</v>
      </c>
      <c r="W5" s="846" t="e">
        <f>VLOOKUP($Q$3,$A$72:$C$82,3,0)</f>
        <v>#N/A</v>
      </c>
      <c r="X5" s="846" t="e">
        <f>VLOOKUP($R$3,$A$72:$C$82,2,0)</f>
        <v>#N/A</v>
      </c>
      <c r="Y5" s="846" t="e">
        <f>VLOOKUP($R$3,$A$72:$C$82,3,0)</f>
        <v>#N/A</v>
      </c>
      <c r="Z5" s="846" t="s">
        <v>1273</v>
      </c>
      <c r="AA5" s="846" t="str">
        <f>S5</f>
        <v>纯白高光PVC封边条</v>
      </c>
      <c r="AB5" s="846" t="e">
        <f>U5</f>
        <v>#N/A</v>
      </c>
      <c r="AC5" s="846" t="e">
        <f>W5</f>
        <v>#N/A</v>
      </c>
      <c r="AD5" s="846" t="e">
        <f>Y5</f>
        <v>#N/A</v>
      </c>
    </row>
    <row r="6" spans="1:30">
      <c r="A6" s="527" t="s">
        <v>219</v>
      </c>
      <c r="B6" s="511" t="s">
        <v>214</v>
      </c>
      <c r="C6" s="511" t="s">
        <v>220</v>
      </c>
      <c r="D6" s="511" t="s">
        <v>5</v>
      </c>
      <c r="E6" s="526" t="s">
        <v>301</v>
      </c>
      <c r="F6" s="525" t="s">
        <v>414</v>
      </c>
      <c r="G6" s="525" t="s">
        <v>236</v>
      </c>
      <c r="H6" s="525" t="s">
        <v>220</v>
      </c>
      <c r="I6" s="525" t="s">
        <v>5</v>
      </c>
      <c r="J6" s="511" t="s">
        <v>500</v>
      </c>
      <c r="K6" s="511" t="s">
        <v>1278</v>
      </c>
      <c r="L6" s="510"/>
      <c r="M6" s="510"/>
      <c r="N6" s="856"/>
      <c r="O6" s="857"/>
      <c r="P6" s="858"/>
      <c r="Q6" s="857"/>
      <c r="R6" s="846"/>
      <c r="S6" s="846"/>
      <c r="T6" s="846"/>
      <c r="U6" s="846"/>
      <c r="V6" s="846"/>
      <c r="W6" s="846"/>
      <c r="X6" s="846"/>
      <c r="Y6" s="846"/>
      <c r="Z6" s="846"/>
      <c r="AA6" s="846"/>
      <c r="AB6" s="846"/>
      <c r="AC6" s="846"/>
      <c r="AD6" s="846"/>
    </row>
    <row r="7" spans="1:30">
      <c r="A7" s="508" t="s">
        <v>1405</v>
      </c>
      <c r="B7" s="507"/>
      <c r="C7" s="507"/>
      <c r="D7" s="507"/>
      <c r="E7" s="507"/>
      <c r="F7" s="507"/>
      <c r="G7" s="507"/>
      <c r="H7" s="507"/>
      <c r="I7" s="507"/>
      <c r="J7" s="507"/>
      <c r="K7" s="507"/>
      <c r="L7" s="506"/>
      <c r="M7" s="505"/>
      <c r="N7" s="523"/>
      <c r="O7" s="523"/>
      <c r="P7" s="524"/>
      <c r="Q7" s="523"/>
      <c r="R7" s="471"/>
      <c r="S7" s="471"/>
      <c r="T7" s="471"/>
      <c r="U7" s="471"/>
      <c r="V7" s="471"/>
      <c r="W7" s="471"/>
      <c r="X7" s="471"/>
      <c r="Y7" s="471"/>
    </row>
    <row r="8" spans="1:30">
      <c r="A8" s="522">
        <v>1</v>
      </c>
      <c r="B8" s="502">
        <v>1</v>
      </c>
      <c r="C8" s="501">
        <v>1</v>
      </c>
      <c r="D8" s="501">
        <v>1</v>
      </c>
      <c r="E8" s="501">
        <v>1</v>
      </c>
      <c r="F8" s="501">
        <v>18</v>
      </c>
      <c r="G8" s="518">
        <f t="shared" ref="G8:G21" si="0">B8-2</f>
        <v>-1</v>
      </c>
      <c r="H8" s="504">
        <f t="shared" ref="H8:H21" si="1">IF($B$3="外置拉手",C8-2,C8-35-1)</f>
        <v>-35</v>
      </c>
      <c r="I8" s="502">
        <f t="shared" ref="I8:I21" si="2">D8</f>
        <v>1</v>
      </c>
      <c r="J8" s="502">
        <v>1</v>
      </c>
      <c r="K8" s="501">
        <v>1</v>
      </c>
      <c r="L8" s="503">
        <v>1</v>
      </c>
      <c r="M8" s="517">
        <v>1</v>
      </c>
      <c r="N8" s="474">
        <f t="shared" ref="N8:N21" si="3">IF($B$3="外置拉手",(B8+C8+120)*2*I8/1000,(C8*2+B8+180)*I8/1000)</f>
        <v>0.183</v>
      </c>
      <c r="O8" s="474">
        <f t="shared" ref="O8:O21" si="4">IF(OR(K8="M45高光黑檀",K8="M55腊木",K8="M57横纹锯齿"),0.75,0.85)</f>
        <v>0.85</v>
      </c>
      <c r="P8" s="474">
        <f t="shared" ref="P8:P21" si="5">B8*C8*D8/1000000/1.22/2.44/O8</f>
        <v>3.952131779882068E-7</v>
      </c>
      <c r="Q8" s="474">
        <f t="shared" ref="Q8:Q21" si="6">IF($B$3="通长铝拉手",B8*D8/0.9/1000,0)</f>
        <v>1.1111111111111111E-3</v>
      </c>
      <c r="R8" s="474">
        <f t="shared" ref="R8:R21" si="7">IF(K8=$O$3,P8,0)</f>
        <v>0</v>
      </c>
      <c r="S8" s="474">
        <f t="shared" ref="S8:S21" si="8">IF(K8=$O$3,N8,0)</f>
        <v>0</v>
      </c>
      <c r="T8" s="474">
        <f t="shared" ref="T8:T21" si="9">IF(K8=$P$3,P8,0)</f>
        <v>0</v>
      </c>
      <c r="U8" s="474">
        <f t="shared" ref="U8:U21" si="10">IF(K8=$P$3,N8,0)</f>
        <v>0</v>
      </c>
      <c r="V8" s="474">
        <f t="shared" ref="V8:V21" si="11">IF(K8=$Q$3,P8,0)</f>
        <v>0</v>
      </c>
      <c r="W8" s="474">
        <f t="shared" ref="W8:W21" si="12">IF(K8=$Q$3,N8,0)</f>
        <v>0</v>
      </c>
      <c r="X8" s="474">
        <f t="shared" ref="X8:X21" si="13">IF(K8=$R$3,P8,0)</f>
        <v>0</v>
      </c>
      <c r="Y8" s="474">
        <f t="shared" ref="Y8:Y21" si="14">IF(K8=$R$3,N8,0)</f>
        <v>0</v>
      </c>
      <c r="Z8" s="474">
        <f>IF(OR(AND(B8&lt;100,B3="外置拉手"),AND(C8&lt;100,B3="外置拉手")),D8*0.2,0)+IF(OR(AND(B8&lt;100,B3="通长铝拉手"),AND(C8&lt;100,B3="通长铝拉手")),D8*0.1,0)</f>
        <v>0.1</v>
      </c>
      <c r="AA8" s="474">
        <f t="shared" ref="AA8:AA21" si="15">IF(K8=$O$3,Z8,0)</f>
        <v>0</v>
      </c>
      <c r="AB8" s="474">
        <f t="shared" ref="AB8:AB21" si="16">IF(K8=$P$3,Z8,0)</f>
        <v>0</v>
      </c>
      <c r="AC8" s="474">
        <f t="shared" ref="AC8:AC21" si="17">IF(K8=$Q$3,Z8,0)</f>
        <v>0</v>
      </c>
      <c r="AD8" s="474">
        <f t="shared" ref="AD8:AD21" si="18">IF(K8=$R$3,Z8,0)</f>
        <v>0</v>
      </c>
    </row>
    <row r="9" spans="1:30">
      <c r="A9" s="521">
        <v>2</v>
      </c>
      <c r="B9" s="502"/>
      <c r="C9" s="501"/>
      <c r="D9" s="501"/>
      <c r="E9" s="499"/>
      <c r="F9" s="499">
        <v>18</v>
      </c>
      <c r="G9" s="401">
        <f t="shared" si="0"/>
        <v>-2</v>
      </c>
      <c r="H9" s="500">
        <f t="shared" si="1"/>
        <v>-36</v>
      </c>
      <c r="I9" s="497">
        <f t="shared" si="2"/>
        <v>0</v>
      </c>
      <c r="J9" s="497"/>
      <c r="K9" s="499">
        <v>1</v>
      </c>
      <c r="L9" s="498"/>
      <c r="M9" s="515"/>
      <c r="N9" s="474">
        <f t="shared" si="3"/>
        <v>0</v>
      </c>
      <c r="O9" s="474">
        <f t="shared" si="4"/>
        <v>0.85</v>
      </c>
      <c r="P9" s="474">
        <f t="shared" si="5"/>
        <v>0</v>
      </c>
      <c r="Q9" s="474">
        <f t="shared" si="6"/>
        <v>0</v>
      </c>
      <c r="R9" s="474">
        <f t="shared" si="7"/>
        <v>0</v>
      </c>
      <c r="S9" s="474">
        <f t="shared" si="8"/>
        <v>0</v>
      </c>
      <c r="T9" s="474">
        <f t="shared" si="9"/>
        <v>0</v>
      </c>
      <c r="U9" s="474">
        <f t="shared" si="10"/>
        <v>0</v>
      </c>
      <c r="V9" s="474">
        <f t="shared" si="11"/>
        <v>0</v>
      </c>
      <c r="W9" s="474">
        <f t="shared" si="12"/>
        <v>0</v>
      </c>
      <c r="X9" s="474">
        <f t="shared" si="13"/>
        <v>0</v>
      </c>
      <c r="Y9" s="474">
        <f t="shared" si="14"/>
        <v>0</v>
      </c>
      <c r="Z9" s="474">
        <f>IF(OR(AND(B9&lt;100,O3="外置拉手"),AND(C9&lt;100,O3="外置拉手")),D9*0.2,0)+IF(OR(AND(B9&lt;100,O3="通长铝拉手"),AND(C9&lt;100,O3="通长铝拉手")),D9*0.1,0)</f>
        <v>0</v>
      </c>
      <c r="AA9" s="474">
        <f t="shared" si="15"/>
        <v>0</v>
      </c>
      <c r="AB9" s="474">
        <f t="shared" si="16"/>
        <v>0</v>
      </c>
      <c r="AC9" s="474">
        <f t="shared" si="17"/>
        <v>0</v>
      </c>
      <c r="AD9" s="474">
        <f t="shared" si="18"/>
        <v>0</v>
      </c>
    </row>
    <row r="10" spans="1:30">
      <c r="A10" s="521">
        <v>3</v>
      </c>
      <c r="B10" s="502"/>
      <c r="C10" s="501"/>
      <c r="D10" s="501"/>
      <c r="E10" s="499"/>
      <c r="F10" s="499">
        <v>18</v>
      </c>
      <c r="G10" s="401">
        <f t="shared" si="0"/>
        <v>-2</v>
      </c>
      <c r="H10" s="500">
        <f t="shared" si="1"/>
        <v>-36</v>
      </c>
      <c r="I10" s="497">
        <f t="shared" si="2"/>
        <v>0</v>
      </c>
      <c r="J10" s="497"/>
      <c r="K10" s="499"/>
      <c r="L10" s="498"/>
      <c r="M10" s="515"/>
      <c r="N10" s="474">
        <f t="shared" si="3"/>
        <v>0</v>
      </c>
      <c r="O10" s="474">
        <f t="shared" si="4"/>
        <v>0.85</v>
      </c>
      <c r="P10" s="474">
        <f t="shared" si="5"/>
        <v>0</v>
      </c>
      <c r="Q10" s="474">
        <f t="shared" si="6"/>
        <v>0</v>
      </c>
      <c r="R10" s="474">
        <f t="shared" si="7"/>
        <v>0</v>
      </c>
      <c r="S10" s="474">
        <f t="shared" si="8"/>
        <v>0</v>
      </c>
      <c r="T10" s="474">
        <f t="shared" si="9"/>
        <v>0</v>
      </c>
      <c r="U10" s="474">
        <f t="shared" si="10"/>
        <v>0</v>
      </c>
      <c r="V10" s="474">
        <f t="shared" si="11"/>
        <v>0</v>
      </c>
      <c r="W10" s="474">
        <f t="shared" si="12"/>
        <v>0</v>
      </c>
      <c r="X10" s="474">
        <f t="shared" si="13"/>
        <v>0</v>
      </c>
      <c r="Y10" s="474">
        <f t="shared" si="14"/>
        <v>0</v>
      </c>
      <c r="Z10" s="474">
        <f t="shared" ref="Z10:Z21" si="19">IF(OR(AND(B10&lt;100,C5="外置拉手"),AND(C10&lt;100,C5="外置拉手")),D10*0.2,0)+IF(OR(AND(B10&lt;100,C5="通长铝拉手"),AND(C10&lt;100,C5="通长铝拉手")),D10*0.1,0)</f>
        <v>0</v>
      </c>
      <c r="AA10" s="474">
        <f t="shared" si="15"/>
        <v>0</v>
      </c>
      <c r="AB10" s="474">
        <f t="shared" si="16"/>
        <v>0</v>
      </c>
      <c r="AC10" s="474">
        <f t="shared" si="17"/>
        <v>0</v>
      </c>
      <c r="AD10" s="474">
        <f t="shared" si="18"/>
        <v>0</v>
      </c>
    </row>
    <row r="11" spans="1:30">
      <c r="A11" s="521">
        <v>4</v>
      </c>
      <c r="B11" s="502"/>
      <c r="C11" s="501"/>
      <c r="D11" s="501"/>
      <c r="E11" s="499"/>
      <c r="F11" s="499">
        <v>18</v>
      </c>
      <c r="G11" s="401">
        <f t="shared" si="0"/>
        <v>-2</v>
      </c>
      <c r="H11" s="500">
        <f t="shared" si="1"/>
        <v>-36</v>
      </c>
      <c r="I11" s="497">
        <f t="shared" si="2"/>
        <v>0</v>
      </c>
      <c r="J11" s="497"/>
      <c r="K11" s="499"/>
      <c r="L11" s="498"/>
      <c r="M11" s="515"/>
      <c r="N11" s="474">
        <f t="shared" si="3"/>
        <v>0</v>
      </c>
      <c r="O11" s="474">
        <f t="shared" si="4"/>
        <v>0.85</v>
      </c>
      <c r="P11" s="474">
        <f t="shared" si="5"/>
        <v>0</v>
      </c>
      <c r="Q11" s="474">
        <f t="shared" si="6"/>
        <v>0</v>
      </c>
      <c r="R11" s="474">
        <f t="shared" si="7"/>
        <v>0</v>
      </c>
      <c r="S11" s="474">
        <f t="shared" si="8"/>
        <v>0</v>
      </c>
      <c r="T11" s="474">
        <f t="shared" si="9"/>
        <v>0</v>
      </c>
      <c r="U11" s="474">
        <f t="shared" si="10"/>
        <v>0</v>
      </c>
      <c r="V11" s="474">
        <f t="shared" si="11"/>
        <v>0</v>
      </c>
      <c r="W11" s="474">
        <f t="shared" si="12"/>
        <v>0</v>
      </c>
      <c r="X11" s="474">
        <f t="shared" si="13"/>
        <v>0</v>
      </c>
      <c r="Y11" s="474">
        <f t="shared" si="14"/>
        <v>0</v>
      </c>
      <c r="Z11" s="474">
        <f t="shared" si="19"/>
        <v>0</v>
      </c>
      <c r="AA11" s="474">
        <f t="shared" si="15"/>
        <v>0</v>
      </c>
      <c r="AB11" s="474">
        <f t="shared" si="16"/>
        <v>0</v>
      </c>
      <c r="AC11" s="474">
        <f t="shared" si="17"/>
        <v>0</v>
      </c>
      <c r="AD11" s="474">
        <f t="shared" si="18"/>
        <v>0</v>
      </c>
    </row>
    <row r="12" spans="1:30">
      <c r="A12" s="521">
        <v>5</v>
      </c>
      <c r="B12" s="497"/>
      <c r="C12" s="499"/>
      <c r="D12" s="499"/>
      <c r="E12" s="499"/>
      <c r="F12" s="499">
        <v>18</v>
      </c>
      <c r="G12" s="401">
        <f t="shared" si="0"/>
        <v>-2</v>
      </c>
      <c r="H12" s="500">
        <f t="shared" si="1"/>
        <v>-36</v>
      </c>
      <c r="I12" s="497">
        <f t="shared" si="2"/>
        <v>0</v>
      </c>
      <c r="J12" s="497"/>
      <c r="K12" s="499"/>
      <c r="L12" s="498"/>
      <c r="M12" s="515"/>
      <c r="N12" s="474">
        <f t="shared" si="3"/>
        <v>0</v>
      </c>
      <c r="O12" s="474">
        <f t="shared" si="4"/>
        <v>0.85</v>
      </c>
      <c r="P12" s="474">
        <f t="shared" si="5"/>
        <v>0</v>
      </c>
      <c r="Q12" s="474">
        <f t="shared" si="6"/>
        <v>0</v>
      </c>
      <c r="R12" s="474">
        <f t="shared" si="7"/>
        <v>0</v>
      </c>
      <c r="S12" s="474">
        <f t="shared" si="8"/>
        <v>0</v>
      </c>
      <c r="T12" s="474">
        <f t="shared" si="9"/>
        <v>0</v>
      </c>
      <c r="U12" s="474">
        <f t="shared" si="10"/>
        <v>0</v>
      </c>
      <c r="V12" s="474">
        <f t="shared" si="11"/>
        <v>0</v>
      </c>
      <c r="W12" s="474">
        <f t="shared" si="12"/>
        <v>0</v>
      </c>
      <c r="X12" s="474">
        <f t="shared" si="13"/>
        <v>0</v>
      </c>
      <c r="Y12" s="474">
        <f t="shared" si="14"/>
        <v>0</v>
      </c>
      <c r="Z12" s="474">
        <f t="shared" si="19"/>
        <v>0</v>
      </c>
      <c r="AA12" s="474">
        <f t="shared" si="15"/>
        <v>0</v>
      </c>
      <c r="AB12" s="474">
        <f t="shared" si="16"/>
        <v>0</v>
      </c>
      <c r="AC12" s="474">
        <f t="shared" si="17"/>
        <v>0</v>
      </c>
      <c r="AD12" s="474">
        <f t="shared" si="18"/>
        <v>0</v>
      </c>
    </row>
    <row r="13" spans="1:30">
      <c r="A13" s="521">
        <v>6</v>
      </c>
      <c r="B13" s="497"/>
      <c r="C13" s="499"/>
      <c r="D13" s="499"/>
      <c r="E13" s="499"/>
      <c r="F13" s="499">
        <v>18</v>
      </c>
      <c r="G13" s="401">
        <f t="shared" si="0"/>
        <v>-2</v>
      </c>
      <c r="H13" s="500">
        <f t="shared" si="1"/>
        <v>-36</v>
      </c>
      <c r="I13" s="497">
        <f t="shared" si="2"/>
        <v>0</v>
      </c>
      <c r="J13" s="497"/>
      <c r="K13" s="499"/>
      <c r="L13" s="498"/>
      <c r="M13" s="515"/>
      <c r="N13" s="474">
        <f t="shared" si="3"/>
        <v>0</v>
      </c>
      <c r="O13" s="474">
        <f t="shared" si="4"/>
        <v>0.85</v>
      </c>
      <c r="P13" s="474">
        <f t="shared" si="5"/>
        <v>0</v>
      </c>
      <c r="Q13" s="474">
        <f t="shared" si="6"/>
        <v>0</v>
      </c>
      <c r="R13" s="474">
        <f t="shared" si="7"/>
        <v>0</v>
      </c>
      <c r="S13" s="474">
        <f t="shared" si="8"/>
        <v>0</v>
      </c>
      <c r="T13" s="474">
        <f t="shared" si="9"/>
        <v>0</v>
      </c>
      <c r="U13" s="474">
        <f t="shared" si="10"/>
        <v>0</v>
      </c>
      <c r="V13" s="474">
        <f t="shared" si="11"/>
        <v>0</v>
      </c>
      <c r="W13" s="474">
        <f t="shared" si="12"/>
        <v>0</v>
      </c>
      <c r="X13" s="474">
        <f t="shared" si="13"/>
        <v>0</v>
      </c>
      <c r="Y13" s="474">
        <f t="shared" si="14"/>
        <v>0</v>
      </c>
      <c r="Z13" s="474">
        <f t="shared" si="19"/>
        <v>0</v>
      </c>
      <c r="AA13" s="474">
        <f t="shared" si="15"/>
        <v>0</v>
      </c>
      <c r="AB13" s="474">
        <f t="shared" si="16"/>
        <v>0</v>
      </c>
      <c r="AC13" s="474">
        <f t="shared" si="17"/>
        <v>0</v>
      </c>
      <c r="AD13" s="474">
        <f t="shared" si="18"/>
        <v>0</v>
      </c>
    </row>
    <row r="14" spans="1:30">
      <c r="A14" s="521">
        <v>7</v>
      </c>
      <c r="B14" s="497"/>
      <c r="C14" s="499"/>
      <c r="D14" s="499"/>
      <c r="E14" s="499"/>
      <c r="F14" s="499">
        <v>18</v>
      </c>
      <c r="G14" s="401">
        <f t="shared" si="0"/>
        <v>-2</v>
      </c>
      <c r="H14" s="500">
        <f t="shared" si="1"/>
        <v>-36</v>
      </c>
      <c r="I14" s="497">
        <f t="shared" si="2"/>
        <v>0</v>
      </c>
      <c r="J14" s="497"/>
      <c r="K14" s="499"/>
      <c r="L14" s="498"/>
      <c r="M14" s="515"/>
      <c r="N14" s="474">
        <f t="shared" si="3"/>
        <v>0</v>
      </c>
      <c r="O14" s="474">
        <f t="shared" si="4"/>
        <v>0.85</v>
      </c>
      <c r="P14" s="474">
        <f t="shared" si="5"/>
        <v>0</v>
      </c>
      <c r="Q14" s="474">
        <f t="shared" si="6"/>
        <v>0</v>
      </c>
      <c r="R14" s="474">
        <f t="shared" si="7"/>
        <v>0</v>
      </c>
      <c r="S14" s="474">
        <f t="shared" si="8"/>
        <v>0</v>
      </c>
      <c r="T14" s="474">
        <f t="shared" si="9"/>
        <v>0</v>
      </c>
      <c r="U14" s="474">
        <f t="shared" si="10"/>
        <v>0</v>
      </c>
      <c r="V14" s="474">
        <f t="shared" si="11"/>
        <v>0</v>
      </c>
      <c r="W14" s="474">
        <f t="shared" si="12"/>
        <v>0</v>
      </c>
      <c r="X14" s="474">
        <f t="shared" si="13"/>
        <v>0</v>
      </c>
      <c r="Y14" s="474">
        <f t="shared" si="14"/>
        <v>0</v>
      </c>
      <c r="Z14" s="474">
        <f t="shared" si="19"/>
        <v>0</v>
      </c>
      <c r="AA14" s="474">
        <f t="shared" si="15"/>
        <v>0</v>
      </c>
      <c r="AB14" s="474">
        <f t="shared" si="16"/>
        <v>0</v>
      </c>
      <c r="AC14" s="474">
        <f t="shared" si="17"/>
        <v>0</v>
      </c>
      <c r="AD14" s="474">
        <f t="shared" si="18"/>
        <v>0</v>
      </c>
    </row>
    <row r="15" spans="1:30">
      <c r="A15" s="521">
        <v>8</v>
      </c>
      <c r="B15" s="497"/>
      <c r="C15" s="499"/>
      <c r="D15" s="499"/>
      <c r="E15" s="499"/>
      <c r="F15" s="499">
        <v>18</v>
      </c>
      <c r="G15" s="401">
        <f t="shared" si="0"/>
        <v>-2</v>
      </c>
      <c r="H15" s="500">
        <f t="shared" si="1"/>
        <v>-36</v>
      </c>
      <c r="I15" s="497">
        <f t="shared" si="2"/>
        <v>0</v>
      </c>
      <c r="J15" s="497"/>
      <c r="K15" s="499"/>
      <c r="L15" s="498"/>
      <c r="M15" s="515"/>
      <c r="N15" s="474">
        <f t="shared" si="3"/>
        <v>0</v>
      </c>
      <c r="O15" s="474">
        <f t="shared" si="4"/>
        <v>0.85</v>
      </c>
      <c r="P15" s="474">
        <f t="shared" si="5"/>
        <v>0</v>
      </c>
      <c r="Q15" s="474">
        <f t="shared" si="6"/>
        <v>0</v>
      </c>
      <c r="R15" s="474">
        <f t="shared" si="7"/>
        <v>0</v>
      </c>
      <c r="S15" s="474">
        <f t="shared" si="8"/>
        <v>0</v>
      </c>
      <c r="T15" s="474">
        <f t="shared" si="9"/>
        <v>0</v>
      </c>
      <c r="U15" s="474">
        <f t="shared" si="10"/>
        <v>0</v>
      </c>
      <c r="V15" s="474">
        <f t="shared" si="11"/>
        <v>0</v>
      </c>
      <c r="W15" s="474">
        <f t="shared" si="12"/>
        <v>0</v>
      </c>
      <c r="X15" s="474">
        <f t="shared" si="13"/>
        <v>0</v>
      </c>
      <c r="Y15" s="474">
        <f t="shared" si="14"/>
        <v>0</v>
      </c>
      <c r="Z15" s="474">
        <f t="shared" si="19"/>
        <v>0</v>
      </c>
      <c r="AA15" s="474">
        <f t="shared" si="15"/>
        <v>0</v>
      </c>
      <c r="AB15" s="474">
        <f t="shared" si="16"/>
        <v>0</v>
      </c>
      <c r="AC15" s="474">
        <f t="shared" si="17"/>
        <v>0</v>
      </c>
      <c r="AD15" s="474">
        <f t="shared" si="18"/>
        <v>0</v>
      </c>
    </row>
    <row r="16" spans="1:30">
      <c r="A16" s="521">
        <v>9</v>
      </c>
      <c r="B16" s="497"/>
      <c r="C16" s="499"/>
      <c r="D16" s="499"/>
      <c r="E16" s="499"/>
      <c r="F16" s="499">
        <v>18</v>
      </c>
      <c r="G16" s="401">
        <f t="shared" si="0"/>
        <v>-2</v>
      </c>
      <c r="H16" s="500">
        <f t="shared" si="1"/>
        <v>-36</v>
      </c>
      <c r="I16" s="497">
        <f t="shared" si="2"/>
        <v>0</v>
      </c>
      <c r="J16" s="497"/>
      <c r="K16" s="499"/>
      <c r="L16" s="498"/>
      <c r="M16" s="515"/>
      <c r="N16" s="474">
        <f t="shared" si="3"/>
        <v>0</v>
      </c>
      <c r="O16" s="474">
        <f t="shared" si="4"/>
        <v>0.85</v>
      </c>
      <c r="P16" s="474">
        <f t="shared" si="5"/>
        <v>0</v>
      </c>
      <c r="Q16" s="474">
        <f t="shared" si="6"/>
        <v>0</v>
      </c>
      <c r="R16" s="474">
        <f t="shared" si="7"/>
        <v>0</v>
      </c>
      <c r="S16" s="474">
        <f t="shared" si="8"/>
        <v>0</v>
      </c>
      <c r="T16" s="474">
        <f t="shared" si="9"/>
        <v>0</v>
      </c>
      <c r="U16" s="474">
        <f t="shared" si="10"/>
        <v>0</v>
      </c>
      <c r="V16" s="474">
        <f t="shared" si="11"/>
        <v>0</v>
      </c>
      <c r="W16" s="474">
        <f t="shared" si="12"/>
        <v>0</v>
      </c>
      <c r="X16" s="474">
        <f t="shared" si="13"/>
        <v>0</v>
      </c>
      <c r="Y16" s="474">
        <f t="shared" si="14"/>
        <v>0</v>
      </c>
      <c r="Z16" s="474">
        <f t="shared" si="19"/>
        <v>0</v>
      </c>
      <c r="AA16" s="474">
        <f t="shared" si="15"/>
        <v>0</v>
      </c>
      <c r="AB16" s="474">
        <f t="shared" si="16"/>
        <v>0</v>
      </c>
      <c r="AC16" s="474">
        <f t="shared" si="17"/>
        <v>0</v>
      </c>
      <c r="AD16" s="474">
        <f t="shared" si="18"/>
        <v>0</v>
      </c>
    </row>
    <row r="17" spans="1:30">
      <c r="A17" s="521">
        <v>10</v>
      </c>
      <c r="B17" s="497"/>
      <c r="C17" s="499"/>
      <c r="D17" s="499"/>
      <c r="E17" s="499"/>
      <c r="F17" s="499">
        <v>18</v>
      </c>
      <c r="G17" s="401">
        <f t="shared" si="0"/>
        <v>-2</v>
      </c>
      <c r="H17" s="500">
        <f t="shared" si="1"/>
        <v>-36</v>
      </c>
      <c r="I17" s="497">
        <f t="shared" si="2"/>
        <v>0</v>
      </c>
      <c r="J17" s="497"/>
      <c r="K17" s="499"/>
      <c r="L17" s="498"/>
      <c r="M17" s="515"/>
      <c r="N17" s="474">
        <f t="shared" si="3"/>
        <v>0</v>
      </c>
      <c r="O17" s="474">
        <f t="shared" si="4"/>
        <v>0.85</v>
      </c>
      <c r="P17" s="474">
        <f t="shared" si="5"/>
        <v>0</v>
      </c>
      <c r="Q17" s="474">
        <f t="shared" si="6"/>
        <v>0</v>
      </c>
      <c r="R17" s="474">
        <f t="shared" si="7"/>
        <v>0</v>
      </c>
      <c r="S17" s="474">
        <f t="shared" si="8"/>
        <v>0</v>
      </c>
      <c r="T17" s="474">
        <f t="shared" si="9"/>
        <v>0</v>
      </c>
      <c r="U17" s="474">
        <f t="shared" si="10"/>
        <v>0</v>
      </c>
      <c r="V17" s="474">
        <f t="shared" si="11"/>
        <v>0</v>
      </c>
      <c r="W17" s="474">
        <f t="shared" si="12"/>
        <v>0</v>
      </c>
      <c r="X17" s="474">
        <f t="shared" si="13"/>
        <v>0</v>
      </c>
      <c r="Y17" s="474">
        <f t="shared" si="14"/>
        <v>0</v>
      </c>
      <c r="Z17" s="474">
        <f t="shared" si="19"/>
        <v>0</v>
      </c>
      <c r="AA17" s="474">
        <f t="shared" si="15"/>
        <v>0</v>
      </c>
      <c r="AB17" s="474">
        <f t="shared" si="16"/>
        <v>0</v>
      </c>
      <c r="AC17" s="474">
        <f t="shared" si="17"/>
        <v>0</v>
      </c>
      <c r="AD17" s="474">
        <f t="shared" si="18"/>
        <v>0</v>
      </c>
    </row>
    <row r="18" spans="1:30">
      <c r="A18" s="521">
        <v>11</v>
      </c>
      <c r="B18" s="497"/>
      <c r="C18" s="499"/>
      <c r="D18" s="499"/>
      <c r="E18" s="499"/>
      <c r="F18" s="499">
        <v>18</v>
      </c>
      <c r="G18" s="401">
        <f t="shared" si="0"/>
        <v>-2</v>
      </c>
      <c r="H18" s="500">
        <f t="shared" si="1"/>
        <v>-36</v>
      </c>
      <c r="I18" s="497">
        <f t="shared" si="2"/>
        <v>0</v>
      </c>
      <c r="J18" s="497"/>
      <c r="K18" s="499"/>
      <c r="L18" s="498"/>
      <c r="M18" s="515"/>
      <c r="N18" s="474">
        <f t="shared" si="3"/>
        <v>0</v>
      </c>
      <c r="O18" s="474">
        <f t="shared" si="4"/>
        <v>0.85</v>
      </c>
      <c r="P18" s="474">
        <f t="shared" si="5"/>
        <v>0</v>
      </c>
      <c r="Q18" s="474">
        <f t="shared" si="6"/>
        <v>0</v>
      </c>
      <c r="R18" s="474">
        <f t="shared" si="7"/>
        <v>0</v>
      </c>
      <c r="S18" s="474">
        <f t="shared" si="8"/>
        <v>0</v>
      </c>
      <c r="T18" s="474">
        <f t="shared" si="9"/>
        <v>0</v>
      </c>
      <c r="U18" s="474">
        <f t="shared" si="10"/>
        <v>0</v>
      </c>
      <c r="V18" s="474">
        <f t="shared" si="11"/>
        <v>0</v>
      </c>
      <c r="W18" s="474">
        <f t="shared" si="12"/>
        <v>0</v>
      </c>
      <c r="X18" s="474">
        <f t="shared" si="13"/>
        <v>0</v>
      </c>
      <c r="Y18" s="474">
        <f t="shared" si="14"/>
        <v>0</v>
      </c>
      <c r="Z18" s="474">
        <f t="shared" si="19"/>
        <v>0</v>
      </c>
      <c r="AA18" s="474">
        <f t="shared" si="15"/>
        <v>0</v>
      </c>
      <c r="AB18" s="474">
        <f t="shared" si="16"/>
        <v>0</v>
      </c>
      <c r="AC18" s="474">
        <f t="shared" si="17"/>
        <v>0</v>
      </c>
      <c r="AD18" s="474">
        <f t="shared" si="18"/>
        <v>0</v>
      </c>
    </row>
    <row r="19" spans="1:30">
      <c r="A19" s="521">
        <v>12</v>
      </c>
      <c r="B19" s="497"/>
      <c r="C19" s="499"/>
      <c r="D19" s="499"/>
      <c r="E19" s="499"/>
      <c r="F19" s="499">
        <v>18</v>
      </c>
      <c r="G19" s="401">
        <f t="shared" si="0"/>
        <v>-2</v>
      </c>
      <c r="H19" s="500">
        <f t="shared" si="1"/>
        <v>-36</v>
      </c>
      <c r="I19" s="497">
        <f t="shared" si="2"/>
        <v>0</v>
      </c>
      <c r="J19" s="497"/>
      <c r="K19" s="499"/>
      <c r="L19" s="498"/>
      <c r="M19" s="515"/>
      <c r="N19" s="474">
        <f t="shared" si="3"/>
        <v>0</v>
      </c>
      <c r="O19" s="474">
        <f t="shared" si="4"/>
        <v>0.85</v>
      </c>
      <c r="P19" s="474">
        <f t="shared" si="5"/>
        <v>0</v>
      </c>
      <c r="Q19" s="474">
        <f t="shared" si="6"/>
        <v>0</v>
      </c>
      <c r="R19" s="474">
        <f t="shared" si="7"/>
        <v>0</v>
      </c>
      <c r="S19" s="474">
        <f t="shared" si="8"/>
        <v>0</v>
      </c>
      <c r="T19" s="474">
        <f t="shared" si="9"/>
        <v>0</v>
      </c>
      <c r="U19" s="474">
        <f t="shared" si="10"/>
        <v>0</v>
      </c>
      <c r="V19" s="474">
        <f t="shared" si="11"/>
        <v>0</v>
      </c>
      <c r="W19" s="474">
        <f t="shared" si="12"/>
        <v>0</v>
      </c>
      <c r="X19" s="474">
        <f t="shared" si="13"/>
        <v>0</v>
      </c>
      <c r="Y19" s="474">
        <f t="shared" si="14"/>
        <v>0</v>
      </c>
      <c r="Z19" s="474">
        <f t="shared" si="19"/>
        <v>0</v>
      </c>
      <c r="AA19" s="474">
        <f t="shared" si="15"/>
        <v>0</v>
      </c>
      <c r="AB19" s="474">
        <f t="shared" si="16"/>
        <v>0</v>
      </c>
      <c r="AC19" s="474">
        <f t="shared" si="17"/>
        <v>0</v>
      </c>
      <c r="AD19" s="474">
        <f t="shared" si="18"/>
        <v>0</v>
      </c>
    </row>
    <row r="20" spans="1:30">
      <c r="A20" s="521">
        <v>13</v>
      </c>
      <c r="B20" s="497"/>
      <c r="C20" s="499"/>
      <c r="D20" s="499"/>
      <c r="E20" s="499"/>
      <c r="F20" s="499">
        <v>18</v>
      </c>
      <c r="G20" s="401">
        <f t="shared" si="0"/>
        <v>-2</v>
      </c>
      <c r="H20" s="500">
        <f t="shared" si="1"/>
        <v>-36</v>
      </c>
      <c r="I20" s="497">
        <f t="shared" si="2"/>
        <v>0</v>
      </c>
      <c r="J20" s="497"/>
      <c r="K20" s="499"/>
      <c r="L20" s="498"/>
      <c r="M20" s="515"/>
      <c r="N20" s="474">
        <f t="shared" si="3"/>
        <v>0</v>
      </c>
      <c r="O20" s="474">
        <f t="shared" si="4"/>
        <v>0.85</v>
      </c>
      <c r="P20" s="474">
        <f t="shared" si="5"/>
        <v>0</v>
      </c>
      <c r="Q20" s="474">
        <f t="shared" si="6"/>
        <v>0</v>
      </c>
      <c r="R20" s="474">
        <f t="shared" si="7"/>
        <v>0</v>
      </c>
      <c r="S20" s="474">
        <f t="shared" si="8"/>
        <v>0</v>
      </c>
      <c r="T20" s="474">
        <f t="shared" si="9"/>
        <v>0</v>
      </c>
      <c r="U20" s="474">
        <f t="shared" si="10"/>
        <v>0</v>
      </c>
      <c r="V20" s="474">
        <f t="shared" si="11"/>
        <v>0</v>
      </c>
      <c r="W20" s="474">
        <f t="shared" si="12"/>
        <v>0</v>
      </c>
      <c r="X20" s="474">
        <f t="shared" si="13"/>
        <v>0</v>
      </c>
      <c r="Y20" s="474">
        <f t="shared" si="14"/>
        <v>0</v>
      </c>
      <c r="Z20" s="474">
        <f t="shared" si="19"/>
        <v>0</v>
      </c>
      <c r="AA20" s="474">
        <f t="shared" si="15"/>
        <v>0</v>
      </c>
      <c r="AB20" s="474">
        <f t="shared" si="16"/>
        <v>0</v>
      </c>
      <c r="AC20" s="474">
        <f t="shared" si="17"/>
        <v>0</v>
      </c>
      <c r="AD20" s="474">
        <f t="shared" si="18"/>
        <v>0</v>
      </c>
    </row>
    <row r="21" spans="1:30">
      <c r="A21" s="520">
        <v>14</v>
      </c>
      <c r="B21" s="509"/>
      <c r="C21" s="511"/>
      <c r="D21" s="511"/>
      <c r="E21" s="511"/>
      <c r="F21" s="511">
        <v>18</v>
      </c>
      <c r="G21" s="411">
        <f t="shared" si="0"/>
        <v>-2</v>
      </c>
      <c r="H21" s="512">
        <f t="shared" si="1"/>
        <v>-36</v>
      </c>
      <c r="I21" s="509">
        <f t="shared" si="2"/>
        <v>0</v>
      </c>
      <c r="J21" s="509"/>
      <c r="K21" s="511"/>
      <c r="L21" s="510"/>
      <c r="M21" s="513"/>
      <c r="N21" s="474">
        <f t="shared" si="3"/>
        <v>0</v>
      </c>
      <c r="O21" s="474">
        <f t="shared" si="4"/>
        <v>0.85</v>
      </c>
      <c r="P21" s="474">
        <f t="shared" si="5"/>
        <v>0</v>
      </c>
      <c r="Q21" s="474">
        <f t="shared" si="6"/>
        <v>0</v>
      </c>
      <c r="R21" s="474">
        <f t="shared" si="7"/>
        <v>0</v>
      </c>
      <c r="S21" s="474">
        <f t="shared" si="8"/>
        <v>0</v>
      </c>
      <c r="T21" s="474">
        <f t="shared" si="9"/>
        <v>0</v>
      </c>
      <c r="U21" s="474">
        <f t="shared" si="10"/>
        <v>0</v>
      </c>
      <c r="V21" s="474">
        <f t="shared" si="11"/>
        <v>0</v>
      </c>
      <c r="W21" s="474">
        <f t="shared" si="12"/>
        <v>0</v>
      </c>
      <c r="X21" s="474">
        <f t="shared" si="13"/>
        <v>0</v>
      </c>
      <c r="Y21" s="474">
        <f t="shared" si="14"/>
        <v>0</v>
      </c>
      <c r="Z21" s="474">
        <f t="shared" si="19"/>
        <v>0</v>
      </c>
      <c r="AA21" s="474">
        <f t="shared" si="15"/>
        <v>0</v>
      </c>
      <c r="AB21" s="474">
        <f t="shared" si="16"/>
        <v>0</v>
      </c>
      <c r="AC21" s="474">
        <f t="shared" si="17"/>
        <v>0</v>
      </c>
      <c r="AD21" s="474">
        <f t="shared" si="18"/>
        <v>0</v>
      </c>
    </row>
    <row r="22" spans="1:30">
      <c r="A22" s="508" t="s">
        <v>1404</v>
      </c>
      <c r="B22" s="507"/>
      <c r="C22" s="507"/>
      <c r="D22" s="507"/>
      <c r="E22" s="507"/>
      <c r="F22" s="507"/>
      <c r="G22" s="507"/>
      <c r="H22" s="507"/>
      <c r="I22" s="507"/>
      <c r="J22" s="507"/>
      <c r="K22" s="507"/>
      <c r="L22" s="506"/>
      <c r="M22" s="505"/>
      <c r="N22" s="474"/>
      <c r="O22" s="474"/>
      <c r="P22" s="474"/>
      <c r="Q22" s="474"/>
      <c r="R22" s="474"/>
      <c r="S22" s="474"/>
      <c r="T22" s="474"/>
      <c r="U22" s="474"/>
      <c r="V22" s="474"/>
      <c r="W22" s="474"/>
      <c r="X22" s="474"/>
      <c r="Y22" s="474"/>
      <c r="Z22" s="474"/>
      <c r="AA22" s="474"/>
      <c r="AB22" s="474"/>
      <c r="AC22" s="474"/>
      <c r="AD22" s="474"/>
    </row>
    <row r="23" spans="1:30">
      <c r="A23" s="522">
        <v>1</v>
      </c>
      <c r="B23" s="502"/>
      <c r="C23" s="501"/>
      <c r="D23" s="501"/>
      <c r="E23" s="501"/>
      <c r="F23" s="501">
        <v>18</v>
      </c>
      <c r="G23" s="518">
        <f t="shared" ref="G23:G32" si="20">IF($B$3="外置拉手",C23-2,C23-35-1)</f>
        <v>-36</v>
      </c>
      <c r="H23" s="504">
        <f t="shared" ref="H23:H32" si="21">B23-2</f>
        <v>-2</v>
      </c>
      <c r="I23" s="502">
        <f t="shared" ref="I23:I32" si="22">D23</f>
        <v>0</v>
      </c>
      <c r="J23" s="502"/>
      <c r="K23" s="501"/>
      <c r="L23" s="503"/>
      <c r="M23" s="517"/>
      <c r="N23" s="474">
        <f t="shared" ref="N23:N32" si="23">IF($B$3="外置拉手",(B23+C23+120)*2*I23/1000,(C23*2+B23+180)*I23/1000)</f>
        <v>0</v>
      </c>
      <c r="O23" s="474">
        <f t="shared" ref="O23:O43" si="24">IF(OR(K23="M45高光黑檀",K23="M55腊木",K23="M57横纹锯齿"),0.75,0.85)</f>
        <v>0.85</v>
      </c>
      <c r="P23" s="474">
        <f t="shared" ref="P23:P43" si="25">B23*C23*D23/1000000/1.22/2.44/O23</f>
        <v>0</v>
      </c>
      <c r="Q23" s="474">
        <f t="shared" ref="Q23:Q32" si="26">IF($B$3="通长铝拉手",B23*D23/0.9/1000,0)</f>
        <v>0</v>
      </c>
      <c r="R23" s="474">
        <f t="shared" ref="R23:R32" si="27">IF(K23=$O$3,P23,0)</f>
        <v>0</v>
      </c>
      <c r="S23" s="474">
        <f t="shared" ref="S23:S32" si="28">IF(K23=$O$3,N23,0)</f>
        <v>0</v>
      </c>
      <c r="T23" s="474">
        <f t="shared" ref="T23:T32" si="29">IF(K23=$P$3,P23,0)</f>
        <v>0</v>
      </c>
      <c r="U23" s="474">
        <f t="shared" ref="U23:U32" si="30">IF(K23=$P$3,N23,0)</f>
        <v>0</v>
      </c>
      <c r="V23" s="474">
        <f t="shared" ref="V23:V32" si="31">IF(K23=$Q$3,P23,0)</f>
        <v>0</v>
      </c>
      <c r="W23" s="474">
        <f t="shared" ref="W23:W32" si="32">IF(K23=$Q$3,N23,0)</f>
        <v>0</v>
      </c>
      <c r="X23" s="474">
        <f t="shared" ref="X23:X32" si="33">IF(K23=$R$3,P23,0)</f>
        <v>0</v>
      </c>
      <c r="Y23" s="474">
        <f t="shared" ref="Y23:Y32" si="34">IF(K23=$R$3,N23,0)</f>
        <v>0</v>
      </c>
      <c r="Z23" s="474">
        <f>IF(OR(AND(B23&lt;100,C18="外置拉手"),AND(C23&lt;100,C18="外置拉手")),D23*0.2,0)+IF(OR(AND(B23&lt;100,C18="通长铝拉手"),AND(C23&lt;100,C18="通长铝拉手")),D23*0.1,0)</f>
        <v>0</v>
      </c>
      <c r="AA23" s="474">
        <f t="shared" ref="AA23:AA32" si="35">IF(K23=$O$3,Z23,0)</f>
        <v>0</v>
      </c>
      <c r="AB23" s="474">
        <f t="shared" ref="AB23:AB32" si="36">IF(K23=$P$3,Z23,0)</f>
        <v>0</v>
      </c>
      <c r="AC23" s="474">
        <f t="shared" ref="AC23:AC32" si="37">IF(K23=$Q$3,Z23,0)</f>
        <v>0</v>
      </c>
      <c r="AD23" s="474">
        <f t="shared" ref="AD23:AD32" si="38">IF(K23=$R$3,Z23,0)</f>
        <v>0</v>
      </c>
    </row>
    <row r="24" spans="1:30">
      <c r="A24" s="521">
        <v>2</v>
      </c>
      <c r="B24" s="502"/>
      <c r="C24" s="501"/>
      <c r="D24" s="501"/>
      <c r="E24" s="499"/>
      <c r="F24" s="499">
        <v>18</v>
      </c>
      <c r="G24" s="401">
        <f t="shared" si="20"/>
        <v>-36</v>
      </c>
      <c r="H24" s="500">
        <f t="shared" si="21"/>
        <v>-2</v>
      </c>
      <c r="I24" s="497">
        <f t="shared" si="22"/>
        <v>0</v>
      </c>
      <c r="J24" s="497"/>
      <c r="K24" s="501"/>
      <c r="L24" s="498"/>
      <c r="M24" s="515"/>
      <c r="N24" s="474">
        <f t="shared" si="23"/>
        <v>0</v>
      </c>
      <c r="O24" s="474">
        <f t="shared" si="24"/>
        <v>0.85</v>
      </c>
      <c r="P24" s="474">
        <f t="shared" si="25"/>
        <v>0</v>
      </c>
      <c r="Q24" s="474">
        <f t="shared" si="26"/>
        <v>0</v>
      </c>
      <c r="R24" s="474">
        <f t="shared" si="27"/>
        <v>0</v>
      </c>
      <c r="S24" s="474">
        <f t="shared" si="28"/>
        <v>0</v>
      </c>
      <c r="T24" s="474">
        <f t="shared" si="29"/>
        <v>0</v>
      </c>
      <c r="U24" s="474">
        <f t="shared" si="30"/>
        <v>0</v>
      </c>
      <c r="V24" s="474">
        <f t="shared" si="31"/>
        <v>0</v>
      </c>
      <c r="W24" s="474">
        <f t="shared" si="32"/>
        <v>0</v>
      </c>
      <c r="X24" s="474">
        <f t="shared" si="33"/>
        <v>0</v>
      </c>
      <c r="Y24" s="474">
        <f t="shared" si="34"/>
        <v>0</v>
      </c>
      <c r="Z24" s="474">
        <f>IF(OR(AND(B24&lt;100,C19="外置拉手"),AND(C24&lt;100,C19="外置拉手")),D24*0.2,0)+IF(OR(AND(B24&lt;100,C19="通长铝拉手"),AND(C24&lt;100,C19="通长铝拉手")),D24*0.1,0)</f>
        <v>0</v>
      </c>
      <c r="AA24" s="474">
        <f t="shared" si="35"/>
        <v>0</v>
      </c>
      <c r="AB24" s="474">
        <f t="shared" si="36"/>
        <v>0</v>
      </c>
      <c r="AC24" s="474">
        <f t="shared" si="37"/>
        <v>0</v>
      </c>
      <c r="AD24" s="474">
        <f t="shared" si="38"/>
        <v>0</v>
      </c>
    </row>
    <row r="25" spans="1:30">
      <c r="A25" s="521">
        <v>3</v>
      </c>
      <c r="B25" s="502"/>
      <c r="C25" s="501"/>
      <c r="D25" s="501"/>
      <c r="E25" s="499"/>
      <c r="F25" s="499">
        <v>18</v>
      </c>
      <c r="G25" s="401">
        <f t="shared" si="20"/>
        <v>-36</v>
      </c>
      <c r="H25" s="500">
        <f t="shared" si="21"/>
        <v>-2</v>
      </c>
      <c r="I25" s="497">
        <f t="shared" si="22"/>
        <v>0</v>
      </c>
      <c r="J25" s="497"/>
      <c r="K25" s="501"/>
      <c r="L25" s="498"/>
      <c r="M25" s="515"/>
      <c r="N25" s="474">
        <f t="shared" si="23"/>
        <v>0</v>
      </c>
      <c r="O25" s="474">
        <f t="shared" si="24"/>
        <v>0.85</v>
      </c>
      <c r="P25" s="474">
        <f t="shared" si="25"/>
        <v>0</v>
      </c>
      <c r="Q25" s="474">
        <f t="shared" si="26"/>
        <v>0</v>
      </c>
      <c r="R25" s="474">
        <f t="shared" si="27"/>
        <v>0</v>
      </c>
      <c r="S25" s="474">
        <f t="shared" si="28"/>
        <v>0</v>
      </c>
      <c r="T25" s="474">
        <f t="shared" si="29"/>
        <v>0</v>
      </c>
      <c r="U25" s="474">
        <f t="shared" si="30"/>
        <v>0</v>
      </c>
      <c r="V25" s="474">
        <f t="shared" si="31"/>
        <v>0</v>
      </c>
      <c r="W25" s="474">
        <f t="shared" si="32"/>
        <v>0</v>
      </c>
      <c r="X25" s="474">
        <f t="shared" si="33"/>
        <v>0</v>
      </c>
      <c r="Y25" s="474">
        <f t="shared" si="34"/>
        <v>0</v>
      </c>
      <c r="Z25" s="474">
        <f>IF(OR(AND(B25&lt;100,C20="外置拉手"),AND(C25&lt;100,C20="外置拉手")),D25*0.2,0)+IF(OR(AND(B25&lt;100,C20="通长铝拉手"),AND(C25&lt;100,C20="通长铝拉手")),D25*0.1,0)</f>
        <v>0</v>
      </c>
      <c r="AA25" s="474">
        <f t="shared" si="35"/>
        <v>0</v>
      </c>
      <c r="AB25" s="474">
        <f t="shared" si="36"/>
        <v>0</v>
      </c>
      <c r="AC25" s="474">
        <f t="shared" si="37"/>
        <v>0</v>
      </c>
      <c r="AD25" s="474">
        <f t="shared" si="38"/>
        <v>0</v>
      </c>
    </row>
    <row r="26" spans="1:30">
      <c r="A26" s="521">
        <v>4</v>
      </c>
      <c r="B26" s="502"/>
      <c r="C26" s="501"/>
      <c r="D26" s="501"/>
      <c r="E26" s="499"/>
      <c r="F26" s="499">
        <v>18</v>
      </c>
      <c r="G26" s="401">
        <f t="shared" si="20"/>
        <v>-36</v>
      </c>
      <c r="H26" s="500">
        <f t="shared" si="21"/>
        <v>-2</v>
      </c>
      <c r="I26" s="497">
        <f t="shared" si="22"/>
        <v>0</v>
      </c>
      <c r="J26" s="497"/>
      <c r="K26" s="501"/>
      <c r="L26" s="498"/>
      <c r="M26" s="515"/>
      <c r="N26" s="474">
        <f t="shared" si="23"/>
        <v>0</v>
      </c>
      <c r="O26" s="474">
        <f t="shared" si="24"/>
        <v>0.85</v>
      </c>
      <c r="P26" s="474">
        <f t="shared" si="25"/>
        <v>0</v>
      </c>
      <c r="Q26" s="474">
        <f t="shared" si="26"/>
        <v>0</v>
      </c>
      <c r="R26" s="474">
        <f t="shared" si="27"/>
        <v>0</v>
      </c>
      <c r="S26" s="474">
        <f t="shared" si="28"/>
        <v>0</v>
      </c>
      <c r="T26" s="474">
        <f t="shared" si="29"/>
        <v>0</v>
      </c>
      <c r="U26" s="474">
        <f t="shared" si="30"/>
        <v>0</v>
      </c>
      <c r="V26" s="474">
        <f t="shared" si="31"/>
        <v>0</v>
      </c>
      <c r="W26" s="474">
        <f t="shared" si="32"/>
        <v>0</v>
      </c>
      <c r="X26" s="474">
        <f t="shared" si="33"/>
        <v>0</v>
      </c>
      <c r="Y26" s="474">
        <f t="shared" si="34"/>
        <v>0</v>
      </c>
      <c r="Z26" s="474">
        <f>IF(OR(AND(B26&lt;100,C17="外置拉手"),AND(C26&lt;100,C17="外置拉手")),D26*0.2,0)+IF(OR(AND(B26&lt;100,C17="通长铝拉手"),AND(C26&lt;100,C17="通长铝拉手")),D26*0.1,0)</f>
        <v>0</v>
      </c>
      <c r="AA26" s="474">
        <f t="shared" si="35"/>
        <v>0</v>
      </c>
      <c r="AB26" s="474">
        <f t="shared" si="36"/>
        <v>0</v>
      </c>
      <c r="AC26" s="474">
        <f t="shared" si="37"/>
        <v>0</v>
      </c>
      <c r="AD26" s="474">
        <f t="shared" si="38"/>
        <v>0</v>
      </c>
    </row>
    <row r="27" spans="1:30">
      <c r="A27" s="521">
        <v>5</v>
      </c>
      <c r="B27" s="497"/>
      <c r="C27" s="499"/>
      <c r="D27" s="499"/>
      <c r="E27" s="499"/>
      <c r="F27" s="499">
        <v>18</v>
      </c>
      <c r="G27" s="401">
        <f t="shared" si="20"/>
        <v>-36</v>
      </c>
      <c r="H27" s="500">
        <f t="shared" si="21"/>
        <v>-2</v>
      </c>
      <c r="I27" s="497">
        <f t="shared" si="22"/>
        <v>0</v>
      </c>
      <c r="J27" s="497"/>
      <c r="K27" s="499"/>
      <c r="L27" s="498"/>
      <c r="M27" s="515"/>
      <c r="N27" s="474">
        <f t="shared" si="23"/>
        <v>0</v>
      </c>
      <c r="O27" s="474">
        <f t="shared" si="24"/>
        <v>0.85</v>
      </c>
      <c r="P27" s="474">
        <f t="shared" si="25"/>
        <v>0</v>
      </c>
      <c r="Q27" s="474">
        <f t="shared" si="26"/>
        <v>0</v>
      </c>
      <c r="R27" s="474">
        <f t="shared" si="27"/>
        <v>0</v>
      </c>
      <c r="S27" s="474">
        <f t="shared" si="28"/>
        <v>0</v>
      </c>
      <c r="T27" s="474">
        <f t="shared" si="29"/>
        <v>0</v>
      </c>
      <c r="U27" s="474">
        <f t="shared" si="30"/>
        <v>0</v>
      </c>
      <c r="V27" s="474">
        <f t="shared" si="31"/>
        <v>0</v>
      </c>
      <c r="W27" s="474">
        <f t="shared" si="32"/>
        <v>0</v>
      </c>
      <c r="X27" s="474">
        <f t="shared" si="33"/>
        <v>0</v>
      </c>
      <c r="Y27" s="474">
        <f t="shared" si="34"/>
        <v>0</v>
      </c>
      <c r="Z27" s="474">
        <f>IF(OR(AND(B27&lt;100,C18="外置拉手"),AND(C27&lt;100,C18="外置拉手")),D27*0.2,0)+IF(OR(AND(B27&lt;100,C18="通长铝拉手"),AND(C27&lt;100,C18="通长铝拉手")),D27*0.1,0)</f>
        <v>0</v>
      </c>
      <c r="AA27" s="474">
        <f t="shared" si="35"/>
        <v>0</v>
      </c>
      <c r="AB27" s="474">
        <f t="shared" si="36"/>
        <v>0</v>
      </c>
      <c r="AC27" s="474">
        <f t="shared" si="37"/>
        <v>0</v>
      </c>
      <c r="AD27" s="474">
        <f t="shared" si="38"/>
        <v>0</v>
      </c>
    </row>
    <row r="28" spans="1:30">
      <c r="A28" s="521">
        <v>6</v>
      </c>
      <c r="B28" s="497"/>
      <c r="C28" s="499"/>
      <c r="D28" s="499"/>
      <c r="E28" s="499"/>
      <c r="F28" s="499">
        <v>18</v>
      </c>
      <c r="G28" s="401">
        <f t="shared" si="20"/>
        <v>-36</v>
      </c>
      <c r="H28" s="500">
        <f t="shared" si="21"/>
        <v>-2</v>
      </c>
      <c r="I28" s="497">
        <f t="shared" si="22"/>
        <v>0</v>
      </c>
      <c r="J28" s="497"/>
      <c r="K28" s="499"/>
      <c r="L28" s="498"/>
      <c r="M28" s="515"/>
      <c r="N28" s="474">
        <f t="shared" si="23"/>
        <v>0</v>
      </c>
      <c r="O28" s="474">
        <f t="shared" si="24"/>
        <v>0.85</v>
      </c>
      <c r="P28" s="474">
        <f t="shared" si="25"/>
        <v>0</v>
      </c>
      <c r="Q28" s="474">
        <f t="shared" si="26"/>
        <v>0</v>
      </c>
      <c r="R28" s="474">
        <f t="shared" si="27"/>
        <v>0</v>
      </c>
      <c r="S28" s="474">
        <f t="shared" si="28"/>
        <v>0</v>
      </c>
      <c r="T28" s="474">
        <f t="shared" si="29"/>
        <v>0</v>
      </c>
      <c r="U28" s="474">
        <f t="shared" si="30"/>
        <v>0</v>
      </c>
      <c r="V28" s="474">
        <f t="shared" si="31"/>
        <v>0</v>
      </c>
      <c r="W28" s="474">
        <f t="shared" si="32"/>
        <v>0</v>
      </c>
      <c r="X28" s="474">
        <f t="shared" si="33"/>
        <v>0</v>
      </c>
      <c r="Y28" s="474">
        <f t="shared" si="34"/>
        <v>0</v>
      </c>
      <c r="Z28" s="474">
        <f>IF(OR(AND(B28&lt;100,C19="外置拉手"),AND(C28&lt;100,C19="外置拉手")),D28*0.2,0)+IF(OR(AND(B28&lt;100,C19="通长铝拉手"),AND(C28&lt;100,C19="通长铝拉手")),D28*0.1,0)</f>
        <v>0</v>
      </c>
      <c r="AA28" s="474">
        <f t="shared" si="35"/>
        <v>0</v>
      </c>
      <c r="AB28" s="474">
        <f t="shared" si="36"/>
        <v>0</v>
      </c>
      <c r="AC28" s="474">
        <f t="shared" si="37"/>
        <v>0</v>
      </c>
      <c r="AD28" s="474">
        <f t="shared" si="38"/>
        <v>0</v>
      </c>
    </row>
    <row r="29" spans="1:30">
      <c r="A29" s="521">
        <v>7</v>
      </c>
      <c r="B29" s="497"/>
      <c r="C29" s="499"/>
      <c r="D29" s="499"/>
      <c r="E29" s="499"/>
      <c r="F29" s="499">
        <v>18</v>
      </c>
      <c r="G29" s="401">
        <f t="shared" si="20"/>
        <v>-36</v>
      </c>
      <c r="H29" s="500">
        <f t="shared" si="21"/>
        <v>-2</v>
      </c>
      <c r="I29" s="497">
        <f t="shared" si="22"/>
        <v>0</v>
      </c>
      <c r="J29" s="497"/>
      <c r="K29" s="499"/>
      <c r="L29" s="498"/>
      <c r="M29" s="515"/>
      <c r="N29" s="474">
        <f t="shared" si="23"/>
        <v>0</v>
      </c>
      <c r="O29" s="474">
        <f t="shared" si="24"/>
        <v>0.85</v>
      </c>
      <c r="P29" s="474">
        <f t="shared" si="25"/>
        <v>0</v>
      </c>
      <c r="Q29" s="474">
        <f t="shared" si="26"/>
        <v>0</v>
      </c>
      <c r="R29" s="474">
        <f t="shared" si="27"/>
        <v>0</v>
      </c>
      <c r="S29" s="474">
        <f t="shared" si="28"/>
        <v>0</v>
      </c>
      <c r="T29" s="474">
        <f t="shared" si="29"/>
        <v>0</v>
      </c>
      <c r="U29" s="474">
        <f t="shared" si="30"/>
        <v>0</v>
      </c>
      <c r="V29" s="474">
        <f t="shared" si="31"/>
        <v>0</v>
      </c>
      <c r="W29" s="474">
        <f t="shared" si="32"/>
        <v>0</v>
      </c>
      <c r="X29" s="474">
        <f t="shared" si="33"/>
        <v>0</v>
      </c>
      <c r="Y29" s="474">
        <f t="shared" si="34"/>
        <v>0</v>
      </c>
      <c r="Z29" s="474">
        <f>IF(OR(AND(B29&lt;100,C19="外置拉手"),AND(C29&lt;100,C19="外置拉手")),D29*0.2,0)+IF(OR(AND(B29&lt;100,C19="通长铝拉手"),AND(C29&lt;100,C19="通长铝拉手")),D29*0.1,0)</f>
        <v>0</v>
      </c>
      <c r="AA29" s="474">
        <f t="shared" si="35"/>
        <v>0</v>
      </c>
      <c r="AB29" s="474">
        <f t="shared" si="36"/>
        <v>0</v>
      </c>
      <c r="AC29" s="474">
        <f t="shared" si="37"/>
        <v>0</v>
      </c>
      <c r="AD29" s="474">
        <f t="shared" si="38"/>
        <v>0</v>
      </c>
    </row>
    <row r="30" spans="1:30">
      <c r="A30" s="521">
        <v>8</v>
      </c>
      <c r="B30" s="497"/>
      <c r="C30" s="499"/>
      <c r="D30" s="499"/>
      <c r="E30" s="499"/>
      <c r="F30" s="499">
        <v>18</v>
      </c>
      <c r="G30" s="401">
        <f t="shared" si="20"/>
        <v>-36</v>
      </c>
      <c r="H30" s="500">
        <f t="shared" si="21"/>
        <v>-2</v>
      </c>
      <c r="I30" s="497">
        <f t="shared" si="22"/>
        <v>0</v>
      </c>
      <c r="J30" s="497"/>
      <c r="K30" s="499"/>
      <c r="L30" s="498"/>
      <c r="M30" s="515"/>
      <c r="N30" s="474">
        <f t="shared" si="23"/>
        <v>0</v>
      </c>
      <c r="O30" s="474">
        <f t="shared" si="24"/>
        <v>0.85</v>
      </c>
      <c r="P30" s="474">
        <f t="shared" si="25"/>
        <v>0</v>
      </c>
      <c r="Q30" s="474">
        <f t="shared" si="26"/>
        <v>0</v>
      </c>
      <c r="R30" s="474">
        <f t="shared" si="27"/>
        <v>0</v>
      </c>
      <c r="S30" s="474">
        <f t="shared" si="28"/>
        <v>0</v>
      </c>
      <c r="T30" s="474">
        <f t="shared" si="29"/>
        <v>0</v>
      </c>
      <c r="U30" s="474">
        <f t="shared" si="30"/>
        <v>0</v>
      </c>
      <c r="V30" s="474">
        <f t="shared" si="31"/>
        <v>0</v>
      </c>
      <c r="W30" s="474">
        <f t="shared" si="32"/>
        <v>0</v>
      </c>
      <c r="X30" s="474">
        <f t="shared" si="33"/>
        <v>0</v>
      </c>
      <c r="Y30" s="474">
        <f t="shared" si="34"/>
        <v>0</v>
      </c>
      <c r="Z30" s="474">
        <f>IF(OR(AND(B30&lt;100,C20="外置拉手"),AND(C30&lt;100,C20="外置拉手")),D30*0.2,0)+IF(OR(AND(B30&lt;100,C20="通长铝拉手"),AND(C30&lt;100,C20="通长铝拉手")),D30*0.1,0)</f>
        <v>0</v>
      </c>
      <c r="AA30" s="474">
        <f t="shared" si="35"/>
        <v>0</v>
      </c>
      <c r="AB30" s="474">
        <f t="shared" si="36"/>
        <v>0</v>
      </c>
      <c r="AC30" s="474">
        <f t="shared" si="37"/>
        <v>0</v>
      </c>
      <c r="AD30" s="474">
        <f t="shared" si="38"/>
        <v>0</v>
      </c>
    </row>
    <row r="31" spans="1:30">
      <c r="A31" s="521">
        <v>9</v>
      </c>
      <c r="B31" s="497"/>
      <c r="C31" s="499"/>
      <c r="D31" s="499"/>
      <c r="E31" s="499"/>
      <c r="F31" s="499">
        <v>18</v>
      </c>
      <c r="G31" s="401">
        <f t="shared" si="20"/>
        <v>-36</v>
      </c>
      <c r="H31" s="500">
        <f t="shared" si="21"/>
        <v>-2</v>
      </c>
      <c r="I31" s="497">
        <f t="shared" si="22"/>
        <v>0</v>
      </c>
      <c r="J31" s="497"/>
      <c r="K31" s="499"/>
      <c r="L31" s="498"/>
      <c r="M31" s="515"/>
      <c r="N31" s="474">
        <f t="shared" si="23"/>
        <v>0</v>
      </c>
      <c r="O31" s="474">
        <f t="shared" si="24"/>
        <v>0.85</v>
      </c>
      <c r="P31" s="474">
        <f t="shared" si="25"/>
        <v>0</v>
      </c>
      <c r="Q31" s="474">
        <f t="shared" si="26"/>
        <v>0</v>
      </c>
      <c r="R31" s="474">
        <f t="shared" si="27"/>
        <v>0</v>
      </c>
      <c r="S31" s="474">
        <f t="shared" si="28"/>
        <v>0</v>
      </c>
      <c r="T31" s="474">
        <f t="shared" si="29"/>
        <v>0</v>
      </c>
      <c r="U31" s="474">
        <f t="shared" si="30"/>
        <v>0</v>
      </c>
      <c r="V31" s="474">
        <f t="shared" si="31"/>
        <v>0</v>
      </c>
      <c r="W31" s="474">
        <f t="shared" si="32"/>
        <v>0</v>
      </c>
      <c r="X31" s="474">
        <f t="shared" si="33"/>
        <v>0</v>
      </c>
      <c r="Y31" s="474">
        <f t="shared" si="34"/>
        <v>0</v>
      </c>
      <c r="Z31" s="474">
        <f>IF(OR(AND(B31&lt;100,C21="外置拉手"),AND(C31&lt;100,C21="外置拉手")),D31*0.2,0)+IF(OR(AND(B31&lt;100,C21="通长铝拉手"),AND(C31&lt;100,C21="通长铝拉手")),D31*0.1,0)</f>
        <v>0</v>
      </c>
      <c r="AA31" s="474">
        <f t="shared" si="35"/>
        <v>0</v>
      </c>
      <c r="AB31" s="474">
        <f t="shared" si="36"/>
        <v>0</v>
      </c>
      <c r="AC31" s="474">
        <f t="shared" si="37"/>
        <v>0</v>
      </c>
      <c r="AD31" s="474">
        <f t="shared" si="38"/>
        <v>0</v>
      </c>
    </row>
    <row r="32" spans="1:30">
      <c r="A32" s="520">
        <v>10</v>
      </c>
      <c r="B32" s="509"/>
      <c r="C32" s="511"/>
      <c r="D32" s="511"/>
      <c r="E32" s="511"/>
      <c r="F32" s="511">
        <v>18</v>
      </c>
      <c r="G32" s="411">
        <f t="shared" si="20"/>
        <v>-36</v>
      </c>
      <c r="H32" s="512">
        <f t="shared" si="21"/>
        <v>-2</v>
      </c>
      <c r="I32" s="509">
        <f t="shared" si="22"/>
        <v>0</v>
      </c>
      <c r="J32" s="509"/>
      <c r="K32" s="511"/>
      <c r="L32" s="510"/>
      <c r="M32" s="513"/>
      <c r="N32" s="474">
        <f t="shared" si="23"/>
        <v>0</v>
      </c>
      <c r="O32" s="474">
        <f t="shared" si="24"/>
        <v>0.85</v>
      </c>
      <c r="P32" s="474">
        <f t="shared" si="25"/>
        <v>0</v>
      </c>
      <c r="Q32" s="474">
        <f t="shared" si="26"/>
        <v>0</v>
      </c>
      <c r="R32" s="474">
        <f t="shared" si="27"/>
        <v>0</v>
      </c>
      <c r="S32" s="474">
        <f t="shared" si="28"/>
        <v>0</v>
      </c>
      <c r="T32" s="474">
        <f t="shared" si="29"/>
        <v>0</v>
      </c>
      <c r="U32" s="474">
        <f t="shared" si="30"/>
        <v>0</v>
      </c>
      <c r="V32" s="474">
        <f t="shared" si="31"/>
        <v>0</v>
      </c>
      <c r="W32" s="474">
        <f t="shared" si="32"/>
        <v>0</v>
      </c>
      <c r="X32" s="474">
        <f t="shared" si="33"/>
        <v>0</v>
      </c>
      <c r="Y32" s="474">
        <f t="shared" si="34"/>
        <v>0</v>
      </c>
      <c r="Z32" s="474">
        <f>IF(OR(AND(B32&lt;100,C22="外置拉手"),AND(C32&lt;100,C22="外置拉手")),D32*0.2,0)+IF(OR(AND(B32&lt;100,C22="通长铝拉手"),AND(C32&lt;100,C22="通长铝拉手")),D32*0.1,0)</f>
        <v>0</v>
      </c>
      <c r="AA32" s="474">
        <f t="shared" si="35"/>
        <v>0</v>
      </c>
      <c r="AB32" s="474">
        <f t="shared" si="36"/>
        <v>0</v>
      </c>
      <c r="AC32" s="474">
        <f t="shared" si="37"/>
        <v>0</v>
      </c>
      <c r="AD32" s="474">
        <f t="shared" si="38"/>
        <v>0</v>
      </c>
    </row>
    <row r="33" spans="1:30">
      <c r="A33" s="508" t="s">
        <v>1403</v>
      </c>
      <c r="B33" s="507"/>
      <c r="C33" s="507"/>
      <c r="D33" s="507"/>
      <c r="E33" s="507"/>
      <c r="F33" s="507"/>
      <c r="G33" s="507"/>
      <c r="H33" s="507"/>
      <c r="I33" s="507"/>
      <c r="J33" s="507"/>
      <c r="K33" s="507"/>
      <c r="L33" s="506"/>
      <c r="M33" s="505"/>
      <c r="N33" s="474"/>
      <c r="O33" s="474">
        <f t="shared" si="24"/>
        <v>0.85</v>
      </c>
      <c r="P33" s="474">
        <f t="shared" si="25"/>
        <v>0</v>
      </c>
      <c r="Q33" s="474"/>
      <c r="R33" s="474"/>
      <c r="S33" s="474"/>
      <c r="T33" s="474"/>
      <c r="U33" s="474"/>
      <c r="V33" s="474"/>
      <c r="W33" s="474"/>
      <c r="X33" s="474"/>
      <c r="Y33" s="474"/>
      <c r="Z33" s="474"/>
      <c r="AA33" s="474"/>
      <c r="AB33" s="474"/>
      <c r="AC33" s="474"/>
      <c r="AD33" s="474"/>
    </row>
    <row r="34" spans="1:30">
      <c r="A34" s="519">
        <v>1</v>
      </c>
      <c r="B34" s="502"/>
      <c r="C34" s="501"/>
      <c r="D34" s="501"/>
      <c r="E34" s="501"/>
      <c r="F34" s="501">
        <v>18</v>
      </c>
      <c r="G34" s="518">
        <f t="shared" ref="G34:G43" si="39">B34-2</f>
        <v>-2</v>
      </c>
      <c r="H34" s="504">
        <f t="shared" ref="H34:H43" si="40">C34-2</f>
        <v>-2</v>
      </c>
      <c r="I34" s="502">
        <f t="shared" ref="I34:I43" si="41">D34</f>
        <v>0</v>
      </c>
      <c r="J34" s="502"/>
      <c r="K34" s="501"/>
      <c r="L34" s="503"/>
      <c r="M34" s="517"/>
      <c r="N34" s="474">
        <f t="shared" ref="N34:N43" si="42">(B34+C34+120)*2*I34/1000</f>
        <v>0</v>
      </c>
      <c r="O34" s="474">
        <f t="shared" si="24"/>
        <v>0.85</v>
      </c>
      <c r="P34" s="474">
        <f t="shared" si="25"/>
        <v>0</v>
      </c>
      <c r="Q34" s="474"/>
      <c r="R34" s="474">
        <f t="shared" ref="R34:R43" si="43">IF(K34=$O$3,P34,0)</f>
        <v>0</v>
      </c>
      <c r="S34" s="474">
        <f t="shared" ref="S34:S43" si="44">IF(K34=$O$3,N34,0)</f>
        <v>0</v>
      </c>
      <c r="T34" s="474">
        <f t="shared" ref="T34:T43" si="45">IF(K34=$P$3,P34,0)</f>
        <v>0</v>
      </c>
      <c r="U34" s="474">
        <f t="shared" ref="U34:U43" si="46">IF(K34=$P$3,N34,0)</f>
        <v>0</v>
      </c>
      <c r="V34" s="474">
        <f t="shared" ref="V34:V43" si="47">IF(K34=$Q$3,P34,0)</f>
        <v>0</v>
      </c>
      <c r="W34" s="474">
        <f t="shared" ref="W34:W43" si="48">IF(K34=$Q$3,N34,0)</f>
        <v>0</v>
      </c>
      <c r="X34" s="474">
        <f t="shared" ref="X34:X43" si="49">IF(K34=$R$3,P34,0)</f>
        <v>0</v>
      </c>
      <c r="Y34" s="474">
        <f t="shared" ref="Y34:Y43" si="50">IF(K34=$R$3,N34,0)</f>
        <v>0</v>
      </c>
      <c r="Z34" s="474">
        <f t="shared" ref="Z34:Z43" si="51">IF(B34&lt;100,D34*0.2)+IF(C34&lt;100,D34*0.2)</f>
        <v>0</v>
      </c>
      <c r="AA34" s="474">
        <f t="shared" ref="AA34:AA43" si="52">IF(K34=$O$3,Z34,0)</f>
        <v>0</v>
      </c>
      <c r="AB34" s="474">
        <f t="shared" ref="AB34:AB43" si="53">IF(K34=$P$3,Z34,0)</f>
        <v>0</v>
      </c>
      <c r="AC34" s="474">
        <f t="shared" ref="AC34:AC43" si="54">IF(K34=$Q$3,Z34,0)</f>
        <v>0</v>
      </c>
      <c r="AD34" s="474">
        <f t="shared" ref="AD34:AD43" si="55">IF(K34=$R$3,Z34,0)</f>
        <v>0</v>
      </c>
    </row>
    <row r="35" spans="1:30">
      <c r="A35" s="516">
        <v>2</v>
      </c>
      <c r="B35" s="502"/>
      <c r="C35" s="501"/>
      <c r="D35" s="501"/>
      <c r="E35" s="499"/>
      <c r="F35" s="499">
        <v>18</v>
      </c>
      <c r="G35" s="401">
        <f t="shared" si="39"/>
        <v>-2</v>
      </c>
      <c r="H35" s="500">
        <f t="shared" si="40"/>
        <v>-2</v>
      </c>
      <c r="I35" s="497">
        <f t="shared" si="41"/>
        <v>0</v>
      </c>
      <c r="J35" s="497"/>
      <c r="K35" s="501"/>
      <c r="L35" s="498"/>
      <c r="M35" s="515"/>
      <c r="N35" s="474">
        <f t="shared" si="42"/>
        <v>0</v>
      </c>
      <c r="O35" s="474">
        <f t="shared" si="24"/>
        <v>0.85</v>
      </c>
      <c r="P35" s="474">
        <f t="shared" si="25"/>
        <v>0</v>
      </c>
      <c r="Q35" s="474"/>
      <c r="R35" s="474">
        <f t="shared" si="43"/>
        <v>0</v>
      </c>
      <c r="S35" s="474">
        <f t="shared" si="44"/>
        <v>0</v>
      </c>
      <c r="T35" s="474">
        <f t="shared" si="45"/>
        <v>0</v>
      </c>
      <c r="U35" s="474">
        <f t="shared" si="46"/>
        <v>0</v>
      </c>
      <c r="V35" s="474">
        <f t="shared" si="47"/>
        <v>0</v>
      </c>
      <c r="W35" s="474">
        <f t="shared" si="48"/>
        <v>0</v>
      </c>
      <c r="X35" s="474">
        <f t="shared" si="49"/>
        <v>0</v>
      </c>
      <c r="Y35" s="474">
        <f t="shared" si="50"/>
        <v>0</v>
      </c>
      <c r="Z35" s="474">
        <f t="shared" si="51"/>
        <v>0</v>
      </c>
      <c r="AA35" s="474">
        <f t="shared" si="52"/>
        <v>0</v>
      </c>
      <c r="AB35" s="474">
        <f t="shared" si="53"/>
        <v>0</v>
      </c>
      <c r="AC35" s="474">
        <f t="shared" si="54"/>
        <v>0</v>
      </c>
      <c r="AD35" s="474">
        <f t="shared" si="55"/>
        <v>0</v>
      </c>
    </row>
    <row r="36" spans="1:30">
      <c r="A36" s="516">
        <v>3</v>
      </c>
      <c r="B36" s="502"/>
      <c r="C36" s="501"/>
      <c r="D36" s="501"/>
      <c r="E36" s="499"/>
      <c r="F36" s="499">
        <v>18</v>
      </c>
      <c r="G36" s="401">
        <f t="shared" si="39"/>
        <v>-2</v>
      </c>
      <c r="H36" s="500">
        <f t="shared" si="40"/>
        <v>-2</v>
      </c>
      <c r="I36" s="497">
        <f t="shared" si="41"/>
        <v>0</v>
      </c>
      <c r="J36" s="497"/>
      <c r="K36" s="501"/>
      <c r="L36" s="498"/>
      <c r="M36" s="515"/>
      <c r="N36" s="474">
        <f t="shared" si="42"/>
        <v>0</v>
      </c>
      <c r="O36" s="474">
        <f t="shared" si="24"/>
        <v>0.85</v>
      </c>
      <c r="P36" s="474">
        <f t="shared" si="25"/>
        <v>0</v>
      </c>
      <c r="Q36" s="474"/>
      <c r="R36" s="474">
        <f t="shared" si="43"/>
        <v>0</v>
      </c>
      <c r="S36" s="474">
        <f t="shared" si="44"/>
        <v>0</v>
      </c>
      <c r="T36" s="474">
        <f t="shared" si="45"/>
        <v>0</v>
      </c>
      <c r="U36" s="474">
        <f t="shared" si="46"/>
        <v>0</v>
      </c>
      <c r="V36" s="474">
        <f t="shared" si="47"/>
        <v>0</v>
      </c>
      <c r="W36" s="474">
        <f t="shared" si="48"/>
        <v>0</v>
      </c>
      <c r="X36" s="474">
        <f t="shared" si="49"/>
        <v>0</v>
      </c>
      <c r="Y36" s="474">
        <f t="shared" si="50"/>
        <v>0</v>
      </c>
      <c r="Z36" s="474">
        <f t="shared" si="51"/>
        <v>0</v>
      </c>
      <c r="AA36" s="474">
        <f t="shared" si="52"/>
        <v>0</v>
      </c>
      <c r="AB36" s="474">
        <f t="shared" si="53"/>
        <v>0</v>
      </c>
      <c r="AC36" s="474">
        <f t="shared" si="54"/>
        <v>0</v>
      </c>
      <c r="AD36" s="474">
        <f t="shared" si="55"/>
        <v>0</v>
      </c>
    </row>
    <row r="37" spans="1:30">
      <c r="A37" s="516">
        <v>4</v>
      </c>
      <c r="B37" s="502"/>
      <c r="C37" s="501"/>
      <c r="D37" s="501"/>
      <c r="E37" s="499"/>
      <c r="F37" s="499">
        <v>18</v>
      </c>
      <c r="G37" s="401">
        <f t="shared" si="39"/>
        <v>-2</v>
      </c>
      <c r="H37" s="500">
        <f t="shared" si="40"/>
        <v>-2</v>
      </c>
      <c r="I37" s="497">
        <f t="shared" si="41"/>
        <v>0</v>
      </c>
      <c r="J37" s="497"/>
      <c r="K37" s="501"/>
      <c r="L37" s="498"/>
      <c r="M37" s="515"/>
      <c r="N37" s="474">
        <f t="shared" si="42"/>
        <v>0</v>
      </c>
      <c r="O37" s="474">
        <f t="shared" si="24"/>
        <v>0.85</v>
      </c>
      <c r="P37" s="474">
        <f t="shared" si="25"/>
        <v>0</v>
      </c>
      <c r="Q37" s="474"/>
      <c r="R37" s="474">
        <f t="shared" si="43"/>
        <v>0</v>
      </c>
      <c r="S37" s="474">
        <f t="shared" si="44"/>
        <v>0</v>
      </c>
      <c r="T37" s="474">
        <f t="shared" si="45"/>
        <v>0</v>
      </c>
      <c r="U37" s="474">
        <f t="shared" si="46"/>
        <v>0</v>
      </c>
      <c r="V37" s="474">
        <f t="shared" si="47"/>
        <v>0</v>
      </c>
      <c r="W37" s="474">
        <f t="shared" si="48"/>
        <v>0</v>
      </c>
      <c r="X37" s="474">
        <f t="shared" si="49"/>
        <v>0</v>
      </c>
      <c r="Y37" s="474">
        <f t="shared" si="50"/>
        <v>0</v>
      </c>
      <c r="Z37" s="474">
        <f t="shared" si="51"/>
        <v>0</v>
      </c>
      <c r="AA37" s="474">
        <f t="shared" si="52"/>
        <v>0</v>
      </c>
      <c r="AB37" s="474">
        <f t="shared" si="53"/>
        <v>0</v>
      </c>
      <c r="AC37" s="474">
        <f t="shared" si="54"/>
        <v>0</v>
      </c>
      <c r="AD37" s="474">
        <f t="shared" si="55"/>
        <v>0</v>
      </c>
    </row>
    <row r="38" spans="1:30">
      <c r="A38" s="516">
        <v>5</v>
      </c>
      <c r="B38" s="497"/>
      <c r="C38" s="499"/>
      <c r="D38" s="499"/>
      <c r="E38" s="499"/>
      <c r="F38" s="499">
        <v>18</v>
      </c>
      <c r="G38" s="401">
        <f t="shared" si="39"/>
        <v>-2</v>
      </c>
      <c r="H38" s="500">
        <f t="shared" si="40"/>
        <v>-2</v>
      </c>
      <c r="I38" s="497">
        <f t="shared" si="41"/>
        <v>0</v>
      </c>
      <c r="J38" s="497"/>
      <c r="K38" s="499"/>
      <c r="L38" s="498"/>
      <c r="M38" s="515"/>
      <c r="N38" s="474">
        <f t="shared" si="42"/>
        <v>0</v>
      </c>
      <c r="O38" s="474">
        <f t="shared" si="24"/>
        <v>0.85</v>
      </c>
      <c r="P38" s="474">
        <f t="shared" si="25"/>
        <v>0</v>
      </c>
      <c r="Q38" s="474"/>
      <c r="R38" s="474">
        <f t="shared" si="43"/>
        <v>0</v>
      </c>
      <c r="S38" s="474">
        <f t="shared" si="44"/>
        <v>0</v>
      </c>
      <c r="T38" s="474">
        <f t="shared" si="45"/>
        <v>0</v>
      </c>
      <c r="U38" s="474">
        <f t="shared" si="46"/>
        <v>0</v>
      </c>
      <c r="V38" s="474">
        <f t="shared" si="47"/>
        <v>0</v>
      </c>
      <c r="W38" s="474">
        <f t="shared" si="48"/>
        <v>0</v>
      </c>
      <c r="X38" s="474">
        <f t="shared" si="49"/>
        <v>0</v>
      </c>
      <c r="Y38" s="474">
        <f t="shared" si="50"/>
        <v>0</v>
      </c>
      <c r="Z38" s="474">
        <f t="shared" si="51"/>
        <v>0</v>
      </c>
      <c r="AA38" s="474">
        <f t="shared" si="52"/>
        <v>0</v>
      </c>
      <c r="AB38" s="474">
        <f t="shared" si="53"/>
        <v>0</v>
      </c>
      <c r="AC38" s="474">
        <f t="shared" si="54"/>
        <v>0</v>
      </c>
      <c r="AD38" s="474">
        <f t="shared" si="55"/>
        <v>0</v>
      </c>
    </row>
    <row r="39" spans="1:30">
      <c r="A39" s="516">
        <v>6</v>
      </c>
      <c r="B39" s="497"/>
      <c r="C39" s="499"/>
      <c r="D39" s="499"/>
      <c r="E39" s="499"/>
      <c r="F39" s="499">
        <v>18</v>
      </c>
      <c r="G39" s="401">
        <f t="shared" si="39"/>
        <v>-2</v>
      </c>
      <c r="H39" s="500">
        <f t="shared" si="40"/>
        <v>-2</v>
      </c>
      <c r="I39" s="497">
        <f t="shared" si="41"/>
        <v>0</v>
      </c>
      <c r="J39" s="497"/>
      <c r="K39" s="499"/>
      <c r="L39" s="498"/>
      <c r="M39" s="515"/>
      <c r="N39" s="474">
        <f t="shared" si="42"/>
        <v>0</v>
      </c>
      <c r="O39" s="474">
        <f t="shared" si="24"/>
        <v>0.85</v>
      </c>
      <c r="P39" s="474">
        <f t="shared" si="25"/>
        <v>0</v>
      </c>
      <c r="Q39" s="474"/>
      <c r="R39" s="474">
        <f t="shared" si="43"/>
        <v>0</v>
      </c>
      <c r="S39" s="474">
        <f t="shared" si="44"/>
        <v>0</v>
      </c>
      <c r="T39" s="474">
        <f t="shared" si="45"/>
        <v>0</v>
      </c>
      <c r="U39" s="474">
        <f t="shared" si="46"/>
        <v>0</v>
      </c>
      <c r="V39" s="474">
        <f t="shared" si="47"/>
        <v>0</v>
      </c>
      <c r="W39" s="474">
        <f t="shared" si="48"/>
        <v>0</v>
      </c>
      <c r="X39" s="474">
        <f t="shared" si="49"/>
        <v>0</v>
      </c>
      <c r="Y39" s="474">
        <f t="shared" si="50"/>
        <v>0</v>
      </c>
      <c r="Z39" s="474">
        <f t="shared" si="51"/>
        <v>0</v>
      </c>
      <c r="AA39" s="474">
        <f t="shared" si="52"/>
        <v>0</v>
      </c>
      <c r="AB39" s="474">
        <f t="shared" si="53"/>
        <v>0</v>
      </c>
      <c r="AC39" s="474">
        <f t="shared" si="54"/>
        <v>0</v>
      </c>
      <c r="AD39" s="474">
        <f t="shared" si="55"/>
        <v>0</v>
      </c>
    </row>
    <row r="40" spans="1:30">
      <c r="A40" s="516">
        <v>7</v>
      </c>
      <c r="B40" s="497"/>
      <c r="C40" s="499"/>
      <c r="D40" s="499"/>
      <c r="E40" s="499"/>
      <c r="F40" s="499">
        <v>18</v>
      </c>
      <c r="G40" s="401">
        <f t="shared" si="39"/>
        <v>-2</v>
      </c>
      <c r="H40" s="500">
        <f t="shared" si="40"/>
        <v>-2</v>
      </c>
      <c r="I40" s="497">
        <f t="shared" si="41"/>
        <v>0</v>
      </c>
      <c r="J40" s="497"/>
      <c r="K40" s="499"/>
      <c r="L40" s="498"/>
      <c r="M40" s="515"/>
      <c r="N40" s="474">
        <f t="shared" si="42"/>
        <v>0</v>
      </c>
      <c r="O40" s="474">
        <f t="shared" si="24"/>
        <v>0.85</v>
      </c>
      <c r="P40" s="474">
        <f t="shared" si="25"/>
        <v>0</v>
      </c>
      <c r="Q40" s="474"/>
      <c r="R40" s="474">
        <f t="shared" si="43"/>
        <v>0</v>
      </c>
      <c r="S40" s="474">
        <f t="shared" si="44"/>
        <v>0</v>
      </c>
      <c r="T40" s="474">
        <f t="shared" si="45"/>
        <v>0</v>
      </c>
      <c r="U40" s="474">
        <f t="shared" si="46"/>
        <v>0</v>
      </c>
      <c r="V40" s="474">
        <f t="shared" si="47"/>
        <v>0</v>
      </c>
      <c r="W40" s="474">
        <f t="shared" si="48"/>
        <v>0</v>
      </c>
      <c r="X40" s="474">
        <f t="shared" si="49"/>
        <v>0</v>
      </c>
      <c r="Y40" s="474">
        <f t="shared" si="50"/>
        <v>0</v>
      </c>
      <c r="Z40" s="474">
        <f t="shared" si="51"/>
        <v>0</v>
      </c>
      <c r="AA40" s="474">
        <f t="shared" si="52"/>
        <v>0</v>
      </c>
      <c r="AB40" s="474">
        <f t="shared" si="53"/>
        <v>0</v>
      </c>
      <c r="AC40" s="474">
        <f t="shared" si="54"/>
        <v>0</v>
      </c>
      <c r="AD40" s="474">
        <f t="shared" si="55"/>
        <v>0</v>
      </c>
    </row>
    <row r="41" spans="1:30">
      <c r="A41" s="516">
        <v>8</v>
      </c>
      <c r="B41" s="497"/>
      <c r="C41" s="499"/>
      <c r="D41" s="499"/>
      <c r="E41" s="499"/>
      <c r="F41" s="499">
        <v>18</v>
      </c>
      <c r="G41" s="401">
        <f t="shared" si="39"/>
        <v>-2</v>
      </c>
      <c r="H41" s="500">
        <f t="shared" si="40"/>
        <v>-2</v>
      </c>
      <c r="I41" s="497">
        <f t="shared" si="41"/>
        <v>0</v>
      </c>
      <c r="J41" s="497"/>
      <c r="K41" s="499"/>
      <c r="L41" s="498"/>
      <c r="M41" s="515"/>
      <c r="N41" s="474">
        <f t="shared" si="42"/>
        <v>0</v>
      </c>
      <c r="O41" s="474">
        <f t="shared" si="24"/>
        <v>0.85</v>
      </c>
      <c r="P41" s="474">
        <f t="shared" si="25"/>
        <v>0</v>
      </c>
      <c r="Q41" s="474"/>
      <c r="R41" s="474">
        <f t="shared" si="43"/>
        <v>0</v>
      </c>
      <c r="S41" s="474">
        <f t="shared" si="44"/>
        <v>0</v>
      </c>
      <c r="T41" s="474">
        <f t="shared" si="45"/>
        <v>0</v>
      </c>
      <c r="U41" s="474">
        <f t="shared" si="46"/>
        <v>0</v>
      </c>
      <c r="V41" s="474">
        <f t="shared" si="47"/>
        <v>0</v>
      </c>
      <c r="W41" s="474">
        <f t="shared" si="48"/>
        <v>0</v>
      </c>
      <c r="X41" s="474">
        <f t="shared" si="49"/>
        <v>0</v>
      </c>
      <c r="Y41" s="474">
        <f t="shared" si="50"/>
        <v>0</v>
      </c>
      <c r="Z41" s="474">
        <f t="shared" si="51"/>
        <v>0</v>
      </c>
      <c r="AA41" s="474">
        <f t="shared" si="52"/>
        <v>0</v>
      </c>
      <c r="AB41" s="474">
        <f t="shared" si="53"/>
        <v>0</v>
      </c>
      <c r="AC41" s="474">
        <f t="shared" si="54"/>
        <v>0</v>
      </c>
      <c r="AD41" s="474">
        <f t="shared" si="55"/>
        <v>0</v>
      </c>
    </row>
    <row r="42" spans="1:30">
      <c r="A42" s="516">
        <v>9</v>
      </c>
      <c r="B42" s="497"/>
      <c r="C42" s="499"/>
      <c r="D42" s="499"/>
      <c r="E42" s="499"/>
      <c r="F42" s="499">
        <v>18</v>
      </c>
      <c r="G42" s="401">
        <f t="shared" si="39"/>
        <v>-2</v>
      </c>
      <c r="H42" s="500">
        <f t="shared" si="40"/>
        <v>-2</v>
      </c>
      <c r="I42" s="497">
        <f t="shared" si="41"/>
        <v>0</v>
      </c>
      <c r="J42" s="497"/>
      <c r="K42" s="499"/>
      <c r="L42" s="498"/>
      <c r="M42" s="515"/>
      <c r="N42" s="474">
        <f t="shared" si="42"/>
        <v>0</v>
      </c>
      <c r="O42" s="474">
        <f t="shared" si="24"/>
        <v>0.85</v>
      </c>
      <c r="P42" s="474">
        <f t="shared" si="25"/>
        <v>0</v>
      </c>
      <c r="Q42" s="474"/>
      <c r="R42" s="474">
        <f t="shared" si="43"/>
        <v>0</v>
      </c>
      <c r="S42" s="474">
        <f t="shared" si="44"/>
        <v>0</v>
      </c>
      <c r="T42" s="474">
        <f t="shared" si="45"/>
        <v>0</v>
      </c>
      <c r="U42" s="474">
        <f t="shared" si="46"/>
        <v>0</v>
      </c>
      <c r="V42" s="474">
        <f t="shared" si="47"/>
        <v>0</v>
      </c>
      <c r="W42" s="474">
        <f t="shared" si="48"/>
        <v>0</v>
      </c>
      <c r="X42" s="474">
        <f t="shared" si="49"/>
        <v>0</v>
      </c>
      <c r="Y42" s="474">
        <f t="shared" si="50"/>
        <v>0</v>
      </c>
      <c r="Z42" s="474">
        <f t="shared" si="51"/>
        <v>0</v>
      </c>
      <c r="AA42" s="474">
        <f t="shared" si="52"/>
        <v>0</v>
      </c>
      <c r="AB42" s="474">
        <f t="shared" si="53"/>
        <v>0</v>
      </c>
      <c r="AC42" s="474">
        <f t="shared" si="54"/>
        <v>0</v>
      </c>
      <c r="AD42" s="474">
        <f t="shared" si="55"/>
        <v>0</v>
      </c>
    </row>
    <row r="43" spans="1:30">
      <c r="A43" s="514">
        <v>10</v>
      </c>
      <c r="B43" s="509"/>
      <c r="C43" s="511"/>
      <c r="D43" s="511"/>
      <c r="E43" s="511"/>
      <c r="F43" s="511">
        <v>18</v>
      </c>
      <c r="G43" s="411">
        <f t="shared" si="39"/>
        <v>-2</v>
      </c>
      <c r="H43" s="512">
        <f t="shared" si="40"/>
        <v>-2</v>
      </c>
      <c r="I43" s="509">
        <f t="shared" si="41"/>
        <v>0</v>
      </c>
      <c r="J43" s="509"/>
      <c r="K43" s="511"/>
      <c r="L43" s="510"/>
      <c r="M43" s="513"/>
      <c r="N43" s="474">
        <f t="shared" si="42"/>
        <v>0</v>
      </c>
      <c r="O43" s="474">
        <f t="shared" si="24"/>
        <v>0.85</v>
      </c>
      <c r="P43" s="474">
        <f t="shared" si="25"/>
        <v>0</v>
      </c>
      <c r="Q43" s="474"/>
      <c r="R43" s="474">
        <f t="shared" si="43"/>
        <v>0</v>
      </c>
      <c r="S43" s="474">
        <f t="shared" si="44"/>
        <v>0</v>
      </c>
      <c r="T43" s="474">
        <f t="shared" si="45"/>
        <v>0</v>
      </c>
      <c r="U43" s="474">
        <f t="shared" si="46"/>
        <v>0</v>
      </c>
      <c r="V43" s="474">
        <f t="shared" si="47"/>
        <v>0</v>
      </c>
      <c r="W43" s="474">
        <f t="shared" si="48"/>
        <v>0</v>
      </c>
      <c r="X43" s="474">
        <f t="shared" si="49"/>
        <v>0</v>
      </c>
      <c r="Y43" s="474">
        <f t="shared" si="50"/>
        <v>0</v>
      </c>
      <c r="Z43" s="474">
        <f t="shared" si="51"/>
        <v>0</v>
      </c>
      <c r="AA43" s="474">
        <f t="shared" si="52"/>
        <v>0</v>
      </c>
      <c r="AB43" s="474">
        <f t="shared" si="53"/>
        <v>0</v>
      </c>
      <c r="AC43" s="474">
        <f t="shared" si="54"/>
        <v>0</v>
      </c>
      <c r="AD43" s="474">
        <f t="shared" si="55"/>
        <v>0</v>
      </c>
    </row>
    <row r="44" spans="1:30">
      <c r="A44" s="508" t="s">
        <v>1402</v>
      </c>
      <c r="B44" s="507"/>
      <c r="C44" s="507"/>
      <c r="D44" s="507"/>
      <c r="E44" s="507"/>
      <c r="F44" s="507"/>
      <c r="G44" s="507"/>
      <c r="H44" s="507"/>
      <c r="I44" s="507"/>
      <c r="J44" s="507"/>
      <c r="K44" s="507"/>
      <c r="L44" s="506"/>
      <c r="M44" s="505"/>
      <c r="N44" s="492" t="s">
        <v>1399</v>
      </c>
      <c r="O44" s="492"/>
      <c r="P44" s="492"/>
      <c r="Q44" s="492">
        <f t="shared" ref="Q44:Y44" si="56">SUM(Q8:Q43)</f>
        <v>1.1111111111111111E-3</v>
      </c>
      <c r="R44" s="492">
        <f t="shared" si="56"/>
        <v>0</v>
      </c>
      <c r="S44" s="495">
        <f t="shared" si="56"/>
        <v>0</v>
      </c>
      <c r="T44" s="492">
        <f t="shared" si="56"/>
        <v>0</v>
      </c>
      <c r="U44" s="494">
        <f t="shared" si="56"/>
        <v>0</v>
      </c>
      <c r="V44" s="492">
        <f t="shared" si="56"/>
        <v>0</v>
      </c>
      <c r="W44" s="493">
        <f t="shared" si="56"/>
        <v>0</v>
      </c>
      <c r="X44" s="492">
        <f t="shared" si="56"/>
        <v>0</v>
      </c>
      <c r="Y44" s="491">
        <f t="shared" si="56"/>
        <v>0</v>
      </c>
      <c r="Z44" s="490"/>
      <c r="AA44" s="489">
        <f>SUM(AA8:AA43)</f>
        <v>0</v>
      </c>
      <c r="AB44" s="488">
        <f>SUM(AB8:AB43)</f>
        <v>0</v>
      </c>
      <c r="AC44" s="487">
        <f>SUM(AC8:AC43)</f>
        <v>0</v>
      </c>
      <c r="AD44" s="486">
        <f>SUM(AD8:AD43)</f>
        <v>0</v>
      </c>
    </row>
    <row r="45" spans="1:30">
      <c r="A45" s="502">
        <v>1</v>
      </c>
      <c r="B45" s="502"/>
      <c r="C45" s="501"/>
      <c r="D45" s="501"/>
      <c r="E45" s="502"/>
      <c r="F45" s="502">
        <v>16</v>
      </c>
      <c r="G45" s="502">
        <f t="shared" ref="G45:G54" si="57">B45-1</f>
        <v>-1</v>
      </c>
      <c r="H45" s="504">
        <f t="shared" ref="H45:H54" si="58">C45-1</f>
        <v>-1</v>
      </c>
      <c r="I45" s="502">
        <f t="shared" ref="I45:I54" si="59">D45</f>
        <v>0</v>
      </c>
      <c r="J45" s="502"/>
      <c r="K45" s="501"/>
      <c r="L45" s="503"/>
      <c r="M45" s="502"/>
      <c r="N45" s="474">
        <f t="shared" ref="N45:N54" si="60">(B45+C45+120)*2*I45/1000</f>
        <v>0</v>
      </c>
      <c r="O45" s="474">
        <v>0.85</v>
      </c>
      <c r="P45" s="474">
        <f t="shared" ref="P45:P54" si="61">B45*C45*D45/1000000/1.22/2.44/O45</f>
        <v>0</v>
      </c>
      <c r="Q45" s="474"/>
      <c r="R45" s="474">
        <f t="shared" ref="R45:R54" si="62">IF(K45=$O$3,P45,0)</f>
        <v>0</v>
      </c>
      <c r="S45" s="474">
        <f t="shared" ref="S45:S54" si="63">IF(K45=$O$3,N45,0)</f>
        <v>0</v>
      </c>
      <c r="T45" s="474">
        <f t="shared" ref="T45:T54" si="64">IF(K45=$P$3,P45,0)</f>
        <v>0</v>
      </c>
      <c r="U45" s="474">
        <f t="shared" ref="U45:U54" si="65">IF(K45=$P$3,N45,0)</f>
        <v>0</v>
      </c>
      <c r="V45" s="474">
        <f t="shared" ref="V45:V54" si="66">IF(K45=$Q$3,P45,0)</f>
        <v>0</v>
      </c>
      <c r="W45" s="474">
        <f t="shared" ref="W45:W54" si="67">IF(K45=$Q$3,N45,0)</f>
        <v>0</v>
      </c>
      <c r="X45" s="474">
        <f t="shared" ref="X45:X54" si="68">IF(K45=$R$3,P45,0)</f>
        <v>0</v>
      </c>
      <c r="Y45" s="474">
        <f t="shared" ref="Y45:Y54" si="69">IF(K45=$R$3,N45,0)</f>
        <v>0</v>
      </c>
      <c r="Z45" s="474">
        <f t="shared" ref="Z45:Z54" si="70">IF(B45&lt;100,D45*0.2)+IF(C45&lt;100,D45*0.2)</f>
        <v>0</v>
      </c>
      <c r="AA45" s="474">
        <f t="shared" ref="AA45:AA54" si="71">IF(K45=$O$3,Z45,0)</f>
        <v>0</v>
      </c>
      <c r="AB45" s="474">
        <f t="shared" ref="AB45:AB54" si="72">IF(K45=$P$3,Z45,0)</f>
        <v>0</v>
      </c>
      <c r="AC45" s="474">
        <f t="shared" ref="AC45:AC54" si="73">IF(K45=$Q$3,Z45,0)</f>
        <v>0</v>
      </c>
      <c r="AD45" s="474">
        <f t="shared" ref="AD45:AD54" si="74">IF(K45=$R$3,Z45,0)</f>
        <v>0</v>
      </c>
    </row>
    <row r="46" spans="1:30">
      <c r="A46" s="497">
        <v>2</v>
      </c>
      <c r="B46" s="502"/>
      <c r="C46" s="501"/>
      <c r="D46" s="501"/>
      <c r="E46" s="497"/>
      <c r="F46" s="497">
        <v>16</v>
      </c>
      <c r="G46" s="497">
        <f t="shared" si="57"/>
        <v>-1</v>
      </c>
      <c r="H46" s="500">
        <f t="shared" si="58"/>
        <v>-1</v>
      </c>
      <c r="I46" s="497">
        <f t="shared" si="59"/>
        <v>0</v>
      </c>
      <c r="J46" s="497"/>
      <c r="K46" s="501"/>
      <c r="L46" s="498"/>
      <c r="M46" s="497"/>
      <c r="N46" s="474">
        <f t="shared" si="60"/>
        <v>0</v>
      </c>
      <c r="O46" s="474">
        <v>0.85</v>
      </c>
      <c r="P46" s="474">
        <f t="shared" si="61"/>
        <v>0</v>
      </c>
      <c r="Q46" s="474"/>
      <c r="R46" s="474">
        <f t="shared" si="62"/>
        <v>0</v>
      </c>
      <c r="S46" s="474">
        <f t="shared" si="63"/>
        <v>0</v>
      </c>
      <c r="T46" s="474">
        <f t="shared" si="64"/>
        <v>0</v>
      </c>
      <c r="U46" s="474">
        <f t="shared" si="65"/>
        <v>0</v>
      </c>
      <c r="V46" s="474">
        <f t="shared" si="66"/>
        <v>0</v>
      </c>
      <c r="W46" s="474">
        <f t="shared" si="67"/>
        <v>0</v>
      </c>
      <c r="X46" s="474">
        <f t="shared" si="68"/>
        <v>0</v>
      </c>
      <c r="Y46" s="474">
        <f t="shared" si="69"/>
        <v>0</v>
      </c>
      <c r="Z46" s="474">
        <f t="shared" si="70"/>
        <v>0</v>
      </c>
      <c r="AA46" s="474">
        <f t="shared" si="71"/>
        <v>0</v>
      </c>
      <c r="AB46" s="474">
        <f t="shared" si="72"/>
        <v>0</v>
      </c>
      <c r="AC46" s="474">
        <f t="shared" si="73"/>
        <v>0</v>
      </c>
      <c r="AD46" s="474">
        <f t="shared" si="74"/>
        <v>0</v>
      </c>
    </row>
    <row r="47" spans="1:30">
      <c r="A47" s="497">
        <v>3</v>
      </c>
      <c r="B47" s="502"/>
      <c r="C47" s="501"/>
      <c r="D47" s="501"/>
      <c r="E47" s="497"/>
      <c r="F47" s="497">
        <v>16</v>
      </c>
      <c r="G47" s="497">
        <f t="shared" si="57"/>
        <v>-1</v>
      </c>
      <c r="H47" s="500">
        <f t="shared" si="58"/>
        <v>-1</v>
      </c>
      <c r="I47" s="497">
        <f t="shared" si="59"/>
        <v>0</v>
      </c>
      <c r="J47" s="497"/>
      <c r="K47" s="501"/>
      <c r="L47" s="498"/>
      <c r="M47" s="497"/>
      <c r="N47" s="474">
        <f t="shared" si="60"/>
        <v>0</v>
      </c>
      <c r="O47" s="474">
        <v>0.85</v>
      </c>
      <c r="P47" s="474">
        <f t="shared" si="61"/>
        <v>0</v>
      </c>
      <c r="Q47" s="474"/>
      <c r="R47" s="474">
        <f t="shared" si="62"/>
        <v>0</v>
      </c>
      <c r="S47" s="474">
        <f t="shared" si="63"/>
        <v>0</v>
      </c>
      <c r="T47" s="474">
        <f t="shared" si="64"/>
        <v>0</v>
      </c>
      <c r="U47" s="474">
        <f t="shared" si="65"/>
        <v>0</v>
      </c>
      <c r="V47" s="474">
        <f t="shared" si="66"/>
        <v>0</v>
      </c>
      <c r="W47" s="474">
        <f t="shared" si="67"/>
        <v>0</v>
      </c>
      <c r="X47" s="474">
        <f t="shared" si="68"/>
        <v>0</v>
      </c>
      <c r="Y47" s="474">
        <f t="shared" si="69"/>
        <v>0</v>
      </c>
      <c r="Z47" s="474">
        <f t="shared" si="70"/>
        <v>0</v>
      </c>
      <c r="AA47" s="474">
        <f t="shared" si="71"/>
        <v>0</v>
      </c>
      <c r="AB47" s="474">
        <f t="shared" si="72"/>
        <v>0</v>
      </c>
      <c r="AC47" s="474">
        <f t="shared" si="73"/>
        <v>0</v>
      </c>
      <c r="AD47" s="474">
        <f t="shared" si="74"/>
        <v>0</v>
      </c>
    </row>
    <row r="48" spans="1:30">
      <c r="A48" s="497">
        <v>4</v>
      </c>
      <c r="B48" s="502"/>
      <c r="C48" s="501"/>
      <c r="D48" s="501"/>
      <c r="E48" s="497"/>
      <c r="F48" s="497">
        <v>16</v>
      </c>
      <c r="G48" s="497">
        <f t="shared" si="57"/>
        <v>-1</v>
      </c>
      <c r="H48" s="500">
        <f t="shared" si="58"/>
        <v>-1</v>
      </c>
      <c r="I48" s="497">
        <f t="shared" si="59"/>
        <v>0</v>
      </c>
      <c r="J48" s="497"/>
      <c r="K48" s="501"/>
      <c r="L48" s="498"/>
      <c r="M48" s="497"/>
      <c r="N48" s="474">
        <f t="shared" si="60"/>
        <v>0</v>
      </c>
      <c r="O48" s="474">
        <v>0.85</v>
      </c>
      <c r="P48" s="474">
        <f t="shared" si="61"/>
        <v>0</v>
      </c>
      <c r="Q48" s="474"/>
      <c r="R48" s="474">
        <f t="shared" si="62"/>
        <v>0</v>
      </c>
      <c r="S48" s="474">
        <f t="shared" si="63"/>
        <v>0</v>
      </c>
      <c r="T48" s="474">
        <f t="shared" si="64"/>
        <v>0</v>
      </c>
      <c r="U48" s="474">
        <f t="shared" si="65"/>
        <v>0</v>
      </c>
      <c r="V48" s="474">
        <f t="shared" si="66"/>
        <v>0</v>
      </c>
      <c r="W48" s="474">
        <f t="shared" si="67"/>
        <v>0</v>
      </c>
      <c r="X48" s="474">
        <f t="shared" si="68"/>
        <v>0</v>
      </c>
      <c r="Y48" s="474">
        <f t="shared" si="69"/>
        <v>0</v>
      </c>
      <c r="Z48" s="474">
        <f t="shared" si="70"/>
        <v>0</v>
      </c>
      <c r="AA48" s="474">
        <f t="shared" si="71"/>
        <v>0</v>
      </c>
      <c r="AB48" s="474">
        <f t="shared" si="72"/>
        <v>0</v>
      </c>
      <c r="AC48" s="474">
        <f t="shared" si="73"/>
        <v>0</v>
      </c>
      <c r="AD48" s="474">
        <f t="shared" si="74"/>
        <v>0</v>
      </c>
    </row>
    <row r="49" spans="1:30">
      <c r="A49" s="497">
        <v>5</v>
      </c>
      <c r="B49" s="497"/>
      <c r="C49" s="497"/>
      <c r="D49" s="497"/>
      <c r="E49" s="497"/>
      <c r="F49" s="497">
        <v>16</v>
      </c>
      <c r="G49" s="497">
        <f t="shared" si="57"/>
        <v>-1</v>
      </c>
      <c r="H49" s="500">
        <f t="shared" si="58"/>
        <v>-1</v>
      </c>
      <c r="I49" s="497">
        <f t="shared" si="59"/>
        <v>0</v>
      </c>
      <c r="J49" s="497"/>
      <c r="K49" s="499"/>
      <c r="L49" s="498"/>
      <c r="M49" s="497"/>
      <c r="N49" s="474">
        <f t="shared" si="60"/>
        <v>0</v>
      </c>
      <c r="O49" s="474">
        <v>0.85</v>
      </c>
      <c r="P49" s="474">
        <f t="shared" si="61"/>
        <v>0</v>
      </c>
      <c r="Q49" s="474"/>
      <c r="R49" s="474">
        <f t="shared" si="62"/>
        <v>0</v>
      </c>
      <c r="S49" s="474">
        <f t="shared" si="63"/>
        <v>0</v>
      </c>
      <c r="T49" s="474">
        <f t="shared" si="64"/>
        <v>0</v>
      </c>
      <c r="U49" s="474">
        <f t="shared" si="65"/>
        <v>0</v>
      </c>
      <c r="V49" s="474">
        <f t="shared" si="66"/>
        <v>0</v>
      </c>
      <c r="W49" s="474">
        <f t="shared" si="67"/>
        <v>0</v>
      </c>
      <c r="X49" s="474">
        <f t="shared" si="68"/>
        <v>0</v>
      </c>
      <c r="Y49" s="474">
        <f t="shared" si="69"/>
        <v>0</v>
      </c>
      <c r="Z49" s="474">
        <f t="shared" si="70"/>
        <v>0</v>
      </c>
      <c r="AA49" s="474">
        <f t="shared" si="71"/>
        <v>0</v>
      </c>
      <c r="AB49" s="474">
        <f t="shared" si="72"/>
        <v>0</v>
      </c>
      <c r="AC49" s="474">
        <f t="shared" si="73"/>
        <v>0</v>
      </c>
      <c r="AD49" s="474">
        <f t="shared" si="74"/>
        <v>0</v>
      </c>
    </row>
    <row r="50" spans="1:30">
      <c r="A50" s="497">
        <v>6</v>
      </c>
      <c r="B50" s="497"/>
      <c r="C50" s="497"/>
      <c r="D50" s="497"/>
      <c r="E50" s="497"/>
      <c r="F50" s="497">
        <v>16</v>
      </c>
      <c r="G50" s="497">
        <f t="shared" si="57"/>
        <v>-1</v>
      </c>
      <c r="H50" s="500">
        <f t="shared" si="58"/>
        <v>-1</v>
      </c>
      <c r="I50" s="497">
        <f t="shared" si="59"/>
        <v>0</v>
      </c>
      <c r="J50" s="497"/>
      <c r="K50" s="499"/>
      <c r="L50" s="498"/>
      <c r="M50" s="497"/>
      <c r="N50" s="474">
        <f t="shared" si="60"/>
        <v>0</v>
      </c>
      <c r="O50" s="474">
        <v>0.85</v>
      </c>
      <c r="P50" s="474">
        <f t="shared" si="61"/>
        <v>0</v>
      </c>
      <c r="Q50" s="474"/>
      <c r="R50" s="474">
        <f t="shared" si="62"/>
        <v>0</v>
      </c>
      <c r="S50" s="474">
        <f t="shared" si="63"/>
        <v>0</v>
      </c>
      <c r="T50" s="474">
        <f t="shared" si="64"/>
        <v>0</v>
      </c>
      <c r="U50" s="474">
        <f t="shared" si="65"/>
        <v>0</v>
      </c>
      <c r="V50" s="474">
        <f t="shared" si="66"/>
        <v>0</v>
      </c>
      <c r="W50" s="474">
        <f t="shared" si="67"/>
        <v>0</v>
      </c>
      <c r="X50" s="474">
        <f t="shared" si="68"/>
        <v>0</v>
      </c>
      <c r="Y50" s="474">
        <f t="shared" si="69"/>
        <v>0</v>
      </c>
      <c r="Z50" s="474">
        <f t="shared" si="70"/>
        <v>0</v>
      </c>
      <c r="AA50" s="474">
        <f t="shared" si="71"/>
        <v>0</v>
      </c>
      <c r="AB50" s="474">
        <f t="shared" si="72"/>
        <v>0</v>
      </c>
      <c r="AC50" s="474">
        <f t="shared" si="73"/>
        <v>0</v>
      </c>
      <c r="AD50" s="474">
        <f t="shared" si="74"/>
        <v>0</v>
      </c>
    </row>
    <row r="51" spans="1:30">
      <c r="A51" s="497">
        <v>7</v>
      </c>
      <c r="B51" s="497"/>
      <c r="C51" s="497"/>
      <c r="D51" s="497"/>
      <c r="E51" s="497"/>
      <c r="F51" s="497">
        <v>16</v>
      </c>
      <c r="G51" s="497">
        <f t="shared" si="57"/>
        <v>-1</v>
      </c>
      <c r="H51" s="500">
        <f t="shared" si="58"/>
        <v>-1</v>
      </c>
      <c r="I51" s="497">
        <f t="shared" si="59"/>
        <v>0</v>
      </c>
      <c r="J51" s="497"/>
      <c r="K51" s="499"/>
      <c r="L51" s="498"/>
      <c r="M51" s="497"/>
      <c r="N51" s="474">
        <f t="shared" si="60"/>
        <v>0</v>
      </c>
      <c r="O51" s="474">
        <v>0.85</v>
      </c>
      <c r="P51" s="474">
        <f t="shared" si="61"/>
        <v>0</v>
      </c>
      <c r="Q51" s="474"/>
      <c r="R51" s="474">
        <f t="shared" si="62"/>
        <v>0</v>
      </c>
      <c r="S51" s="474">
        <f t="shared" si="63"/>
        <v>0</v>
      </c>
      <c r="T51" s="474">
        <f t="shared" si="64"/>
        <v>0</v>
      </c>
      <c r="U51" s="474">
        <f t="shared" si="65"/>
        <v>0</v>
      </c>
      <c r="V51" s="474">
        <f t="shared" si="66"/>
        <v>0</v>
      </c>
      <c r="W51" s="474">
        <f t="shared" si="67"/>
        <v>0</v>
      </c>
      <c r="X51" s="474">
        <f t="shared" si="68"/>
        <v>0</v>
      </c>
      <c r="Y51" s="474">
        <f t="shared" si="69"/>
        <v>0</v>
      </c>
      <c r="Z51" s="474">
        <f t="shared" si="70"/>
        <v>0</v>
      </c>
      <c r="AA51" s="474">
        <f t="shared" si="71"/>
        <v>0</v>
      </c>
      <c r="AB51" s="474">
        <f t="shared" si="72"/>
        <v>0</v>
      </c>
      <c r="AC51" s="474">
        <f t="shared" si="73"/>
        <v>0</v>
      </c>
      <c r="AD51" s="474">
        <f t="shared" si="74"/>
        <v>0</v>
      </c>
    </row>
    <row r="52" spans="1:30">
      <c r="A52" s="497">
        <v>8</v>
      </c>
      <c r="B52" s="497"/>
      <c r="C52" s="497"/>
      <c r="D52" s="497"/>
      <c r="E52" s="497"/>
      <c r="F52" s="497">
        <v>16</v>
      </c>
      <c r="G52" s="497">
        <f t="shared" si="57"/>
        <v>-1</v>
      </c>
      <c r="H52" s="500">
        <f t="shared" si="58"/>
        <v>-1</v>
      </c>
      <c r="I52" s="497">
        <f t="shared" si="59"/>
        <v>0</v>
      </c>
      <c r="J52" s="497"/>
      <c r="K52" s="499"/>
      <c r="L52" s="498"/>
      <c r="M52" s="497"/>
      <c r="N52" s="474">
        <f t="shared" si="60"/>
        <v>0</v>
      </c>
      <c r="O52" s="474">
        <v>0.85</v>
      </c>
      <c r="P52" s="474">
        <f t="shared" si="61"/>
        <v>0</v>
      </c>
      <c r="Q52" s="474"/>
      <c r="R52" s="474">
        <f t="shared" si="62"/>
        <v>0</v>
      </c>
      <c r="S52" s="474">
        <f t="shared" si="63"/>
        <v>0</v>
      </c>
      <c r="T52" s="474">
        <f t="shared" si="64"/>
        <v>0</v>
      </c>
      <c r="U52" s="474">
        <f t="shared" si="65"/>
        <v>0</v>
      </c>
      <c r="V52" s="474">
        <f t="shared" si="66"/>
        <v>0</v>
      </c>
      <c r="W52" s="474">
        <f t="shared" si="67"/>
        <v>0</v>
      </c>
      <c r="X52" s="474">
        <f t="shared" si="68"/>
        <v>0</v>
      </c>
      <c r="Y52" s="474">
        <f t="shared" si="69"/>
        <v>0</v>
      </c>
      <c r="Z52" s="474">
        <f t="shared" si="70"/>
        <v>0</v>
      </c>
      <c r="AA52" s="474">
        <f t="shared" si="71"/>
        <v>0</v>
      </c>
      <c r="AB52" s="474">
        <f t="shared" si="72"/>
        <v>0</v>
      </c>
      <c r="AC52" s="474">
        <f t="shared" si="73"/>
        <v>0</v>
      </c>
      <c r="AD52" s="474">
        <f t="shared" si="74"/>
        <v>0</v>
      </c>
    </row>
    <row r="53" spans="1:30">
      <c r="A53" s="497">
        <v>9</v>
      </c>
      <c r="B53" s="497"/>
      <c r="C53" s="497"/>
      <c r="D53" s="497"/>
      <c r="E53" s="497"/>
      <c r="F53" s="497">
        <v>16</v>
      </c>
      <c r="G53" s="497">
        <f t="shared" si="57"/>
        <v>-1</v>
      </c>
      <c r="H53" s="500">
        <f t="shared" si="58"/>
        <v>-1</v>
      </c>
      <c r="I53" s="497">
        <f t="shared" si="59"/>
        <v>0</v>
      </c>
      <c r="J53" s="497"/>
      <c r="K53" s="499"/>
      <c r="L53" s="498"/>
      <c r="M53" s="497"/>
      <c r="N53" s="474">
        <f t="shared" si="60"/>
        <v>0</v>
      </c>
      <c r="O53" s="474">
        <v>0.85</v>
      </c>
      <c r="P53" s="474">
        <f t="shared" si="61"/>
        <v>0</v>
      </c>
      <c r="Q53" s="474"/>
      <c r="R53" s="474">
        <f t="shared" si="62"/>
        <v>0</v>
      </c>
      <c r="S53" s="474">
        <f t="shared" si="63"/>
        <v>0</v>
      </c>
      <c r="T53" s="474">
        <f t="shared" si="64"/>
        <v>0</v>
      </c>
      <c r="U53" s="474">
        <f t="shared" si="65"/>
        <v>0</v>
      </c>
      <c r="V53" s="474">
        <f t="shared" si="66"/>
        <v>0</v>
      </c>
      <c r="W53" s="474">
        <f t="shared" si="67"/>
        <v>0</v>
      </c>
      <c r="X53" s="474">
        <f t="shared" si="68"/>
        <v>0</v>
      </c>
      <c r="Y53" s="474">
        <f t="shared" si="69"/>
        <v>0</v>
      </c>
      <c r="Z53" s="474">
        <f t="shared" si="70"/>
        <v>0</v>
      </c>
      <c r="AA53" s="474">
        <f t="shared" si="71"/>
        <v>0</v>
      </c>
      <c r="AB53" s="474">
        <f t="shared" si="72"/>
        <v>0</v>
      </c>
      <c r="AC53" s="474">
        <f t="shared" si="73"/>
        <v>0</v>
      </c>
      <c r="AD53" s="474">
        <f t="shared" si="74"/>
        <v>0</v>
      </c>
    </row>
    <row r="54" spans="1:30">
      <c r="A54" s="509">
        <v>10</v>
      </c>
      <c r="B54" s="509"/>
      <c r="C54" s="509"/>
      <c r="D54" s="509"/>
      <c r="E54" s="509"/>
      <c r="F54" s="509">
        <v>16</v>
      </c>
      <c r="G54" s="509">
        <f t="shared" si="57"/>
        <v>-1</v>
      </c>
      <c r="H54" s="512">
        <f t="shared" si="58"/>
        <v>-1</v>
      </c>
      <c r="I54" s="509">
        <f t="shared" si="59"/>
        <v>0</v>
      </c>
      <c r="J54" s="509"/>
      <c r="K54" s="511"/>
      <c r="L54" s="510"/>
      <c r="M54" s="509"/>
      <c r="N54" s="474">
        <f t="shared" si="60"/>
        <v>0</v>
      </c>
      <c r="O54" s="474">
        <v>0.85</v>
      </c>
      <c r="P54" s="474">
        <f t="shared" si="61"/>
        <v>0</v>
      </c>
      <c r="Q54" s="474"/>
      <c r="R54" s="474">
        <f t="shared" si="62"/>
        <v>0</v>
      </c>
      <c r="S54" s="474">
        <f t="shared" si="63"/>
        <v>0</v>
      </c>
      <c r="T54" s="474">
        <f t="shared" si="64"/>
        <v>0</v>
      </c>
      <c r="U54" s="474">
        <f t="shared" si="65"/>
        <v>0</v>
      </c>
      <c r="V54" s="474">
        <f t="shared" si="66"/>
        <v>0</v>
      </c>
      <c r="W54" s="474">
        <f t="shared" si="67"/>
        <v>0</v>
      </c>
      <c r="X54" s="474">
        <f t="shared" si="68"/>
        <v>0</v>
      </c>
      <c r="Y54" s="474">
        <f t="shared" si="69"/>
        <v>0</v>
      </c>
      <c r="Z54" s="474">
        <f t="shared" si="70"/>
        <v>0</v>
      </c>
      <c r="AA54" s="474">
        <f t="shared" si="71"/>
        <v>0</v>
      </c>
      <c r="AB54" s="474">
        <f t="shared" si="72"/>
        <v>0</v>
      </c>
      <c r="AC54" s="474">
        <f t="shared" si="73"/>
        <v>0</v>
      </c>
      <c r="AD54" s="474">
        <f t="shared" si="74"/>
        <v>0</v>
      </c>
    </row>
    <row r="55" spans="1:30">
      <c r="A55" s="508" t="s">
        <v>1401</v>
      </c>
      <c r="B55" s="507"/>
      <c r="C55" s="507"/>
      <c r="D55" s="507"/>
      <c r="E55" s="507"/>
      <c r="F55" s="507"/>
      <c r="G55" s="507"/>
      <c r="H55" s="507"/>
      <c r="I55" s="507"/>
      <c r="J55" s="507"/>
      <c r="K55" s="507"/>
      <c r="L55" s="506"/>
      <c r="M55" s="505"/>
      <c r="N55" s="492" t="s">
        <v>1399</v>
      </c>
      <c r="O55" s="492"/>
      <c r="P55" s="492"/>
      <c r="Q55" s="492"/>
      <c r="R55" s="492">
        <f t="shared" ref="R55:Y55" si="75">SUM(R45:R54)</f>
        <v>0</v>
      </c>
      <c r="S55" s="495">
        <f t="shared" si="75"/>
        <v>0</v>
      </c>
      <c r="T55" s="492">
        <f t="shared" si="75"/>
        <v>0</v>
      </c>
      <c r="U55" s="494">
        <f t="shared" si="75"/>
        <v>0</v>
      </c>
      <c r="V55" s="492">
        <f t="shared" si="75"/>
        <v>0</v>
      </c>
      <c r="W55" s="493">
        <f t="shared" si="75"/>
        <v>0</v>
      </c>
      <c r="X55" s="492">
        <f t="shared" si="75"/>
        <v>0</v>
      </c>
      <c r="Y55" s="491">
        <f t="shared" si="75"/>
        <v>0</v>
      </c>
      <c r="Z55" s="490"/>
      <c r="AA55" s="489">
        <f>SUM(AA45:AA54)</f>
        <v>0</v>
      </c>
      <c r="AB55" s="488">
        <f>SUM(AB45:AB54)</f>
        <v>0</v>
      </c>
      <c r="AC55" s="487">
        <f>SUM(AC45:AC54)</f>
        <v>0</v>
      </c>
      <c r="AD55" s="486">
        <f>SUM(AD45:AD54)</f>
        <v>0</v>
      </c>
    </row>
    <row r="56" spans="1:30">
      <c r="A56" s="502">
        <v>1</v>
      </c>
      <c r="B56" s="502"/>
      <c r="C56" s="501"/>
      <c r="D56" s="501"/>
      <c r="E56" s="502"/>
      <c r="F56" s="502">
        <v>12</v>
      </c>
      <c r="G56" s="502">
        <f t="shared" ref="G56:G65" si="76">B56-2</f>
        <v>-2</v>
      </c>
      <c r="H56" s="504">
        <f t="shared" ref="H56:H65" si="77">C56-2</f>
        <v>-2</v>
      </c>
      <c r="I56" s="502">
        <f t="shared" ref="I56:I65" si="78">D56</f>
        <v>0</v>
      </c>
      <c r="J56" s="502"/>
      <c r="K56" s="501"/>
      <c r="L56" s="503"/>
      <c r="M56" s="502"/>
      <c r="N56" s="474">
        <f t="shared" ref="N56:N65" si="79">(B56+C56+120)*2*I56/1000</f>
        <v>0</v>
      </c>
      <c r="O56" s="474">
        <v>0.85</v>
      </c>
      <c r="P56" s="474">
        <f t="shared" ref="P56:P65" si="80">B56*C56*D56/1000000/1.22/2.44/O56</f>
        <v>0</v>
      </c>
      <c r="Q56" s="474"/>
      <c r="R56" s="474">
        <f t="shared" ref="R56:R65" si="81">IF(K56=$O$3,P56,0)</f>
        <v>0</v>
      </c>
      <c r="S56" s="474">
        <f t="shared" ref="S56:S65" si="82">IF(K56=$O$3,N56,0)</f>
        <v>0</v>
      </c>
      <c r="T56" s="474">
        <f t="shared" ref="T56:T65" si="83">IF(K56=$P$3,P56,0)</f>
        <v>0</v>
      </c>
      <c r="U56" s="474">
        <f t="shared" ref="U56:U65" si="84">IF(K56=$P$3,N56,0)</f>
        <v>0</v>
      </c>
      <c r="V56" s="474">
        <f t="shared" ref="V56:V65" si="85">IF(K56=$Q$3,P56,0)</f>
        <v>0</v>
      </c>
      <c r="W56" s="474">
        <f t="shared" ref="W56:W65" si="86">IF(K56=$Q$3,N56,0)</f>
        <v>0</v>
      </c>
      <c r="X56" s="474">
        <f t="shared" ref="X56:X65" si="87">IF(K56=$R$3,P56,0)</f>
        <v>0</v>
      </c>
      <c r="Y56" s="474">
        <f t="shared" ref="Y56:Y65" si="88">IF(K56=$R$3,N56,0)</f>
        <v>0</v>
      </c>
      <c r="Z56" s="474">
        <f t="shared" ref="Z56:Z65" si="89">IF(B56&lt;100,D56*0.2)+IF(C56&lt;100,D56*0.2)</f>
        <v>0</v>
      </c>
      <c r="AA56" s="474">
        <f t="shared" ref="AA56:AA65" si="90">IF(K56=$O$3,Z56,0)</f>
        <v>0</v>
      </c>
      <c r="AB56" s="474">
        <f t="shared" ref="AB56:AB65" si="91">IF(K56=$P$3,Z56,0)</f>
        <v>0</v>
      </c>
      <c r="AC56" s="474">
        <f t="shared" ref="AC56:AC65" si="92">IF(K56=$Q$3,Z56,0)</f>
        <v>0</v>
      </c>
      <c r="AD56" s="474">
        <f t="shared" ref="AD56:AD65" si="93">IF(K56=$R$3,Z56,0)</f>
        <v>0</v>
      </c>
    </row>
    <row r="57" spans="1:30">
      <c r="A57" s="497">
        <v>2</v>
      </c>
      <c r="B57" s="502"/>
      <c r="C57" s="501"/>
      <c r="D57" s="501"/>
      <c r="E57" s="497"/>
      <c r="F57" s="497">
        <v>12</v>
      </c>
      <c r="G57" s="497">
        <f t="shared" si="76"/>
        <v>-2</v>
      </c>
      <c r="H57" s="500">
        <f t="shared" si="77"/>
        <v>-2</v>
      </c>
      <c r="I57" s="497">
        <f t="shared" si="78"/>
        <v>0</v>
      </c>
      <c r="J57" s="497"/>
      <c r="K57" s="501"/>
      <c r="L57" s="498"/>
      <c r="M57" s="497"/>
      <c r="N57" s="474">
        <f t="shared" si="79"/>
        <v>0</v>
      </c>
      <c r="O57" s="474">
        <v>0.85</v>
      </c>
      <c r="P57" s="474">
        <f t="shared" si="80"/>
        <v>0</v>
      </c>
      <c r="Q57" s="474"/>
      <c r="R57" s="474">
        <f t="shared" si="81"/>
        <v>0</v>
      </c>
      <c r="S57" s="474">
        <f t="shared" si="82"/>
        <v>0</v>
      </c>
      <c r="T57" s="474">
        <f t="shared" si="83"/>
        <v>0</v>
      </c>
      <c r="U57" s="474">
        <f t="shared" si="84"/>
        <v>0</v>
      </c>
      <c r="V57" s="474">
        <f t="shared" si="85"/>
        <v>0</v>
      </c>
      <c r="W57" s="474">
        <f t="shared" si="86"/>
        <v>0</v>
      </c>
      <c r="X57" s="474">
        <f t="shared" si="87"/>
        <v>0</v>
      </c>
      <c r="Y57" s="474">
        <f t="shared" si="88"/>
        <v>0</v>
      </c>
      <c r="Z57" s="474">
        <f t="shared" si="89"/>
        <v>0</v>
      </c>
      <c r="AA57" s="474">
        <f t="shared" si="90"/>
        <v>0</v>
      </c>
      <c r="AB57" s="474">
        <f t="shared" si="91"/>
        <v>0</v>
      </c>
      <c r="AC57" s="474">
        <f t="shared" si="92"/>
        <v>0</v>
      </c>
      <c r="AD57" s="474">
        <f t="shared" si="93"/>
        <v>0</v>
      </c>
    </row>
    <row r="58" spans="1:30">
      <c r="A58" s="497">
        <v>3</v>
      </c>
      <c r="B58" s="502"/>
      <c r="C58" s="501"/>
      <c r="D58" s="501"/>
      <c r="E58" s="497"/>
      <c r="F58" s="497">
        <v>12</v>
      </c>
      <c r="G58" s="497">
        <f t="shared" si="76"/>
        <v>-2</v>
      </c>
      <c r="H58" s="500">
        <f t="shared" si="77"/>
        <v>-2</v>
      </c>
      <c r="I58" s="497">
        <f t="shared" si="78"/>
        <v>0</v>
      </c>
      <c r="J58" s="497"/>
      <c r="K58" s="501"/>
      <c r="L58" s="498"/>
      <c r="M58" s="497"/>
      <c r="N58" s="474">
        <f t="shared" si="79"/>
        <v>0</v>
      </c>
      <c r="O58" s="474">
        <v>0.85</v>
      </c>
      <c r="P58" s="474">
        <f t="shared" si="80"/>
        <v>0</v>
      </c>
      <c r="Q58" s="474"/>
      <c r="R58" s="474">
        <f t="shared" si="81"/>
        <v>0</v>
      </c>
      <c r="S58" s="474">
        <f t="shared" si="82"/>
        <v>0</v>
      </c>
      <c r="T58" s="474">
        <f t="shared" si="83"/>
        <v>0</v>
      </c>
      <c r="U58" s="474">
        <f t="shared" si="84"/>
        <v>0</v>
      </c>
      <c r="V58" s="474">
        <f t="shared" si="85"/>
        <v>0</v>
      </c>
      <c r="W58" s="474">
        <f t="shared" si="86"/>
        <v>0</v>
      </c>
      <c r="X58" s="474">
        <f t="shared" si="87"/>
        <v>0</v>
      </c>
      <c r="Y58" s="474">
        <f t="shared" si="88"/>
        <v>0</v>
      </c>
      <c r="Z58" s="474">
        <f t="shared" si="89"/>
        <v>0</v>
      </c>
      <c r="AA58" s="474">
        <f t="shared" si="90"/>
        <v>0</v>
      </c>
      <c r="AB58" s="474">
        <f t="shared" si="91"/>
        <v>0</v>
      </c>
      <c r="AC58" s="474">
        <f t="shared" si="92"/>
        <v>0</v>
      </c>
      <c r="AD58" s="474">
        <f t="shared" si="93"/>
        <v>0</v>
      </c>
    </row>
    <row r="59" spans="1:30">
      <c r="A59" s="497">
        <v>4</v>
      </c>
      <c r="B59" s="502"/>
      <c r="C59" s="501"/>
      <c r="D59" s="501"/>
      <c r="E59" s="497"/>
      <c r="F59" s="497">
        <v>12</v>
      </c>
      <c r="G59" s="497">
        <f t="shared" si="76"/>
        <v>-2</v>
      </c>
      <c r="H59" s="500">
        <f t="shared" si="77"/>
        <v>-2</v>
      </c>
      <c r="I59" s="497">
        <f t="shared" si="78"/>
        <v>0</v>
      </c>
      <c r="J59" s="497"/>
      <c r="K59" s="501"/>
      <c r="L59" s="498"/>
      <c r="M59" s="497"/>
      <c r="N59" s="474">
        <f t="shared" si="79"/>
        <v>0</v>
      </c>
      <c r="O59" s="474">
        <v>0.85</v>
      </c>
      <c r="P59" s="474">
        <f t="shared" si="80"/>
        <v>0</v>
      </c>
      <c r="Q59" s="474"/>
      <c r="R59" s="474">
        <f t="shared" si="81"/>
        <v>0</v>
      </c>
      <c r="S59" s="474">
        <f t="shared" si="82"/>
        <v>0</v>
      </c>
      <c r="T59" s="474">
        <f t="shared" si="83"/>
        <v>0</v>
      </c>
      <c r="U59" s="474">
        <f t="shared" si="84"/>
        <v>0</v>
      </c>
      <c r="V59" s="474">
        <f t="shared" si="85"/>
        <v>0</v>
      </c>
      <c r="W59" s="474">
        <f t="shared" si="86"/>
        <v>0</v>
      </c>
      <c r="X59" s="474">
        <f t="shared" si="87"/>
        <v>0</v>
      </c>
      <c r="Y59" s="474">
        <f t="shared" si="88"/>
        <v>0</v>
      </c>
      <c r="Z59" s="474">
        <f t="shared" si="89"/>
        <v>0</v>
      </c>
      <c r="AA59" s="474">
        <f t="shared" si="90"/>
        <v>0</v>
      </c>
      <c r="AB59" s="474">
        <f t="shared" si="91"/>
        <v>0</v>
      </c>
      <c r="AC59" s="474">
        <f t="shared" si="92"/>
        <v>0</v>
      </c>
      <c r="AD59" s="474">
        <f t="shared" si="93"/>
        <v>0</v>
      </c>
    </row>
    <row r="60" spans="1:30">
      <c r="A60" s="497">
        <v>5</v>
      </c>
      <c r="B60" s="497"/>
      <c r="C60" s="497"/>
      <c r="D60" s="497"/>
      <c r="E60" s="497"/>
      <c r="F60" s="497">
        <v>12</v>
      </c>
      <c r="G60" s="497">
        <f t="shared" si="76"/>
        <v>-2</v>
      </c>
      <c r="H60" s="500">
        <f t="shared" si="77"/>
        <v>-2</v>
      </c>
      <c r="I60" s="497">
        <f t="shared" si="78"/>
        <v>0</v>
      </c>
      <c r="J60" s="497"/>
      <c r="K60" s="499"/>
      <c r="L60" s="498"/>
      <c r="M60" s="497"/>
      <c r="N60" s="474">
        <f t="shared" si="79"/>
        <v>0</v>
      </c>
      <c r="O60" s="474">
        <v>0.85</v>
      </c>
      <c r="P60" s="474">
        <f t="shared" si="80"/>
        <v>0</v>
      </c>
      <c r="Q60" s="474"/>
      <c r="R60" s="474">
        <f t="shared" si="81"/>
        <v>0</v>
      </c>
      <c r="S60" s="474">
        <f t="shared" si="82"/>
        <v>0</v>
      </c>
      <c r="T60" s="474">
        <f t="shared" si="83"/>
        <v>0</v>
      </c>
      <c r="U60" s="474">
        <f t="shared" si="84"/>
        <v>0</v>
      </c>
      <c r="V60" s="474">
        <f t="shared" si="85"/>
        <v>0</v>
      </c>
      <c r="W60" s="474">
        <f t="shared" si="86"/>
        <v>0</v>
      </c>
      <c r="X60" s="474">
        <f t="shared" si="87"/>
        <v>0</v>
      </c>
      <c r="Y60" s="474">
        <f t="shared" si="88"/>
        <v>0</v>
      </c>
      <c r="Z60" s="474">
        <f t="shared" si="89"/>
        <v>0</v>
      </c>
      <c r="AA60" s="474">
        <f t="shared" si="90"/>
        <v>0</v>
      </c>
      <c r="AB60" s="474">
        <f t="shared" si="91"/>
        <v>0</v>
      </c>
      <c r="AC60" s="474">
        <f t="shared" si="92"/>
        <v>0</v>
      </c>
      <c r="AD60" s="474">
        <f t="shared" si="93"/>
        <v>0</v>
      </c>
    </row>
    <row r="61" spans="1:30">
      <c r="A61" s="497">
        <v>6</v>
      </c>
      <c r="B61" s="497"/>
      <c r="C61" s="497"/>
      <c r="D61" s="497"/>
      <c r="E61" s="497"/>
      <c r="F61" s="497">
        <v>12</v>
      </c>
      <c r="G61" s="497">
        <f t="shared" si="76"/>
        <v>-2</v>
      </c>
      <c r="H61" s="500">
        <f t="shared" si="77"/>
        <v>-2</v>
      </c>
      <c r="I61" s="497">
        <f t="shared" si="78"/>
        <v>0</v>
      </c>
      <c r="J61" s="497"/>
      <c r="K61" s="499"/>
      <c r="L61" s="498"/>
      <c r="M61" s="497"/>
      <c r="N61" s="474">
        <f t="shared" si="79"/>
        <v>0</v>
      </c>
      <c r="O61" s="474">
        <v>0.85</v>
      </c>
      <c r="P61" s="474">
        <f t="shared" si="80"/>
        <v>0</v>
      </c>
      <c r="Q61" s="474"/>
      <c r="R61" s="474">
        <f t="shared" si="81"/>
        <v>0</v>
      </c>
      <c r="S61" s="474">
        <f t="shared" si="82"/>
        <v>0</v>
      </c>
      <c r="T61" s="474">
        <f t="shared" si="83"/>
        <v>0</v>
      </c>
      <c r="U61" s="474">
        <f t="shared" si="84"/>
        <v>0</v>
      </c>
      <c r="V61" s="474">
        <f t="shared" si="85"/>
        <v>0</v>
      </c>
      <c r="W61" s="474">
        <f t="shared" si="86"/>
        <v>0</v>
      </c>
      <c r="X61" s="474">
        <f t="shared" si="87"/>
        <v>0</v>
      </c>
      <c r="Y61" s="474">
        <f t="shared" si="88"/>
        <v>0</v>
      </c>
      <c r="Z61" s="474">
        <f t="shared" si="89"/>
        <v>0</v>
      </c>
      <c r="AA61" s="474">
        <f t="shared" si="90"/>
        <v>0</v>
      </c>
      <c r="AB61" s="474">
        <f t="shared" si="91"/>
        <v>0</v>
      </c>
      <c r="AC61" s="474">
        <f t="shared" si="92"/>
        <v>0</v>
      </c>
      <c r="AD61" s="474">
        <f t="shared" si="93"/>
        <v>0</v>
      </c>
    </row>
    <row r="62" spans="1:30">
      <c r="A62" s="497">
        <v>7</v>
      </c>
      <c r="B62" s="497"/>
      <c r="C62" s="497"/>
      <c r="D62" s="497"/>
      <c r="E62" s="497"/>
      <c r="F62" s="497">
        <v>12</v>
      </c>
      <c r="G62" s="497">
        <f t="shared" si="76"/>
        <v>-2</v>
      </c>
      <c r="H62" s="500">
        <f t="shared" si="77"/>
        <v>-2</v>
      </c>
      <c r="I62" s="497">
        <f t="shared" si="78"/>
        <v>0</v>
      </c>
      <c r="J62" s="497"/>
      <c r="K62" s="499"/>
      <c r="L62" s="498"/>
      <c r="M62" s="497"/>
      <c r="N62" s="474">
        <f t="shared" si="79"/>
        <v>0</v>
      </c>
      <c r="O62" s="474">
        <v>0.85</v>
      </c>
      <c r="P62" s="474">
        <f t="shared" si="80"/>
        <v>0</v>
      </c>
      <c r="Q62" s="474"/>
      <c r="R62" s="474">
        <f t="shared" si="81"/>
        <v>0</v>
      </c>
      <c r="S62" s="474">
        <f t="shared" si="82"/>
        <v>0</v>
      </c>
      <c r="T62" s="474">
        <f t="shared" si="83"/>
        <v>0</v>
      </c>
      <c r="U62" s="474">
        <f t="shared" si="84"/>
        <v>0</v>
      </c>
      <c r="V62" s="474">
        <f t="shared" si="85"/>
        <v>0</v>
      </c>
      <c r="W62" s="474">
        <f t="shared" si="86"/>
        <v>0</v>
      </c>
      <c r="X62" s="474">
        <f t="shared" si="87"/>
        <v>0</v>
      </c>
      <c r="Y62" s="474">
        <f t="shared" si="88"/>
        <v>0</v>
      </c>
      <c r="Z62" s="474">
        <f t="shared" si="89"/>
        <v>0</v>
      </c>
      <c r="AA62" s="474">
        <f t="shared" si="90"/>
        <v>0</v>
      </c>
      <c r="AB62" s="474">
        <f t="shared" si="91"/>
        <v>0</v>
      </c>
      <c r="AC62" s="474">
        <f t="shared" si="92"/>
        <v>0</v>
      </c>
      <c r="AD62" s="474">
        <f t="shared" si="93"/>
        <v>0</v>
      </c>
    </row>
    <row r="63" spans="1:30">
      <c r="A63" s="497">
        <v>8</v>
      </c>
      <c r="B63" s="497"/>
      <c r="C63" s="497"/>
      <c r="D63" s="497"/>
      <c r="E63" s="497"/>
      <c r="F63" s="497">
        <v>12</v>
      </c>
      <c r="G63" s="497">
        <f t="shared" si="76"/>
        <v>-2</v>
      </c>
      <c r="H63" s="500">
        <f t="shared" si="77"/>
        <v>-2</v>
      </c>
      <c r="I63" s="497">
        <f t="shared" si="78"/>
        <v>0</v>
      </c>
      <c r="J63" s="497"/>
      <c r="K63" s="499"/>
      <c r="L63" s="498"/>
      <c r="M63" s="497"/>
      <c r="N63" s="474">
        <f t="shared" si="79"/>
        <v>0</v>
      </c>
      <c r="O63" s="474">
        <v>0.85</v>
      </c>
      <c r="P63" s="474">
        <f t="shared" si="80"/>
        <v>0</v>
      </c>
      <c r="Q63" s="474"/>
      <c r="R63" s="474">
        <f t="shared" si="81"/>
        <v>0</v>
      </c>
      <c r="S63" s="474">
        <f t="shared" si="82"/>
        <v>0</v>
      </c>
      <c r="T63" s="474">
        <f t="shared" si="83"/>
        <v>0</v>
      </c>
      <c r="U63" s="474">
        <f t="shared" si="84"/>
        <v>0</v>
      </c>
      <c r="V63" s="474">
        <f t="shared" si="85"/>
        <v>0</v>
      </c>
      <c r="W63" s="474">
        <f t="shared" si="86"/>
        <v>0</v>
      </c>
      <c r="X63" s="474">
        <f t="shared" si="87"/>
        <v>0</v>
      </c>
      <c r="Y63" s="474">
        <f t="shared" si="88"/>
        <v>0</v>
      </c>
      <c r="Z63" s="474">
        <f t="shared" si="89"/>
        <v>0</v>
      </c>
      <c r="AA63" s="474">
        <f t="shared" si="90"/>
        <v>0</v>
      </c>
      <c r="AB63" s="474">
        <f t="shared" si="91"/>
        <v>0</v>
      </c>
      <c r="AC63" s="474">
        <f t="shared" si="92"/>
        <v>0</v>
      </c>
      <c r="AD63" s="474">
        <f t="shared" si="93"/>
        <v>0</v>
      </c>
    </row>
    <row r="64" spans="1:30">
      <c r="A64" s="497">
        <v>9</v>
      </c>
      <c r="B64" s="497"/>
      <c r="C64" s="497"/>
      <c r="D64" s="497"/>
      <c r="E64" s="497"/>
      <c r="F64" s="497">
        <v>12</v>
      </c>
      <c r="G64" s="497">
        <f t="shared" si="76"/>
        <v>-2</v>
      </c>
      <c r="H64" s="500">
        <f t="shared" si="77"/>
        <v>-2</v>
      </c>
      <c r="I64" s="497">
        <f t="shared" si="78"/>
        <v>0</v>
      </c>
      <c r="J64" s="497"/>
      <c r="K64" s="499"/>
      <c r="L64" s="498"/>
      <c r="M64" s="497"/>
      <c r="N64" s="474">
        <f t="shared" si="79"/>
        <v>0</v>
      </c>
      <c r="O64" s="474">
        <v>0.85</v>
      </c>
      <c r="P64" s="474">
        <f t="shared" si="80"/>
        <v>0</v>
      </c>
      <c r="Q64" s="474"/>
      <c r="R64" s="474">
        <f t="shared" si="81"/>
        <v>0</v>
      </c>
      <c r="S64" s="474">
        <f t="shared" si="82"/>
        <v>0</v>
      </c>
      <c r="T64" s="474">
        <f t="shared" si="83"/>
        <v>0</v>
      </c>
      <c r="U64" s="474">
        <f t="shared" si="84"/>
        <v>0</v>
      </c>
      <c r="V64" s="474">
        <f t="shared" si="85"/>
        <v>0</v>
      </c>
      <c r="W64" s="474">
        <f t="shared" si="86"/>
        <v>0</v>
      </c>
      <c r="X64" s="474">
        <f t="shared" si="87"/>
        <v>0</v>
      </c>
      <c r="Y64" s="474">
        <f t="shared" si="88"/>
        <v>0</v>
      </c>
      <c r="Z64" s="474">
        <f t="shared" si="89"/>
        <v>0</v>
      </c>
      <c r="AA64" s="474">
        <f t="shared" si="90"/>
        <v>0</v>
      </c>
      <c r="AB64" s="474">
        <f t="shared" si="91"/>
        <v>0</v>
      </c>
      <c r="AC64" s="474">
        <f t="shared" si="92"/>
        <v>0</v>
      </c>
      <c r="AD64" s="474">
        <f t="shared" si="93"/>
        <v>0</v>
      </c>
    </row>
    <row r="65" spans="1:30">
      <c r="A65" s="497">
        <v>10</v>
      </c>
      <c r="B65" s="497"/>
      <c r="C65" s="497"/>
      <c r="D65" s="497"/>
      <c r="E65" s="497"/>
      <c r="F65" s="497">
        <v>12</v>
      </c>
      <c r="G65" s="497">
        <f t="shared" si="76"/>
        <v>-2</v>
      </c>
      <c r="H65" s="500">
        <f t="shared" si="77"/>
        <v>-2</v>
      </c>
      <c r="I65" s="497">
        <f t="shared" si="78"/>
        <v>0</v>
      </c>
      <c r="J65" s="497"/>
      <c r="K65" s="499"/>
      <c r="L65" s="498"/>
      <c r="M65" s="497"/>
      <c r="N65" s="474">
        <f t="shared" si="79"/>
        <v>0</v>
      </c>
      <c r="O65" s="474">
        <v>0.85</v>
      </c>
      <c r="P65" s="474">
        <f t="shared" si="80"/>
        <v>0</v>
      </c>
      <c r="Q65" s="474"/>
      <c r="R65" s="474">
        <f t="shared" si="81"/>
        <v>0</v>
      </c>
      <c r="S65" s="474">
        <f t="shared" si="82"/>
        <v>0</v>
      </c>
      <c r="T65" s="474">
        <f t="shared" si="83"/>
        <v>0</v>
      </c>
      <c r="U65" s="474">
        <f t="shared" si="84"/>
        <v>0</v>
      </c>
      <c r="V65" s="474">
        <f t="shared" si="85"/>
        <v>0</v>
      </c>
      <c r="W65" s="474">
        <f t="shared" si="86"/>
        <v>0</v>
      </c>
      <c r="X65" s="474">
        <f t="shared" si="87"/>
        <v>0</v>
      </c>
      <c r="Y65" s="474">
        <f t="shared" si="88"/>
        <v>0</v>
      </c>
      <c r="Z65" s="474">
        <f t="shared" si="89"/>
        <v>0</v>
      </c>
      <c r="AA65" s="474">
        <f t="shared" si="90"/>
        <v>0</v>
      </c>
      <c r="AB65" s="474">
        <f t="shared" si="91"/>
        <v>0</v>
      </c>
      <c r="AC65" s="474">
        <f t="shared" si="92"/>
        <v>0</v>
      </c>
      <c r="AD65" s="474">
        <f t="shared" si="93"/>
        <v>0</v>
      </c>
    </row>
    <row r="66" spans="1:30">
      <c r="A66" s="496" t="s">
        <v>1400</v>
      </c>
      <c r="B66" s="496"/>
      <c r="C66" s="496"/>
      <c r="D66" s="496"/>
      <c r="E66" s="496"/>
      <c r="F66" s="496"/>
      <c r="G66" s="496"/>
      <c r="H66" s="496"/>
      <c r="I66" s="496"/>
      <c r="J66" s="496"/>
      <c r="K66" s="496"/>
      <c r="L66" s="496"/>
      <c r="M66" s="496"/>
      <c r="N66" s="492" t="s">
        <v>1399</v>
      </c>
      <c r="O66" s="492"/>
      <c r="P66" s="492"/>
      <c r="Q66" s="492"/>
      <c r="R66" s="492">
        <f t="shared" ref="R66:Y66" si="94">SUM(R56:R65)</f>
        <v>0</v>
      </c>
      <c r="S66" s="495">
        <f t="shared" si="94"/>
        <v>0</v>
      </c>
      <c r="T66" s="492">
        <f t="shared" si="94"/>
        <v>0</v>
      </c>
      <c r="U66" s="494">
        <f t="shared" si="94"/>
        <v>0</v>
      </c>
      <c r="V66" s="492">
        <f t="shared" si="94"/>
        <v>0</v>
      </c>
      <c r="W66" s="493">
        <f t="shared" si="94"/>
        <v>0</v>
      </c>
      <c r="X66" s="492">
        <f t="shared" si="94"/>
        <v>0</v>
      </c>
      <c r="Y66" s="491">
        <f t="shared" si="94"/>
        <v>0</v>
      </c>
      <c r="Z66" s="490"/>
      <c r="AA66" s="489">
        <f>SUM(AA56:AA65)</f>
        <v>0</v>
      </c>
      <c r="AB66" s="488">
        <f>SUM(AB56:AB65)</f>
        <v>0</v>
      </c>
      <c r="AC66" s="487">
        <f>SUM(AC56:AC65)</f>
        <v>0</v>
      </c>
      <c r="AD66" s="486">
        <f>SUM(AD56:AD65)</f>
        <v>0</v>
      </c>
    </row>
    <row r="67" spans="1:30">
      <c r="A67" s="485" t="s">
        <v>1398</v>
      </c>
      <c r="B67" s="482"/>
      <c r="C67" s="482"/>
      <c r="D67" s="484"/>
      <c r="E67" s="484"/>
      <c r="F67" s="484"/>
      <c r="G67" s="389"/>
      <c r="H67" s="483"/>
      <c r="I67" s="483"/>
      <c r="J67" s="483"/>
      <c r="K67" s="483"/>
      <c r="L67" s="482"/>
      <c r="M67" s="482"/>
      <c r="N67" s="474"/>
      <c r="O67" s="474"/>
      <c r="P67" s="474"/>
      <c r="Q67" s="474"/>
    </row>
    <row r="68" spans="1:30">
      <c r="A68" s="481"/>
      <c r="B68" s="855"/>
      <c r="C68" s="855"/>
      <c r="D68" s="480"/>
      <c r="E68" s="480"/>
      <c r="F68" s="480"/>
      <c r="G68" s="405"/>
      <c r="H68" s="479"/>
      <c r="I68" s="478"/>
      <c r="J68" s="478"/>
      <c r="K68" s="478"/>
      <c r="L68" s="477"/>
      <c r="N68" s="474"/>
      <c r="O68" s="474"/>
      <c r="P68" s="474"/>
      <c r="Q68" s="474"/>
    </row>
    <row r="69" spans="1:30">
      <c r="A69" s="854"/>
      <c r="B69" s="854"/>
      <c r="C69" s="854"/>
      <c r="D69" s="854"/>
      <c r="E69" s="854"/>
      <c r="F69" s="854"/>
      <c r="G69" s="854"/>
      <c r="H69" s="854"/>
      <c r="I69" s="854"/>
      <c r="J69" s="854"/>
      <c r="K69" s="854"/>
      <c r="L69" s="854"/>
      <c r="M69" s="854"/>
      <c r="N69" s="476"/>
      <c r="O69" s="476"/>
      <c r="P69" s="474"/>
    </row>
    <row r="70" spans="1:30">
      <c r="A70" s="851" t="s">
        <v>1397</v>
      </c>
      <c r="B70" s="852"/>
      <c r="C70" s="852"/>
      <c r="G70" s="471"/>
      <c r="H70" s="475"/>
      <c r="L70" s="471"/>
      <c r="M70" s="471"/>
      <c r="N70" s="474"/>
      <c r="O70" s="474"/>
      <c r="P70" s="474"/>
    </row>
    <row r="71" spans="1:30">
      <c r="A71" s="469" t="s">
        <v>1396</v>
      </c>
      <c r="B71" s="469" t="s">
        <v>296</v>
      </c>
      <c r="C71" s="469" t="s">
        <v>19</v>
      </c>
      <c r="I71" s="468"/>
      <c r="J71" s="468"/>
      <c r="K71" s="468"/>
      <c r="AD71" s="473"/>
    </row>
    <row r="72" spans="1:30" ht="66">
      <c r="A72" s="470" t="s">
        <v>1184</v>
      </c>
      <c r="B72" s="469" t="s">
        <v>1395</v>
      </c>
      <c r="C72" s="469" t="s">
        <v>1394</v>
      </c>
      <c r="I72" s="468"/>
      <c r="J72" s="468"/>
      <c r="K72" s="468"/>
    </row>
    <row r="73" spans="1:30" ht="66">
      <c r="A73" s="470" t="s">
        <v>1180</v>
      </c>
      <c r="B73" s="469" t="s">
        <v>1393</v>
      </c>
      <c r="C73" s="469" t="s">
        <v>1392</v>
      </c>
      <c r="I73" s="468"/>
      <c r="J73" s="468"/>
      <c r="K73" s="468"/>
    </row>
    <row r="74" spans="1:30" ht="66">
      <c r="A74" s="469" t="s">
        <v>1172</v>
      </c>
      <c r="B74" s="469" t="s">
        <v>1391</v>
      </c>
      <c r="C74" s="469" t="s">
        <v>1390</v>
      </c>
      <c r="I74" s="468"/>
      <c r="J74" s="468"/>
      <c r="K74" s="468"/>
      <c r="N74" s="472"/>
      <c r="O74" s="472"/>
      <c r="P74" s="472"/>
    </row>
    <row r="75" spans="1:30" ht="66">
      <c r="A75" s="470" t="s">
        <v>1157</v>
      </c>
      <c r="B75" s="469" t="s">
        <v>1389</v>
      </c>
      <c r="C75" s="469" t="s">
        <v>1388</v>
      </c>
      <c r="I75" s="468"/>
      <c r="J75" s="468"/>
      <c r="K75" s="468"/>
      <c r="N75" s="471"/>
      <c r="O75" s="471"/>
      <c r="P75" s="471"/>
    </row>
    <row r="76" spans="1:30" ht="66">
      <c r="A76" s="470" t="s">
        <v>1387</v>
      </c>
      <c r="B76" s="469" t="s">
        <v>1386</v>
      </c>
      <c r="C76" s="469" t="s">
        <v>1385</v>
      </c>
      <c r="I76" s="468"/>
      <c r="J76" s="468"/>
      <c r="K76" s="468"/>
    </row>
    <row r="77" spans="1:30" ht="66">
      <c r="A77" s="470" t="s">
        <v>1384</v>
      </c>
      <c r="B77" s="469" t="s">
        <v>228</v>
      </c>
      <c r="C77" s="469" t="s">
        <v>1383</v>
      </c>
      <c r="I77" s="468"/>
      <c r="J77" s="468"/>
      <c r="K77" s="468"/>
    </row>
    <row r="78" spans="1:30" ht="66">
      <c r="A78" s="470" t="s">
        <v>1382</v>
      </c>
      <c r="B78" s="469" t="s">
        <v>229</v>
      </c>
      <c r="C78" s="469" t="s">
        <v>1381</v>
      </c>
      <c r="I78" s="468"/>
      <c r="J78" s="468"/>
      <c r="K78" s="468"/>
    </row>
    <row r="79" spans="1:30" ht="66">
      <c r="A79" s="470" t="s">
        <v>1380</v>
      </c>
      <c r="B79" s="469" t="s">
        <v>1379</v>
      </c>
      <c r="C79" s="469" t="s">
        <v>1378</v>
      </c>
      <c r="I79" s="468"/>
      <c r="J79" s="468"/>
      <c r="K79" s="468"/>
    </row>
    <row r="80" spans="1:30" ht="49.5">
      <c r="A80" s="470" t="s">
        <v>1377</v>
      </c>
      <c r="B80" s="469" t="s">
        <v>1376</v>
      </c>
      <c r="C80" s="469" t="s">
        <v>1375</v>
      </c>
      <c r="I80" s="468"/>
      <c r="J80" s="468"/>
      <c r="K80" s="468"/>
    </row>
    <row r="81" spans="1:11" ht="66">
      <c r="A81" s="470" t="s">
        <v>1374</v>
      </c>
      <c r="B81" s="469" t="s">
        <v>1373</v>
      </c>
      <c r="C81" s="469" t="s">
        <v>1372</v>
      </c>
      <c r="I81" s="468"/>
      <c r="J81" s="468"/>
      <c r="K81" s="468"/>
    </row>
    <row r="82" spans="1:11" ht="66">
      <c r="A82" s="469" t="s">
        <v>1371</v>
      </c>
      <c r="B82" s="469" t="s">
        <v>1024</v>
      </c>
      <c r="C82" s="469" t="s">
        <v>1370</v>
      </c>
      <c r="I82" s="468"/>
      <c r="J82" s="468"/>
      <c r="K82" s="468"/>
    </row>
    <row r="83" spans="1:11">
      <c r="I83" s="468"/>
      <c r="J83" s="468"/>
      <c r="K83" s="468"/>
    </row>
    <row r="84" spans="1:11">
      <c r="I84" s="468"/>
      <c r="J84" s="468"/>
      <c r="K84" s="468"/>
    </row>
    <row r="85" spans="1:11">
      <c r="I85" s="468"/>
      <c r="J85" s="468"/>
      <c r="K85" s="468"/>
    </row>
    <row r="86" spans="1:11">
      <c r="I86" s="468"/>
      <c r="J86" s="468"/>
      <c r="K86" s="468"/>
    </row>
    <row r="87" spans="1:11">
      <c r="I87" s="468"/>
      <c r="J87" s="468"/>
      <c r="K87" s="468"/>
    </row>
    <row r="88" spans="1:11">
      <c r="I88" s="468"/>
      <c r="J88" s="468"/>
      <c r="K88" s="468"/>
    </row>
    <row r="89" spans="1:11">
      <c r="I89" s="468"/>
      <c r="J89" s="468"/>
      <c r="K89" s="468"/>
    </row>
    <row r="90" spans="1:11">
      <c r="I90" s="468"/>
      <c r="J90" s="468"/>
      <c r="K90" s="468"/>
    </row>
    <row r="91" spans="1:11">
      <c r="I91" s="468"/>
      <c r="J91" s="468"/>
      <c r="K91" s="468"/>
    </row>
    <row r="92" spans="1:11">
      <c r="I92" s="468"/>
      <c r="J92" s="468"/>
      <c r="K92" s="468"/>
    </row>
    <row r="93" spans="1:11">
      <c r="I93" s="468"/>
      <c r="J93" s="468"/>
      <c r="K93" s="468"/>
    </row>
    <row r="94" spans="1:11">
      <c r="I94" s="468"/>
      <c r="J94" s="468"/>
      <c r="K94" s="468"/>
    </row>
    <row r="95" spans="1:11">
      <c r="I95" s="468"/>
      <c r="J95" s="468"/>
      <c r="K95" s="468"/>
    </row>
    <row r="96" spans="1:11">
      <c r="I96" s="468"/>
      <c r="J96" s="468"/>
      <c r="K96" s="468"/>
    </row>
    <row r="97" spans="9:11">
      <c r="I97" s="468"/>
      <c r="J97" s="468"/>
      <c r="K97" s="468"/>
    </row>
    <row r="98" spans="9:11">
      <c r="I98" s="468"/>
      <c r="J98" s="468"/>
      <c r="K98" s="468"/>
    </row>
    <row r="99" spans="9:11">
      <c r="I99" s="468"/>
      <c r="J99" s="468"/>
      <c r="K99" s="468"/>
    </row>
    <row r="100" spans="9:11">
      <c r="I100" s="468"/>
      <c r="J100" s="468"/>
      <c r="K100" s="468"/>
    </row>
    <row r="101" spans="9:11">
      <c r="I101" s="468"/>
      <c r="J101" s="468"/>
      <c r="K101" s="468"/>
    </row>
    <row r="102" spans="9:11">
      <c r="I102" s="468"/>
      <c r="J102" s="468"/>
      <c r="K102" s="468"/>
    </row>
    <row r="103" spans="9:11">
      <c r="I103" s="468"/>
      <c r="J103" s="468"/>
      <c r="K103" s="468"/>
    </row>
    <row r="104" spans="9:11">
      <c r="I104" s="468"/>
      <c r="J104" s="468"/>
      <c r="K104" s="468"/>
    </row>
    <row r="105" spans="9:11">
      <c r="I105" s="468"/>
      <c r="J105" s="468"/>
      <c r="K105" s="468"/>
    </row>
    <row r="106" spans="9:11">
      <c r="I106" s="468"/>
      <c r="J106" s="468"/>
      <c r="K106" s="468"/>
    </row>
    <row r="107" spans="9:11">
      <c r="I107" s="468"/>
      <c r="J107" s="468"/>
      <c r="K107" s="468"/>
    </row>
    <row r="108" spans="9:11">
      <c r="I108" s="468"/>
      <c r="J108" s="468"/>
      <c r="K108" s="468"/>
    </row>
    <row r="109" spans="9:11">
      <c r="I109" s="468"/>
      <c r="J109" s="468"/>
      <c r="K109" s="468"/>
    </row>
    <row r="110" spans="9:11">
      <c r="I110" s="468"/>
      <c r="J110" s="468"/>
      <c r="K110" s="468"/>
    </row>
    <row r="111" spans="9:11">
      <c r="I111" s="468"/>
      <c r="J111" s="468"/>
      <c r="K111" s="468"/>
    </row>
    <row r="112" spans="9:11">
      <c r="I112" s="468"/>
      <c r="J112" s="468"/>
      <c r="K112" s="468"/>
    </row>
    <row r="113" spans="9:11">
      <c r="I113" s="468"/>
      <c r="J113" s="468"/>
      <c r="K113" s="468"/>
    </row>
    <row r="114" spans="9:11">
      <c r="I114" s="468"/>
      <c r="J114" s="468"/>
      <c r="K114" s="468"/>
    </row>
    <row r="115" spans="9:11">
      <c r="I115" s="468"/>
      <c r="J115" s="468"/>
      <c r="K115" s="468"/>
    </row>
    <row r="116" spans="9:11">
      <c r="I116" s="468"/>
      <c r="J116" s="468"/>
      <c r="K116" s="468"/>
    </row>
    <row r="117" spans="9:11">
      <c r="I117" s="468"/>
      <c r="J117" s="468"/>
      <c r="K117" s="468"/>
    </row>
    <row r="118" spans="9:11">
      <c r="I118" s="468"/>
      <c r="J118" s="468"/>
      <c r="K118" s="468"/>
    </row>
    <row r="119" spans="9:11">
      <c r="I119" s="468"/>
      <c r="J119" s="468"/>
      <c r="K119" s="468"/>
    </row>
    <row r="120" spans="9:11">
      <c r="I120" s="468"/>
      <c r="J120" s="468"/>
      <c r="K120" s="468"/>
    </row>
    <row r="121" spans="9:11">
      <c r="I121" s="468"/>
      <c r="J121" s="468"/>
      <c r="K121" s="468"/>
    </row>
    <row r="122" spans="9:11">
      <c r="I122" s="468"/>
      <c r="J122" s="468"/>
      <c r="K122" s="468"/>
    </row>
    <row r="123" spans="9:11">
      <c r="I123" s="468"/>
      <c r="J123" s="468"/>
      <c r="K123" s="468"/>
    </row>
    <row r="124" spans="9:11">
      <c r="I124" s="468"/>
      <c r="J124" s="468"/>
      <c r="K124" s="468"/>
    </row>
    <row r="125" spans="9:11">
      <c r="I125" s="468"/>
      <c r="J125" s="468"/>
      <c r="K125" s="468"/>
    </row>
    <row r="126" spans="9:11">
      <c r="I126" s="468"/>
      <c r="J126" s="468"/>
      <c r="K126" s="468"/>
    </row>
  </sheetData>
  <mergeCells count="23">
    <mergeCell ref="V5:V6"/>
    <mergeCell ref="W5:W6"/>
    <mergeCell ref="AD5:AD6"/>
    <mergeCell ref="AA5:AA6"/>
    <mergeCell ref="AB5:AB6"/>
    <mergeCell ref="AC5:AC6"/>
    <mergeCell ref="Z5:Z6"/>
    <mergeCell ref="Y5:Y6"/>
    <mergeCell ref="X5:X6"/>
    <mergeCell ref="A70:C70"/>
    <mergeCell ref="N1:R1"/>
    <mergeCell ref="A69:M69"/>
    <mergeCell ref="B68:C68"/>
    <mergeCell ref="N5:N6"/>
    <mergeCell ref="O5:O6"/>
    <mergeCell ref="P5:P6"/>
    <mergeCell ref="Q5:Q6"/>
    <mergeCell ref="R5:R6"/>
    <mergeCell ref="S5:S6"/>
    <mergeCell ref="T5:T6"/>
    <mergeCell ref="U5:U6"/>
    <mergeCell ref="A1:M1"/>
    <mergeCell ref="O2:R2"/>
  </mergeCells>
  <phoneticPr fontId="6" type="noConversion"/>
  <dataValidations count="2">
    <dataValidation type="list" allowBlank="1" showInputMessage="1" showErrorMessage="1" sqref="O3:R3">
      <formula1>$A$71:$A$82</formula1>
    </dataValidation>
    <dataValidation type="list" allowBlank="1" showInputMessage="1" showErrorMessage="1" sqref="B3">
      <formula1>$N$2:$N$3</formula1>
    </dataValidation>
  </dataValidations>
  <pageMargins left="0.7" right="0.7" top="0.75" bottom="0.75" header="0.3" footer="0.3"/>
  <pageSetup paperSize="9" orientation="landscape"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50"/>
  </sheetPr>
  <dimension ref="A1:AE39"/>
  <sheetViews>
    <sheetView view="pageBreakPreview" topLeftCell="A16" zoomScaleSheetLayoutView="100" workbookViewId="0">
      <selection activeCell="D34" sqref="D34"/>
    </sheetView>
  </sheetViews>
  <sheetFormatPr defaultRowHeight="17.25"/>
  <cols>
    <col min="1" max="1" width="5.375" style="544" customWidth="1"/>
    <col min="2" max="2" width="7.25" style="545" customWidth="1"/>
    <col min="3" max="3" width="43.375" style="545" customWidth="1"/>
    <col min="4" max="4" width="9.25" style="545" customWidth="1"/>
    <col min="5" max="5" width="7" style="545" customWidth="1"/>
    <col min="6" max="6" width="8.125" style="545" customWidth="1"/>
    <col min="7" max="7" width="3.625" style="545" customWidth="1"/>
    <col min="8" max="8" width="33.625" style="543" customWidth="1"/>
    <col min="9" max="10" width="14.875" style="543" customWidth="1"/>
    <col min="11" max="13" width="7.25" style="543" customWidth="1"/>
    <col min="14" max="14" width="4.75" style="543" customWidth="1"/>
    <col min="15" max="15" width="5.625" style="543" customWidth="1"/>
    <col min="16" max="16" width="4.875" style="543" customWidth="1"/>
    <col min="17" max="17" width="5.25" style="544" customWidth="1"/>
    <col min="18" max="18" width="4.875" style="544" customWidth="1"/>
    <col min="19" max="19" width="9.25" style="544" customWidth="1"/>
    <col min="20" max="20" width="9.5" style="543" bestFit="1" customWidth="1"/>
    <col min="21" max="21" width="9.875" style="543" customWidth="1"/>
    <col min="22" max="23" width="10" style="543" customWidth="1"/>
    <col min="24" max="24" width="6.625" style="543" customWidth="1"/>
    <col min="25" max="25" width="6.5" style="543" customWidth="1"/>
    <col min="26" max="26" width="9" style="543"/>
    <col min="27" max="27" width="8.5" style="543" customWidth="1"/>
    <col min="28" max="28" width="6.375" style="543" customWidth="1"/>
    <col min="29" max="29" width="5.75" style="543" customWidth="1"/>
    <col min="30" max="30" width="12.625" style="543" customWidth="1"/>
    <col min="31" max="31" width="8.375" style="544" customWidth="1"/>
    <col min="32" max="32" width="24.875" style="543" customWidth="1"/>
    <col min="33" max="33" width="9" style="543"/>
    <col min="34" max="34" width="37.5" style="543" customWidth="1"/>
    <col min="35" max="16384" width="9" style="543"/>
  </cols>
  <sheetData>
    <row r="1" spans="1:31" ht="20.25" customHeight="1">
      <c r="A1" s="863" t="s">
        <v>1422</v>
      </c>
      <c r="B1" s="864"/>
      <c r="C1" s="864"/>
      <c r="D1" s="864"/>
      <c r="E1" s="864"/>
      <c r="F1" s="864"/>
      <c r="G1" s="578"/>
      <c r="H1" s="868" t="s">
        <v>1421</v>
      </c>
      <c r="I1" s="868"/>
      <c r="J1" s="62" t="str">
        <f>[2]免漆门板单!J3</f>
        <v>下单日期</v>
      </c>
      <c r="K1" s="577"/>
      <c r="L1" s="577"/>
      <c r="M1" s="577"/>
      <c r="N1" s="576"/>
    </row>
    <row r="2" spans="1:31" s="547" customFormat="1" ht="16.5">
      <c r="A2" s="579"/>
      <c r="B2" s="557" t="s">
        <v>6</v>
      </c>
      <c r="C2" s="557">
        <f>速美免漆下料单!B2</f>
        <v>0</v>
      </c>
      <c r="D2" s="34" t="s">
        <v>16</v>
      </c>
      <c r="E2" s="563">
        <f>速美免漆下料单!D2</f>
        <v>0</v>
      </c>
      <c r="F2" s="575"/>
      <c r="G2" s="569"/>
      <c r="H2" s="869" t="s">
        <v>9</v>
      </c>
      <c r="I2" s="869"/>
      <c r="J2" s="71" t="s">
        <v>13</v>
      </c>
      <c r="K2" s="549"/>
      <c r="L2" s="549"/>
      <c r="M2" s="549"/>
      <c r="Q2" s="548"/>
      <c r="R2" s="548"/>
      <c r="S2" s="548"/>
      <c r="AE2" s="548"/>
    </row>
    <row r="3" spans="1:31" s="547" customFormat="1" ht="16.5">
      <c r="A3" s="579"/>
      <c r="B3" s="557" t="s">
        <v>244</v>
      </c>
      <c r="C3" s="557">
        <f>速美免漆下料单!K2</f>
        <v>0</v>
      </c>
      <c r="D3" s="34" t="s">
        <v>37</v>
      </c>
      <c r="E3" s="861">
        <f>速美免漆下料单!M2</f>
        <v>0</v>
      </c>
      <c r="F3" s="862"/>
      <c r="G3" s="569"/>
      <c r="H3" s="574"/>
      <c r="I3" s="574"/>
      <c r="J3" s="573"/>
      <c r="K3" s="572"/>
      <c r="L3" s="572"/>
      <c r="M3" s="572"/>
      <c r="N3" s="570"/>
      <c r="O3" s="548"/>
      <c r="P3" s="859"/>
      <c r="Q3" s="859"/>
      <c r="U3" s="859"/>
      <c r="V3" s="859"/>
      <c r="W3" s="859"/>
      <c r="X3" s="859"/>
      <c r="Y3" s="569"/>
      <c r="Z3" s="571"/>
      <c r="AE3" s="548"/>
    </row>
    <row r="4" spans="1:31" s="547" customFormat="1" ht="16.5">
      <c r="A4" s="557" t="s">
        <v>12</v>
      </c>
      <c r="B4" s="557" t="s">
        <v>1</v>
      </c>
      <c r="C4" s="557" t="s">
        <v>24</v>
      </c>
      <c r="D4" s="557" t="s">
        <v>5</v>
      </c>
      <c r="E4" s="557" t="s">
        <v>4</v>
      </c>
      <c r="F4" s="559" t="s">
        <v>325</v>
      </c>
      <c r="G4" s="554"/>
      <c r="H4" s="564"/>
      <c r="I4" s="564"/>
      <c r="J4" s="564"/>
      <c r="N4" s="570"/>
      <c r="O4" s="548"/>
      <c r="P4" s="860"/>
      <c r="Q4" s="860"/>
      <c r="R4" s="859"/>
      <c r="S4" s="859"/>
      <c r="T4" s="859"/>
      <c r="U4" s="859"/>
      <c r="V4" s="859"/>
      <c r="W4" s="859"/>
      <c r="X4" s="859"/>
      <c r="Y4" s="569"/>
      <c r="Z4" s="568"/>
      <c r="AE4" s="548"/>
    </row>
    <row r="5" spans="1:31" s="547" customFormat="1" ht="16.5">
      <c r="A5" s="560" t="s">
        <v>1420</v>
      </c>
      <c r="B5" s="557">
        <v>1</v>
      </c>
      <c r="C5" s="566">
        <v>1</v>
      </c>
      <c r="D5" s="565">
        <v>1</v>
      </c>
      <c r="E5" s="557">
        <v>1</v>
      </c>
      <c r="F5" s="562">
        <v>1</v>
      </c>
      <c r="G5" s="554"/>
      <c r="H5" s="557" t="str">
        <f>IF(速美免漆下料单!R$44&lt;&gt;0,速美免漆下料单!R$5,"")</f>
        <v/>
      </c>
      <c r="I5" s="564"/>
      <c r="J5" s="557" t="str">
        <f>IF(速美免漆下料单!$R$44&lt;&gt;0,"18*1220*2440","")</f>
        <v/>
      </c>
      <c r="Q5" s="548"/>
      <c r="R5" s="548"/>
      <c r="S5" s="548"/>
      <c r="AE5" s="548"/>
    </row>
    <row r="6" spans="1:31" s="547" customFormat="1" ht="16.5">
      <c r="A6" s="560" t="s">
        <v>1420</v>
      </c>
      <c r="B6" s="557">
        <v>2</v>
      </c>
      <c r="C6" s="566">
        <v>1</v>
      </c>
      <c r="D6" s="565">
        <v>1</v>
      </c>
      <c r="E6" s="557">
        <v>1</v>
      </c>
      <c r="F6" s="562">
        <v>1</v>
      </c>
      <c r="G6" s="554"/>
      <c r="H6" s="557" t="str">
        <f>IF(速美免漆下料单!T$44&lt;&gt;0,速美免漆下料单!T$5,"")</f>
        <v/>
      </c>
      <c r="I6" s="564"/>
      <c r="J6" s="557" t="str">
        <f>IF(速美免漆下料单!$T$44&lt;&gt;0,"18*1220*2440","")</f>
        <v/>
      </c>
      <c r="Q6" s="548"/>
      <c r="R6" s="548"/>
      <c r="S6" s="548"/>
      <c r="AE6" s="548"/>
    </row>
    <row r="7" spans="1:31" s="547" customFormat="1" ht="16.5">
      <c r="A7" s="560" t="s">
        <v>1420</v>
      </c>
      <c r="B7" s="557">
        <v>3</v>
      </c>
      <c r="C7" s="566">
        <v>1</v>
      </c>
      <c r="D7" s="565">
        <v>1</v>
      </c>
      <c r="E7" s="557">
        <v>1</v>
      </c>
      <c r="F7" s="562">
        <v>1</v>
      </c>
      <c r="G7" s="554"/>
      <c r="H7" s="557" t="str">
        <f>IF(速美免漆下料单!V$44&lt;&gt;0,速美免漆下料单!V$5,"")</f>
        <v/>
      </c>
      <c r="I7" s="564"/>
      <c r="J7" s="557" t="str">
        <f>IF(速美免漆下料单!$V$44&lt;&gt;0,"18*1220*2440","")</f>
        <v/>
      </c>
      <c r="Q7" s="548"/>
      <c r="R7" s="548"/>
      <c r="S7" s="548"/>
      <c r="AE7" s="548"/>
    </row>
    <row r="8" spans="1:31" s="547" customFormat="1" ht="16.5">
      <c r="A8" s="560" t="s">
        <v>1420</v>
      </c>
      <c r="B8" s="557">
        <v>4</v>
      </c>
      <c r="C8" s="566">
        <v>1</v>
      </c>
      <c r="D8" s="565">
        <v>1</v>
      </c>
      <c r="E8" s="557">
        <v>1</v>
      </c>
      <c r="F8" s="562">
        <v>1</v>
      </c>
      <c r="G8" s="554"/>
      <c r="H8" s="557" t="str">
        <f>IF(速美免漆下料单!X$44&lt;&gt;0,速美免漆下料单!X$5,"")</f>
        <v/>
      </c>
      <c r="I8" s="564"/>
      <c r="J8" s="557" t="str">
        <f>IF(速美免漆下料单!$X$44&lt;&gt;0,"18*1220*2440","")</f>
        <v/>
      </c>
      <c r="O8" s="567"/>
      <c r="Q8" s="548"/>
      <c r="R8" s="548"/>
      <c r="S8" s="548"/>
      <c r="AE8" s="548"/>
    </row>
    <row r="9" spans="1:31" s="547" customFormat="1" ht="16.5">
      <c r="A9" s="560" t="s">
        <v>1420</v>
      </c>
      <c r="B9" s="557">
        <v>1</v>
      </c>
      <c r="C9" s="566">
        <v>1</v>
      </c>
      <c r="D9" s="565">
        <v>1</v>
      </c>
      <c r="E9" s="557">
        <v>1</v>
      </c>
      <c r="F9" s="562">
        <v>1</v>
      </c>
      <c r="G9" s="554"/>
      <c r="H9" s="557" t="str">
        <f>IF(速美免漆下料单!R$55&lt;&gt;0,速美免漆下料单!R$5,"")</f>
        <v/>
      </c>
      <c r="I9" s="564"/>
      <c r="J9" s="557" t="str">
        <f>IF(速美免漆下料单!$R$55&lt;&gt;0,"16*1220*2440","")</f>
        <v/>
      </c>
      <c r="Q9" s="548"/>
      <c r="R9" s="548"/>
      <c r="S9" s="548"/>
      <c r="AE9" s="548"/>
    </row>
    <row r="10" spans="1:31" s="547" customFormat="1" ht="16.5">
      <c r="A10" s="557"/>
      <c r="B10" s="557">
        <v>2</v>
      </c>
      <c r="C10" s="566" t="str">
        <f t="shared" ref="C5:C16" si="0">H10&amp;J10</f>
        <v/>
      </c>
      <c r="D10" s="565" t="str">
        <f>IF(速美免漆下料单!$T$55&lt;&gt;0,速美免漆下料单!$T$55,"")</f>
        <v/>
      </c>
      <c r="E10" s="557" t="str">
        <f>IF(速美免漆下料单!$T$55&lt;&gt;0,"张","")</f>
        <v/>
      </c>
      <c r="F10" s="562"/>
      <c r="G10" s="554"/>
      <c r="H10" s="557" t="str">
        <f>IF(速美免漆下料单!T$55&lt;&gt;0,速美免漆下料单!T$5,"")</f>
        <v/>
      </c>
      <c r="I10" s="564"/>
      <c r="J10" s="557" t="str">
        <f>IF(速美免漆下料单!$T$55&lt;&gt;0,"16*1220*2440","")</f>
        <v/>
      </c>
      <c r="Q10" s="548"/>
      <c r="R10" s="548"/>
      <c r="S10" s="548"/>
      <c r="AE10" s="548"/>
    </row>
    <row r="11" spans="1:31" s="547" customFormat="1" ht="16.5">
      <c r="A11" s="557"/>
      <c r="B11" s="557">
        <v>3</v>
      </c>
      <c r="C11" s="566" t="str">
        <f t="shared" si="0"/>
        <v/>
      </c>
      <c r="D11" s="565" t="str">
        <f>IF(速美免漆下料单!$V$55&lt;&gt;0,速美免漆下料单!$V$55,"")</f>
        <v/>
      </c>
      <c r="E11" s="557" t="str">
        <f>IF(速美免漆下料单!$V$55&lt;&gt;0,"张","")</f>
        <v/>
      </c>
      <c r="F11" s="562"/>
      <c r="G11" s="554"/>
      <c r="H11" s="557" t="str">
        <f>IF(速美免漆下料单!V$55&lt;&gt;0,速美免漆下料单!V$5,"")</f>
        <v/>
      </c>
      <c r="I11" s="564"/>
      <c r="J11" s="557" t="str">
        <f>IF(速美免漆下料单!$V$55&lt;&gt;0,"16*1220*2440","")</f>
        <v/>
      </c>
      <c r="Q11" s="548"/>
      <c r="R11" s="548"/>
      <c r="S11" s="548"/>
      <c r="AE11" s="548"/>
    </row>
    <row r="12" spans="1:31" s="547" customFormat="1" ht="16.5">
      <c r="A12" s="557"/>
      <c r="B12" s="557">
        <v>4</v>
      </c>
      <c r="C12" s="566" t="str">
        <f t="shared" si="0"/>
        <v/>
      </c>
      <c r="D12" s="565" t="str">
        <f>IF(速美免漆下料单!$X$55&lt;&gt;0,速美免漆下料单!$X$55,"")</f>
        <v/>
      </c>
      <c r="E12" s="557" t="str">
        <f>IF(速美免漆下料单!$X$55&lt;&gt;0,"张","")</f>
        <v/>
      </c>
      <c r="F12" s="562"/>
      <c r="G12" s="554"/>
      <c r="H12" s="557" t="str">
        <f>IF(速美免漆下料单!X$55&lt;&gt;0,速美免漆下料单!X$5,"")</f>
        <v/>
      </c>
      <c r="I12" s="564"/>
      <c r="J12" s="557" t="str">
        <f>IF(速美免漆下料单!$X$55&lt;&gt;0,"16*1220*2440","")</f>
        <v/>
      </c>
      <c r="Q12" s="548"/>
      <c r="R12" s="548"/>
      <c r="S12" s="548"/>
      <c r="AE12" s="548"/>
    </row>
    <row r="13" spans="1:31" s="547" customFormat="1" ht="16.5">
      <c r="A13" s="557"/>
      <c r="B13" s="557">
        <v>1</v>
      </c>
      <c r="C13" s="566" t="str">
        <f t="shared" si="0"/>
        <v/>
      </c>
      <c r="D13" s="565" t="str">
        <f>IF(速美免漆下料单!$R$66&lt;&gt;0,速美免漆下料单!$R$66,"")</f>
        <v/>
      </c>
      <c r="E13" s="557" t="str">
        <f>IF(速美免漆下料单!$R$66&lt;&gt;0,"张","")</f>
        <v/>
      </c>
      <c r="F13" s="562"/>
      <c r="G13" s="554"/>
      <c r="H13" s="557" t="str">
        <f>IF(速美免漆下料单!R$66&lt;&gt;0,速美免漆下料单!R$5,"")</f>
        <v/>
      </c>
      <c r="I13" s="564"/>
      <c r="J13" s="557" t="str">
        <f>IF(速美免漆下料单!$R$66&lt;&gt;0,"12*1220*2440","")</f>
        <v/>
      </c>
      <c r="Q13" s="548"/>
      <c r="R13" s="548"/>
      <c r="S13" s="548"/>
      <c r="AE13" s="548"/>
    </row>
    <row r="14" spans="1:31" s="547" customFormat="1" ht="16.5">
      <c r="A14" s="557"/>
      <c r="B14" s="557">
        <v>2</v>
      </c>
      <c r="C14" s="566" t="str">
        <f t="shared" si="0"/>
        <v/>
      </c>
      <c r="D14" s="565" t="str">
        <f>IF(速美免漆下料单!$T$66&lt;&gt;0,速美免漆下料单!$T$66,"")</f>
        <v/>
      </c>
      <c r="E14" s="557" t="str">
        <f>IF(速美免漆下料单!$T$66&lt;&gt;0,"张","")</f>
        <v/>
      </c>
      <c r="F14" s="562"/>
      <c r="G14" s="554"/>
      <c r="H14" s="557" t="str">
        <f>IF(速美免漆下料单!T$66&lt;&gt;0,速美免漆下料单!T$5,"")</f>
        <v/>
      </c>
      <c r="I14" s="564"/>
      <c r="J14" s="557" t="str">
        <f>IF(速美免漆下料单!$T$66&lt;&gt;0,"12*1220*2440","")</f>
        <v/>
      </c>
      <c r="Q14" s="548"/>
      <c r="R14" s="548"/>
      <c r="S14" s="548"/>
      <c r="AE14" s="548"/>
    </row>
    <row r="15" spans="1:31" s="547" customFormat="1" ht="16.5">
      <c r="A15" s="557"/>
      <c r="B15" s="557">
        <v>3</v>
      </c>
      <c r="C15" s="566" t="str">
        <f t="shared" si="0"/>
        <v/>
      </c>
      <c r="D15" s="565" t="str">
        <f>IF(速美免漆下料单!$V$66&lt;&gt;0,速美免漆下料单!$V$66,"")</f>
        <v/>
      </c>
      <c r="E15" s="557" t="str">
        <f>IF(速美免漆下料单!$V$66&lt;&gt;0,"张","")</f>
        <v/>
      </c>
      <c r="F15" s="562"/>
      <c r="G15" s="554"/>
      <c r="H15" s="557" t="str">
        <f>IF(速美免漆下料单!V$66&lt;&gt;0,速美免漆下料单!V$5,"")</f>
        <v/>
      </c>
      <c r="I15" s="564"/>
      <c r="J15" s="557" t="str">
        <f>IF(速美免漆下料单!$V$66&lt;&gt;0,"12*1220*2440","")</f>
        <v/>
      </c>
      <c r="Q15" s="548"/>
      <c r="R15" s="548"/>
      <c r="S15" s="548"/>
      <c r="AE15" s="548"/>
    </row>
    <row r="16" spans="1:31" s="547" customFormat="1" ht="16.5">
      <c r="A16" s="557"/>
      <c r="B16" s="557">
        <v>4</v>
      </c>
      <c r="C16" s="566" t="str">
        <f t="shared" si="0"/>
        <v/>
      </c>
      <c r="D16" s="565" t="str">
        <f>IF(速美免漆下料单!$X$66&lt;&gt;0,速美免漆下料单!$X$66,"")</f>
        <v/>
      </c>
      <c r="E16" s="557" t="str">
        <f>IF(速美免漆下料单!$X$66&lt;&gt;0,"张","")</f>
        <v/>
      </c>
      <c r="F16" s="562"/>
      <c r="G16" s="554"/>
      <c r="H16" s="557" t="str">
        <f>IF(速美免漆下料单!X$66&lt;&gt;0,速美免漆下料单!X$5,"")</f>
        <v/>
      </c>
      <c r="I16" s="564"/>
      <c r="J16" s="557" t="str">
        <f>IF(速美免漆下料单!$X$66&lt;&gt;0,"12*1220*2440","")</f>
        <v/>
      </c>
      <c r="Q16" s="548"/>
      <c r="R16" s="548"/>
      <c r="S16" s="548"/>
      <c r="AE16" s="548"/>
    </row>
    <row r="17" spans="1:31" s="547" customFormat="1" ht="16.5">
      <c r="A17" s="557"/>
      <c r="B17" s="557"/>
      <c r="C17" s="557"/>
      <c r="D17" s="557"/>
      <c r="E17" s="557"/>
      <c r="F17" s="559"/>
      <c r="G17" s="554"/>
      <c r="H17" s="564"/>
      <c r="I17" s="564"/>
      <c r="J17" s="564"/>
      <c r="Q17" s="548"/>
      <c r="R17" s="548"/>
      <c r="S17" s="548"/>
      <c r="AE17" s="548"/>
    </row>
    <row r="18" spans="1:31" s="547" customFormat="1" ht="18" customHeight="1">
      <c r="A18" s="557" t="s">
        <v>12</v>
      </c>
      <c r="B18" s="557" t="s">
        <v>1</v>
      </c>
      <c r="C18" s="557" t="s">
        <v>9</v>
      </c>
      <c r="D18" s="557" t="s">
        <v>5</v>
      </c>
      <c r="E18" s="557" t="s">
        <v>4</v>
      </c>
      <c r="F18" s="559"/>
      <c r="G18" s="554"/>
      <c r="H18" s="556"/>
      <c r="I18" s="556"/>
      <c r="J18" s="556"/>
      <c r="K18" s="543"/>
      <c r="L18" s="543"/>
      <c r="M18" s="543"/>
      <c r="Q18" s="548"/>
      <c r="R18" s="548"/>
      <c r="S18" s="548"/>
      <c r="AE18" s="548"/>
    </row>
    <row r="19" spans="1:31" s="547" customFormat="1" ht="18">
      <c r="A19" s="557" t="s">
        <v>19</v>
      </c>
      <c r="B19" s="557">
        <v>1</v>
      </c>
      <c r="C19" s="563" t="str">
        <f t="shared" ref="C19:C30" si="1">H19&amp;J19</f>
        <v/>
      </c>
      <c r="D19" s="558" t="str">
        <f>IF(速美免漆下料单!$S$44&lt;&gt;0,速美免漆下料单!$S$44+速美免漆下料单!$AA$44,"")</f>
        <v/>
      </c>
      <c r="E19" s="557" t="str">
        <f>IF(速美免漆下料单!$S$44&lt;&gt;0,"米","")</f>
        <v/>
      </c>
      <c r="F19" s="562"/>
      <c r="G19" s="554"/>
      <c r="H19" s="557" t="str">
        <f>IF(速美免漆下料单!S$44&lt;&gt;0,速美免漆下料单!S$5,"")</f>
        <v/>
      </c>
      <c r="I19" s="556"/>
      <c r="J19" s="561" t="str">
        <f>IF(速美免漆下料单!$S$44&lt;&gt;0,"1.5*22","")</f>
        <v/>
      </c>
      <c r="K19" s="543"/>
      <c r="L19" s="543"/>
      <c r="M19" s="543"/>
      <c r="Q19" s="548"/>
      <c r="R19" s="548"/>
      <c r="S19" s="548"/>
      <c r="AE19" s="548"/>
    </row>
    <row r="20" spans="1:31" s="547" customFormat="1" ht="18">
      <c r="A20" s="557"/>
      <c r="B20" s="557">
        <v>2</v>
      </c>
      <c r="C20" s="563" t="str">
        <f t="shared" si="1"/>
        <v/>
      </c>
      <c r="D20" s="558" t="str">
        <f>IF(速美免漆下料单!$U$44&lt;&gt;0,速美免漆下料单!$U$44+速美免漆下料单!$AB$44,"")</f>
        <v/>
      </c>
      <c r="E20" s="557" t="str">
        <f>IF(速美免漆下料单!$U$44&lt;&gt;0,"米","")</f>
        <v/>
      </c>
      <c r="F20" s="562"/>
      <c r="G20" s="554"/>
      <c r="H20" s="557" t="str">
        <f>IF(速美免漆下料单!U$44&lt;&gt;0,速美免漆下料单!U$5,"")</f>
        <v/>
      </c>
      <c r="I20" s="556"/>
      <c r="J20" s="561" t="str">
        <f>IF(速美免漆下料单!$U$44&lt;&gt;0,"1.5*22","")</f>
        <v/>
      </c>
      <c r="K20" s="543"/>
      <c r="L20" s="543"/>
      <c r="M20" s="543"/>
      <c r="Q20" s="548"/>
      <c r="R20" s="548"/>
      <c r="S20" s="548"/>
      <c r="AE20" s="548"/>
    </row>
    <row r="21" spans="1:31" s="547" customFormat="1" ht="18">
      <c r="A21" s="557"/>
      <c r="B21" s="557">
        <v>3</v>
      </c>
      <c r="C21" s="563" t="str">
        <f t="shared" si="1"/>
        <v/>
      </c>
      <c r="D21" s="558" t="str">
        <f>IF(速美免漆下料单!$W$44&lt;&gt;0,速美免漆下料单!$W$44+速美免漆下料单!$AC$44,"")</f>
        <v/>
      </c>
      <c r="E21" s="557" t="str">
        <f>IF(速美免漆下料单!$W$44&lt;&gt;0,"米","")</f>
        <v/>
      </c>
      <c r="F21" s="562"/>
      <c r="G21" s="554"/>
      <c r="H21" s="557" t="str">
        <f>IF(速美免漆下料单!W$44&lt;&gt;0,速美免漆下料单!W$5,"")</f>
        <v/>
      </c>
      <c r="I21" s="556"/>
      <c r="J21" s="561" t="str">
        <f>IF(速美免漆下料单!$W$44&lt;&gt;0,"1.5*22","")</f>
        <v/>
      </c>
      <c r="K21" s="543"/>
      <c r="L21" s="543"/>
      <c r="M21" s="543"/>
      <c r="Q21" s="548"/>
      <c r="R21" s="548"/>
      <c r="S21" s="548"/>
      <c r="AE21" s="548"/>
    </row>
    <row r="22" spans="1:31" ht="18">
      <c r="A22" s="557"/>
      <c r="B22" s="557">
        <v>4</v>
      </c>
      <c r="C22" s="563" t="str">
        <f t="shared" si="1"/>
        <v/>
      </c>
      <c r="D22" s="558" t="str">
        <f>IF(速美免漆下料单!$Y$44&lt;&gt;0,速美免漆下料单!$Y$44+速美免漆下料单!$AD$44,"")</f>
        <v/>
      </c>
      <c r="E22" s="557" t="str">
        <f>IF(速美免漆下料单!$Y$44&lt;&gt;0,"米","")</f>
        <v/>
      </c>
      <c r="F22" s="562"/>
      <c r="G22" s="554"/>
      <c r="H22" s="557" t="str">
        <f>IF(速美免漆下料单!Y$44&lt;&gt;0,速美免漆下料单!Y$5,"")</f>
        <v/>
      </c>
      <c r="I22" s="556"/>
      <c r="J22" s="561" t="str">
        <f>IF(速美免漆下料单!$Y$44&lt;&gt;0,"1.5*22","")</f>
        <v/>
      </c>
    </row>
    <row r="23" spans="1:31" ht="18">
      <c r="A23" s="557"/>
      <c r="B23" s="557">
        <v>1</v>
      </c>
      <c r="C23" s="563" t="str">
        <f t="shared" si="1"/>
        <v/>
      </c>
      <c r="D23" s="558" t="str">
        <f>IF(速美免漆下料单!$S$55&lt;&gt;0,速美免漆下料单!$S$55+速美免漆下料单!$AA$55,"")</f>
        <v/>
      </c>
      <c r="E23" s="557" t="str">
        <f>IF(速美免漆下料单!$S$55&lt;&gt;0,"米","")</f>
        <v/>
      </c>
      <c r="F23" s="562"/>
      <c r="G23" s="554"/>
      <c r="H23" s="557" t="str">
        <f>IF(速美免漆下料单!S$55&lt;&gt;0,速美免漆下料单!S$5,"")</f>
        <v/>
      </c>
      <c r="I23" s="556"/>
      <c r="J23" s="561" t="str">
        <f>IF(速美免漆下料单!$S$55&lt;&gt;0,"1.0*20","")</f>
        <v/>
      </c>
    </row>
    <row r="24" spans="1:31" ht="18">
      <c r="A24" s="557"/>
      <c r="B24" s="557">
        <v>2</v>
      </c>
      <c r="C24" s="563" t="str">
        <f t="shared" si="1"/>
        <v/>
      </c>
      <c r="D24" s="558" t="str">
        <f>IF(速美免漆下料单!$U$55&lt;&gt;0,速美免漆下料单!$U$55+速美免漆下料单!$AB$55,"")</f>
        <v/>
      </c>
      <c r="E24" s="557" t="str">
        <f>IF(速美免漆下料单!$U$55&lt;&gt;0,"米","")</f>
        <v/>
      </c>
      <c r="F24" s="562"/>
      <c r="G24" s="554"/>
      <c r="H24" s="557" t="str">
        <f>IF(速美免漆下料单!U$55&lt;&gt;0,速美免漆下料单!U$5,"")</f>
        <v/>
      </c>
      <c r="I24" s="556"/>
      <c r="J24" s="561" t="str">
        <f>IF(速美免漆下料单!$U$55&lt;&gt;0,"1.0*20","")</f>
        <v/>
      </c>
    </row>
    <row r="25" spans="1:31" ht="18">
      <c r="A25" s="557"/>
      <c r="B25" s="557">
        <v>3</v>
      </c>
      <c r="C25" s="563" t="str">
        <f t="shared" si="1"/>
        <v/>
      </c>
      <c r="D25" s="558" t="str">
        <f>IF(速美免漆下料单!$W$55&lt;&gt;0,速美免漆下料单!$W$55+速美免漆下料单!$AC$55,"")</f>
        <v/>
      </c>
      <c r="E25" s="557" t="str">
        <f>IF(速美免漆下料单!$W$55&lt;&gt;0,"米","")</f>
        <v/>
      </c>
      <c r="F25" s="562"/>
      <c r="G25" s="554"/>
      <c r="H25" s="557" t="str">
        <f>IF(速美免漆下料单!W$55&lt;&gt;0,速美免漆下料单!W$5,"")</f>
        <v/>
      </c>
      <c r="I25" s="556"/>
      <c r="J25" s="561" t="str">
        <f>IF(速美免漆下料单!$W$55&lt;&gt;0,"1.0*20","")</f>
        <v/>
      </c>
    </row>
    <row r="26" spans="1:31" ht="18">
      <c r="A26" s="557"/>
      <c r="B26" s="557">
        <v>4</v>
      </c>
      <c r="C26" s="563" t="str">
        <f t="shared" si="1"/>
        <v/>
      </c>
      <c r="D26" s="558" t="str">
        <f>IF(速美免漆下料单!$Y$55&lt;&gt;0,速美免漆下料单!$Y$55+速美免漆下料单!$AD$55,"")</f>
        <v/>
      </c>
      <c r="E26" s="557" t="str">
        <f>IF(速美免漆下料单!$Y$55&lt;&gt;0,"米","")</f>
        <v/>
      </c>
      <c r="F26" s="562"/>
      <c r="G26" s="554"/>
      <c r="H26" s="557" t="str">
        <f>IF(速美免漆下料单!Y$55&lt;&gt;0,速美免漆下料单!Y$5,"")</f>
        <v/>
      </c>
      <c r="I26" s="556"/>
      <c r="J26" s="561" t="str">
        <f>IF(速美免漆下料单!$Y$55&lt;&gt;0,"1.0*20","")</f>
        <v/>
      </c>
    </row>
    <row r="27" spans="1:31" ht="18">
      <c r="A27" s="557"/>
      <c r="B27" s="557">
        <v>1</v>
      </c>
      <c r="C27" s="563" t="str">
        <f t="shared" si="1"/>
        <v/>
      </c>
      <c r="D27" s="558" t="str">
        <f>IF(速美免漆下料单!$S$66&lt;&gt;0,速美免漆下料单!$S$66+速美免漆下料单!$AA$66,"")</f>
        <v/>
      </c>
      <c r="E27" s="557" t="str">
        <f>IF(速美免漆下料单!$S$66&lt;&gt;0,"米","")</f>
        <v/>
      </c>
      <c r="F27" s="562"/>
      <c r="G27" s="554"/>
      <c r="H27" s="557" t="str">
        <f>IF(速美免漆下料单!S$66&lt;&gt;0,速美免漆下料单!S$5,"")</f>
        <v/>
      </c>
      <c r="I27" s="556"/>
      <c r="J27" s="561" t="str">
        <f>IF(速美免漆下料单!$S$66&lt;&gt;0,"1.5*16","")</f>
        <v/>
      </c>
    </row>
    <row r="28" spans="1:31" ht="18">
      <c r="A28" s="557"/>
      <c r="B28" s="557">
        <v>2</v>
      </c>
      <c r="C28" s="563" t="str">
        <f t="shared" si="1"/>
        <v/>
      </c>
      <c r="D28" s="558" t="str">
        <f>IF(速美免漆下料单!$U$66&lt;&gt;0,速美免漆下料单!$U$66+速美免漆下料单!$AB$66,"")</f>
        <v/>
      </c>
      <c r="E28" s="557" t="str">
        <f>IF(速美免漆下料单!$U$66&lt;&gt;0,"米","")</f>
        <v/>
      </c>
      <c r="F28" s="562"/>
      <c r="G28" s="554"/>
      <c r="H28" s="557" t="str">
        <f>IF(速美免漆下料单!U$66&lt;&gt;0,速美免漆下料单!U$5,"")</f>
        <v/>
      </c>
      <c r="I28" s="556"/>
      <c r="J28" s="561" t="str">
        <f>IF(速美免漆下料单!$U$66&lt;&gt;0,"1.5*16","")</f>
        <v/>
      </c>
    </row>
    <row r="29" spans="1:31" ht="18">
      <c r="A29" s="557"/>
      <c r="B29" s="557">
        <v>3</v>
      </c>
      <c r="C29" s="563" t="str">
        <f t="shared" si="1"/>
        <v/>
      </c>
      <c r="D29" s="558" t="str">
        <f>IF(速美免漆下料单!$W$66&lt;&gt;0,速美免漆下料单!$W$66+速美免漆下料单!$AC$66,"")</f>
        <v/>
      </c>
      <c r="E29" s="557" t="str">
        <f>IF(速美免漆下料单!$W$66&lt;&gt;0,"米","")</f>
        <v/>
      </c>
      <c r="F29" s="562"/>
      <c r="G29" s="554"/>
      <c r="H29" s="557" t="str">
        <f>IF(速美免漆下料单!W$66&lt;&gt;0,速美免漆下料单!W$5,"")</f>
        <v/>
      </c>
      <c r="I29" s="556"/>
      <c r="J29" s="561" t="str">
        <f>IF(速美免漆下料单!$W$66&lt;&gt;0,"1.5*16","")</f>
        <v/>
      </c>
    </row>
    <row r="30" spans="1:31" ht="18">
      <c r="A30" s="557"/>
      <c r="B30" s="557">
        <v>4</v>
      </c>
      <c r="C30" s="563" t="str">
        <f t="shared" si="1"/>
        <v/>
      </c>
      <c r="D30" s="558" t="str">
        <f>IF(速美免漆下料单!$Y$66&lt;&gt;0,速美免漆下料单!$Y$66+速美免漆下料单!$AD$66,"")</f>
        <v/>
      </c>
      <c r="E30" s="557" t="str">
        <f>IF(速美免漆下料单!$Y$66&lt;&gt;0,"米","")</f>
        <v/>
      </c>
      <c r="F30" s="562"/>
      <c r="G30" s="554"/>
      <c r="H30" s="557" t="str">
        <f>IF(速美免漆下料单!Y$66&lt;&gt;0,速美免漆下料单!Y$5,"")</f>
        <v/>
      </c>
      <c r="I30" s="556"/>
      <c r="J30" s="561" t="str">
        <f>IF(速美免漆下料单!$Y$66&lt;&gt;0,"1.5*16","")</f>
        <v/>
      </c>
    </row>
    <row r="31" spans="1:31">
      <c r="A31" s="865" t="s">
        <v>1419</v>
      </c>
      <c r="B31" s="557">
        <v>1</v>
      </c>
      <c r="C31" s="557" t="s">
        <v>377</v>
      </c>
      <c r="D31" s="558">
        <v>1</v>
      </c>
      <c r="E31" s="557" t="s">
        <v>15</v>
      </c>
      <c r="F31" s="559"/>
      <c r="G31" s="554"/>
      <c r="H31" s="556"/>
      <c r="I31" s="556"/>
      <c r="J31" s="556"/>
    </row>
    <row r="32" spans="1:31">
      <c r="A32" s="866"/>
      <c r="B32" s="557">
        <v>2</v>
      </c>
      <c r="C32" s="557" t="s">
        <v>1293</v>
      </c>
      <c r="D32" s="558">
        <v>1</v>
      </c>
      <c r="E32" s="557" t="s">
        <v>10</v>
      </c>
      <c r="F32" s="557"/>
      <c r="G32" s="554"/>
      <c r="H32" s="556"/>
      <c r="I32" s="556"/>
      <c r="J32" s="556"/>
    </row>
    <row r="33" spans="1:31">
      <c r="A33" s="866"/>
      <c r="B33" s="557">
        <v>3</v>
      </c>
      <c r="C33" s="557" t="s">
        <v>1292</v>
      </c>
      <c r="D33" s="558">
        <v>1</v>
      </c>
      <c r="E33" s="557" t="s">
        <v>1291</v>
      </c>
      <c r="F33" s="557"/>
      <c r="G33" s="554"/>
      <c r="H33" s="556"/>
      <c r="I33" s="556"/>
      <c r="J33" s="556"/>
    </row>
    <row r="34" spans="1:31">
      <c r="A34" s="866"/>
      <c r="B34" s="557">
        <v>4</v>
      </c>
      <c r="C34" s="557"/>
      <c r="D34" s="557"/>
      <c r="E34" s="557"/>
      <c r="F34" s="557"/>
      <c r="G34" s="554"/>
      <c r="H34" s="556"/>
      <c r="I34" s="556"/>
      <c r="J34" s="556"/>
    </row>
    <row r="35" spans="1:31">
      <c r="A35" s="867"/>
      <c r="B35" s="557">
        <v>5</v>
      </c>
      <c r="C35" s="557"/>
      <c r="D35" s="557"/>
      <c r="E35" s="557"/>
      <c r="F35" s="557"/>
      <c r="G35" s="554"/>
      <c r="H35" s="556"/>
      <c r="I35" s="556"/>
      <c r="J35" s="556"/>
    </row>
    <row r="36" spans="1:31" s="547" customFormat="1" ht="16.5">
      <c r="A36" s="546" t="s">
        <v>1418</v>
      </c>
      <c r="B36" s="546"/>
      <c r="C36" s="555"/>
      <c r="D36" s="551"/>
      <c r="E36" s="550" t="s">
        <v>1417</v>
      </c>
      <c r="F36" s="549"/>
      <c r="G36" s="549"/>
      <c r="H36" s="553"/>
      <c r="J36" s="549"/>
      <c r="K36" s="553"/>
      <c r="L36" s="553"/>
      <c r="M36" s="553"/>
      <c r="Q36" s="548"/>
      <c r="R36" s="548"/>
      <c r="S36" s="548"/>
      <c r="AE36" s="548"/>
    </row>
    <row r="37" spans="1:31" s="547" customFormat="1" ht="16.5">
      <c r="A37" s="546"/>
      <c r="B37" s="555"/>
      <c r="C37" s="555"/>
      <c r="D37" s="551"/>
      <c r="E37" s="546"/>
      <c r="F37" s="554"/>
      <c r="G37" s="554"/>
      <c r="H37" s="553"/>
      <c r="J37" s="554"/>
      <c r="K37" s="553"/>
      <c r="L37" s="553"/>
      <c r="M37" s="553"/>
      <c r="Q37" s="548"/>
      <c r="R37" s="548"/>
      <c r="S37" s="548"/>
      <c r="AE37" s="548"/>
    </row>
    <row r="38" spans="1:31" s="547" customFormat="1" ht="27">
      <c r="A38" s="546" t="s">
        <v>1289</v>
      </c>
      <c r="B38" s="552"/>
      <c r="C38" s="552"/>
      <c r="D38" s="551"/>
      <c r="E38" s="550" t="s">
        <v>1288</v>
      </c>
      <c r="F38" s="549"/>
      <c r="G38" s="549"/>
      <c r="H38" s="549"/>
      <c r="J38" s="549"/>
      <c r="Q38" s="548"/>
      <c r="R38" s="548"/>
      <c r="S38" s="548"/>
      <c r="AE38" s="548"/>
    </row>
    <row r="39" spans="1:31">
      <c r="A39" s="546" t="s">
        <v>1398</v>
      </c>
    </row>
  </sheetData>
  <mergeCells count="12">
    <mergeCell ref="E3:F3"/>
    <mergeCell ref="A1:F1"/>
    <mergeCell ref="A31:A35"/>
    <mergeCell ref="H1:I1"/>
    <mergeCell ref="H2:I2"/>
    <mergeCell ref="U3:V3"/>
    <mergeCell ref="W3:X3"/>
    <mergeCell ref="P4:Q4"/>
    <mergeCell ref="R4:T4"/>
    <mergeCell ref="U4:V4"/>
    <mergeCell ref="W4:X4"/>
    <mergeCell ref="P3:Q3"/>
  </mergeCells>
  <phoneticPr fontId="6" type="noConversion"/>
  <pageMargins left="0.7" right="0.7" top="0.75" bottom="0.75" header="0.3" footer="0.3"/>
  <pageSetup paperSize="9" orientation="portrait" r:id="rId1"/>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sheetPr>
  <dimension ref="A1:J28"/>
  <sheetViews>
    <sheetView view="pageBreakPreview" zoomScaleSheetLayoutView="100" workbookViewId="0">
      <selection activeCell="D16" sqref="D16"/>
    </sheetView>
  </sheetViews>
  <sheetFormatPr defaultRowHeight="12"/>
  <cols>
    <col min="1" max="1" width="8.25" style="23" customWidth="1"/>
    <col min="2" max="2" width="8" style="23" customWidth="1"/>
    <col min="3" max="3" width="9" style="23"/>
    <col min="4" max="4" width="8" style="23" customWidth="1"/>
    <col min="5" max="5" width="5.5" style="23" customWidth="1"/>
    <col min="6" max="7" width="7.75" style="23" customWidth="1"/>
    <col min="8" max="16384" width="9" style="23"/>
  </cols>
  <sheetData>
    <row r="1" spans="1:10" ht="26.25" customHeight="1">
      <c r="A1" s="819" t="s">
        <v>267</v>
      </c>
      <c r="B1" s="819"/>
      <c r="C1" s="819"/>
      <c r="D1" s="819"/>
      <c r="E1" s="819"/>
      <c r="F1" s="819"/>
      <c r="G1" s="819"/>
      <c r="H1" s="819"/>
      <c r="I1" s="819"/>
      <c r="J1" s="819"/>
    </row>
    <row r="2" spans="1:10" ht="20.100000000000001" customHeight="1">
      <c r="A2" s="334" t="s">
        <v>268</v>
      </c>
      <c r="B2" s="818">
        <f>柜体转序单!B2</f>
        <v>0</v>
      </c>
      <c r="C2" s="818"/>
      <c r="D2" s="21" t="s">
        <v>23</v>
      </c>
      <c r="E2" s="818">
        <f>柜体转序单!E2</f>
        <v>0</v>
      </c>
      <c r="F2" s="818"/>
      <c r="G2" s="818"/>
      <c r="H2" s="21" t="s">
        <v>269</v>
      </c>
      <c r="I2" s="820">
        <f>柜体转序单!I2</f>
        <v>0</v>
      </c>
      <c r="J2" s="820"/>
    </row>
    <row r="3" spans="1:10" ht="20.100000000000001" customHeight="1">
      <c r="A3" s="21" t="s">
        <v>270</v>
      </c>
      <c r="B3" s="818" t="str">
        <f>吸塑门板下料单!G3</f>
        <v>香草天空Ⅱ</v>
      </c>
      <c r="C3" s="818"/>
      <c r="D3" s="21" t="s">
        <v>271</v>
      </c>
      <c r="E3" s="818" t="str">
        <f>吸塑门板下料单!B4</f>
        <v>P02米黄</v>
      </c>
      <c r="F3" s="818"/>
      <c r="G3" s="818"/>
      <c r="H3" s="21" t="s">
        <v>272</v>
      </c>
      <c r="I3" s="820">
        <f>柜体转序单!I3</f>
        <v>43075</v>
      </c>
      <c r="J3" s="820"/>
    </row>
    <row r="4" spans="1:10" ht="28.5" customHeight="1">
      <c r="A4" s="21" t="s">
        <v>273</v>
      </c>
      <c r="B4" s="818">
        <f>柜体转序单!B4</f>
        <v>0</v>
      </c>
      <c r="C4" s="818"/>
      <c r="D4" s="333" t="s">
        <v>274</v>
      </c>
      <c r="E4" s="821">
        <f>柜体转序单!E4</f>
        <v>0</v>
      </c>
      <c r="F4" s="821"/>
      <c r="G4" s="821"/>
      <c r="H4" s="21" t="s">
        <v>275</v>
      </c>
      <c r="I4" s="820">
        <f>柜体转序单!I4</f>
        <v>43076</v>
      </c>
      <c r="J4" s="820"/>
    </row>
    <row r="5" spans="1:10" ht="20.100000000000001" customHeight="1">
      <c r="A5" s="21" t="s">
        <v>276</v>
      </c>
      <c r="B5" s="21" t="s">
        <v>277</v>
      </c>
      <c r="C5" s="21" t="s">
        <v>278</v>
      </c>
      <c r="D5" s="21" t="s">
        <v>279</v>
      </c>
      <c r="E5" s="332" t="s">
        <v>280</v>
      </c>
      <c r="F5" s="21" t="s">
        <v>281</v>
      </c>
      <c r="G5" s="21" t="s">
        <v>282</v>
      </c>
      <c r="H5" s="21" t="s">
        <v>1367</v>
      </c>
      <c r="I5" s="818" t="s">
        <v>1366</v>
      </c>
      <c r="J5" s="818"/>
    </row>
    <row r="6" spans="1:10" ht="20.100000000000001" customHeight="1">
      <c r="A6" s="21" t="s">
        <v>283</v>
      </c>
      <c r="B6" s="818"/>
      <c r="C6" s="818"/>
      <c r="D6" s="21" t="s">
        <v>284</v>
      </c>
      <c r="E6" s="818"/>
      <c r="F6" s="818"/>
      <c r="G6" s="818"/>
      <c r="H6" s="21" t="s">
        <v>285</v>
      </c>
      <c r="I6" s="818"/>
      <c r="J6" s="818"/>
    </row>
    <row r="7" spans="1:10" ht="20.100000000000001" customHeight="1">
      <c r="A7" s="21" t="s">
        <v>286</v>
      </c>
      <c r="B7" s="21" t="s">
        <v>287</v>
      </c>
      <c r="C7" s="21" t="s">
        <v>288</v>
      </c>
      <c r="D7" s="21" t="s">
        <v>289</v>
      </c>
      <c r="E7" s="21" t="s">
        <v>149</v>
      </c>
      <c r="F7" s="21" t="s">
        <v>269</v>
      </c>
      <c r="G7" s="21" t="s">
        <v>290</v>
      </c>
      <c r="H7" s="21" t="s">
        <v>291</v>
      </c>
      <c r="I7" s="21" t="s">
        <v>292</v>
      </c>
      <c r="J7" s="21" t="s">
        <v>115</v>
      </c>
    </row>
    <row r="8" spans="1:10" ht="20.100000000000001" customHeight="1">
      <c r="A8" s="21">
        <v>1</v>
      </c>
      <c r="B8" s="824" t="s">
        <v>293</v>
      </c>
      <c r="C8" s="328" t="s">
        <v>294</v>
      </c>
      <c r="D8" s="21"/>
      <c r="E8" s="21" t="s">
        <v>295</v>
      </c>
      <c r="F8" s="21"/>
      <c r="G8" s="21"/>
      <c r="H8" s="21"/>
      <c r="I8" s="21"/>
      <c r="J8" s="2"/>
    </row>
    <row r="9" spans="1:10" ht="20.100000000000001" customHeight="1">
      <c r="A9" s="21">
        <v>2</v>
      </c>
      <c r="B9" s="824"/>
      <c r="C9" s="328" t="s">
        <v>266</v>
      </c>
      <c r="D9" s="21"/>
      <c r="E9" s="21" t="s">
        <v>1296</v>
      </c>
      <c r="F9" s="21"/>
      <c r="G9" s="21"/>
      <c r="H9" s="21"/>
      <c r="I9" s="21"/>
      <c r="J9" s="2"/>
    </row>
    <row r="10" spans="1:10" ht="20.100000000000001" customHeight="1">
      <c r="A10" s="21">
        <v>3</v>
      </c>
      <c r="B10" s="824"/>
      <c r="C10" s="330" t="s">
        <v>1297</v>
      </c>
      <c r="D10" s="21"/>
      <c r="E10" s="21" t="s">
        <v>1296</v>
      </c>
      <c r="F10" s="21"/>
      <c r="G10" s="21"/>
      <c r="H10" s="21"/>
      <c r="I10" s="21"/>
      <c r="J10" s="2"/>
    </row>
    <row r="11" spans="1:10" ht="20.100000000000001" customHeight="1">
      <c r="A11" s="21">
        <v>4</v>
      </c>
      <c r="B11" s="824" t="s">
        <v>1298</v>
      </c>
      <c r="C11" s="328" t="s">
        <v>1299</v>
      </c>
      <c r="D11" s="21"/>
      <c r="E11" s="21" t="s">
        <v>1296</v>
      </c>
      <c r="F11" s="21"/>
      <c r="G11" s="21"/>
      <c r="H11" s="21"/>
      <c r="I11" s="21"/>
      <c r="J11" s="2"/>
    </row>
    <row r="12" spans="1:10" ht="20.100000000000001" customHeight="1">
      <c r="A12" s="21">
        <v>5</v>
      </c>
      <c r="B12" s="824"/>
      <c r="C12" s="328" t="s">
        <v>266</v>
      </c>
      <c r="D12" s="21"/>
      <c r="E12" s="21" t="s">
        <v>1296</v>
      </c>
      <c r="F12" s="21"/>
      <c r="G12" s="21"/>
      <c r="H12" s="21"/>
      <c r="I12" s="21"/>
      <c r="J12" s="2"/>
    </row>
    <row r="13" spans="1:10" ht="20.100000000000001" customHeight="1">
      <c r="A13" s="21">
        <v>6</v>
      </c>
      <c r="B13" s="824"/>
      <c r="C13" s="330" t="s">
        <v>1300</v>
      </c>
      <c r="D13" s="21"/>
      <c r="E13" s="21" t="s">
        <v>1296</v>
      </c>
      <c r="F13" s="21"/>
      <c r="G13" s="21"/>
      <c r="H13" s="21"/>
      <c r="I13" s="21"/>
      <c r="J13" s="2"/>
    </row>
    <row r="14" spans="1:10" ht="20.100000000000001" customHeight="1">
      <c r="A14" s="21">
        <v>7</v>
      </c>
      <c r="B14" s="329" t="s">
        <v>1301</v>
      </c>
      <c r="C14" s="330" t="s">
        <v>1302</v>
      </c>
      <c r="D14" s="21"/>
      <c r="E14" s="21" t="s">
        <v>1296</v>
      </c>
      <c r="F14" s="21"/>
      <c r="G14" s="21"/>
      <c r="H14" s="21"/>
      <c r="I14" s="21"/>
      <c r="J14" s="2"/>
    </row>
    <row r="15" spans="1:10" ht="29.25" customHeight="1">
      <c r="A15" s="21">
        <v>8</v>
      </c>
      <c r="B15" s="824" t="s">
        <v>1303</v>
      </c>
      <c r="C15" s="328" t="s">
        <v>1304</v>
      </c>
      <c r="D15" s="21"/>
      <c r="E15" s="21" t="s">
        <v>1296</v>
      </c>
      <c r="F15" s="21"/>
      <c r="G15" s="21"/>
      <c r="H15" s="21"/>
      <c r="I15" s="21"/>
      <c r="J15" s="2"/>
    </row>
    <row r="16" spans="1:10" ht="20.100000000000001" customHeight="1">
      <c r="A16" s="21">
        <v>9</v>
      </c>
      <c r="B16" s="824"/>
      <c r="C16" s="328" t="s">
        <v>1305</v>
      </c>
      <c r="D16" s="21">
        <f>吸塑门板下料单!I3</f>
        <v>8</v>
      </c>
      <c r="E16" s="21" t="s">
        <v>1296</v>
      </c>
      <c r="F16" s="21"/>
      <c r="G16" s="21"/>
      <c r="H16" s="21"/>
      <c r="I16" s="21"/>
      <c r="J16" s="2"/>
    </row>
    <row r="17" spans="1:10" ht="20.100000000000001" customHeight="1">
      <c r="A17" s="21">
        <v>10</v>
      </c>
      <c r="B17" s="824" t="s">
        <v>1306</v>
      </c>
      <c r="C17" s="328" t="s">
        <v>1307</v>
      </c>
      <c r="D17" s="21">
        <f>吸塑门板下料单!I3</f>
        <v>8</v>
      </c>
      <c r="E17" s="21" t="s">
        <v>1296</v>
      </c>
      <c r="F17" s="21"/>
      <c r="G17" s="21"/>
      <c r="H17" s="21"/>
      <c r="I17" s="21"/>
      <c r="J17" s="2"/>
    </row>
    <row r="18" spans="1:10" ht="20.100000000000001" customHeight="1">
      <c r="A18" s="21">
        <v>11</v>
      </c>
      <c r="B18" s="824"/>
      <c r="C18" s="328" t="s">
        <v>1308</v>
      </c>
      <c r="D18" s="21">
        <f>吸塑门板下料单!I3</f>
        <v>8</v>
      </c>
      <c r="E18" s="21" t="s">
        <v>1296</v>
      </c>
      <c r="F18" s="21"/>
      <c r="G18" s="21"/>
      <c r="H18" s="21"/>
      <c r="I18" s="21"/>
      <c r="J18" s="2"/>
    </row>
    <row r="19" spans="1:10" ht="20.100000000000001" customHeight="1">
      <c r="A19" s="21">
        <v>12</v>
      </c>
      <c r="B19" s="824"/>
      <c r="C19" s="328" t="s">
        <v>1309</v>
      </c>
      <c r="D19" s="21">
        <f>吸塑门板下料单!I3</f>
        <v>8</v>
      </c>
      <c r="E19" s="21" t="s">
        <v>1296</v>
      </c>
      <c r="F19" s="21"/>
      <c r="G19" s="21"/>
      <c r="H19" s="21"/>
      <c r="I19" s="21"/>
      <c r="J19" s="2"/>
    </row>
    <row r="20" spans="1:10" ht="20.100000000000001" customHeight="1">
      <c r="A20" s="21">
        <v>13</v>
      </c>
      <c r="B20" s="824"/>
      <c r="C20" s="328" t="s">
        <v>1310</v>
      </c>
      <c r="D20" s="21"/>
      <c r="E20" s="21" t="s">
        <v>1296</v>
      </c>
      <c r="F20" s="21"/>
      <c r="G20" s="21"/>
      <c r="H20" s="21"/>
      <c r="I20" s="21"/>
      <c r="J20" s="2"/>
    </row>
    <row r="21" spans="1:10" ht="20.100000000000001" customHeight="1">
      <c r="A21" s="21">
        <v>14</v>
      </c>
      <c r="B21" s="824" t="s">
        <v>1311</v>
      </c>
      <c r="C21" s="328" t="s">
        <v>1312</v>
      </c>
      <c r="D21" s="580"/>
      <c r="E21" s="21" t="s">
        <v>1313</v>
      </c>
      <c r="F21" s="21"/>
      <c r="G21" s="21"/>
      <c r="H21" s="21"/>
      <c r="I21" s="21"/>
      <c r="J21" s="2"/>
    </row>
    <row r="22" spans="1:10" ht="28.5" customHeight="1">
      <c r="A22" s="21">
        <v>15</v>
      </c>
      <c r="B22" s="824"/>
      <c r="C22" s="328" t="s">
        <v>1314</v>
      </c>
      <c r="D22" s="21"/>
      <c r="E22" s="21" t="s">
        <v>1315</v>
      </c>
      <c r="F22" s="21"/>
      <c r="G22" s="21"/>
      <c r="H22" s="21"/>
      <c r="I22" s="21"/>
      <c r="J22" s="2"/>
    </row>
    <row r="23" spans="1:10" ht="20.100000000000001" customHeight="1">
      <c r="A23" s="21">
        <v>16</v>
      </c>
      <c r="B23" s="824"/>
      <c r="C23" s="331" t="s">
        <v>1316</v>
      </c>
      <c r="D23" s="21"/>
      <c r="E23" s="21" t="s">
        <v>1317</v>
      </c>
      <c r="F23" s="21"/>
      <c r="G23" s="21"/>
      <c r="H23" s="21"/>
      <c r="I23" s="21"/>
      <c r="J23" s="2"/>
    </row>
    <row r="24" spans="1:10" ht="20.100000000000001" customHeight="1">
      <c r="A24" s="21">
        <v>17</v>
      </c>
      <c r="B24" s="821" t="s">
        <v>1318</v>
      </c>
      <c r="C24" s="22" t="s">
        <v>1319</v>
      </c>
      <c r="D24" s="21"/>
      <c r="E24" s="21" t="s">
        <v>1315</v>
      </c>
      <c r="F24" s="21"/>
      <c r="G24" s="21"/>
      <c r="H24" s="21"/>
      <c r="I24" s="21"/>
      <c r="J24" s="2"/>
    </row>
    <row r="25" spans="1:10" ht="20.100000000000001" customHeight="1">
      <c r="A25" s="21">
        <v>18</v>
      </c>
      <c r="B25" s="821"/>
      <c r="C25" s="22" t="s">
        <v>1320</v>
      </c>
      <c r="D25" s="21"/>
      <c r="E25" s="21" t="s">
        <v>1315</v>
      </c>
      <c r="F25" s="21"/>
      <c r="G25" s="21"/>
      <c r="H25" s="21"/>
      <c r="I25" s="21"/>
      <c r="J25" s="2"/>
    </row>
    <row r="26" spans="1:10" ht="20.100000000000001" customHeight="1">
      <c r="A26" s="21">
        <v>19</v>
      </c>
      <c r="B26" s="822" t="s">
        <v>1321</v>
      </c>
      <c r="C26" s="22" t="s">
        <v>1322</v>
      </c>
      <c r="D26" s="21"/>
      <c r="E26" s="21" t="s">
        <v>1315</v>
      </c>
      <c r="F26" s="21"/>
      <c r="G26" s="21"/>
      <c r="H26" s="21"/>
      <c r="I26" s="21"/>
      <c r="J26" s="2"/>
    </row>
    <row r="27" spans="1:10" ht="20.100000000000001" customHeight="1">
      <c r="A27" s="21">
        <v>20</v>
      </c>
      <c r="B27" s="823"/>
      <c r="C27" s="22" t="s">
        <v>1323</v>
      </c>
      <c r="D27" s="21"/>
      <c r="E27" s="21" t="s">
        <v>1315</v>
      </c>
      <c r="F27" s="21"/>
      <c r="G27" s="21"/>
      <c r="H27" s="21"/>
      <c r="I27" s="21"/>
      <c r="J27" s="2"/>
    </row>
    <row r="28" spans="1:10" ht="20.100000000000001" customHeight="1">
      <c r="A28" s="21">
        <v>21</v>
      </c>
      <c r="B28" s="330" t="s">
        <v>1324</v>
      </c>
      <c r="C28" s="22" t="s">
        <v>1325</v>
      </c>
      <c r="D28" s="21">
        <f>吸塑门板下料单!I3</f>
        <v>8</v>
      </c>
      <c r="E28" s="21" t="s">
        <v>1296</v>
      </c>
      <c r="F28" s="21"/>
      <c r="G28" s="21"/>
      <c r="H28" s="21"/>
      <c r="I28" s="21"/>
      <c r="J28" s="2"/>
    </row>
  </sheetData>
  <mergeCells count="21">
    <mergeCell ref="B26:B27"/>
    <mergeCell ref="B8:B10"/>
    <mergeCell ref="B11:B13"/>
    <mergeCell ref="B15:B16"/>
    <mergeCell ref="B17:B20"/>
    <mergeCell ref="B21:B23"/>
    <mergeCell ref="B24:B25"/>
    <mergeCell ref="B4:C4"/>
    <mergeCell ref="E4:G4"/>
    <mergeCell ref="I4:J4"/>
    <mergeCell ref="I5:J5"/>
    <mergeCell ref="B6:C6"/>
    <mergeCell ref="E6:G6"/>
    <mergeCell ref="I6:J6"/>
    <mergeCell ref="A1:J1"/>
    <mergeCell ref="B2:C2"/>
    <mergeCell ref="E2:G2"/>
    <mergeCell ref="I2:J2"/>
    <mergeCell ref="B3:C3"/>
    <mergeCell ref="E3:G3"/>
    <mergeCell ref="I3:J3"/>
  </mergeCells>
  <phoneticPr fontId="6" type="noConversion"/>
  <conditionalFormatting sqref="C18:C19">
    <cfRule type="duplicateValues" dxfId="25" priority="26" stopIfTrue="1"/>
  </conditionalFormatting>
  <conditionalFormatting sqref="C21">
    <cfRule type="duplicateValues" dxfId="24" priority="25" stopIfTrue="1"/>
  </conditionalFormatting>
  <conditionalFormatting sqref="C20 C22">
    <cfRule type="duplicateValues" dxfId="23" priority="24" stopIfTrue="1"/>
  </conditionalFormatting>
  <conditionalFormatting sqref="C20">
    <cfRule type="duplicateValues" dxfId="22" priority="23"/>
  </conditionalFormatting>
  <conditionalFormatting sqref="C13:C17">
    <cfRule type="duplicateValues" dxfId="21" priority="22" stopIfTrue="1"/>
  </conditionalFormatting>
  <conditionalFormatting sqref="C10">
    <cfRule type="duplicateValues" dxfId="20" priority="21" stopIfTrue="1"/>
  </conditionalFormatting>
  <conditionalFormatting sqref="C11">
    <cfRule type="duplicateValues" dxfId="19" priority="20" stopIfTrue="1"/>
  </conditionalFormatting>
  <conditionalFormatting sqref="C12">
    <cfRule type="duplicateValues" dxfId="18" priority="19" stopIfTrue="1"/>
  </conditionalFormatting>
  <conditionalFormatting sqref="C17">
    <cfRule type="duplicateValues" dxfId="17" priority="18" stopIfTrue="1"/>
  </conditionalFormatting>
  <conditionalFormatting sqref="C23">
    <cfRule type="duplicateValues" dxfId="16" priority="17"/>
  </conditionalFormatting>
  <conditionalFormatting sqref="C13:C14">
    <cfRule type="duplicateValues" dxfId="15" priority="16" stopIfTrue="1"/>
  </conditionalFormatting>
  <conditionalFormatting sqref="C14">
    <cfRule type="duplicateValues" dxfId="14" priority="15" stopIfTrue="1"/>
  </conditionalFormatting>
  <conditionalFormatting sqref="C14">
    <cfRule type="duplicateValues" dxfId="13" priority="14" stopIfTrue="1"/>
  </conditionalFormatting>
  <conditionalFormatting sqref="C18:C19">
    <cfRule type="duplicateValues" dxfId="12" priority="13" stopIfTrue="1"/>
  </conditionalFormatting>
  <conditionalFormatting sqref="C21">
    <cfRule type="duplicateValues" dxfId="11" priority="12" stopIfTrue="1"/>
  </conditionalFormatting>
  <conditionalFormatting sqref="C20 C22">
    <cfRule type="duplicateValues" dxfId="10" priority="11" stopIfTrue="1"/>
  </conditionalFormatting>
  <conditionalFormatting sqref="C20">
    <cfRule type="duplicateValues" dxfId="9" priority="10"/>
  </conditionalFormatting>
  <conditionalFormatting sqref="C13:C17">
    <cfRule type="duplicateValues" dxfId="8" priority="9" stopIfTrue="1"/>
  </conditionalFormatting>
  <conditionalFormatting sqref="C10">
    <cfRule type="duplicateValues" dxfId="7" priority="8" stopIfTrue="1"/>
  </conditionalFormatting>
  <conditionalFormatting sqref="C11">
    <cfRule type="duplicateValues" dxfId="6" priority="7" stopIfTrue="1"/>
  </conditionalFormatting>
  <conditionalFormatting sqref="C12">
    <cfRule type="duplicateValues" dxfId="5" priority="6" stopIfTrue="1"/>
  </conditionalFormatting>
  <conditionalFormatting sqref="C17">
    <cfRule type="duplicateValues" dxfId="4" priority="5" stopIfTrue="1"/>
  </conditionalFormatting>
  <conditionalFormatting sqref="C23">
    <cfRule type="duplicateValues" dxfId="3" priority="4"/>
  </conditionalFormatting>
  <conditionalFormatting sqref="C13:C14">
    <cfRule type="duplicateValues" dxfId="2" priority="3" stopIfTrue="1"/>
  </conditionalFormatting>
  <conditionalFormatting sqref="C14">
    <cfRule type="duplicateValues" dxfId="1" priority="2" stopIfTrue="1"/>
  </conditionalFormatting>
  <conditionalFormatting sqref="C14">
    <cfRule type="duplicateValues" dxfId="0" priority="1" stopIfTrue="1"/>
  </conditionalFormatting>
  <pageMargins left="0.7" right="0.7" top="0.75" bottom="0.75" header="0.3" footer="0.3"/>
  <pageSetup paperSize="9" orientation="portrait" r:id="rId1"/>
  <legacy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AI67"/>
  <sheetViews>
    <sheetView view="pageBreakPreview" zoomScaleSheetLayoutView="100" workbookViewId="0">
      <selection activeCell="A54" sqref="A54"/>
    </sheetView>
  </sheetViews>
  <sheetFormatPr defaultRowHeight="15.95" customHeight="1"/>
  <cols>
    <col min="1" max="1" width="9.25" style="581" customWidth="1"/>
    <col min="2" max="2" width="9.125" style="581" customWidth="1"/>
    <col min="3" max="3" width="7.375" style="581" customWidth="1"/>
    <col min="4" max="4" width="6.25" style="581" customWidth="1"/>
    <col min="5" max="5" width="8.875" style="581" customWidth="1"/>
    <col min="6" max="6" width="7.25" style="581" customWidth="1"/>
    <col min="7" max="7" width="8.625" style="581" customWidth="1"/>
    <col min="8" max="8" width="5.875" style="581" customWidth="1"/>
    <col min="9" max="9" width="5.5" style="581" customWidth="1"/>
    <col min="10" max="10" width="11.25" style="584" customWidth="1"/>
    <col min="11" max="11" width="13.875" style="581" customWidth="1"/>
    <col min="12" max="12" width="10.625" style="581" customWidth="1"/>
    <col min="13" max="13" width="14.875" style="581" customWidth="1"/>
    <col min="14" max="17" width="8" style="581" customWidth="1"/>
    <col min="18" max="18" width="8.125" style="581" customWidth="1"/>
    <col min="19" max="19" width="8.75" style="581" customWidth="1"/>
    <col min="20" max="20" width="12.375" style="581" customWidth="1"/>
    <col min="21" max="21" width="10.625" style="581" customWidth="1"/>
    <col min="22" max="22" width="6.25" style="581" customWidth="1"/>
    <col min="23" max="23" width="9.5" style="581" customWidth="1"/>
    <col min="24" max="24" width="41.75" style="581" customWidth="1"/>
    <col min="25" max="25" width="37.125" style="582" customWidth="1"/>
    <col min="26" max="26" width="7.375" style="581" customWidth="1"/>
    <col min="27" max="27" width="36.375" style="581" customWidth="1"/>
    <col min="28" max="28" width="11.5" style="583" customWidth="1"/>
    <col min="29" max="30" width="6.75" style="581" customWidth="1"/>
    <col min="31" max="31" width="12.25" style="583" customWidth="1"/>
    <col min="32" max="32" width="42.5" style="582" customWidth="1"/>
    <col min="33" max="34" width="9" style="581"/>
    <col min="35" max="35" width="20.125" style="581" customWidth="1"/>
    <col min="36" max="259" width="9" style="581"/>
    <col min="260" max="260" width="8.5" style="581" customWidth="1"/>
    <col min="261" max="261" width="6.375" style="581" customWidth="1"/>
    <col min="262" max="262" width="6.625" style="581" customWidth="1"/>
    <col min="263" max="263" width="5.125" style="581" customWidth="1"/>
    <col min="264" max="264" width="6.5" style="581" customWidth="1"/>
    <col min="265" max="265" width="5.375" style="581" customWidth="1"/>
    <col min="266" max="266" width="4.625" style="581" customWidth="1"/>
    <col min="267" max="267" width="8.625" style="581" customWidth="1"/>
    <col min="268" max="268" width="19.875" style="581" customWidth="1"/>
    <col min="269" max="269" width="9" style="581"/>
    <col min="270" max="270" width="9.875" style="581" customWidth="1"/>
    <col min="271" max="271" width="8.875" style="581" customWidth="1"/>
    <col min="272" max="272" width="8.625" style="581" customWidth="1"/>
    <col min="273" max="273" width="8" style="581" customWidth="1"/>
    <col min="274" max="274" width="8.625" style="581" customWidth="1"/>
    <col min="275" max="275" width="9" style="581" customWidth="1"/>
    <col min="276" max="276" width="13.5" style="581" customWidth="1"/>
    <col min="277" max="277" width="16.125" style="581" bestFit="1" customWidth="1"/>
    <col min="278" max="278" width="13.875" style="581" bestFit="1" customWidth="1"/>
    <col min="279" max="279" width="7.5" style="581" bestFit="1" customWidth="1"/>
    <col min="280" max="280" width="13.875" style="581" customWidth="1"/>
    <col min="281" max="282" width="15.625" style="581" customWidth="1"/>
    <col min="283" max="515" width="9" style="581"/>
    <col min="516" max="516" width="8.5" style="581" customWidth="1"/>
    <col min="517" max="517" width="6.375" style="581" customWidth="1"/>
    <col min="518" max="518" width="6.625" style="581" customWidth="1"/>
    <col min="519" max="519" width="5.125" style="581" customWidth="1"/>
    <col min="520" max="520" width="6.5" style="581" customWidth="1"/>
    <col min="521" max="521" width="5.375" style="581" customWidth="1"/>
    <col min="522" max="522" width="4.625" style="581" customWidth="1"/>
    <col min="523" max="523" width="8.625" style="581" customWidth="1"/>
    <col min="524" max="524" width="19.875" style="581" customWidth="1"/>
    <col min="525" max="525" width="9" style="581"/>
    <col min="526" max="526" width="9.875" style="581" customWidth="1"/>
    <col min="527" max="527" width="8.875" style="581" customWidth="1"/>
    <col min="528" max="528" width="8.625" style="581" customWidth="1"/>
    <col min="529" max="529" width="8" style="581" customWidth="1"/>
    <col min="530" max="530" width="8.625" style="581" customWidth="1"/>
    <col min="531" max="531" width="9" style="581" customWidth="1"/>
    <col min="532" max="532" width="13.5" style="581" customWidth="1"/>
    <col min="533" max="533" width="16.125" style="581" bestFit="1" customWidth="1"/>
    <col min="534" max="534" width="13.875" style="581" bestFit="1" customWidth="1"/>
    <col min="535" max="535" width="7.5" style="581" bestFit="1" customWidth="1"/>
    <col min="536" max="536" width="13.875" style="581" customWidth="1"/>
    <col min="537" max="538" width="15.625" style="581" customWidth="1"/>
    <col min="539" max="771" width="9" style="581"/>
    <col min="772" max="772" width="8.5" style="581" customWidth="1"/>
    <col min="773" max="773" width="6.375" style="581" customWidth="1"/>
    <col min="774" max="774" width="6.625" style="581" customWidth="1"/>
    <col min="775" max="775" width="5.125" style="581" customWidth="1"/>
    <col min="776" max="776" width="6.5" style="581" customWidth="1"/>
    <col min="777" max="777" width="5.375" style="581" customWidth="1"/>
    <col min="778" max="778" width="4.625" style="581" customWidth="1"/>
    <col min="779" max="779" width="8.625" style="581" customWidth="1"/>
    <col min="780" max="780" width="19.875" style="581" customWidth="1"/>
    <col min="781" max="781" width="9" style="581"/>
    <col min="782" max="782" width="9.875" style="581" customWidth="1"/>
    <col min="783" max="783" width="8.875" style="581" customWidth="1"/>
    <col min="784" max="784" width="8.625" style="581" customWidth="1"/>
    <col min="785" max="785" width="8" style="581" customWidth="1"/>
    <col min="786" max="786" width="8.625" style="581" customWidth="1"/>
    <col min="787" max="787" width="9" style="581" customWidth="1"/>
    <col min="788" max="788" width="13.5" style="581" customWidth="1"/>
    <col min="789" max="789" width="16.125" style="581" bestFit="1" customWidth="1"/>
    <col min="790" max="790" width="13.875" style="581" bestFit="1" customWidth="1"/>
    <col min="791" max="791" width="7.5" style="581" bestFit="1" customWidth="1"/>
    <col min="792" max="792" width="13.875" style="581" customWidth="1"/>
    <col min="793" max="794" width="15.625" style="581" customWidth="1"/>
    <col min="795" max="1027" width="9" style="581"/>
    <col min="1028" max="1028" width="8.5" style="581" customWidth="1"/>
    <col min="1029" max="1029" width="6.375" style="581" customWidth="1"/>
    <col min="1030" max="1030" width="6.625" style="581" customWidth="1"/>
    <col min="1031" max="1031" width="5.125" style="581" customWidth="1"/>
    <col min="1032" max="1032" width="6.5" style="581" customWidth="1"/>
    <col min="1033" max="1033" width="5.375" style="581" customWidth="1"/>
    <col min="1034" max="1034" width="4.625" style="581" customWidth="1"/>
    <col min="1035" max="1035" width="8.625" style="581" customWidth="1"/>
    <col min="1036" max="1036" width="19.875" style="581" customWidth="1"/>
    <col min="1037" max="1037" width="9" style="581"/>
    <col min="1038" max="1038" width="9.875" style="581" customWidth="1"/>
    <col min="1039" max="1039" width="8.875" style="581" customWidth="1"/>
    <col min="1040" max="1040" width="8.625" style="581" customWidth="1"/>
    <col min="1041" max="1041" width="8" style="581" customWidth="1"/>
    <col min="1042" max="1042" width="8.625" style="581" customWidth="1"/>
    <col min="1043" max="1043" width="9" style="581" customWidth="1"/>
    <col min="1044" max="1044" width="13.5" style="581" customWidth="1"/>
    <col min="1045" max="1045" width="16.125" style="581" bestFit="1" customWidth="1"/>
    <col min="1046" max="1046" width="13.875" style="581" bestFit="1" customWidth="1"/>
    <col min="1047" max="1047" width="7.5" style="581" bestFit="1" customWidth="1"/>
    <col min="1048" max="1048" width="13.875" style="581" customWidth="1"/>
    <col min="1049" max="1050" width="15.625" style="581" customWidth="1"/>
    <col min="1051" max="1283" width="9" style="581"/>
    <col min="1284" max="1284" width="8.5" style="581" customWidth="1"/>
    <col min="1285" max="1285" width="6.375" style="581" customWidth="1"/>
    <col min="1286" max="1286" width="6.625" style="581" customWidth="1"/>
    <col min="1287" max="1287" width="5.125" style="581" customWidth="1"/>
    <col min="1288" max="1288" width="6.5" style="581" customWidth="1"/>
    <col min="1289" max="1289" width="5.375" style="581" customWidth="1"/>
    <col min="1290" max="1290" width="4.625" style="581" customWidth="1"/>
    <col min="1291" max="1291" width="8.625" style="581" customWidth="1"/>
    <col min="1292" max="1292" width="19.875" style="581" customWidth="1"/>
    <col min="1293" max="1293" width="9" style="581"/>
    <col min="1294" max="1294" width="9.875" style="581" customWidth="1"/>
    <col min="1295" max="1295" width="8.875" style="581" customWidth="1"/>
    <col min="1296" max="1296" width="8.625" style="581" customWidth="1"/>
    <col min="1297" max="1297" width="8" style="581" customWidth="1"/>
    <col min="1298" max="1298" width="8.625" style="581" customWidth="1"/>
    <col min="1299" max="1299" width="9" style="581" customWidth="1"/>
    <col min="1300" max="1300" width="13.5" style="581" customWidth="1"/>
    <col min="1301" max="1301" width="16.125" style="581" bestFit="1" customWidth="1"/>
    <col min="1302" max="1302" width="13.875" style="581" bestFit="1" customWidth="1"/>
    <col min="1303" max="1303" width="7.5" style="581" bestFit="1" customWidth="1"/>
    <col min="1304" max="1304" width="13.875" style="581" customWidth="1"/>
    <col min="1305" max="1306" width="15.625" style="581" customWidth="1"/>
    <col min="1307" max="1539" width="9" style="581"/>
    <col min="1540" max="1540" width="8.5" style="581" customWidth="1"/>
    <col min="1541" max="1541" width="6.375" style="581" customWidth="1"/>
    <col min="1542" max="1542" width="6.625" style="581" customWidth="1"/>
    <col min="1543" max="1543" width="5.125" style="581" customWidth="1"/>
    <col min="1544" max="1544" width="6.5" style="581" customWidth="1"/>
    <col min="1545" max="1545" width="5.375" style="581" customWidth="1"/>
    <col min="1546" max="1546" width="4.625" style="581" customWidth="1"/>
    <col min="1547" max="1547" width="8.625" style="581" customWidth="1"/>
    <col min="1548" max="1548" width="19.875" style="581" customWidth="1"/>
    <col min="1549" max="1549" width="9" style="581"/>
    <col min="1550" max="1550" width="9.875" style="581" customWidth="1"/>
    <col min="1551" max="1551" width="8.875" style="581" customWidth="1"/>
    <col min="1552" max="1552" width="8.625" style="581" customWidth="1"/>
    <col min="1553" max="1553" width="8" style="581" customWidth="1"/>
    <col min="1554" max="1554" width="8.625" style="581" customWidth="1"/>
    <col min="1555" max="1555" width="9" style="581" customWidth="1"/>
    <col min="1556" max="1556" width="13.5" style="581" customWidth="1"/>
    <col min="1557" max="1557" width="16.125" style="581" bestFit="1" customWidth="1"/>
    <col min="1558" max="1558" width="13.875" style="581" bestFit="1" customWidth="1"/>
    <col min="1559" max="1559" width="7.5" style="581" bestFit="1" customWidth="1"/>
    <col min="1560" max="1560" width="13.875" style="581" customWidth="1"/>
    <col min="1561" max="1562" width="15.625" style="581" customWidth="1"/>
    <col min="1563" max="1795" width="9" style="581"/>
    <col min="1796" max="1796" width="8.5" style="581" customWidth="1"/>
    <col min="1797" max="1797" width="6.375" style="581" customWidth="1"/>
    <col min="1798" max="1798" width="6.625" style="581" customWidth="1"/>
    <col min="1799" max="1799" width="5.125" style="581" customWidth="1"/>
    <col min="1800" max="1800" width="6.5" style="581" customWidth="1"/>
    <col min="1801" max="1801" width="5.375" style="581" customWidth="1"/>
    <col min="1802" max="1802" width="4.625" style="581" customWidth="1"/>
    <col min="1803" max="1803" width="8.625" style="581" customWidth="1"/>
    <col min="1804" max="1804" width="19.875" style="581" customWidth="1"/>
    <col min="1805" max="1805" width="9" style="581"/>
    <col min="1806" max="1806" width="9.875" style="581" customWidth="1"/>
    <col min="1807" max="1807" width="8.875" style="581" customWidth="1"/>
    <col min="1808" max="1808" width="8.625" style="581" customWidth="1"/>
    <col min="1809" max="1809" width="8" style="581" customWidth="1"/>
    <col min="1810" max="1810" width="8.625" style="581" customWidth="1"/>
    <col min="1811" max="1811" width="9" style="581" customWidth="1"/>
    <col min="1812" max="1812" width="13.5" style="581" customWidth="1"/>
    <col min="1813" max="1813" width="16.125" style="581" bestFit="1" customWidth="1"/>
    <col min="1814" max="1814" width="13.875" style="581" bestFit="1" customWidth="1"/>
    <col min="1815" max="1815" width="7.5" style="581" bestFit="1" customWidth="1"/>
    <col min="1816" max="1816" width="13.875" style="581" customWidth="1"/>
    <col min="1817" max="1818" width="15.625" style="581" customWidth="1"/>
    <col min="1819" max="2051" width="9" style="581"/>
    <col min="2052" max="2052" width="8.5" style="581" customWidth="1"/>
    <col min="2053" max="2053" width="6.375" style="581" customWidth="1"/>
    <col min="2054" max="2054" width="6.625" style="581" customWidth="1"/>
    <col min="2055" max="2055" width="5.125" style="581" customWidth="1"/>
    <col min="2056" max="2056" width="6.5" style="581" customWidth="1"/>
    <col min="2057" max="2057" width="5.375" style="581" customWidth="1"/>
    <col min="2058" max="2058" width="4.625" style="581" customWidth="1"/>
    <col min="2059" max="2059" width="8.625" style="581" customWidth="1"/>
    <col min="2060" max="2060" width="19.875" style="581" customWidth="1"/>
    <col min="2061" max="2061" width="9" style="581"/>
    <col min="2062" max="2062" width="9.875" style="581" customWidth="1"/>
    <col min="2063" max="2063" width="8.875" style="581" customWidth="1"/>
    <col min="2064" max="2064" width="8.625" style="581" customWidth="1"/>
    <col min="2065" max="2065" width="8" style="581" customWidth="1"/>
    <col min="2066" max="2066" width="8.625" style="581" customWidth="1"/>
    <col min="2067" max="2067" width="9" style="581" customWidth="1"/>
    <col min="2068" max="2068" width="13.5" style="581" customWidth="1"/>
    <col min="2069" max="2069" width="16.125" style="581" bestFit="1" customWidth="1"/>
    <col min="2070" max="2070" width="13.875" style="581" bestFit="1" customWidth="1"/>
    <col min="2071" max="2071" width="7.5" style="581" bestFit="1" customWidth="1"/>
    <col min="2072" max="2072" width="13.875" style="581" customWidth="1"/>
    <col min="2073" max="2074" width="15.625" style="581" customWidth="1"/>
    <col min="2075" max="2307" width="9" style="581"/>
    <col min="2308" max="2308" width="8.5" style="581" customWidth="1"/>
    <col min="2309" max="2309" width="6.375" style="581" customWidth="1"/>
    <col min="2310" max="2310" width="6.625" style="581" customWidth="1"/>
    <col min="2311" max="2311" width="5.125" style="581" customWidth="1"/>
    <col min="2312" max="2312" width="6.5" style="581" customWidth="1"/>
    <col min="2313" max="2313" width="5.375" style="581" customWidth="1"/>
    <col min="2314" max="2314" width="4.625" style="581" customWidth="1"/>
    <col min="2315" max="2315" width="8.625" style="581" customWidth="1"/>
    <col min="2316" max="2316" width="19.875" style="581" customWidth="1"/>
    <col min="2317" max="2317" width="9" style="581"/>
    <col min="2318" max="2318" width="9.875" style="581" customWidth="1"/>
    <col min="2319" max="2319" width="8.875" style="581" customWidth="1"/>
    <col min="2320" max="2320" width="8.625" style="581" customWidth="1"/>
    <col min="2321" max="2321" width="8" style="581" customWidth="1"/>
    <col min="2322" max="2322" width="8.625" style="581" customWidth="1"/>
    <col min="2323" max="2323" width="9" style="581" customWidth="1"/>
    <col min="2324" max="2324" width="13.5" style="581" customWidth="1"/>
    <col min="2325" max="2325" width="16.125" style="581" bestFit="1" customWidth="1"/>
    <col min="2326" max="2326" width="13.875" style="581" bestFit="1" customWidth="1"/>
    <col min="2327" max="2327" width="7.5" style="581" bestFit="1" customWidth="1"/>
    <col min="2328" max="2328" width="13.875" style="581" customWidth="1"/>
    <col min="2329" max="2330" width="15.625" style="581" customWidth="1"/>
    <col min="2331" max="2563" width="9" style="581"/>
    <col min="2564" max="2564" width="8.5" style="581" customWidth="1"/>
    <col min="2565" max="2565" width="6.375" style="581" customWidth="1"/>
    <col min="2566" max="2566" width="6.625" style="581" customWidth="1"/>
    <col min="2567" max="2567" width="5.125" style="581" customWidth="1"/>
    <col min="2568" max="2568" width="6.5" style="581" customWidth="1"/>
    <col min="2569" max="2569" width="5.375" style="581" customWidth="1"/>
    <col min="2570" max="2570" width="4.625" style="581" customWidth="1"/>
    <col min="2571" max="2571" width="8.625" style="581" customWidth="1"/>
    <col min="2572" max="2572" width="19.875" style="581" customWidth="1"/>
    <col min="2573" max="2573" width="9" style="581"/>
    <col min="2574" max="2574" width="9.875" style="581" customWidth="1"/>
    <col min="2575" max="2575" width="8.875" style="581" customWidth="1"/>
    <col min="2576" max="2576" width="8.625" style="581" customWidth="1"/>
    <col min="2577" max="2577" width="8" style="581" customWidth="1"/>
    <col min="2578" max="2578" width="8.625" style="581" customWidth="1"/>
    <col min="2579" max="2579" width="9" style="581" customWidth="1"/>
    <col min="2580" max="2580" width="13.5" style="581" customWidth="1"/>
    <col min="2581" max="2581" width="16.125" style="581" bestFit="1" customWidth="1"/>
    <col min="2582" max="2582" width="13.875" style="581" bestFit="1" customWidth="1"/>
    <col min="2583" max="2583" width="7.5" style="581" bestFit="1" customWidth="1"/>
    <col min="2584" max="2584" width="13.875" style="581" customWidth="1"/>
    <col min="2585" max="2586" width="15.625" style="581" customWidth="1"/>
    <col min="2587" max="2819" width="9" style="581"/>
    <col min="2820" max="2820" width="8.5" style="581" customWidth="1"/>
    <col min="2821" max="2821" width="6.375" style="581" customWidth="1"/>
    <col min="2822" max="2822" width="6.625" style="581" customWidth="1"/>
    <col min="2823" max="2823" width="5.125" style="581" customWidth="1"/>
    <col min="2824" max="2824" width="6.5" style="581" customWidth="1"/>
    <col min="2825" max="2825" width="5.375" style="581" customWidth="1"/>
    <col min="2826" max="2826" width="4.625" style="581" customWidth="1"/>
    <col min="2827" max="2827" width="8.625" style="581" customWidth="1"/>
    <col min="2828" max="2828" width="19.875" style="581" customWidth="1"/>
    <col min="2829" max="2829" width="9" style="581"/>
    <col min="2830" max="2830" width="9.875" style="581" customWidth="1"/>
    <col min="2831" max="2831" width="8.875" style="581" customWidth="1"/>
    <col min="2832" max="2832" width="8.625" style="581" customWidth="1"/>
    <col min="2833" max="2833" width="8" style="581" customWidth="1"/>
    <col min="2834" max="2834" width="8.625" style="581" customWidth="1"/>
    <col min="2835" max="2835" width="9" style="581" customWidth="1"/>
    <col min="2836" max="2836" width="13.5" style="581" customWidth="1"/>
    <col min="2837" max="2837" width="16.125" style="581" bestFit="1" customWidth="1"/>
    <col min="2838" max="2838" width="13.875" style="581" bestFit="1" customWidth="1"/>
    <col min="2839" max="2839" width="7.5" style="581" bestFit="1" customWidth="1"/>
    <col min="2840" max="2840" width="13.875" style="581" customWidth="1"/>
    <col min="2841" max="2842" width="15.625" style="581" customWidth="1"/>
    <col min="2843" max="3075" width="9" style="581"/>
    <col min="3076" max="3076" width="8.5" style="581" customWidth="1"/>
    <col min="3077" max="3077" width="6.375" style="581" customWidth="1"/>
    <col min="3078" max="3078" width="6.625" style="581" customWidth="1"/>
    <col min="3079" max="3079" width="5.125" style="581" customWidth="1"/>
    <col min="3080" max="3080" width="6.5" style="581" customWidth="1"/>
    <col min="3081" max="3081" width="5.375" style="581" customWidth="1"/>
    <col min="3082" max="3082" width="4.625" style="581" customWidth="1"/>
    <col min="3083" max="3083" width="8.625" style="581" customWidth="1"/>
    <col min="3084" max="3084" width="19.875" style="581" customWidth="1"/>
    <col min="3085" max="3085" width="9" style="581"/>
    <col min="3086" max="3086" width="9.875" style="581" customWidth="1"/>
    <col min="3087" max="3087" width="8.875" style="581" customWidth="1"/>
    <col min="3088" max="3088" width="8.625" style="581" customWidth="1"/>
    <col min="3089" max="3089" width="8" style="581" customWidth="1"/>
    <col min="3090" max="3090" width="8.625" style="581" customWidth="1"/>
    <col min="3091" max="3091" width="9" style="581" customWidth="1"/>
    <col min="3092" max="3092" width="13.5" style="581" customWidth="1"/>
    <col min="3093" max="3093" width="16.125" style="581" bestFit="1" customWidth="1"/>
    <col min="3094" max="3094" width="13.875" style="581" bestFit="1" customWidth="1"/>
    <col min="3095" max="3095" width="7.5" style="581" bestFit="1" customWidth="1"/>
    <col min="3096" max="3096" width="13.875" style="581" customWidth="1"/>
    <col min="3097" max="3098" width="15.625" style="581" customWidth="1"/>
    <col min="3099" max="3331" width="9" style="581"/>
    <col min="3332" max="3332" width="8.5" style="581" customWidth="1"/>
    <col min="3333" max="3333" width="6.375" style="581" customWidth="1"/>
    <col min="3334" max="3334" width="6.625" style="581" customWidth="1"/>
    <col min="3335" max="3335" width="5.125" style="581" customWidth="1"/>
    <col min="3336" max="3336" width="6.5" style="581" customWidth="1"/>
    <col min="3337" max="3337" width="5.375" style="581" customWidth="1"/>
    <col min="3338" max="3338" width="4.625" style="581" customWidth="1"/>
    <col min="3339" max="3339" width="8.625" style="581" customWidth="1"/>
    <col min="3340" max="3340" width="19.875" style="581" customWidth="1"/>
    <col min="3341" max="3341" width="9" style="581"/>
    <col min="3342" max="3342" width="9.875" style="581" customWidth="1"/>
    <col min="3343" max="3343" width="8.875" style="581" customWidth="1"/>
    <col min="3344" max="3344" width="8.625" style="581" customWidth="1"/>
    <col min="3345" max="3345" width="8" style="581" customWidth="1"/>
    <col min="3346" max="3346" width="8.625" style="581" customWidth="1"/>
    <col min="3347" max="3347" width="9" style="581" customWidth="1"/>
    <col min="3348" max="3348" width="13.5" style="581" customWidth="1"/>
    <col min="3349" max="3349" width="16.125" style="581" bestFit="1" customWidth="1"/>
    <col min="3350" max="3350" width="13.875" style="581" bestFit="1" customWidth="1"/>
    <col min="3351" max="3351" width="7.5" style="581" bestFit="1" customWidth="1"/>
    <col min="3352" max="3352" width="13.875" style="581" customWidth="1"/>
    <col min="3353" max="3354" width="15.625" style="581" customWidth="1"/>
    <col min="3355" max="3587" width="9" style="581"/>
    <col min="3588" max="3588" width="8.5" style="581" customWidth="1"/>
    <col min="3589" max="3589" width="6.375" style="581" customWidth="1"/>
    <col min="3590" max="3590" width="6.625" style="581" customWidth="1"/>
    <col min="3591" max="3591" width="5.125" style="581" customWidth="1"/>
    <col min="3592" max="3592" width="6.5" style="581" customWidth="1"/>
    <col min="3593" max="3593" width="5.375" style="581" customWidth="1"/>
    <col min="3594" max="3594" width="4.625" style="581" customWidth="1"/>
    <col min="3595" max="3595" width="8.625" style="581" customWidth="1"/>
    <col min="3596" max="3596" width="19.875" style="581" customWidth="1"/>
    <col min="3597" max="3597" width="9" style="581"/>
    <col min="3598" max="3598" width="9.875" style="581" customWidth="1"/>
    <col min="3599" max="3599" width="8.875" style="581" customWidth="1"/>
    <col min="3600" max="3600" width="8.625" style="581" customWidth="1"/>
    <col min="3601" max="3601" width="8" style="581" customWidth="1"/>
    <col min="3602" max="3602" width="8.625" style="581" customWidth="1"/>
    <col min="3603" max="3603" width="9" style="581" customWidth="1"/>
    <col min="3604" max="3604" width="13.5" style="581" customWidth="1"/>
    <col min="3605" max="3605" width="16.125" style="581" bestFit="1" customWidth="1"/>
    <col min="3606" max="3606" width="13.875" style="581" bestFit="1" customWidth="1"/>
    <col min="3607" max="3607" width="7.5" style="581" bestFit="1" customWidth="1"/>
    <col min="3608" max="3608" width="13.875" style="581" customWidth="1"/>
    <col min="3609" max="3610" width="15.625" style="581" customWidth="1"/>
    <col min="3611" max="3843" width="9" style="581"/>
    <col min="3844" max="3844" width="8.5" style="581" customWidth="1"/>
    <col min="3845" max="3845" width="6.375" style="581" customWidth="1"/>
    <col min="3846" max="3846" width="6.625" style="581" customWidth="1"/>
    <col min="3847" max="3847" width="5.125" style="581" customWidth="1"/>
    <col min="3848" max="3848" width="6.5" style="581" customWidth="1"/>
    <col min="3849" max="3849" width="5.375" style="581" customWidth="1"/>
    <col min="3850" max="3850" width="4.625" style="581" customWidth="1"/>
    <col min="3851" max="3851" width="8.625" style="581" customWidth="1"/>
    <col min="3852" max="3852" width="19.875" style="581" customWidth="1"/>
    <col min="3853" max="3853" width="9" style="581"/>
    <col min="3854" max="3854" width="9.875" style="581" customWidth="1"/>
    <col min="3855" max="3855" width="8.875" style="581" customWidth="1"/>
    <col min="3856" max="3856" width="8.625" style="581" customWidth="1"/>
    <col min="3857" max="3857" width="8" style="581" customWidth="1"/>
    <col min="3858" max="3858" width="8.625" style="581" customWidth="1"/>
    <col min="3859" max="3859" width="9" style="581" customWidth="1"/>
    <col min="3860" max="3860" width="13.5" style="581" customWidth="1"/>
    <col min="3861" max="3861" width="16.125" style="581" bestFit="1" customWidth="1"/>
    <col min="3862" max="3862" width="13.875" style="581" bestFit="1" customWidth="1"/>
    <col min="3863" max="3863" width="7.5" style="581" bestFit="1" customWidth="1"/>
    <col min="3864" max="3864" width="13.875" style="581" customWidth="1"/>
    <col min="3865" max="3866" width="15.625" style="581" customWidth="1"/>
    <col min="3867" max="4099" width="9" style="581"/>
    <col min="4100" max="4100" width="8.5" style="581" customWidth="1"/>
    <col min="4101" max="4101" width="6.375" style="581" customWidth="1"/>
    <col min="4102" max="4102" width="6.625" style="581" customWidth="1"/>
    <col min="4103" max="4103" width="5.125" style="581" customWidth="1"/>
    <col min="4104" max="4104" width="6.5" style="581" customWidth="1"/>
    <col min="4105" max="4105" width="5.375" style="581" customWidth="1"/>
    <col min="4106" max="4106" width="4.625" style="581" customWidth="1"/>
    <col min="4107" max="4107" width="8.625" style="581" customWidth="1"/>
    <col min="4108" max="4108" width="19.875" style="581" customWidth="1"/>
    <col min="4109" max="4109" width="9" style="581"/>
    <col min="4110" max="4110" width="9.875" style="581" customWidth="1"/>
    <col min="4111" max="4111" width="8.875" style="581" customWidth="1"/>
    <col min="4112" max="4112" width="8.625" style="581" customWidth="1"/>
    <col min="4113" max="4113" width="8" style="581" customWidth="1"/>
    <col min="4114" max="4114" width="8.625" style="581" customWidth="1"/>
    <col min="4115" max="4115" width="9" style="581" customWidth="1"/>
    <col min="4116" max="4116" width="13.5" style="581" customWidth="1"/>
    <col min="4117" max="4117" width="16.125" style="581" bestFit="1" customWidth="1"/>
    <col min="4118" max="4118" width="13.875" style="581" bestFit="1" customWidth="1"/>
    <col min="4119" max="4119" width="7.5" style="581" bestFit="1" customWidth="1"/>
    <col min="4120" max="4120" width="13.875" style="581" customWidth="1"/>
    <col min="4121" max="4122" width="15.625" style="581" customWidth="1"/>
    <col min="4123" max="4355" width="9" style="581"/>
    <col min="4356" max="4356" width="8.5" style="581" customWidth="1"/>
    <col min="4357" max="4357" width="6.375" style="581" customWidth="1"/>
    <col min="4358" max="4358" width="6.625" style="581" customWidth="1"/>
    <col min="4359" max="4359" width="5.125" style="581" customWidth="1"/>
    <col min="4360" max="4360" width="6.5" style="581" customWidth="1"/>
    <col min="4361" max="4361" width="5.375" style="581" customWidth="1"/>
    <col min="4362" max="4362" width="4.625" style="581" customWidth="1"/>
    <col min="4363" max="4363" width="8.625" style="581" customWidth="1"/>
    <col min="4364" max="4364" width="19.875" style="581" customWidth="1"/>
    <col min="4365" max="4365" width="9" style="581"/>
    <col min="4366" max="4366" width="9.875" style="581" customWidth="1"/>
    <col min="4367" max="4367" width="8.875" style="581" customWidth="1"/>
    <col min="4368" max="4368" width="8.625" style="581" customWidth="1"/>
    <col min="4369" max="4369" width="8" style="581" customWidth="1"/>
    <col min="4370" max="4370" width="8.625" style="581" customWidth="1"/>
    <col min="4371" max="4371" width="9" style="581" customWidth="1"/>
    <col min="4372" max="4372" width="13.5" style="581" customWidth="1"/>
    <col min="4373" max="4373" width="16.125" style="581" bestFit="1" customWidth="1"/>
    <col min="4374" max="4374" width="13.875" style="581" bestFit="1" customWidth="1"/>
    <col min="4375" max="4375" width="7.5" style="581" bestFit="1" customWidth="1"/>
    <col min="4376" max="4376" width="13.875" style="581" customWidth="1"/>
    <col min="4377" max="4378" width="15.625" style="581" customWidth="1"/>
    <col min="4379" max="4611" width="9" style="581"/>
    <col min="4612" max="4612" width="8.5" style="581" customWidth="1"/>
    <col min="4613" max="4613" width="6.375" style="581" customWidth="1"/>
    <col min="4614" max="4614" width="6.625" style="581" customWidth="1"/>
    <col min="4615" max="4615" width="5.125" style="581" customWidth="1"/>
    <col min="4616" max="4616" width="6.5" style="581" customWidth="1"/>
    <col min="4617" max="4617" width="5.375" style="581" customWidth="1"/>
    <col min="4618" max="4618" width="4.625" style="581" customWidth="1"/>
    <col min="4619" max="4619" width="8.625" style="581" customWidth="1"/>
    <col min="4620" max="4620" width="19.875" style="581" customWidth="1"/>
    <col min="4621" max="4621" width="9" style="581"/>
    <col min="4622" max="4622" width="9.875" style="581" customWidth="1"/>
    <col min="4623" max="4623" width="8.875" style="581" customWidth="1"/>
    <col min="4624" max="4624" width="8.625" style="581" customWidth="1"/>
    <col min="4625" max="4625" width="8" style="581" customWidth="1"/>
    <col min="4626" max="4626" width="8.625" style="581" customWidth="1"/>
    <col min="4627" max="4627" width="9" style="581" customWidth="1"/>
    <col min="4628" max="4628" width="13.5" style="581" customWidth="1"/>
    <col min="4629" max="4629" width="16.125" style="581" bestFit="1" customWidth="1"/>
    <col min="4630" max="4630" width="13.875" style="581" bestFit="1" customWidth="1"/>
    <col min="4631" max="4631" width="7.5" style="581" bestFit="1" customWidth="1"/>
    <col min="4632" max="4632" width="13.875" style="581" customWidth="1"/>
    <col min="4633" max="4634" width="15.625" style="581" customWidth="1"/>
    <col min="4635" max="4867" width="9" style="581"/>
    <col min="4868" max="4868" width="8.5" style="581" customWidth="1"/>
    <col min="4869" max="4869" width="6.375" style="581" customWidth="1"/>
    <col min="4870" max="4870" width="6.625" style="581" customWidth="1"/>
    <col min="4871" max="4871" width="5.125" style="581" customWidth="1"/>
    <col min="4872" max="4872" width="6.5" style="581" customWidth="1"/>
    <col min="4873" max="4873" width="5.375" style="581" customWidth="1"/>
    <col min="4874" max="4874" width="4.625" style="581" customWidth="1"/>
    <col min="4875" max="4875" width="8.625" style="581" customWidth="1"/>
    <col min="4876" max="4876" width="19.875" style="581" customWidth="1"/>
    <col min="4877" max="4877" width="9" style="581"/>
    <col min="4878" max="4878" width="9.875" style="581" customWidth="1"/>
    <col min="4879" max="4879" width="8.875" style="581" customWidth="1"/>
    <col min="4880" max="4880" width="8.625" style="581" customWidth="1"/>
    <col min="4881" max="4881" width="8" style="581" customWidth="1"/>
    <col min="4882" max="4882" width="8.625" style="581" customWidth="1"/>
    <col min="4883" max="4883" width="9" style="581" customWidth="1"/>
    <col min="4884" max="4884" width="13.5" style="581" customWidth="1"/>
    <col min="4885" max="4885" width="16.125" style="581" bestFit="1" customWidth="1"/>
    <col min="4886" max="4886" width="13.875" style="581" bestFit="1" customWidth="1"/>
    <col min="4887" max="4887" width="7.5" style="581" bestFit="1" customWidth="1"/>
    <col min="4888" max="4888" width="13.875" style="581" customWidth="1"/>
    <col min="4889" max="4890" width="15.625" style="581" customWidth="1"/>
    <col min="4891" max="5123" width="9" style="581"/>
    <col min="5124" max="5124" width="8.5" style="581" customWidth="1"/>
    <col min="5125" max="5125" width="6.375" style="581" customWidth="1"/>
    <col min="5126" max="5126" width="6.625" style="581" customWidth="1"/>
    <col min="5127" max="5127" width="5.125" style="581" customWidth="1"/>
    <col min="5128" max="5128" width="6.5" style="581" customWidth="1"/>
    <col min="5129" max="5129" width="5.375" style="581" customWidth="1"/>
    <col min="5130" max="5130" width="4.625" style="581" customWidth="1"/>
    <col min="5131" max="5131" width="8.625" style="581" customWidth="1"/>
    <col min="5132" max="5132" width="19.875" style="581" customWidth="1"/>
    <col min="5133" max="5133" width="9" style="581"/>
    <col min="5134" max="5134" width="9.875" style="581" customWidth="1"/>
    <col min="5135" max="5135" width="8.875" style="581" customWidth="1"/>
    <col min="5136" max="5136" width="8.625" style="581" customWidth="1"/>
    <col min="5137" max="5137" width="8" style="581" customWidth="1"/>
    <col min="5138" max="5138" width="8.625" style="581" customWidth="1"/>
    <col min="5139" max="5139" width="9" style="581" customWidth="1"/>
    <col min="5140" max="5140" width="13.5" style="581" customWidth="1"/>
    <col min="5141" max="5141" width="16.125" style="581" bestFit="1" customWidth="1"/>
    <col min="5142" max="5142" width="13.875" style="581" bestFit="1" customWidth="1"/>
    <col min="5143" max="5143" width="7.5" style="581" bestFit="1" customWidth="1"/>
    <col min="5144" max="5144" width="13.875" style="581" customWidth="1"/>
    <col min="5145" max="5146" width="15.625" style="581" customWidth="1"/>
    <col min="5147" max="5379" width="9" style="581"/>
    <col min="5380" max="5380" width="8.5" style="581" customWidth="1"/>
    <col min="5381" max="5381" width="6.375" style="581" customWidth="1"/>
    <col min="5382" max="5382" width="6.625" style="581" customWidth="1"/>
    <col min="5383" max="5383" width="5.125" style="581" customWidth="1"/>
    <col min="5384" max="5384" width="6.5" style="581" customWidth="1"/>
    <col min="5385" max="5385" width="5.375" style="581" customWidth="1"/>
    <col min="5386" max="5386" width="4.625" style="581" customWidth="1"/>
    <col min="5387" max="5387" width="8.625" style="581" customWidth="1"/>
    <col min="5388" max="5388" width="19.875" style="581" customWidth="1"/>
    <col min="5389" max="5389" width="9" style="581"/>
    <col min="5390" max="5390" width="9.875" style="581" customWidth="1"/>
    <col min="5391" max="5391" width="8.875" style="581" customWidth="1"/>
    <col min="5392" max="5392" width="8.625" style="581" customWidth="1"/>
    <col min="5393" max="5393" width="8" style="581" customWidth="1"/>
    <col min="5394" max="5394" width="8.625" style="581" customWidth="1"/>
    <col min="5395" max="5395" width="9" style="581" customWidth="1"/>
    <col min="5396" max="5396" width="13.5" style="581" customWidth="1"/>
    <col min="5397" max="5397" width="16.125" style="581" bestFit="1" customWidth="1"/>
    <col min="5398" max="5398" width="13.875" style="581" bestFit="1" customWidth="1"/>
    <col min="5399" max="5399" width="7.5" style="581" bestFit="1" customWidth="1"/>
    <col min="5400" max="5400" width="13.875" style="581" customWidth="1"/>
    <col min="5401" max="5402" width="15.625" style="581" customWidth="1"/>
    <col min="5403" max="5635" width="9" style="581"/>
    <col min="5636" max="5636" width="8.5" style="581" customWidth="1"/>
    <col min="5637" max="5637" width="6.375" style="581" customWidth="1"/>
    <col min="5638" max="5638" width="6.625" style="581" customWidth="1"/>
    <col min="5639" max="5639" width="5.125" style="581" customWidth="1"/>
    <col min="5640" max="5640" width="6.5" style="581" customWidth="1"/>
    <col min="5641" max="5641" width="5.375" style="581" customWidth="1"/>
    <col min="5642" max="5642" width="4.625" style="581" customWidth="1"/>
    <col min="5643" max="5643" width="8.625" style="581" customWidth="1"/>
    <col min="5644" max="5644" width="19.875" style="581" customWidth="1"/>
    <col min="5645" max="5645" width="9" style="581"/>
    <col min="5646" max="5646" width="9.875" style="581" customWidth="1"/>
    <col min="5647" max="5647" width="8.875" style="581" customWidth="1"/>
    <col min="5648" max="5648" width="8.625" style="581" customWidth="1"/>
    <col min="5649" max="5649" width="8" style="581" customWidth="1"/>
    <col min="5650" max="5650" width="8.625" style="581" customWidth="1"/>
    <col min="5651" max="5651" width="9" style="581" customWidth="1"/>
    <col min="5652" max="5652" width="13.5" style="581" customWidth="1"/>
    <col min="5653" max="5653" width="16.125" style="581" bestFit="1" customWidth="1"/>
    <col min="5654" max="5654" width="13.875" style="581" bestFit="1" customWidth="1"/>
    <col min="5655" max="5655" width="7.5" style="581" bestFit="1" customWidth="1"/>
    <col min="5656" max="5656" width="13.875" style="581" customWidth="1"/>
    <col min="5657" max="5658" width="15.625" style="581" customWidth="1"/>
    <col min="5659" max="5891" width="9" style="581"/>
    <col min="5892" max="5892" width="8.5" style="581" customWidth="1"/>
    <col min="5893" max="5893" width="6.375" style="581" customWidth="1"/>
    <col min="5894" max="5894" width="6.625" style="581" customWidth="1"/>
    <col min="5895" max="5895" width="5.125" style="581" customWidth="1"/>
    <col min="5896" max="5896" width="6.5" style="581" customWidth="1"/>
    <col min="5897" max="5897" width="5.375" style="581" customWidth="1"/>
    <col min="5898" max="5898" width="4.625" style="581" customWidth="1"/>
    <col min="5899" max="5899" width="8.625" style="581" customWidth="1"/>
    <col min="5900" max="5900" width="19.875" style="581" customWidth="1"/>
    <col min="5901" max="5901" width="9" style="581"/>
    <col min="5902" max="5902" width="9.875" style="581" customWidth="1"/>
    <col min="5903" max="5903" width="8.875" style="581" customWidth="1"/>
    <col min="5904" max="5904" width="8.625" style="581" customWidth="1"/>
    <col min="5905" max="5905" width="8" style="581" customWidth="1"/>
    <col min="5906" max="5906" width="8.625" style="581" customWidth="1"/>
    <col min="5907" max="5907" width="9" style="581" customWidth="1"/>
    <col min="5908" max="5908" width="13.5" style="581" customWidth="1"/>
    <col min="5909" max="5909" width="16.125" style="581" bestFit="1" customWidth="1"/>
    <col min="5910" max="5910" width="13.875" style="581" bestFit="1" customWidth="1"/>
    <col min="5911" max="5911" width="7.5" style="581" bestFit="1" customWidth="1"/>
    <col min="5912" max="5912" width="13.875" style="581" customWidth="1"/>
    <col min="5913" max="5914" width="15.625" style="581" customWidth="1"/>
    <col min="5915" max="6147" width="9" style="581"/>
    <col min="6148" max="6148" width="8.5" style="581" customWidth="1"/>
    <col min="6149" max="6149" width="6.375" style="581" customWidth="1"/>
    <col min="6150" max="6150" width="6.625" style="581" customWidth="1"/>
    <col min="6151" max="6151" width="5.125" style="581" customWidth="1"/>
    <col min="6152" max="6152" width="6.5" style="581" customWidth="1"/>
    <col min="6153" max="6153" width="5.375" style="581" customWidth="1"/>
    <col min="6154" max="6154" width="4.625" style="581" customWidth="1"/>
    <col min="6155" max="6155" width="8.625" style="581" customWidth="1"/>
    <col min="6156" max="6156" width="19.875" style="581" customWidth="1"/>
    <col min="6157" max="6157" width="9" style="581"/>
    <col min="6158" max="6158" width="9.875" style="581" customWidth="1"/>
    <col min="6159" max="6159" width="8.875" style="581" customWidth="1"/>
    <col min="6160" max="6160" width="8.625" style="581" customWidth="1"/>
    <col min="6161" max="6161" width="8" style="581" customWidth="1"/>
    <col min="6162" max="6162" width="8.625" style="581" customWidth="1"/>
    <col min="6163" max="6163" width="9" style="581" customWidth="1"/>
    <col min="6164" max="6164" width="13.5" style="581" customWidth="1"/>
    <col min="6165" max="6165" width="16.125" style="581" bestFit="1" customWidth="1"/>
    <col min="6166" max="6166" width="13.875" style="581" bestFit="1" customWidth="1"/>
    <col min="6167" max="6167" width="7.5" style="581" bestFit="1" customWidth="1"/>
    <col min="6168" max="6168" width="13.875" style="581" customWidth="1"/>
    <col min="6169" max="6170" width="15.625" style="581" customWidth="1"/>
    <col min="6171" max="6403" width="9" style="581"/>
    <col min="6404" max="6404" width="8.5" style="581" customWidth="1"/>
    <col min="6405" max="6405" width="6.375" style="581" customWidth="1"/>
    <col min="6406" max="6406" width="6.625" style="581" customWidth="1"/>
    <col min="6407" max="6407" width="5.125" style="581" customWidth="1"/>
    <col min="6408" max="6408" width="6.5" style="581" customWidth="1"/>
    <col min="6409" max="6409" width="5.375" style="581" customWidth="1"/>
    <col min="6410" max="6410" width="4.625" style="581" customWidth="1"/>
    <col min="6411" max="6411" width="8.625" style="581" customWidth="1"/>
    <col min="6412" max="6412" width="19.875" style="581" customWidth="1"/>
    <col min="6413" max="6413" width="9" style="581"/>
    <col min="6414" max="6414" width="9.875" style="581" customWidth="1"/>
    <col min="6415" max="6415" width="8.875" style="581" customWidth="1"/>
    <col min="6416" max="6416" width="8.625" style="581" customWidth="1"/>
    <col min="6417" max="6417" width="8" style="581" customWidth="1"/>
    <col min="6418" max="6418" width="8.625" style="581" customWidth="1"/>
    <col min="6419" max="6419" width="9" style="581" customWidth="1"/>
    <col min="6420" max="6420" width="13.5" style="581" customWidth="1"/>
    <col min="6421" max="6421" width="16.125" style="581" bestFit="1" customWidth="1"/>
    <col min="6422" max="6422" width="13.875" style="581" bestFit="1" customWidth="1"/>
    <col min="6423" max="6423" width="7.5" style="581" bestFit="1" customWidth="1"/>
    <col min="6424" max="6424" width="13.875" style="581" customWidth="1"/>
    <col min="6425" max="6426" width="15.625" style="581" customWidth="1"/>
    <col min="6427" max="6659" width="9" style="581"/>
    <col min="6660" max="6660" width="8.5" style="581" customWidth="1"/>
    <col min="6661" max="6661" width="6.375" style="581" customWidth="1"/>
    <col min="6662" max="6662" width="6.625" style="581" customWidth="1"/>
    <col min="6663" max="6663" width="5.125" style="581" customWidth="1"/>
    <col min="6664" max="6664" width="6.5" style="581" customWidth="1"/>
    <col min="6665" max="6665" width="5.375" style="581" customWidth="1"/>
    <col min="6666" max="6666" width="4.625" style="581" customWidth="1"/>
    <col min="6667" max="6667" width="8.625" style="581" customWidth="1"/>
    <col min="6668" max="6668" width="19.875" style="581" customWidth="1"/>
    <col min="6669" max="6669" width="9" style="581"/>
    <col min="6670" max="6670" width="9.875" style="581" customWidth="1"/>
    <col min="6671" max="6671" width="8.875" style="581" customWidth="1"/>
    <col min="6672" max="6672" width="8.625" style="581" customWidth="1"/>
    <col min="6673" max="6673" width="8" style="581" customWidth="1"/>
    <col min="6674" max="6674" width="8.625" style="581" customWidth="1"/>
    <col min="6675" max="6675" width="9" style="581" customWidth="1"/>
    <col min="6676" max="6676" width="13.5" style="581" customWidth="1"/>
    <col min="6677" max="6677" width="16.125" style="581" bestFit="1" customWidth="1"/>
    <col min="6678" max="6678" width="13.875" style="581" bestFit="1" customWidth="1"/>
    <col min="6679" max="6679" width="7.5" style="581" bestFit="1" customWidth="1"/>
    <col min="6680" max="6680" width="13.875" style="581" customWidth="1"/>
    <col min="6681" max="6682" width="15.625" style="581" customWidth="1"/>
    <col min="6683" max="6915" width="9" style="581"/>
    <col min="6916" max="6916" width="8.5" style="581" customWidth="1"/>
    <col min="6917" max="6917" width="6.375" style="581" customWidth="1"/>
    <col min="6918" max="6918" width="6.625" style="581" customWidth="1"/>
    <col min="6919" max="6919" width="5.125" style="581" customWidth="1"/>
    <col min="6920" max="6920" width="6.5" style="581" customWidth="1"/>
    <col min="6921" max="6921" width="5.375" style="581" customWidth="1"/>
    <col min="6922" max="6922" width="4.625" style="581" customWidth="1"/>
    <col min="6923" max="6923" width="8.625" style="581" customWidth="1"/>
    <col min="6924" max="6924" width="19.875" style="581" customWidth="1"/>
    <col min="6925" max="6925" width="9" style="581"/>
    <col min="6926" max="6926" width="9.875" style="581" customWidth="1"/>
    <col min="6927" max="6927" width="8.875" style="581" customWidth="1"/>
    <col min="6928" max="6928" width="8.625" style="581" customWidth="1"/>
    <col min="6929" max="6929" width="8" style="581" customWidth="1"/>
    <col min="6930" max="6930" width="8.625" style="581" customWidth="1"/>
    <col min="6931" max="6931" width="9" style="581" customWidth="1"/>
    <col min="6932" max="6932" width="13.5" style="581" customWidth="1"/>
    <col min="6933" max="6933" width="16.125" style="581" bestFit="1" customWidth="1"/>
    <col min="6934" max="6934" width="13.875" style="581" bestFit="1" customWidth="1"/>
    <col min="6935" max="6935" width="7.5" style="581" bestFit="1" customWidth="1"/>
    <col min="6936" max="6936" width="13.875" style="581" customWidth="1"/>
    <col min="6937" max="6938" width="15.625" style="581" customWidth="1"/>
    <col min="6939" max="7171" width="9" style="581"/>
    <col min="7172" max="7172" width="8.5" style="581" customWidth="1"/>
    <col min="7173" max="7173" width="6.375" style="581" customWidth="1"/>
    <col min="7174" max="7174" width="6.625" style="581" customWidth="1"/>
    <col min="7175" max="7175" width="5.125" style="581" customWidth="1"/>
    <col min="7176" max="7176" width="6.5" style="581" customWidth="1"/>
    <col min="7177" max="7177" width="5.375" style="581" customWidth="1"/>
    <col min="7178" max="7178" width="4.625" style="581" customWidth="1"/>
    <col min="7179" max="7179" width="8.625" style="581" customWidth="1"/>
    <col min="7180" max="7180" width="19.875" style="581" customWidth="1"/>
    <col min="7181" max="7181" width="9" style="581"/>
    <col min="7182" max="7182" width="9.875" style="581" customWidth="1"/>
    <col min="7183" max="7183" width="8.875" style="581" customWidth="1"/>
    <col min="7184" max="7184" width="8.625" style="581" customWidth="1"/>
    <col min="7185" max="7185" width="8" style="581" customWidth="1"/>
    <col min="7186" max="7186" width="8.625" style="581" customWidth="1"/>
    <col min="7187" max="7187" width="9" style="581" customWidth="1"/>
    <col min="7188" max="7188" width="13.5" style="581" customWidth="1"/>
    <col min="7189" max="7189" width="16.125" style="581" bestFit="1" customWidth="1"/>
    <col min="7190" max="7190" width="13.875" style="581" bestFit="1" customWidth="1"/>
    <col min="7191" max="7191" width="7.5" style="581" bestFit="1" customWidth="1"/>
    <col min="7192" max="7192" width="13.875" style="581" customWidth="1"/>
    <col min="7193" max="7194" width="15.625" style="581" customWidth="1"/>
    <col min="7195" max="7427" width="9" style="581"/>
    <col min="7428" max="7428" width="8.5" style="581" customWidth="1"/>
    <col min="7429" max="7429" width="6.375" style="581" customWidth="1"/>
    <col min="7430" max="7430" width="6.625" style="581" customWidth="1"/>
    <col min="7431" max="7431" width="5.125" style="581" customWidth="1"/>
    <col min="7432" max="7432" width="6.5" style="581" customWidth="1"/>
    <col min="7433" max="7433" width="5.375" style="581" customWidth="1"/>
    <col min="7434" max="7434" width="4.625" style="581" customWidth="1"/>
    <col min="7435" max="7435" width="8.625" style="581" customWidth="1"/>
    <col min="7436" max="7436" width="19.875" style="581" customWidth="1"/>
    <col min="7437" max="7437" width="9" style="581"/>
    <col min="7438" max="7438" width="9.875" style="581" customWidth="1"/>
    <col min="7439" max="7439" width="8.875" style="581" customWidth="1"/>
    <col min="7440" max="7440" width="8.625" style="581" customWidth="1"/>
    <col min="7441" max="7441" width="8" style="581" customWidth="1"/>
    <col min="7442" max="7442" width="8.625" style="581" customWidth="1"/>
    <col min="7443" max="7443" width="9" style="581" customWidth="1"/>
    <col min="7444" max="7444" width="13.5" style="581" customWidth="1"/>
    <col min="7445" max="7445" width="16.125" style="581" bestFit="1" customWidth="1"/>
    <col min="7446" max="7446" width="13.875" style="581" bestFit="1" customWidth="1"/>
    <col min="7447" max="7447" width="7.5" style="581" bestFit="1" customWidth="1"/>
    <col min="7448" max="7448" width="13.875" style="581" customWidth="1"/>
    <col min="7449" max="7450" width="15.625" style="581" customWidth="1"/>
    <col min="7451" max="7683" width="9" style="581"/>
    <col min="7684" max="7684" width="8.5" style="581" customWidth="1"/>
    <col min="7685" max="7685" width="6.375" style="581" customWidth="1"/>
    <col min="7686" max="7686" width="6.625" style="581" customWidth="1"/>
    <col min="7687" max="7687" width="5.125" style="581" customWidth="1"/>
    <col min="7688" max="7688" width="6.5" style="581" customWidth="1"/>
    <col min="7689" max="7689" width="5.375" style="581" customWidth="1"/>
    <col min="7690" max="7690" width="4.625" style="581" customWidth="1"/>
    <col min="7691" max="7691" width="8.625" style="581" customWidth="1"/>
    <col min="7692" max="7692" width="19.875" style="581" customWidth="1"/>
    <col min="7693" max="7693" width="9" style="581"/>
    <col min="7694" max="7694" width="9.875" style="581" customWidth="1"/>
    <col min="7695" max="7695" width="8.875" style="581" customWidth="1"/>
    <col min="7696" max="7696" width="8.625" style="581" customWidth="1"/>
    <col min="7697" max="7697" width="8" style="581" customWidth="1"/>
    <col min="7698" max="7698" width="8.625" style="581" customWidth="1"/>
    <col min="7699" max="7699" width="9" style="581" customWidth="1"/>
    <col min="7700" max="7700" width="13.5" style="581" customWidth="1"/>
    <col min="7701" max="7701" width="16.125" style="581" bestFit="1" customWidth="1"/>
    <col min="7702" max="7702" width="13.875" style="581" bestFit="1" customWidth="1"/>
    <col min="7703" max="7703" width="7.5" style="581" bestFit="1" customWidth="1"/>
    <col min="7704" max="7704" width="13.875" style="581" customWidth="1"/>
    <col min="7705" max="7706" width="15.625" style="581" customWidth="1"/>
    <col min="7707" max="7939" width="9" style="581"/>
    <col min="7940" max="7940" width="8.5" style="581" customWidth="1"/>
    <col min="7941" max="7941" width="6.375" style="581" customWidth="1"/>
    <col min="7942" max="7942" width="6.625" style="581" customWidth="1"/>
    <col min="7943" max="7943" width="5.125" style="581" customWidth="1"/>
    <col min="7944" max="7944" width="6.5" style="581" customWidth="1"/>
    <col min="7945" max="7945" width="5.375" style="581" customWidth="1"/>
    <col min="7946" max="7946" width="4.625" style="581" customWidth="1"/>
    <col min="7947" max="7947" width="8.625" style="581" customWidth="1"/>
    <col min="7948" max="7948" width="19.875" style="581" customWidth="1"/>
    <col min="7949" max="7949" width="9" style="581"/>
    <col min="7950" max="7950" width="9.875" style="581" customWidth="1"/>
    <col min="7951" max="7951" width="8.875" style="581" customWidth="1"/>
    <col min="7952" max="7952" width="8.625" style="581" customWidth="1"/>
    <col min="7953" max="7953" width="8" style="581" customWidth="1"/>
    <col min="7954" max="7954" width="8.625" style="581" customWidth="1"/>
    <col min="7955" max="7955" width="9" style="581" customWidth="1"/>
    <col min="7956" max="7956" width="13.5" style="581" customWidth="1"/>
    <col min="7957" max="7957" width="16.125" style="581" bestFit="1" customWidth="1"/>
    <col min="7958" max="7958" width="13.875" style="581" bestFit="1" customWidth="1"/>
    <col min="7959" max="7959" width="7.5" style="581" bestFit="1" customWidth="1"/>
    <col min="7960" max="7960" width="13.875" style="581" customWidth="1"/>
    <col min="7961" max="7962" width="15.625" style="581" customWidth="1"/>
    <col min="7963" max="8195" width="9" style="581"/>
    <col min="8196" max="8196" width="8.5" style="581" customWidth="1"/>
    <col min="8197" max="8197" width="6.375" style="581" customWidth="1"/>
    <col min="8198" max="8198" width="6.625" style="581" customWidth="1"/>
    <col min="8199" max="8199" width="5.125" style="581" customWidth="1"/>
    <col min="8200" max="8200" width="6.5" style="581" customWidth="1"/>
    <col min="8201" max="8201" width="5.375" style="581" customWidth="1"/>
    <col min="8202" max="8202" width="4.625" style="581" customWidth="1"/>
    <col min="8203" max="8203" width="8.625" style="581" customWidth="1"/>
    <col min="8204" max="8204" width="19.875" style="581" customWidth="1"/>
    <col min="8205" max="8205" width="9" style="581"/>
    <col min="8206" max="8206" width="9.875" style="581" customWidth="1"/>
    <col min="8207" max="8207" width="8.875" style="581" customWidth="1"/>
    <col min="8208" max="8208" width="8.625" style="581" customWidth="1"/>
    <col min="8209" max="8209" width="8" style="581" customWidth="1"/>
    <col min="8210" max="8210" width="8.625" style="581" customWidth="1"/>
    <col min="8211" max="8211" width="9" style="581" customWidth="1"/>
    <col min="8212" max="8212" width="13.5" style="581" customWidth="1"/>
    <col min="8213" max="8213" width="16.125" style="581" bestFit="1" customWidth="1"/>
    <col min="8214" max="8214" width="13.875" style="581" bestFit="1" customWidth="1"/>
    <col min="8215" max="8215" width="7.5" style="581" bestFit="1" customWidth="1"/>
    <col min="8216" max="8216" width="13.875" style="581" customWidth="1"/>
    <col min="8217" max="8218" width="15.625" style="581" customWidth="1"/>
    <col min="8219" max="8451" width="9" style="581"/>
    <col min="8452" max="8452" width="8.5" style="581" customWidth="1"/>
    <col min="8453" max="8453" width="6.375" style="581" customWidth="1"/>
    <col min="8454" max="8454" width="6.625" style="581" customWidth="1"/>
    <col min="8455" max="8455" width="5.125" style="581" customWidth="1"/>
    <col min="8456" max="8456" width="6.5" style="581" customWidth="1"/>
    <col min="8457" max="8457" width="5.375" style="581" customWidth="1"/>
    <col min="8458" max="8458" width="4.625" style="581" customWidth="1"/>
    <col min="8459" max="8459" width="8.625" style="581" customWidth="1"/>
    <col min="8460" max="8460" width="19.875" style="581" customWidth="1"/>
    <col min="8461" max="8461" width="9" style="581"/>
    <col min="8462" max="8462" width="9.875" style="581" customWidth="1"/>
    <col min="8463" max="8463" width="8.875" style="581" customWidth="1"/>
    <col min="8464" max="8464" width="8.625" style="581" customWidth="1"/>
    <col min="8465" max="8465" width="8" style="581" customWidth="1"/>
    <col min="8466" max="8466" width="8.625" style="581" customWidth="1"/>
    <col min="8467" max="8467" width="9" style="581" customWidth="1"/>
    <col min="8468" max="8468" width="13.5" style="581" customWidth="1"/>
    <col min="8469" max="8469" width="16.125" style="581" bestFit="1" customWidth="1"/>
    <col min="8470" max="8470" width="13.875" style="581" bestFit="1" customWidth="1"/>
    <col min="8471" max="8471" width="7.5" style="581" bestFit="1" customWidth="1"/>
    <col min="8472" max="8472" width="13.875" style="581" customWidth="1"/>
    <col min="8473" max="8474" width="15.625" style="581" customWidth="1"/>
    <col min="8475" max="8707" width="9" style="581"/>
    <col min="8708" max="8708" width="8.5" style="581" customWidth="1"/>
    <col min="8709" max="8709" width="6.375" style="581" customWidth="1"/>
    <col min="8710" max="8710" width="6.625" style="581" customWidth="1"/>
    <col min="8711" max="8711" width="5.125" style="581" customWidth="1"/>
    <col min="8712" max="8712" width="6.5" style="581" customWidth="1"/>
    <col min="8713" max="8713" width="5.375" style="581" customWidth="1"/>
    <col min="8714" max="8714" width="4.625" style="581" customWidth="1"/>
    <col min="8715" max="8715" width="8.625" style="581" customWidth="1"/>
    <col min="8716" max="8716" width="19.875" style="581" customWidth="1"/>
    <col min="8717" max="8717" width="9" style="581"/>
    <col min="8718" max="8718" width="9.875" style="581" customWidth="1"/>
    <col min="8719" max="8719" width="8.875" style="581" customWidth="1"/>
    <col min="8720" max="8720" width="8.625" style="581" customWidth="1"/>
    <col min="8721" max="8721" width="8" style="581" customWidth="1"/>
    <col min="8722" max="8722" width="8.625" style="581" customWidth="1"/>
    <col min="8723" max="8723" width="9" style="581" customWidth="1"/>
    <col min="8724" max="8724" width="13.5" style="581" customWidth="1"/>
    <col min="8725" max="8725" width="16.125" style="581" bestFit="1" customWidth="1"/>
    <col min="8726" max="8726" width="13.875" style="581" bestFit="1" customWidth="1"/>
    <col min="8727" max="8727" width="7.5" style="581" bestFit="1" customWidth="1"/>
    <col min="8728" max="8728" width="13.875" style="581" customWidth="1"/>
    <col min="8729" max="8730" width="15.625" style="581" customWidth="1"/>
    <col min="8731" max="8963" width="9" style="581"/>
    <col min="8964" max="8964" width="8.5" style="581" customWidth="1"/>
    <col min="8965" max="8965" width="6.375" style="581" customWidth="1"/>
    <col min="8966" max="8966" width="6.625" style="581" customWidth="1"/>
    <col min="8967" max="8967" width="5.125" style="581" customWidth="1"/>
    <col min="8968" max="8968" width="6.5" style="581" customWidth="1"/>
    <col min="8969" max="8969" width="5.375" style="581" customWidth="1"/>
    <col min="8970" max="8970" width="4.625" style="581" customWidth="1"/>
    <col min="8971" max="8971" width="8.625" style="581" customWidth="1"/>
    <col min="8972" max="8972" width="19.875" style="581" customWidth="1"/>
    <col min="8973" max="8973" width="9" style="581"/>
    <col min="8974" max="8974" width="9.875" style="581" customWidth="1"/>
    <col min="8975" max="8975" width="8.875" style="581" customWidth="1"/>
    <col min="8976" max="8976" width="8.625" style="581" customWidth="1"/>
    <col min="8977" max="8977" width="8" style="581" customWidth="1"/>
    <col min="8978" max="8978" width="8.625" style="581" customWidth="1"/>
    <col min="8979" max="8979" width="9" style="581" customWidth="1"/>
    <col min="8980" max="8980" width="13.5" style="581" customWidth="1"/>
    <col min="8981" max="8981" width="16.125" style="581" bestFit="1" customWidth="1"/>
    <col min="8982" max="8982" width="13.875" style="581" bestFit="1" customWidth="1"/>
    <col min="8983" max="8983" width="7.5" style="581" bestFit="1" customWidth="1"/>
    <col min="8984" max="8984" width="13.875" style="581" customWidth="1"/>
    <col min="8985" max="8986" width="15.625" style="581" customWidth="1"/>
    <col min="8987" max="9219" width="9" style="581"/>
    <col min="9220" max="9220" width="8.5" style="581" customWidth="1"/>
    <col min="9221" max="9221" width="6.375" style="581" customWidth="1"/>
    <col min="9222" max="9222" width="6.625" style="581" customWidth="1"/>
    <col min="9223" max="9223" width="5.125" style="581" customWidth="1"/>
    <col min="9224" max="9224" width="6.5" style="581" customWidth="1"/>
    <col min="9225" max="9225" width="5.375" style="581" customWidth="1"/>
    <col min="9226" max="9226" width="4.625" style="581" customWidth="1"/>
    <col min="9227" max="9227" width="8.625" style="581" customWidth="1"/>
    <col min="9228" max="9228" width="19.875" style="581" customWidth="1"/>
    <col min="9229" max="9229" width="9" style="581"/>
    <col min="9230" max="9230" width="9.875" style="581" customWidth="1"/>
    <col min="9231" max="9231" width="8.875" style="581" customWidth="1"/>
    <col min="9232" max="9232" width="8.625" style="581" customWidth="1"/>
    <col min="9233" max="9233" width="8" style="581" customWidth="1"/>
    <col min="9234" max="9234" width="8.625" style="581" customWidth="1"/>
    <col min="9235" max="9235" width="9" style="581" customWidth="1"/>
    <col min="9236" max="9236" width="13.5" style="581" customWidth="1"/>
    <col min="9237" max="9237" width="16.125" style="581" bestFit="1" customWidth="1"/>
    <col min="9238" max="9238" width="13.875" style="581" bestFit="1" customWidth="1"/>
    <col min="9239" max="9239" width="7.5" style="581" bestFit="1" customWidth="1"/>
    <col min="9240" max="9240" width="13.875" style="581" customWidth="1"/>
    <col min="9241" max="9242" width="15.625" style="581" customWidth="1"/>
    <col min="9243" max="9475" width="9" style="581"/>
    <col min="9476" max="9476" width="8.5" style="581" customWidth="1"/>
    <col min="9477" max="9477" width="6.375" style="581" customWidth="1"/>
    <col min="9478" max="9478" width="6.625" style="581" customWidth="1"/>
    <col min="9479" max="9479" width="5.125" style="581" customWidth="1"/>
    <col min="9480" max="9480" width="6.5" style="581" customWidth="1"/>
    <col min="9481" max="9481" width="5.375" style="581" customWidth="1"/>
    <col min="9482" max="9482" width="4.625" style="581" customWidth="1"/>
    <col min="9483" max="9483" width="8.625" style="581" customWidth="1"/>
    <col min="9484" max="9484" width="19.875" style="581" customWidth="1"/>
    <col min="9485" max="9485" width="9" style="581"/>
    <col min="9486" max="9486" width="9.875" style="581" customWidth="1"/>
    <col min="9487" max="9487" width="8.875" style="581" customWidth="1"/>
    <col min="9488" max="9488" width="8.625" style="581" customWidth="1"/>
    <col min="9489" max="9489" width="8" style="581" customWidth="1"/>
    <col min="9490" max="9490" width="8.625" style="581" customWidth="1"/>
    <col min="9491" max="9491" width="9" style="581" customWidth="1"/>
    <col min="9492" max="9492" width="13.5" style="581" customWidth="1"/>
    <col min="9493" max="9493" width="16.125" style="581" bestFit="1" customWidth="1"/>
    <col min="9494" max="9494" width="13.875" style="581" bestFit="1" customWidth="1"/>
    <col min="9495" max="9495" width="7.5" style="581" bestFit="1" customWidth="1"/>
    <col min="9496" max="9496" width="13.875" style="581" customWidth="1"/>
    <col min="9497" max="9498" width="15.625" style="581" customWidth="1"/>
    <col min="9499" max="9731" width="9" style="581"/>
    <col min="9732" max="9732" width="8.5" style="581" customWidth="1"/>
    <col min="9733" max="9733" width="6.375" style="581" customWidth="1"/>
    <col min="9734" max="9734" width="6.625" style="581" customWidth="1"/>
    <col min="9735" max="9735" width="5.125" style="581" customWidth="1"/>
    <col min="9736" max="9736" width="6.5" style="581" customWidth="1"/>
    <col min="9737" max="9737" width="5.375" style="581" customWidth="1"/>
    <col min="9738" max="9738" width="4.625" style="581" customWidth="1"/>
    <col min="9739" max="9739" width="8.625" style="581" customWidth="1"/>
    <col min="9740" max="9740" width="19.875" style="581" customWidth="1"/>
    <col min="9741" max="9741" width="9" style="581"/>
    <col min="9742" max="9742" width="9.875" style="581" customWidth="1"/>
    <col min="9743" max="9743" width="8.875" style="581" customWidth="1"/>
    <col min="9744" max="9744" width="8.625" style="581" customWidth="1"/>
    <col min="9745" max="9745" width="8" style="581" customWidth="1"/>
    <col min="9746" max="9746" width="8.625" style="581" customWidth="1"/>
    <col min="9747" max="9747" width="9" style="581" customWidth="1"/>
    <col min="9748" max="9748" width="13.5" style="581" customWidth="1"/>
    <col min="9749" max="9749" width="16.125" style="581" bestFit="1" customWidth="1"/>
    <col min="9750" max="9750" width="13.875" style="581" bestFit="1" customWidth="1"/>
    <col min="9751" max="9751" width="7.5" style="581" bestFit="1" customWidth="1"/>
    <col min="9752" max="9752" width="13.875" style="581" customWidth="1"/>
    <col min="9753" max="9754" width="15.625" style="581" customWidth="1"/>
    <col min="9755" max="9987" width="9" style="581"/>
    <col min="9988" max="9988" width="8.5" style="581" customWidth="1"/>
    <col min="9989" max="9989" width="6.375" style="581" customWidth="1"/>
    <col min="9990" max="9990" width="6.625" style="581" customWidth="1"/>
    <col min="9991" max="9991" width="5.125" style="581" customWidth="1"/>
    <col min="9992" max="9992" width="6.5" style="581" customWidth="1"/>
    <col min="9993" max="9993" width="5.375" style="581" customWidth="1"/>
    <col min="9994" max="9994" width="4.625" style="581" customWidth="1"/>
    <col min="9995" max="9995" width="8.625" style="581" customWidth="1"/>
    <col min="9996" max="9996" width="19.875" style="581" customWidth="1"/>
    <col min="9997" max="9997" width="9" style="581"/>
    <col min="9998" max="9998" width="9.875" style="581" customWidth="1"/>
    <col min="9999" max="9999" width="8.875" style="581" customWidth="1"/>
    <col min="10000" max="10000" width="8.625" style="581" customWidth="1"/>
    <col min="10001" max="10001" width="8" style="581" customWidth="1"/>
    <col min="10002" max="10002" width="8.625" style="581" customWidth="1"/>
    <col min="10003" max="10003" width="9" style="581" customWidth="1"/>
    <col min="10004" max="10004" width="13.5" style="581" customWidth="1"/>
    <col min="10005" max="10005" width="16.125" style="581" bestFit="1" customWidth="1"/>
    <col min="10006" max="10006" width="13.875" style="581" bestFit="1" customWidth="1"/>
    <col min="10007" max="10007" width="7.5" style="581" bestFit="1" customWidth="1"/>
    <col min="10008" max="10008" width="13.875" style="581" customWidth="1"/>
    <col min="10009" max="10010" width="15.625" style="581" customWidth="1"/>
    <col min="10011" max="10243" width="9" style="581"/>
    <col min="10244" max="10244" width="8.5" style="581" customWidth="1"/>
    <col min="10245" max="10245" width="6.375" style="581" customWidth="1"/>
    <col min="10246" max="10246" width="6.625" style="581" customWidth="1"/>
    <col min="10247" max="10247" width="5.125" style="581" customWidth="1"/>
    <col min="10248" max="10248" width="6.5" style="581" customWidth="1"/>
    <col min="10249" max="10249" width="5.375" style="581" customWidth="1"/>
    <col min="10250" max="10250" width="4.625" style="581" customWidth="1"/>
    <col min="10251" max="10251" width="8.625" style="581" customWidth="1"/>
    <col min="10252" max="10252" width="19.875" style="581" customWidth="1"/>
    <col min="10253" max="10253" width="9" style="581"/>
    <col min="10254" max="10254" width="9.875" style="581" customWidth="1"/>
    <col min="10255" max="10255" width="8.875" style="581" customWidth="1"/>
    <col min="10256" max="10256" width="8.625" style="581" customWidth="1"/>
    <col min="10257" max="10257" width="8" style="581" customWidth="1"/>
    <col min="10258" max="10258" width="8.625" style="581" customWidth="1"/>
    <col min="10259" max="10259" width="9" style="581" customWidth="1"/>
    <col min="10260" max="10260" width="13.5" style="581" customWidth="1"/>
    <col min="10261" max="10261" width="16.125" style="581" bestFit="1" customWidth="1"/>
    <col min="10262" max="10262" width="13.875" style="581" bestFit="1" customWidth="1"/>
    <col min="10263" max="10263" width="7.5" style="581" bestFit="1" customWidth="1"/>
    <col min="10264" max="10264" width="13.875" style="581" customWidth="1"/>
    <col min="10265" max="10266" width="15.625" style="581" customWidth="1"/>
    <col min="10267" max="10499" width="9" style="581"/>
    <col min="10500" max="10500" width="8.5" style="581" customWidth="1"/>
    <col min="10501" max="10501" width="6.375" style="581" customWidth="1"/>
    <col min="10502" max="10502" width="6.625" style="581" customWidth="1"/>
    <col min="10503" max="10503" width="5.125" style="581" customWidth="1"/>
    <col min="10504" max="10504" width="6.5" style="581" customWidth="1"/>
    <col min="10505" max="10505" width="5.375" style="581" customWidth="1"/>
    <col min="10506" max="10506" width="4.625" style="581" customWidth="1"/>
    <col min="10507" max="10507" width="8.625" style="581" customWidth="1"/>
    <col min="10508" max="10508" width="19.875" style="581" customWidth="1"/>
    <col min="10509" max="10509" width="9" style="581"/>
    <col min="10510" max="10510" width="9.875" style="581" customWidth="1"/>
    <col min="10511" max="10511" width="8.875" style="581" customWidth="1"/>
    <col min="10512" max="10512" width="8.625" style="581" customWidth="1"/>
    <col min="10513" max="10513" width="8" style="581" customWidth="1"/>
    <col min="10514" max="10514" width="8.625" style="581" customWidth="1"/>
    <col min="10515" max="10515" width="9" style="581" customWidth="1"/>
    <col min="10516" max="10516" width="13.5" style="581" customWidth="1"/>
    <col min="10517" max="10517" width="16.125" style="581" bestFit="1" customWidth="1"/>
    <col min="10518" max="10518" width="13.875" style="581" bestFit="1" customWidth="1"/>
    <col min="10519" max="10519" width="7.5" style="581" bestFit="1" customWidth="1"/>
    <col min="10520" max="10520" width="13.875" style="581" customWidth="1"/>
    <col min="10521" max="10522" width="15.625" style="581" customWidth="1"/>
    <col min="10523" max="10755" width="9" style="581"/>
    <col min="10756" max="10756" width="8.5" style="581" customWidth="1"/>
    <col min="10757" max="10757" width="6.375" style="581" customWidth="1"/>
    <col min="10758" max="10758" width="6.625" style="581" customWidth="1"/>
    <col min="10759" max="10759" width="5.125" style="581" customWidth="1"/>
    <col min="10760" max="10760" width="6.5" style="581" customWidth="1"/>
    <col min="10761" max="10761" width="5.375" style="581" customWidth="1"/>
    <col min="10762" max="10762" width="4.625" style="581" customWidth="1"/>
    <col min="10763" max="10763" width="8.625" style="581" customWidth="1"/>
    <col min="10764" max="10764" width="19.875" style="581" customWidth="1"/>
    <col min="10765" max="10765" width="9" style="581"/>
    <col min="10766" max="10766" width="9.875" style="581" customWidth="1"/>
    <col min="10767" max="10767" width="8.875" style="581" customWidth="1"/>
    <col min="10768" max="10768" width="8.625" style="581" customWidth="1"/>
    <col min="10769" max="10769" width="8" style="581" customWidth="1"/>
    <col min="10770" max="10770" width="8.625" style="581" customWidth="1"/>
    <col min="10771" max="10771" width="9" style="581" customWidth="1"/>
    <col min="10772" max="10772" width="13.5" style="581" customWidth="1"/>
    <col min="10773" max="10773" width="16.125" style="581" bestFit="1" customWidth="1"/>
    <col min="10774" max="10774" width="13.875" style="581" bestFit="1" customWidth="1"/>
    <col min="10775" max="10775" width="7.5" style="581" bestFit="1" customWidth="1"/>
    <col min="10776" max="10776" width="13.875" style="581" customWidth="1"/>
    <col min="10777" max="10778" width="15.625" style="581" customWidth="1"/>
    <col min="10779" max="11011" width="9" style="581"/>
    <col min="11012" max="11012" width="8.5" style="581" customWidth="1"/>
    <col min="11013" max="11013" width="6.375" style="581" customWidth="1"/>
    <col min="11014" max="11014" width="6.625" style="581" customWidth="1"/>
    <col min="11015" max="11015" width="5.125" style="581" customWidth="1"/>
    <col min="11016" max="11016" width="6.5" style="581" customWidth="1"/>
    <col min="11017" max="11017" width="5.375" style="581" customWidth="1"/>
    <col min="11018" max="11018" width="4.625" style="581" customWidth="1"/>
    <col min="11019" max="11019" width="8.625" style="581" customWidth="1"/>
    <col min="11020" max="11020" width="19.875" style="581" customWidth="1"/>
    <col min="11021" max="11021" width="9" style="581"/>
    <col min="11022" max="11022" width="9.875" style="581" customWidth="1"/>
    <col min="11023" max="11023" width="8.875" style="581" customWidth="1"/>
    <col min="11024" max="11024" width="8.625" style="581" customWidth="1"/>
    <col min="11025" max="11025" width="8" style="581" customWidth="1"/>
    <col min="11026" max="11026" width="8.625" style="581" customWidth="1"/>
    <col min="11027" max="11027" width="9" style="581" customWidth="1"/>
    <col min="11028" max="11028" width="13.5" style="581" customWidth="1"/>
    <col min="11029" max="11029" width="16.125" style="581" bestFit="1" customWidth="1"/>
    <col min="11030" max="11030" width="13.875" style="581" bestFit="1" customWidth="1"/>
    <col min="11031" max="11031" width="7.5" style="581" bestFit="1" customWidth="1"/>
    <col min="11032" max="11032" width="13.875" style="581" customWidth="1"/>
    <col min="11033" max="11034" width="15.625" style="581" customWidth="1"/>
    <col min="11035" max="11267" width="9" style="581"/>
    <col min="11268" max="11268" width="8.5" style="581" customWidth="1"/>
    <col min="11269" max="11269" width="6.375" style="581" customWidth="1"/>
    <col min="11270" max="11270" width="6.625" style="581" customWidth="1"/>
    <col min="11271" max="11271" width="5.125" style="581" customWidth="1"/>
    <col min="11272" max="11272" width="6.5" style="581" customWidth="1"/>
    <col min="11273" max="11273" width="5.375" style="581" customWidth="1"/>
    <col min="11274" max="11274" width="4.625" style="581" customWidth="1"/>
    <col min="11275" max="11275" width="8.625" style="581" customWidth="1"/>
    <col min="11276" max="11276" width="19.875" style="581" customWidth="1"/>
    <col min="11277" max="11277" width="9" style="581"/>
    <col min="11278" max="11278" width="9.875" style="581" customWidth="1"/>
    <col min="11279" max="11279" width="8.875" style="581" customWidth="1"/>
    <col min="11280" max="11280" width="8.625" style="581" customWidth="1"/>
    <col min="11281" max="11281" width="8" style="581" customWidth="1"/>
    <col min="11282" max="11282" width="8.625" style="581" customWidth="1"/>
    <col min="11283" max="11283" width="9" style="581" customWidth="1"/>
    <col min="11284" max="11284" width="13.5" style="581" customWidth="1"/>
    <col min="11285" max="11285" width="16.125" style="581" bestFit="1" customWidth="1"/>
    <col min="11286" max="11286" width="13.875" style="581" bestFit="1" customWidth="1"/>
    <col min="11287" max="11287" width="7.5" style="581" bestFit="1" customWidth="1"/>
    <col min="11288" max="11288" width="13.875" style="581" customWidth="1"/>
    <col min="11289" max="11290" width="15.625" style="581" customWidth="1"/>
    <col min="11291" max="11523" width="9" style="581"/>
    <col min="11524" max="11524" width="8.5" style="581" customWidth="1"/>
    <col min="11525" max="11525" width="6.375" style="581" customWidth="1"/>
    <col min="11526" max="11526" width="6.625" style="581" customWidth="1"/>
    <col min="11527" max="11527" width="5.125" style="581" customWidth="1"/>
    <col min="11528" max="11528" width="6.5" style="581" customWidth="1"/>
    <col min="11529" max="11529" width="5.375" style="581" customWidth="1"/>
    <col min="11530" max="11530" width="4.625" style="581" customWidth="1"/>
    <col min="11531" max="11531" width="8.625" style="581" customWidth="1"/>
    <col min="11532" max="11532" width="19.875" style="581" customWidth="1"/>
    <col min="11533" max="11533" width="9" style="581"/>
    <col min="11534" max="11534" width="9.875" style="581" customWidth="1"/>
    <col min="11535" max="11535" width="8.875" style="581" customWidth="1"/>
    <col min="11536" max="11536" width="8.625" style="581" customWidth="1"/>
    <col min="11537" max="11537" width="8" style="581" customWidth="1"/>
    <col min="11538" max="11538" width="8.625" style="581" customWidth="1"/>
    <col min="11539" max="11539" width="9" style="581" customWidth="1"/>
    <col min="11540" max="11540" width="13.5" style="581" customWidth="1"/>
    <col min="11541" max="11541" width="16.125" style="581" bestFit="1" customWidth="1"/>
    <col min="11542" max="11542" width="13.875" style="581" bestFit="1" customWidth="1"/>
    <col min="11543" max="11543" width="7.5" style="581" bestFit="1" customWidth="1"/>
    <col min="11544" max="11544" width="13.875" style="581" customWidth="1"/>
    <col min="11545" max="11546" width="15.625" style="581" customWidth="1"/>
    <col min="11547" max="11779" width="9" style="581"/>
    <col min="11780" max="11780" width="8.5" style="581" customWidth="1"/>
    <col min="11781" max="11781" width="6.375" style="581" customWidth="1"/>
    <col min="11782" max="11782" width="6.625" style="581" customWidth="1"/>
    <col min="11783" max="11783" width="5.125" style="581" customWidth="1"/>
    <col min="11784" max="11784" width="6.5" style="581" customWidth="1"/>
    <col min="11785" max="11785" width="5.375" style="581" customWidth="1"/>
    <col min="11786" max="11786" width="4.625" style="581" customWidth="1"/>
    <col min="11787" max="11787" width="8.625" style="581" customWidth="1"/>
    <col min="11788" max="11788" width="19.875" style="581" customWidth="1"/>
    <col min="11789" max="11789" width="9" style="581"/>
    <col min="11790" max="11790" width="9.875" style="581" customWidth="1"/>
    <col min="11791" max="11791" width="8.875" style="581" customWidth="1"/>
    <col min="11792" max="11792" width="8.625" style="581" customWidth="1"/>
    <col min="11793" max="11793" width="8" style="581" customWidth="1"/>
    <col min="11794" max="11794" width="8.625" style="581" customWidth="1"/>
    <col min="11795" max="11795" width="9" style="581" customWidth="1"/>
    <col min="11796" max="11796" width="13.5" style="581" customWidth="1"/>
    <col min="11797" max="11797" width="16.125" style="581" bestFit="1" customWidth="1"/>
    <col min="11798" max="11798" width="13.875" style="581" bestFit="1" customWidth="1"/>
    <col min="11799" max="11799" width="7.5" style="581" bestFit="1" customWidth="1"/>
    <col min="11800" max="11800" width="13.875" style="581" customWidth="1"/>
    <col min="11801" max="11802" width="15.625" style="581" customWidth="1"/>
    <col min="11803" max="12035" width="9" style="581"/>
    <col min="12036" max="12036" width="8.5" style="581" customWidth="1"/>
    <col min="12037" max="12037" width="6.375" style="581" customWidth="1"/>
    <col min="12038" max="12038" width="6.625" style="581" customWidth="1"/>
    <col min="12039" max="12039" width="5.125" style="581" customWidth="1"/>
    <col min="12040" max="12040" width="6.5" style="581" customWidth="1"/>
    <col min="12041" max="12041" width="5.375" style="581" customWidth="1"/>
    <col min="12042" max="12042" width="4.625" style="581" customWidth="1"/>
    <col min="12043" max="12043" width="8.625" style="581" customWidth="1"/>
    <col min="12044" max="12044" width="19.875" style="581" customWidth="1"/>
    <col min="12045" max="12045" width="9" style="581"/>
    <col min="12046" max="12046" width="9.875" style="581" customWidth="1"/>
    <col min="12047" max="12047" width="8.875" style="581" customWidth="1"/>
    <col min="12048" max="12048" width="8.625" style="581" customWidth="1"/>
    <col min="12049" max="12049" width="8" style="581" customWidth="1"/>
    <col min="12050" max="12050" width="8.625" style="581" customWidth="1"/>
    <col min="12051" max="12051" width="9" style="581" customWidth="1"/>
    <col min="12052" max="12052" width="13.5" style="581" customWidth="1"/>
    <col min="12053" max="12053" width="16.125" style="581" bestFit="1" customWidth="1"/>
    <col min="12054" max="12054" width="13.875" style="581" bestFit="1" customWidth="1"/>
    <col min="12055" max="12055" width="7.5" style="581" bestFit="1" customWidth="1"/>
    <col min="12056" max="12056" width="13.875" style="581" customWidth="1"/>
    <col min="12057" max="12058" width="15.625" style="581" customWidth="1"/>
    <col min="12059" max="12291" width="9" style="581"/>
    <col min="12292" max="12292" width="8.5" style="581" customWidth="1"/>
    <col min="12293" max="12293" width="6.375" style="581" customWidth="1"/>
    <col min="12294" max="12294" width="6.625" style="581" customWidth="1"/>
    <col min="12295" max="12295" width="5.125" style="581" customWidth="1"/>
    <col min="12296" max="12296" width="6.5" style="581" customWidth="1"/>
    <col min="12297" max="12297" width="5.375" style="581" customWidth="1"/>
    <col min="12298" max="12298" width="4.625" style="581" customWidth="1"/>
    <col min="12299" max="12299" width="8.625" style="581" customWidth="1"/>
    <col min="12300" max="12300" width="19.875" style="581" customWidth="1"/>
    <col min="12301" max="12301" width="9" style="581"/>
    <col min="12302" max="12302" width="9.875" style="581" customWidth="1"/>
    <col min="12303" max="12303" width="8.875" style="581" customWidth="1"/>
    <col min="12304" max="12304" width="8.625" style="581" customWidth="1"/>
    <col min="12305" max="12305" width="8" style="581" customWidth="1"/>
    <col min="12306" max="12306" width="8.625" style="581" customWidth="1"/>
    <col min="12307" max="12307" width="9" style="581" customWidth="1"/>
    <col min="12308" max="12308" width="13.5" style="581" customWidth="1"/>
    <col min="12309" max="12309" width="16.125" style="581" bestFit="1" customWidth="1"/>
    <col min="12310" max="12310" width="13.875" style="581" bestFit="1" customWidth="1"/>
    <col min="12311" max="12311" width="7.5" style="581" bestFit="1" customWidth="1"/>
    <col min="12312" max="12312" width="13.875" style="581" customWidth="1"/>
    <col min="12313" max="12314" width="15.625" style="581" customWidth="1"/>
    <col min="12315" max="12547" width="9" style="581"/>
    <col min="12548" max="12548" width="8.5" style="581" customWidth="1"/>
    <col min="12549" max="12549" width="6.375" style="581" customWidth="1"/>
    <col min="12550" max="12550" width="6.625" style="581" customWidth="1"/>
    <col min="12551" max="12551" width="5.125" style="581" customWidth="1"/>
    <col min="12552" max="12552" width="6.5" style="581" customWidth="1"/>
    <col min="12553" max="12553" width="5.375" style="581" customWidth="1"/>
    <col min="12554" max="12554" width="4.625" style="581" customWidth="1"/>
    <col min="12555" max="12555" width="8.625" style="581" customWidth="1"/>
    <col min="12556" max="12556" width="19.875" style="581" customWidth="1"/>
    <col min="12557" max="12557" width="9" style="581"/>
    <col min="12558" max="12558" width="9.875" style="581" customWidth="1"/>
    <col min="12559" max="12559" width="8.875" style="581" customWidth="1"/>
    <col min="12560" max="12560" width="8.625" style="581" customWidth="1"/>
    <col min="12561" max="12561" width="8" style="581" customWidth="1"/>
    <col min="12562" max="12562" width="8.625" style="581" customWidth="1"/>
    <col min="12563" max="12563" width="9" style="581" customWidth="1"/>
    <col min="12564" max="12564" width="13.5" style="581" customWidth="1"/>
    <col min="12565" max="12565" width="16.125" style="581" bestFit="1" customWidth="1"/>
    <col min="12566" max="12566" width="13.875" style="581" bestFit="1" customWidth="1"/>
    <col min="12567" max="12567" width="7.5" style="581" bestFit="1" customWidth="1"/>
    <col min="12568" max="12568" width="13.875" style="581" customWidth="1"/>
    <col min="12569" max="12570" width="15.625" style="581" customWidth="1"/>
    <col min="12571" max="12803" width="9" style="581"/>
    <col min="12804" max="12804" width="8.5" style="581" customWidth="1"/>
    <col min="12805" max="12805" width="6.375" style="581" customWidth="1"/>
    <col min="12806" max="12806" width="6.625" style="581" customWidth="1"/>
    <col min="12807" max="12807" width="5.125" style="581" customWidth="1"/>
    <col min="12808" max="12808" width="6.5" style="581" customWidth="1"/>
    <col min="12809" max="12809" width="5.375" style="581" customWidth="1"/>
    <col min="12810" max="12810" width="4.625" style="581" customWidth="1"/>
    <col min="12811" max="12811" width="8.625" style="581" customWidth="1"/>
    <col min="12812" max="12812" width="19.875" style="581" customWidth="1"/>
    <col min="12813" max="12813" width="9" style="581"/>
    <col min="12814" max="12814" width="9.875" style="581" customWidth="1"/>
    <col min="12815" max="12815" width="8.875" style="581" customWidth="1"/>
    <col min="12816" max="12816" width="8.625" style="581" customWidth="1"/>
    <col min="12817" max="12817" width="8" style="581" customWidth="1"/>
    <col min="12818" max="12818" width="8.625" style="581" customWidth="1"/>
    <col min="12819" max="12819" width="9" style="581" customWidth="1"/>
    <col min="12820" max="12820" width="13.5" style="581" customWidth="1"/>
    <col min="12821" max="12821" width="16.125" style="581" bestFit="1" customWidth="1"/>
    <col min="12822" max="12822" width="13.875" style="581" bestFit="1" customWidth="1"/>
    <col min="12823" max="12823" width="7.5" style="581" bestFit="1" customWidth="1"/>
    <col min="12824" max="12824" width="13.875" style="581" customWidth="1"/>
    <col min="12825" max="12826" width="15.625" style="581" customWidth="1"/>
    <col min="12827" max="13059" width="9" style="581"/>
    <col min="13060" max="13060" width="8.5" style="581" customWidth="1"/>
    <col min="13061" max="13061" width="6.375" style="581" customWidth="1"/>
    <col min="13062" max="13062" width="6.625" style="581" customWidth="1"/>
    <col min="13063" max="13063" width="5.125" style="581" customWidth="1"/>
    <col min="13064" max="13064" width="6.5" style="581" customWidth="1"/>
    <col min="13065" max="13065" width="5.375" style="581" customWidth="1"/>
    <col min="13066" max="13066" width="4.625" style="581" customWidth="1"/>
    <col min="13067" max="13067" width="8.625" style="581" customWidth="1"/>
    <col min="13068" max="13068" width="19.875" style="581" customWidth="1"/>
    <col min="13069" max="13069" width="9" style="581"/>
    <col min="13070" max="13070" width="9.875" style="581" customWidth="1"/>
    <col min="13071" max="13071" width="8.875" style="581" customWidth="1"/>
    <col min="13072" max="13072" width="8.625" style="581" customWidth="1"/>
    <col min="13073" max="13073" width="8" style="581" customWidth="1"/>
    <col min="13074" max="13074" width="8.625" style="581" customWidth="1"/>
    <col min="13075" max="13075" width="9" style="581" customWidth="1"/>
    <col min="13076" max="13076" width="13.5" style="581" customWidth="1"/>
    <col min="13077" max="13077" width="16.125" style="581" bestFit="1" customWidth="1"/>
    <col min="13078" max="13078" width="13.875" style="581" bestFit="1" customWidth="1"/>
    <col min="13079" max="13079" width="7.5" style="581" bestFit="1" customWidth="1"/>
    <col min="13080" max="13080" width="13.875" style="581" customWidth="1"/>
    <col min="13081" max="13082" width="15.625" style="581" customWidth="1"/>
    <col min="13083" max="13315" width="9" style="581"/>
    <col min="13316" max="13316" width="8.5" style="581" customWidth="1"/>
    <col min="13317" max="13317" width="6.375" style="581" customWidth="1"/>
    <col min="13318" max="13318" width="6.625" style="581" customWidth="1"/>
    <col min="13319" max="13319" width="5.125" style="581" customWidth="1"/>
    <col min="13320" max="13320" width="6.5" style="581" customWidth="1"/>
    <col min="13321" max="13321" width="5.375" style="581" customWidth="1"/>
    <col min="13322" max="13322" width="4.625" style="581" customWidth="1"/>
    <col min="13323" max="13323" width="8.625" style="581" customWidth="1"/>
    <col min="13324" max="13324" width="19.875" style="581" customWidth="1"/>
    <col min="13325" max="13325" width="9" style="581"/>
    <col min="13326" max="13326" width="9.875" style="581" customWidth="1"/>
    <col min="13327" max="13327" width="8.875" style="581" customWidth="1"/>
    <col min="13328" max="13328" width="8.625" style="581" customWidth="1"/>
    <col min="13329" max="13329" width="8" style="581" customWidth="1"/>
    <col min="13330" max="13330" width="8.625" style="581" customWidth="1"/>
    <col min="13331" max="13331" width="9" style="581" customWidth="1"/>
    <col min="13332" max="13332" width="13.5" style="581" customWidth="1"/>
    <col min="13333" max="13333" width="16.125" style="581" bestFit="1" customWidth="1"/>
    <col min="13334" max="13334" width="13.875" style="581" bestFit="1" customWidth="1"/>
    <col min="13335" max="13335" width="7.5" style="581" bestFit="1" customWidth="1"/>
    <col min="13336" max="13336" width="13.875" style="581" customWidth="1"/>
    <col min="13337" max="13338" width="15.625" style="581" customWidth="1"/>
    <col min="13339" max="13571" width="9" style="581"/>
    <col min="13572" max="13572" width="8.5" style="581" customWidth="1"/>
    <col min="13573" max="13573" width="6.375" style="581" customWidth="1"/>
    <col min="13574" max="13574" width="6.625" style="581" customWidth="1"/>
    <col min="13575" max="13575" width="5.125" style="581" customWidth="1"/>
    <col min="13576" max="13576" width="6.5" style="581" customWidth="1"/>
    <col min="13577" max="13577" width="5.375" style="581" customWidth="1"/>
    <col min="13578" max="13578" width="4.625" style="581" customWidth="1"/>
    <col min="13579" max="13579" width="8.625" style="581" customWidth="1"/>
    <col min="13580" max="13580" width="19.875" style="581" customWidth="1"/>
    <col min="13581" max="13581" width="9" style="581"/>
    <col min="13582" max="13582" width="9.875" style="581" customWidth="1"/>
    <col min="13583" max="13583" width="8.875" style="581" customWidth="1"/>
    <col min="13584" max="13584" width="8.625" style="581" customWidth="1"/>
    <col min="13585" max="13585" width="8" style="581" customWidth="1"/>
    <col min="13586" max="13586" width="8.625" style="581" customWidth="1"/>
    <col min="13587" max="13587" width="9" style="581" customWidth="1"/>
    <col min="13588" max="13588" width="13.5" style="581" customWidth="1"/>
    <col min="13589" max="13589" width="16.125" style="581" bestFit="1" customWidth="1"/>
    <col min="13590" max="13590" width="13.875" style="581" bestFit="1" customWidth="1"/>
    <col min="13591" max="13591" width="7.5" style="581" bestFit="1" customWidth="1"/>
    <col min="13592" max="13592" width="13.875" style="581" customWidth="1"/>
    <col min="13593" max="13594" width="15.625" style="581" customWidth="1"/>
    <col min="13595" max="13827" width="9" style="581"/>
    <col min="13828" max="13828" width="8.5" style="581" customWidth="1"/>
    <col min="13829" max="13829" width="6.375" style="581" customWidth="1"/>
    <col min="13830" max="13830" width="6.625" style="581" customWidth="1"/>
    <col min="13831" max="13831" width="5.125" style="581" customWidth="1"/>
    <col min="13832" max="13832" width="6.5" style="581" customWidth="1"/>
    <col min="13833" max="13833" width="5.375" style="581" customWidth="1"/>
    <col min="13834" max="13834" width="4.625" style="581" customWidth="1"/>
    <col min="13835" max="13835" width="8.625" style="581" customWidth="1"/>
    <col min="13836" max="13836" width="19.875" style="581" customWidth="1"/>
    <col min="13837" max="13837" width="9" style="581"/>
    <col min="13838" max="13838" width="9.875" style="581" customWidth="1"/>
    <col min="13839" max="13839" width="8.875" style="581" customWidth="1"/>
    <col min="13840" max="13840" width="8.625" style="581" customWidth="1"/>
    <col min="13841" max="13841" width="8" style="581" customWidth="1"/>
    <col min="13842" max="13842" width="8.625" style="581" customWidth="1"/>
    <col min="13843" max="13843" width="9" style="581" customWidth="1"/>
    <col min="13844" max="13844" width="13.5" style="581" customWidth="1"/>
    <col min="13845" max="13845" width="16.125" style="581" bestFit="1" customWidth="1"/>
    <col min="13846" max="13846" width="13.875" style="581" bestFit="1" customWidth="1"/>
    <col min="13847" max="13847" width="7.5" style="581" bestFit="1" customWidth="1"/>
    <col min="13848" max="13848" width="13.875" style="581" customWidth="1"/>
    <col min="13849" max="13850" width="15.625" style="581" customWidth="1"/>
    <col min="13851" max="14083" width="9" style="581"/>
    <col min="14084" max="14084" width="8.5" style="581" customWidth="1"/>
    <col min="14085" max="14085" width="6.375" style="581" customWidth="1"/>
    <col min="14086" max="14086" width="6.625" style="581" customWidth="1"/>
    <col min="14087" max="14087" width="5.125" style="581" customWidth="1"/>
    <col min="14088" max="14088" width="6.5" style="581" customWidth="1"/>
    <col min="14089" max="14089" width="5.375" style="581" customWidth="1"/>
    <col min="14090" max="14090" width="4.625" style="581" customWidth="1"/>
    <col min="14091" max="14091" width="8.625" style="581" customWidth="1"/>
    <col min="14092" max="14092" width="19.875" style="581" customWidth="1"/>
    <col min="14093" max="14093" width="9" style="581"/>
    <col min="14094" max="14094" width="9.875" style="581" customWidth="1"/>
    <col min="14095" max="14095" width="8.875" style="581" customWidth="1"/>
    <col min="14096" max="14096" width="8.625" style="581" customWidth="1"/>
    <col min="14097" max="14097" width="8" style="581" customWidth="1"/>
    <col min="14098" max="14098" width="8.625" style="581" customWidth="1"/>
    <col min="14099" max="14099" width="9" style="581" customWidth="1"/>
    <col min="14100" max="14100" width="13.5" style="581" customWidth="1"/>
    <col min="14101" max="14101" width="16.125" style="581" bestFit="1" customWidth="1"/>
    <col min="14102" max="14102" width="13.875" style="581" bestFit="1" customWidth="1"/>
    <col min="14103" max="14103" width="7.5" style="581" bestFit="1" customWidth="1"/>
    <col min="14104" max="14104" width="13.875" style="581" customWidth="1"/>
    <col min="14105" max="14106" width="15.625" style="581" customWidth="1"/>
    <col min="14107" max="14339" width="9" style="581"/>
    <col min="14340" max="14340" width="8.5" style="581" customWidth="1"/>
    <col min="14341" max="14341" width="6.375" style="581" customWidth="1"/>
    <col min="14342" max="14342" width="6.625" style="581" customWidth="1"/>
    <col min="14343" max="14343" width="5.125" style="581" customWidth="1"/>
    <col min="14344" max="14344" width="6.5" style="581" customWidth="1"/>
    <col min="14345" max="14345" width="5.375" style="581" customWidth="1"/>
    <col min="14346" max="14346" width="4.625" style="581" customWidth="1"/>
    <col min="14347" max="14347" width="8.625" style="581" customWidth="1"/>
    <col min="14348" max="14348" width="19.875" style="581" customWidth="1"/>
    <col min="14349" max="14349" width="9" style="581"/>
    <col min="14350" max="14350" width="9.875" style="581" customWidth="1"/>
    <col min="14351" max="14351" width="8.875" style="581" customWidth="1"/>
    <col min="14352" max="14352" width="8.625" style="581" customWidth="1"/>
    <col min="14353" max="14353" width="8" style="581" customWidth="1"/>
    <col min="14354" max="14354" width="8.625" style="581" customWidth="1"/>
    <col min="14355" max="14355" width="9" style="581" customWidth="1"/>
    <col min="14356" max="14356" width="13.5" style="581" customWidth="1"/>
    <col min="14357" max="14357" width="16.125" style="581" bestFit="1" customWidth="1"/>
    <col min="14358" max="14358" width="13.875" style="581" bestFit="1" customWidth="1"/>
    <col min="14359" max="14359" width="7.5" style="581" bestFit="1" customWidth="1"/>
    <col min="14360" max="14360" width="13.875" style="581" customWidth="1"/>
    <col min="14361" max="14362" width="15.625" style="581" customWidth="1"/>
    <col min="14363" max="14595" width="9" style="581"/>
    <col min="14596" max="14596" width="8.5" style="581" customWidth="1"/>
    <col min="14597" max="14597" width="6.375" style="581" customWidth="1"/>
    <col min="14598" max="14598" width="6.625" style="581" customWidth="1"/>
    <col min="14599" max="14599" width="5.125" style="581" customWidth="1"/>
    <col min="14600" max="14600" width="6.5" style="581" customWidth="1"/>
    <col min="14601" max="14601" width="5.375" style="581" customWidth="1"/>
    <col min="14602" max="14602" width="4.625" style="581" customWidth="1"/>
    <col min="14603" max="14603" width="8.625" style="581" customWidth="1"/>
    <col min="14604" max="14604" width="19.875" style="581" customWidth="1"/>
    <col min="14605" max="14605" width="9" style="581"/>
    <col min="14606" max="14606" width="9.875" style="581" customWidth="1"/>
    <col min="14607" max="14607" width="8.875" style="581" customWidth="1"/>
    <col min="14608" max="14608" width="8.625" style="581" customWidth="1"/>
    <col min="14609" max="14609" width="8" style="581" customWidth="1"/>
    <col min="14610" max="14610" width="8.625" style="581" customWidth="1"/>
    <col min="14611" max="14611" width="9" style="581" customWidth="1"/>
    <col min="14612" max="14612" width="13.5" style="581" customWidth="1"/>
    <col min="14613" max="14613" width="16.125" style="581" bestFit="1" customWidth="1"/>
    <col min="14614" max="14614" width="13.875" style="581" bestFit="1" customWidth="1"/>
    <col min="14615" max="14615" width="7.5" style="581" bestFit="1" customWidth="1"/>
    <col min="14616" max="14616" width="13.875" style="581" customWidth="1"/>
    <col min="14617" max="14618" width="15.625" style="581" customWidth="1"/>
    <col min="14619" max="14851" width="9" style="581"/>
    <col min="14852" max="14852" width="8.5" style="581" customWidth="1"/>
    <col min="14853" max="14853" width="6.375" style="581" customWidth="1"/>
    <col min="14854" max="14854" width="6.625" style="581" customWidth="1"/>
    <col min="14855" max="14855" width="5.125" style="581" customWidth="1"/>
    <col min="14856" max="14856" width="6.5" style="581" customWidth="1"/>
    <col min="14857" max="14857" width="5.375" style="581" customWidth="1"/>
    <col min="14858" max="14858" width="4.625" style="581" customWidth="1"/>
    <col min="14859" max="14859" width="8.625" style="581" customWidth="1"/>
    <col min="14860" max="14860" width="19.875" style="581" customWidth="1"/>
    <col min="14861" max="14861" width="9" style="581"/>
    <col min="14862" max="14862" width="9.875" style="581" customWidth="1"/>
    <col min="14863" max="14863" width="8.875" style="581" customWidth="1"/>
    <col min="14864" max="14864" width="8.625" style="581" customWidth="1"/>
    <col min="14865" max="14865" width="8" style="581" customWidth="1"/>
    <col min="14866" max="14866" width="8.625" style="581" customWidth="1"/>
    <col min="14867" max="14867" width="9" style="581" customWidth="1"/>
    <col min="14868" max="14868" width="13.5" style="581" customWidth="1"/>
    <col min="14869" max="14869" width="16.125" style="581" bestFit="1" customWidth="1"/>
    <col min="14870" max="14870" width="13.875" style="581" bestFit="1" customWidth="1"/>
    <col min="14871" max="14871" width="7.5" style="581" bestFit="1" customWidth="1"/>
    <col min="14872" max="14872" width="13.875" style="581" customWidth="1"/>
    <col min="14873" max="14874" width="15.625" style="581" customWidth="1"/>
    <col min="14875" max="15107" width="9" style="581"/>
    <col min="15108" max="15108" width="8.5" style="581" customWidth="1"/>
    <col min="15109" max="15109" width="6.375" style="581" customWidth="1"/>
    <col min="15110" max="15110" width="6.625" style="581" customWidth="1"/>
    <col min="15111" max="15111" width="5.125" style="581" customWidth="1"/>
    <col min="15112" max="15112" width="6.5" style="581" customWidth="1"/>
    <col min="15113" max="15113" width="5.375" style="581" customWidth="1"/>
    <col min="15114" max="15114" width="4.625" style="581" customWidth="1"/>
    <col min="15115" max="15115" width="8.625" style="581" customWidth="1"/>
    <col min="15116" max="15116" width="19.875" style="581" customWidth="1"/>
    <col min="15117" max="15117" width="9" style="581"/>
    <col min="15118" max="15118" width="9.875" style="581" customWidth="1"/>
    <col min="15119" max="15119" width="8.875" style="581" customWidth="1"/>
    <col min="15120" max="15120" width="8.625" style="581" customWidth="1"/>
    <col min="15121" max="15121" width="8" style="581" customWidth="1"/>
    <col min="15122" max="15122" width="8.625" style="581" customWidth="1"/>
    <col min="15123" max="15123" width="9" style="581" customWidth="1"/>
    <col min="15124" max="15124" width="13.5" style="581" customWidth="1"/>
    <col min="15125" max="15125" width="16.125" style="581" bestFit="1" customWidth="1"/>
    <col min="15126" max="15126" width="13.875" style="581" bestFit="1" customWidth="1"/>
    <col min="15127" max="15127" width="7.5" style="581" bestFit="1" customWidth="1"/>
    <col min="15128" max="15128" width="13.875" style="581" customWidth="1"/>
    <col min="15129" max="15130" width="15.625" style="581" customWidth="1"/>
    <col min="15131" max="15363" width="9" style="581"/>
    <col min="15364" max="15364" width="8.5" style="581" customWidth="1"/>
    <col min="15365" max="15365" width="6.375" style="581" customWidth="1"/>
    <col min="15366" max="15366" width="6.625" style="581" customWidth="1"/>
    <col min="15367" max="15367" width="5.125" style="581" customWidth="1"/>
    <col min="15368" max="15368" width="6.5" style="581" customWidth="1"/>
    <col min="15369" max="15369" width="5.375" style="581" customWidth="1"/>
    <col min="15370" max="15370" width="4.625" style="581" customWidth="1"/>
    <col min="15371" max="15371" width="8.625" style="581" customWidth="1"/>
    <col min="15372" max="15372" width="19.875" style="581" customWidth="1"/>
    <col min="15373" max="15373" width="9" style="581"/>
    <col min="15374" max="15374" width="9.875" style="581" customWidth="1"/>
    <col min="15375" max="15375" width="8.875" style="581" customWidth="1"/>
    <col min="15376" max="15376" width="8.625" style="581" customWidth="1"/>
    <col min="15377" max="15377" width="8" style="581" customWidth="1"/>
    <col min="15378" max="15378" width="8.625" style="581" customWidth="1"/>
    <col min="15379" max="15379" width="9" style="581" customWidth="1"/>
    <col min="15380" max="15380" width="13.5" style="581" customWidth="1"/>
    <col min="15381" max="15381" width="16.125" style="581" bestFit="1" customWidth="1"/>
    <col min="15382" max="15382" width="13.875" style="581" bestFit="1" customWidth="1"/>
    <col min="15383" max="15383" width="7.5" style="581" bestFit="1" customWidth="1"/>
    <col min="15384" max="15384" width="13.875" style="581" customWidth="1"/>
    <col min="15385" max="15386" width="15.625" style="581" customWidth="1"/>
    <col min="15387" max="15619" width="9" style="581"/>
    <col min="15620" max="15620" width="8.5" style="581" customWidth="1"/>
    <col min="15621" max="15621" width="6.375" style="581" customWidth="1"/>
    <col min="15622" max="15622" width="6.625" style="581" customWidth="1"/>
    <col min="15623" max="15623" width="5.125" style="581" customWidth="1"/>
    <col min="15624" max="15624" width="6.5" style="581" customWidth="1"/>
    <col min="15625" max="15625" width="5.375" style="581" customWidth="1"/>
    <col min="15626" max="15626" width="4.625" style="581" customWidth="1"/>
    <col min="15627" max="15627" width="8.625" style="581" customWidth="1"/>
    <col min="15628" max="15628" width="19.875" style="581" customWidth="1"/>
    <col min="15629" max="15629" width="9" style="581"/>
    <col min="15630" max="15630" width="9.875" style="581" customWidth="1"/>
    <col min="15631" max="15631" width="8.875" style="581" customWidth="1"/>
    <col min="15632" max="15632" width="8.625" style="581" customWidth="1"/>
    <col min="15633" max="15633" width="8" style="581" customWidth="1"/>
    <col min="15634" max="15634" width="8.625" style="581" customWidth="1"/>
    <col min="15635" max="15635" width="9" style="581" customWidth="1"/>
    <col min="15636" max="15636" width="13.5" style="581" customWidth="1"/>
    <col min="15637" max="15637" width="16.125" style="581" bestFit="1" customWidth="1"/>
    <col min="15638" max="15638" width="13.875" style="581" bestFit="1" customWidth="1"/>
    <col min="15639" max="15639" width="7.5" style="581" bestFit="1" customWidth="1"/>
    <col min="15640" max="15640" width="13.875" style="581" customWidth="1"/>
    <col min="15641" max="15642" width="15.625" style="581" customWidth="1"/>
    <col min="15643" max="15875" width="9" style="581"/>
    <col min="15876" max="15876" width="8.5" style="581" customWidth="1"/>
    <col min="15877" max="15877" width="6.375" style="581" customWidth="1"/>
    <col min="15878" max="15878" width="6.625" style="581" customWidth="1"/>
    <col min="15879" max="15879" width="5.125" style="581" customWidth="1"/>
    <col min="15880" max="15880" width="6.5" style="581" customWidth="1"/>
    <col min="15881" max="15881" width="5.375" style="581" customWidth="1"/>
    <col min="15882" max="15882" width="4.625" style="581" customWidth="1"/>
    <col min="15883" max="15883" width="8.625" style="581" customWidth="1"/>
    <col min="15884" max="15884" width="19.875" style="581" customWidth="1"/>
    <col min="15885" max="15885" width="9" style="581"/>
    <col min="15886" max="15886" width="9.875" style="581" customWidth="1"/>
    <col min="15887" max="15887" width="8.875" style="581" customWidth="1"/>
    <col min="15888" max="15888" width="8.625" style="581" customWidth="1"/>
    <col min="15889" max="15889" width="8" style="581" customWidth="1"/>
    <col min="15890" max="15890" width="8.625" style="581" customWidth="1"/>
    <col min="15891" max="15891" width="9" style="581" customWidth="1"/>
    <col min="15892" max="15892" width="13.5" style="581" customWidth="1"/>
    <col min="15893" max="15893" width="16.125" style="581" bestFit="1" customWidth="1"/>
    <col min="15894" max="15894" width="13.875" style="581" bestFit="1" customWidth="1"/>
    <col min="15895" max="15895" width="7.5" style="581" bestFit="1" customWidth="1"/>
    <col min="15896" max="15896" width="13.875" style="581" customWidth="1"/>
    <col min="15897" max="15898" width="15.625" style="581" customWidth="1"/>
    <col min="15899" max="16131" width="9" style="581"/>
    <col min="16132" max="16132" width="8.5" style="581" customWidth="1"/>
    <col min="16133" max="16133" width="6.375" style="581" customWidth="1"/>
    <col min="16134" max="16134" width="6.625" style="581" customWidth="1"/>
    <col min="16135" max="16135" width="5.125" style="581" customWidth="1"/>
    <col min="16136" max="16136" width="6.5" style="581" customWidth="1"/>
    <col min="16137" max="16137" width="5.375" style="581" customWidth="1"/>
    <col min="16138" max="16138" width="4.625" style="581" customWidth="1"/>
    <col min="16139" max="16139" width="8.625" style="581" customWidth="1"/>
    <col min="16140" max="16140" width="19.875" style="581" customWidth="1"/>
    <col min="16141" max="16141" width="9" style="581"/>
    <col min="16142" max="16142" width="9.875" style="581" customWidth="1"/>
    <col min="16143" max="16143" width="8.875" style="581" customWidth="1"/>
    <col min="16144" max="16144" width="8.625" style="581" customWidth="1"/>
    <col min="16145" max="16145" width="8" style="581" customWidth="1"/>
    <col min="16146" max="16146" width="8.625" style="581" customWidth="1"/>
    <col min="16147" max="16147" width="9" style="581" customWidth="1"/>
    <col min="16148" max="16148" width="13.5" style="581" customWidth="1"/>
    <col min="16149" max="16149" width="16.125" style="581" bestFit="1" customWidth="1"/>
    <col min="16150" max="16150" width="13.875" style="581" bestFit="1" customWidth="1"/>
    <col min="16151" max="16151" width="7.5" style="581" bestFit="1" customWidth="1"/>
    <col min="16152" max="16152" width="13.875" style="581" customWidth="1"/>
    <col min="16153" max="16154" width="15.625" style="581" customWidth="1"/>
    <col min="16155" max="16384" width="9" style="581"/>
  </cols>
  <sheetData>
    <row r="1" spans="1:35" ht="21">
      <c r="A1" s="870" t="s">
        <v>1559</v>
      </c>
      <c r="B1" s="870"/>
      <c r="C1" s="870"/>
      <c r="D1" s="870"/>
      <c r="E1" s="870"/>
      <c r="F1" s="870"/>
      <c r="G1" s="870"/>
      <c r="H1" s="870"/>
      <c r="I1" s="870"/>
      <c r="J1" s="870"/>
      <c r="K1" s="870"/>
      <c r="L1" s="870"/>
      <c r="M1" s="871"/>
      <c r="T1" s="591"/>
      <c r="U1" s="591"/>
      <c r="V1" s="591"/>
      <c r="W1" s="591"/>
    </row>
    <row r="2" spans="1:35" ht="16.5">
      <c r="A2" s="640" t="s">
        <v>1558</v>
      </c>
      <c r="B2" s="640">
        <f>下料单!C2</f>
        <v>0</v>
      </c>
      <c r="C2" s="640" t="s">
        <v>1557</v>
      </c>
      <c r="D2" s="640">
        <f>下料单!W2</f>
        <v>0</v>
      </c>
      <c r="E2" s="640"/>
      <c r="F2" s="640" t="s">
        <v>1118</v>
      </c>
      <c r="G2" s="640" t="s">
        <v>1556</v>
      </c>
      <c r="H2" s="640"/>
      <c r="I2" s="640"/>
      <c r="J2" s="640" t="s">
        <v>1555</v>
      </c>
      <c r="K2" s="640">
        <f>下料单!H2</f>
        <v>0</v>
      </c>
      <c r="L2" s="640" t="s">
        <v>1554</v>
      </c>
      <c r="M2" s="640">
        <f>下料单!R2</f>
        <v>0</v>
      </c>
      <c r="T2" s="591"/>
      <c r="V2" s="591"/>
      <c r="W2" s="591"/>
    </row>
    <row r="3" spans="1:35" ht="16.5">
      <c r="A3" s="640" t="s">
        <v>1553</v>
      </c>
      <c r="B3" s="664" t="s">
        <v>1412</v>
      </c>
      <c r="C3" s="661"/>
      <c r="D3" s="659"/>
      <c r="E3" s="659"/>
      <c r="F3" s="659" t="s">
        <v>1552</v>
      </c>
      <c r="G3" s="663" t="s">
        <v>1551</v>
      </c>
      <c r="H3" s="659" t="s">
        <v>1550</v>
      </c>
      <c r="I3" s="662">
        <f>R51</f>
        <v>8</v>
      </c>
      <c r="J3" s="661" t="s">
        <v>1549</v>
      </c>
      <c r="K3" s="660">
        <f>下料单!AB2</f>
        <v>43075</v>
      </c>
      <c r="L3" s="659" t="s">
        <v>1548</v>
      </c>
      <c r="M3" s="658">
        <f>下料单!AG2</f>
        <v>43076</v>
      </c>
      <c r="V3" s="591"/>
      <c r="W3" s="591"/>
    </row>
    <row r="4" spans="1:35" ht="16.5">
      <c r="A4" s="657" t="s">
        <v>1547</v>
      </c>
      <c r="B4" s="657" t="s">
        <v>1538</v>
      </c>
      <c r="C4" s="656"/>
      <c r="D4" s="655"/>
      <c r="E4" s="655"/>
      <c r="F4" s="655"/>
      <c r="G4" s="655"/>
      <c r="H4" s="655"/>
      <c r="I4" s="655"/>
      <c r="J4" s="655"/>
      <c r="K4" s="655"/>
      <c r="L4" s="654"/>
      <c r="M4" s="653"/>
      <c r="N4" s="591"/>
      <c r="P4" s="591"/>
      <c r="Q4" s="591"/>
      <c r="V4" s="591"/>
      <c r="W4" s="591"/>
      <c r="X4" s="651"/>
      <c r="Y4" s="650"/>
      <c r="Z4" s="652" t="s">
        <v>1546</v>
      </c>
      <c r="AA4" s="651"/>
      <c r="AB4" s="622"/>
      <c r="AC4" s="651"/>
      <c r="AD4" s="651"/>
      <c r="AE4" s="622" t="s">
        <v>1545</v>
      </c>
      <c r="AF4" s="650"/>
      <c r="AH4" s="825" t="s">
        <v>1544</v>
      </c>
      <c r="AI4" s="346" t="s">
        <v>1543</v>
      </c>
    </row>
    <row r="5" spans="1:35" ht="20.100000000000001" customHeight="1">
      <c r="A5" s="640" t="s">
        <v>1542</v>
      </c>
      <c r="B5" s="649"/>
      <c r="C5" s="648" t="s">
        <v>1541</v>
      </c>
      <c r="D5" s="648"/>
      <c r="E5" s="649"/>
      <c r="F5" s="648"/>
      <c r="G5" s="648" t="s">
        <v>1540</v>
      </c>
      <c r="H5" s="648"/>
      <c r="I5" s="647"/>
      <c r="J5" s="80" t="s">
        <v>1539</v>
      </c>
      <c r="K5" s="646" t="str">
        <f>"18A"&amp;VLOOKUP(吸塑门板下料单!B4,吸塑门板下料单!X:AD,2,0)</f>
        <v>18A米黄麻单贴三聚氰胺E1级镂铣中密度板18*1220*2440</v>
      </c>
      <c r="L5" s="645"/>
      <c r="M5" s="645"/>
      <c r="N5" s="591"/>
      <c r="O5" s="591"/>
      <c r="P5" s="591"/>
      <c r="Q5" s="591"/>
      <c r="R5" s="591"/>
      <c r="S5" s="591"/>
      <c r="T5" s="591"/>
      <c r="U5" s="591"/>
      <c r="V5" s="591"/>
      <c r="W5" s="591"/>
      <c r="X5" s="627" t="s">
        <v>1538</v>
      </c>
      <c r="Y5" s="621" t="s">
        <v>1537</v>
      </c>
      <c r="Z5" s="625">
        <v>1</v>
      </c>
      <c r="AA5" s="624" t="s">
        <v>1536</v>
      </c>
      <c r="AB5" s="623" t="s">
        <v>1535</v>
      </c>
      <c r="AC5" s="623" t="s">
        <v>1534</v>
      </c>
      <c r="AD5" s="623" t="s">
        <v>1533</v>
      </c>
      <c r="AE5" s="622" t="s">
        <v>1502</v>
      </c>
      <c r="AF5" s="621" t="s">
        <v>1532</v>
      </c>
      <c r="AH5" s="825"/>
      <c r="AI5" s="346" t="s">
        <v>1531</v>
      </c>
    </row>
    <row r="6" spans="1:35" ht="20.100000000000001" customHeight="1">
      <c r="A6" s="640" t="s">
        <v>1530</v>
      </c>
      <c r="B6" s="640" t="s">
        <v>214</v>
      </c>
      <c r="C6" s="640" t="s">
        <v>1526</v>
      </c>
      <c r="D6" s="640" t="s">
        <v>1525</v>
      </c>
      <c r="E6" s="644" t="s">
        <v>1529</v>
      </c>
      <c r="F6" s="644" t="s">
        <v>1528</v>
      </c>
      <c r="G6" s="644" t="s">
        <v>1527</v>
      </c>
      <c r="H6" s="644" t="s">
        <v>1526</v>
      </c>
      <c r="I6" s="644" t="s">
        <v>1525</v>
      </c>
      <c r="J6" s="643" t="s">
        <v>1524</v>
      </c>
      <c r="K6" s="640" t="s">
        <v>1523</v>
      </c>
      <c r="L6" s="642"/>
      <c r="M6" s="642"/>
      <c r="N6" s="641" t="s">
        <v>1522</v>
      </c>
      <c r="O6" s="640" t="s">
        <v>1521</v>
      </c>
      <c r="P6" s="640" t="s">
        <v>1520</v>
      </c>
      <c r="Q6" s="640" t="s">
        <v>1519</v>
      </c>
      <c r="R6" s="591"/>
      <c r="S6" s="80" t="s">
        <v>1518</v>
      </c>
      <c r="T6" s="80" t="s">
        <v>1517</v>
      </c>
      <c r="U6" s="80" t="s">
        <v>1516</v>
      </c>
      <c r="V6" s="80" t="s">
        <v>1515</v>
      </c>
      <c r="W6" s="639" t="s">
        <v>1514</v>
      </c>
      <c r="X6" s="627" t="s">
        <v>1513</v>
      </c>
      <c r="Y6" s="621" t="s">
        <v>1481</v>
      </c>
      <c r="Z6" s="625">
        <v>1</v>
      </c>
      <c r="AA6" s="624" t="s">
        <v>1512</v>
      </c>
      <c r="AB6" s="623" t="s">
        <v>1479</v>
      </c>
      <c r="AC6" s="623" t="s">
        <v>1511</v>
      </c>
      <c r="AD6" s="623" t="s">
        <v>1477</v>
      </c>
      <c r="AE6" s="622" t="s">
        <v>1502</v>
      </c>
      <c r="AF6" s="621" t="s">
        <v>1475</v>
      </c>
      <c r="AH6" s="825"/>
      <c r="AI6" s="346" t="s">
        <v>1510</v>
      </c>
    </row>
    <row r="7" spans="1:35" ht="20.100000000000001" customHeight="1">
      <c r="A7" s="638" t="s">
        <v>1597</v>
      </c>
      <c r="B7" s="637">
        <v>2</v>
      </c>
      <c r="C7" s="637">
        <v>2</v>
      </c>
      <c r="D7" s="605">
        <v>2</v>
      </c>
      <c r="E7" s="605" t="s">
        <v>1595</v>
      </c>
      <c r="F7" s="605">
        <v>2</v>
      </c>
      <c r="G7" s="605">
        <f>+B7+2</f>
        <v>4</v>
      </c>
      <c r="H7" s="605">
        <f>+C7+2</f>
        <v>4</v>
      </c>
      <c r="I7" s="605">
        <f>+D7</f>
        <v>2</v>
      </c>
      <c r="J7" s="636" t="s">
        <v>1509</v>
      </c>
      <c r="K7" s="635">
        <v>2</v>
      </c>
      <c r="L7" s="635">
        <v>2</v>
      </c>
      <c r="M7" s="635">
        <v>2</v>
      </c>
      <c r="N7" s="591">
        <f t="shared" ref="N7:N47" si="0">B7*C7*D7/1000000</f>
        <v>7.9999999999999996E-6</v>
      </c>
      <c r="O7" s="591">
        <f>(B7+18*2+170)*(C7+18*2+170)*D7/1000000</f>
        <v>8.6527999999999994E-2</v>
      </c>
      <c r="P7" s="591">
        <f t="shared" ref="P7:P50" si="1">IF(K7="半成品","0",B7*C7*D7/1000000/1.22/2.44/0.85)</f>
        <v>3.1617054239056544E-6</v>
      </c>
      <c r="Q7" s="591">
        <f>(B7+C7)*2*I7/1000/0.8</f>
        <v>0.02</v>
      </c>
      <c r="R7" s="591">
        <f t="shared" ref="R7:R45" si="2">I7</f>
        <v>2</v>
      </c>
      <c r="S7" s="591">
        <f t="shared" ref="S7:S39" si="3">(B7+18*2)*(C7+18*2)*D7/1000000</f>
        <v>2.8879999999999999E-3</v>
      </c>
      <c r="T7" s="591"/>
      <c r="U7" s="591"/>
      <c r="V7" s="591"/>
      <c r="W7" s="591"/>
      <c r="X7" s="627" t="s">
        <v>1508</v>
      </c>
      <c r="Y7" s="621" t="s">
        <v>1507</v>
      </c>
      <c r="Z7" s="625">
        <v>0.95</v>
      </c>
      <c r="AA7" s="624" t="s">
        <v>1506</v>
      </c>
      <c r="AB7" s="623" t="s">
        <v>1505</v>
      </c>
      <c r="AC7" s="623" t="s">
        <v>1504</v>
      </c>
      <c r="AD7" s="623" t="s">
        <v>1503</v>
      </c>
      <c r="AE7" s="622" t="s">
        <v>1502</v>
      </c>
      <c r="AF7" s="621" t="s">
        <v>1501</v>
      </c>
      <c r="AH7" s="825"/>
      <c r="AI7" s="346" t="s">
        <v>1500</v>
      </c>
    </row>
    <row r="8" spans="1:35" ht="20.100000000000001" customHeight="1">
      <c r="A8" s="634" t="s">
        <v>1592</v>
      </c>
      <c r="B8" s="631">
        <v>2</v>
      </c>
      <c r="C8" s="631">
        <v>2</v>
      </c>
      <c r="D8" s="631">
        <v>2</v>
      </c>
      <c r="E8" s="605" t="s">
        <v>1596</v>
      </c>
      <c r="F8" s="631">
        <v>2</v>
      </c>
      <c r="G8" s="631">
        <f>+B8</f>
        <v>2</v>
      </c>
      <c r="H8" s="631">
        <f>+C8</f>
        <v>2</v>
      </c>
      <c r="I8" s="631">
        <f>+D8</f>
        <v>2</v>
      </c>
      <c r="J8" s="630" t="s">
        <v>1499</v>
      </c>
      <c r="K8" s="633">
        <v>2</v>
      </c>
      <c r="L8" s="633">
        <v>2</v>
      </c>
      <c r="M8" s="633">
        <v>2</v>
      </c>
      <c r="N8" s="591">
        <f t="shared" si="0"/>
        <v>7.9999999999999996E-6</v>
      </c>
      <c r="O8" s="591">
        <f>(B8+18*2+170)*(C8+18*2+170)*D8/1000000</f>
        <v>8.6527999999999994E-2</v>
      </c>
      <c r="P8" s="591">
        <f t="shared" si="1"/>
        <v>3.1617054239056544E-6</v>
      </c>
      <c r="Q8" s="591">
        <f>(B8+C8)*2*I8/1000/0.8</f>
        <v>0.02</v>
      </c>
      <c r="R8" s="591">
        <f t="shared" si="2"/>
        <v>2</v>
      </c>
      <c r="S8" s="591">
        <f t="shared" si="3"/>
        <v>2.8879999999999999E-3</v>
      </c>
      <c r="T8" s="591"/>
      <c r="U8" s="591"/>
      <c r="V8" s="591"/>
      <c r="W8" s="591"/>
      <c r="X8" s="627" t="s">
        <v>1498</v>
      </c>
      <c r="Y8" s="626" t="s">
        <v>1481</v>
      </c>
      <c r="Z8" s="625">
        <v>0.95</v>
      </c>
      <c r="AA8" s="624" t="s">
        <v>1497</v>
      </c>
      <c r="AB8" s="623" t="s">
        <v>1479</v>
      </c>
      <c r="AC8" s="623" t="s">
        <v>1478</v>
      </c>
      <c r="AD8" s="623" t="s">
        <v>1477</v>
      </c>
      <c r="AE8" s="622" t="s">
        <v>1476</v>
      </c>
      <c r="AF8" s="621" t="s">
        <v>1475</v>
      </c>
      <c r="AH8" s="825"/>
      <c r="AI8" s="346" t="s">
        <v>1496</v>
      </c>
    </row>
    <row r="9" spans="1:35" ht="20.100000000000001" customHeight="1">
      <c r="A9" s="632" t="s">
        <v>1592</v>
      </c>
      <c r="B9" s="631">
        <v>2</v>
      </c>
      <c r="C9" s="631">
        <v>2</v>
      </c>
      <c r="D9" s="631">
        <v>2</v>
      </c>
      <c r="E9" s="605" t="s">
        <v>1596</v>
      </c>
      <c r="F9" s="631">
        <v>2</v>
      </c>
      <c r="G9" s="631">
        <f>+B9</f>
        <v>2</v>
      </c>
      <c r="H9" s="631">
        <f>+C9</f>
        <v>2</v>
      </c>
      <c r="I9" s="631">
        <f>+D9</f>
        <v>2</v>
      </c>
      <c r="J9" s="630">
        <v>2</v>
      </c>
      <c r="K9" s="629">
        <v>2</v>
      </c>
      <c r="L9" s="628">
        <v>2</v>
      </c>
      <c r="M9" s="628">
        <v>2</v>
      </c>
      <c r="N9" s="591">
        <f t="shared" si="0"/>
        <v>7.9999999999999996E-6</v>
      </c>
      <c r="O9" s="591">
        <f>(B9+18*2+170)*(C9+18*2+170)*D9/1000000</f>
        <v>8.6527999999999994E-2</v>
      </c>
      <c r="P9" s="591">
        <f t="shared" si="1"/>
        <v>3.1617054239056544E-6</v>
      </c>
      <c r="Q9" s="591">
        <f>(B9+C9)*2*I9/1000/0.8</f>
        <v>0.02</v>
      </c>
      <c r="R9" s="591">
        <f t="shared" si="2"/>
        <v>2</v>
      </c>
      <c r="S9" s="591">
        <f t="shared" si="3"/>
        <v>2.8879999999999999E-3</v>
      </c>
      <c r="T9" s="591"/>
      <c r="U9" s="591"/>
      <c r="V9" s="591"/>
      <c r="W9" s="591"/>
      <c r="X9" s="627" t="s">
        <v>1495</v>
      </c>
      <c r="Y9" s="626" t="s">
        <v>1481</v>
      </c>
      <c r="Z9" s="625">
        <v>0.95</v>
      </c>
      <c r="AA9" s="624" t="s">
        <v>1494</v>
      </c>
      <c r="AB9" s="623" t="s">
        <v>1479</v>
      </c>
      <c r="AC9" s="623" t="s">
        <v>1478</v>
      </c>
      <c r="AD9" s="623" t="s">
        <v>1477</v>
      </c>
      <c r="AE9" s="622" t="s">
        <v>1476</v>
      </c>
      <c r="AF9" s="621" t="s">
        <v>1475</v>
      </c>
      <c r="AH9" s="825" t="s">
        <v>1493</v>
      </c>
      <c r="AI9" s="346" t="s">
        <v>1492</v>
      </c>
    </row>
    <row r="10" spans="1:35" ht="20.100000000000001" customHeight="1">
      <c r="A10" s="606"/>
      <c r="B10" s="602"/>
      <c r="C10" s="602"/>
      <c r="D10" s="602"/>
      <c r="E10" s="605"/>
      <c r="F10" s="602"/>
      <c r="G10" s="602" t="str">
        <f t="shared" ref="G10:G28" si="4">IF(B10&gt;0,IF(J10="平板无刀型",B10,B10+$Z$22),"")</f>
        <v/>
      </c>
      <c r="H10" s="602" t="str">
        <f t="shared" ref="H10:H28" si="5">IF(C10&gt;0,IF(J10="平板无刀型",C10,C10+$Z$24),"")</f>
        <v/>
      </c>
      <c r="I10" s="602" t="str">
        <f t="shared" ref="I10:I28" si="6">+IF(D10&gt;0,D10,"")</f>
        <v/>
      </c>
      <c r="J10" s="604"/>
      <c r="K10" s="603"/>
      <c r="L10" s="602"/>
      <c r="M10" s="602"/>
      <c r="N10" s="591">
        <f t="shared" si="0"/>
        <v>0</v>
      </c>
      <c r="O10" s="591">
        <f t="shared" ref="O10:O47" si="7">(B10+36*2+170)*(C10+36*2+170)*D10/1000000</f>
        <v>0</v>
      </c>
      <c r="P10" s="591">
        <f t="shared" si="1"/>
        <v>0</v>
      </c>
      <c r="Q10" s="591"/>
      <c r="R10" s="591" t="str">
        <f t="shared" si="2"/>
        <v/>
      </c>
      <c r="S10" s="591">
        <f t="shared" si="3"/>
        <v>0</v>
      </c>
      <c r="T10" s="591"/>
      <c r="U10" s="591"/>
      <c r="V10" s="591"/>
      <c r="W10" s="591">
        <f t="shared" ref="W10:W39" si="8">IF($B$3="通长铝拉手",B10*D10/0.9/1000,0)</f>
        <v>0</v>
      </c>
      <c r="X10" s="627" t="s">
        <v>1491</v>
      </c>
      <c r="Y10" s="626" t="s">
        <v>1481</v>
      </c>
      <c r="Z10" s="625">
        <v>0.95</v>
      </c>
      <c r="AA10" s="624" t="s">
        <v>1490</v>
      </c>
      <c r="AB10" s="623" t="s">
        <v>1479</v>
      </c>
      <c r="AC10" s="623" t="s">
        <v>1478</v>
      </c>
      <c r="AD10" s="623" t="s">
        <v>1477</v>
      </c>
      <c r="AE10" s="622" t="s">
        <v>1476</v>
      </c>
      <c r="AF10" s="621" t="s">
        <v>1475</v>
      </c>
      <c r="AH10" s="825"/>
      <c r="AI10" s="346" t="s">
        <v>1489</v>
      </c>
    </row>
    <row r="11" spans="1:35" ht="20.100000000000001" customHeight="1">
      <c r="A11" s="606"/>
      <c r="B11" s="602"/>
      <c r="C11" s="602"/>
      <c r="D11" s="602"/>
      <c r="E11" s="605"/>
      <c r="F11" s="602"/>
      <c r="G11" s="602" t="str">
        <f t="shared" si="4"/>
        <v/>
      </c>
      <c r="H11" s="602" t="str">
        <f t="shared" si="5"/>
        <v/>
      </c>
      <c r="I11" s="602" t="str">
        <f t="shared" si="6"/>
        <v/>
      </c>
      <c r="J11" s="604"/>
      <c r="K11" s="603"/>
      <c r="L11" s="602"/>
      <c r="M11" s="602"/>
      <c r="N11" s="591">
        <f t="shared" si="0"/>
        <v>0</v>
      </c>
      <c r="O11" s="591">
        <f t="shared" si="7"/>
        <v>0</v>
      </c>
      <c r="P11" s="591">
        <f t="shared" si="1"/>
        <v>0</v>
      </c>
      <c r="Q11" s="591"/>
      <c r="R11" s="591" t="str">
        <f t="shared" si="2"/>
        <v/>
      </c>
      <c r="S11" s="591">
        <f t="shared" si="3"/>
        <v>0</v>
      </c>
      <c r="T11" s="591"/>
      <c r="U11" s="591"/>
      <c r="V11" s="591"/>
      <c r="W11" s="591">
        <f t="shared" si="8"/>
        <v>0</v>
      </c>
      <c r="X11" s="627" t="s">
        <v>1488</v>
      </c>
      <c r="Y11" s="626" t="s">
        <v>1481</v>
      </c>
      <c r="Z11" s="625">
        <v>0.95</v>
      </c>
      <c r="AA11" s="624" t="s">
        <v>1487</v>
      </c>
      <c r="AB11" s="623" t="s">
        <v>1479</v>
      </c>
      <c r="AC11" s="623" t="s">
        <v>1478</v>
      </c>
      <c r="AD11" s="623" t="s">
        <v>1477</v>
      </c>
      <c r="AE11" s="622" t="s">
        <v>1476</v>
      </c>
      <c r="AF11" s="621" t="s">
        <v>1475</v>
      </c>
      <c r="AH11" s="825"/>
      <c r="AI11" s="346" t="s">
        <v>1486</v>
      </c>
    </row>
    <row r="12" spans="1:35" ht="20.100000000000001" customHeight="1">
      <c r="A12" s="606"/>
      <c r="B12" s="602"/>
      <c r="C12" s="602"/>
      <c r="D12" s="602"/>
      <c r="E12" s="605"/>
      <c r="F12" s="602"/>
      <c r="G12" s="602" t="str">
        <f t="shared" si="4"/>
        <v/>
      </c>
      <c r="H12" s="602" t="str">
        <f t="shared" si="5"/>
        <v/>
      </c>
      <c r="I12" s="602" t="str">
        <f t="shared" si="6"/>
        <v/>
      </c>
      <c r="J12" s="604"/>
      <c r="K12" s="603"/>
      <c r="L12" s="602"/>
      <c r="M12" s="602"/>
      <c r="N12" s="591">
        <f t="shared" si="0"/>
        <v>0</v>
      </c>
      <c r="O12" s="591">
        <f t="shared" si="7"/>
        <v>0</v>
      </c>
      <c r="P12" s="591">
        <f t="shared" si="1"/>
        <v>0</v>
      </c>
      <c r="Q12" s="591"/>
      <c r="R12" s="591" t="str">
        <f t="shared" si="2"/>
        <v/>
      </c>
      <c r="S12" s="591">
        <f t="shared" si="3"/>
        <v>0</v>
      </c>
      <c r="T12" s="591"/>
      <c r="U12" s="591"/>
      <c r="V12" s="591"/>
      <c r="W12" s="591">
        <f t="shared" si="8"/>
        <v>0</v>
      </c>
      <c r="X12" s="627" t="s">
        <v>1485</v>
      </c>
      <c r="Y12" s="626" t="s">
        <v>1481</v>
      </c>
      <c r="Z12" s="625">
        <v>0.95</v>
      </c>
      <c r="AA12" s="624" t="s">
        <v>1484</v>
      </c>
      <c r="AB12" s="623" t="s">
        <v>1479</v>
      </c>
      <c r="AC12" s="623" t="s">
        <v>1478</v>
      </c>
      <c r="AD12" s="623" t="s">
        <v>1477</v>
      </c>
      <c r="AE12" s="622" t="s">
        <v>1476</v>
      </c>
      <c r="AF12" s="621" t="s">
        <v>1475</v>
      </c>
      <c r="AH12" s="825"/>
      <c r="AI12" s="346" t="s">
        <v>1483</v>
      </c>
    </row>
    <row r="13" spans="1:35" ht="20.100000000000001" customHeight="1">
      <c r="A13" s="606"/>
      <c r="B13" s="602"/>
      <c r="C13" s="602"/>
      <c r="D13" s="602"/>
      <c r="E13" s="605"/>
      <c r="F13" s="602"/>
      <c r="G13" s="602" t="str">
        <f t="shared" si="4"/>
        <v/>
      </c>
      <c r="H13" s="602" t="str">
        <f t="shared" si="5"/>
        <v/>
      </c>
      <c r="I13" s="602" t="str">
        <f t="shared" si="6"/>
        <v/>
      </c>
      <c r="J13" s="604"/>
      <c r="K13" s="603"/>
      <c r="L13" s="602"/>
      <c r="M13" s="602"/>
      <c r="N13" s="591">
        <f t="shared" si="0"/>
        <v>0</v>
      </c>
      <c r="O13" s="591">
        <f t="shared" si="7"/>
        <v>0</v>
      </c>
      <c r="P13" s="591">
        <f t="shared" si="1"/>
        <v>0</v>
      </c>
      <c r="Q13" s="591"/>
      <c r="R13" s="591" t="str">
        <f t="shared" si="2"/>
        <v/>
      </c>
      <c r="S13" s="591">
        <f t="shared" si="3"/>
        <v>0</v>
      </c>
      <c r="T13" s="591"/>
      <c r="U13" s="591"/>
      <c r="V13" s="591"/>
      <c r="W13" s="591">
        <f t="shared" si="8"/>
        <v>0</v>
      </c>
      <c r="X13" s="627" t="s">
        <v>1482</v>
      </c>
      <c r="Y13" s="626" t="s">
        <v>1481</v>
      </c>
      <c r="Z13" s="625">
        <v>0.95</v>
      </c>
      <c r="AA13" s="624" t="s">
        <v>1480</v>
      </c>
      <c r="AB13" s="623" t="s">
        <v>1479</v>
      </c>
      <c r="AC13" s="623" t="s">
        <v>1478</v>
      </c>
      <c r="AD13" s="623" t="s">
        <v>1477</v>
      </c>
      <c r="AE13" s="622" t="s">
        <v>1476</v>
      </c>
      <c r="AF13" s="621" t="s">
        <v>1475</v>
      </c>
      <c r="AH13" s="825"/>
      <c r="AI13" s="346" t="s">
        <v>1474</v>
      </c>
    </row>
    <row r="14" spans="1:35" ht="20.100000000000001" customHeight="1">
      <c r="A14" s="606"/>
      <c r="B14" s="602"/>
      <c r="C14" s="602"/>
      <c r="D14" s="602"/>
      <c r="E14" s="605"/>
      <c r="F14" s="602"/>
      <c r="G14" s="602" t="str">
        <f t="shared" si="4"/>
        <v/>
      </c>
      <c r="H14" s="602" t="str">
        <f t="shared" si="5"/>
        <v/>
      </c>
      <c r="I14" s="602" t="str">
        <f t="shared" si="6"/>
        <v/>
      </c>
      <c r="J14" s="604"/>
      <c r="K14" s="603"/>
      <c r="L14" s="602"/>
      <c r="M14" s="602"/>
      <c r="N14" s="591">
        <f t="shared" si="0"/>
        <v>0</v>
      </c>
      <c r="O14" s="591">
        <f t="shared" si="7"/>
        <v>0</v>
      </c>
      <c r="P14" s="591">
        <f t="shared" si="1"/>
        <v>0</v>
      </c>
      <c r="Q14" s="591"/>
      <c r="R14" s="591" t="str">
        <f t="shared" si="2"/>
        <v/>
      </c>
      <c r="S14" s="591">
        <f t="shared" si="3"/>
        <v>0</v>
      </c>
      <c r="T14" s="591"/>
      <c r="U14" s="591"/>
      <c r="V14" s="591"/>
      <c r="W14" s="591">
        <f t="shared" si="8"/>
        <v>0</v>
      </c>
      <c r="X14" s="591"/>
      <c r="Y14" s="592"/>
      <c r="AA14" s="591"/>
      <c r="AH14" s="825"/>
      <c r="AI14" s="346" t="s">
        <v>1473</v>
      </c>
    </row>
    <row r="15" spans="1:35" ht="20.100000000000001" customHeight="1">
      <c r="A15" s="606"/>
      <c r="B15" s="602"/>
      <c r="C15" s="602"/>
      <c r="D15" s="602"/>
      <c r="E15" s="605"/>
      <c r="F15" s="602"/>
      <c r="G15" s="602" t="str">
        <f t="shared" si="4"/>
        <v/>
      </c>
      <c r="H15" s="602" t="str">
        <f t="shared" si="5"/>
        <v/>
      </c>
      <c r="I15" s="602" t="str">
        <f t="shared" si="6"/>
        <v/>
      </c>
      <c r="J15" s="604"/>
      <c r="K15" s="603"/>
      <c r="L15" s="602"/>
      <c r="M15" s="602"/>
      <c r="N15" s="591">
        <f t="shared" si="0"/>
        <v>0</v>
      </c>
      <c r="O15" s="591">
        <f t="shared" si="7"/>
        <v>0</v>
      </c>
      <c r="P15" s="591">
        <f t="shared" si="1"/>
        <v>0</v>
      </c>
      <c r="Q15" s="591"/>
      <c r="R15" s="591" t="str">
        <f t="shared" si="2"/>
        <v/>
      </c>
      <c r="S15" s="591">
        <f t="shared" si="3"/>
        <v>0</v>
      </c>
      <c r="T15" s="591"/>
      <c r="U15" s="591"/>
      <c r="V15" s="591"/>
      <c r="W15" s="591">
        <f t="shared" si="8"/>
        <v>0</v>
      </c>
      <c r="X15" s="591"/>
      <c r="Y15" s="592"/>
      <c r="AA15" s="591"/>
      <c r="AH15" s="873" t="s">
        <v>1472</v>
      </c>
      <c r="AI15" s="36" t="s">
        <v>1471</v>
      </c>
    </row>
    <row r="16" spans="1:35" ht="20.100000000000001" customHeight="1">
      <c r="A16" s="606"/>
      <c r="B16" s="602"/>
      <c r="C16" s="602"/>
      <c r="D16" s="602"/>
      <c r="E16" s="605"/>
      <c r="F16" s="602"/>
      <c r="G16" s="602" t="str">
        <f t="shared" si="4"/>
        <v/>
      </c>
      <c r="H16" s="602" t="str">
        <f t="shared" si="5"/>
        <v/>
      </c>
      <c r="I16" s="602" t="str">
        <f t="shared" si="6"/>
        <v/>
      </c>
      <c r="J16" s="604"/>
      <c r="K16" s="603"/>
      <c r="L16" s="602"/>
      <c r="M16" s="602"/>
      <c r="N16" s="591">
        <f t="shared" si="0"/>
        <v>0</v>
      </c>
      <c r="O16" s="591">
        <f t="shared" si="7"/>
        <v>0</v>
      </c>
      <c r="P16" s="591">
        <f t="shared" si="1"/>
        <v>0</v>
      </c>
      <c r="Q16" s="591"/>
      <c r="R16" s="591" t="str">
        <f t="shared" si="2"/>
        <v/>
      </c>
      <c r="S16" s="591">
        <f t="shared" si="3"/>
        <v>0</v>
      </c>
      <c r="T16" s="591"/>
      <c r="U16" s="591"/>
      <c r="V16" s="591"/>
      <c r="W16" s="591">
        <f t="shared" si="8"/>
        <v>0</v>
      </c>
      <c r="X16" s="591"/>
      <c r="Y16" s="592"/>
      <c r="AA16" s="591"/>
      <c r="AH16" s="874"/>
      <c r="AI16" s="36" t="s">
        <v>1470</v>
      </c>
    </row>
    <row r="17" spans="1:35" ht="20.100000000000001" customHeight="1">
      <c r="A17" s="606"/>
      <c r="B17" s="602"/>
      <c r="C17" s="602"/>
      <c r="D17" s="602"/>
      <c r="E17" s="605"/>
      <c r="F17" s="602"/>
      <c r="G17" s="602" t="str">
        <f t="shared" si="4"/>
        <v/>
      </c>
      <c r="H17" s="602" t="str">
        <f t="shared" si="5"/>
        <v/>
      </c>
      <c r="I17" s="602" t="str">
        <f t="shared" si="6"/>
        <v/>
      </c>
      <c r="J17" s="604"/>
      <c r="K17" s="603"/>
      <c r="L17" s="602"/>
      <c r="M17" s="602"/>
      <c r="N17" s="591">
        <f t="shared" si="0"/>
        <v>0</v>
      </c>
      <c r="O17" s="591">
        <f t="shared" si="7"/>
        <v>0</v>
      </c>
      <c r="P17" s="591">
        <f t="shared" si="1"/>
        <v>0</v>
      </c>
      <c r="Q17" s="591"/>
      <c r="R17" s="591" t="str">
        <f t="shared" si="2"/>
        <v/>
      </c>
      <c r="S17" s="591">
        <f t="shared" si="3"/>
        <v>0</v>
      </c>
      <c r="T17" s="591"/>
      <c r="U17" s="591"/>
      <c r="V17" s="591"/>
      <c r="W17" s="591">
        <f t="shared" si="8"/>
        <v>0</v>
      </c>
      <c r="X17" s="591"/>
      <c r="Y17" s="592"/>
      <c r="AA17" s="591"/>
      <c r="AH17" s="874"/>
      <c r="AI17" s="36" t="s">
        <v>1469</v>
      </c>
    </row>
    <row r="18" spans="1:35" ht="20.100000000000001" customHeight="1">
      <c r="A18" s="606"/>
      <c r="B18" s="602"/>
      <c r="C18" s="602"/>
      <c r="D18" s="602"/>
      <c r="E18" s="605"/>
      <c r="F18" s="602"/>
      <c r="G18" s="602" t="str">
        <f t="shared" si="4"/>
        <v/>
      </c>
      <c r="H18" s="602" t="str">
        <f t="shared" si="5"/>
        <v/>
      </c>
      <c r="I18" s="602" t="str">
        <f t="shared" si="6"/>
        <v/>
      </c>
      <c r="J18" s="604"/>
      <c r="K18" s="603"/>
      <c r="L18" s="602"/>
      <c r="M18" s="602"/>
      <c r="N18" s="591">
        <f t="shared" si="0"/>
        <v>0</v>
      </c>
      <c r="O18" s="591">
        <f t="shared" si="7"/>
        <v>0</v>
      </c>
      <c r="P18" s="591">
        <f t="shared" si="1"/>
        <v>0</v>
      </c>
      <c r="Q18" s="591"/>
      <c r="R18" s="591" t="str">
        <f t="shared" si="2"/>
        <v/>
      </c>
      <c r="S18" s="591">
        <f t="shared" si="3"/>
        <v>0</v>
      </c>
      <c r="T18" s="591"/>
      <c r="U18" s="591"/>
      <c r="V18" s="591"/>
      <c r="W18" s="591">
        <f t="shared" si="8"/>
        <v>0</v>
      </c>
      <c r="X18" s="591"/>
      <c r="Y18" s="620"/>
      <c r="AA18" s="591"/>
      <c r="AH18" s="618" t="s">
        <v>1468</v>
      </c>
      <c r="AI18" s="392" t="s">
        <v>1467</v>
      </c>
    </row>
    <row r="19" spans="1:35" ht="20.100000000000001" customHeight="1">
      <c r="A19" s="606"/>
      <c r="B19" s="602"/>
      <c r="C19" s="602"/>
      <c r="D19" s="602"/>
      <c r="E19" s="605"/>
      <c r="F19" s="602"/>
      <c r="G19" s="602" t="str">
        <f t="shared" si="4"/>
        <v/>
      </c>
      <c r="H19" s="602" t="str">
        <f t="shared" si="5"/>
        <v/>
      </c>
      <c r="I19" s="602" t="str">
        <f t="shared" si="6"/>
        <v/>
      </c>
      <c r="J19" s="604"/>
      <c r="K19" s="603"/>
      <c r="L19" s="602"/>
      <c r="M19" s="602"/>
      <c r="N19" s="591">
        <f t="shared" si="0"/>
        <v>0</v>
      </c>
      <c r="O19" s="591">
        <f t="shared" si="7"/>
        <v>0</v>
      </c>
      <c r="P19" s="591">
        <f t="shared" si="1"/>
        <v>0</v>
      </c>
      <c r="Q19" s="591"/>
      <c r="R19" s="591" t="str">
        <f t="shared" si="2"/>
        <v/>
      </c>
      <c r="S19" s="591">
        <f t="shared" si="3"/>
        <v>0</v>
      </c>
      <c r="T19" s="591"/>
      <c r="U19" s="591"/>
      <c r="V19" s="591"/>
      <c r="W19" s="591">
        <f t="shared" si="8"/>
        <v>0</v>
      </c>
      <c r="X19" s="591"/>
      <c r="Y19" s="592"/>
      <c r="AA19" s="591"/>
      <c r="AH19" s="825" t="s">
        <v>1465</v>
      </c>
      <c r="AI19" s="392" t="s">
        <v>1466</v>
      </c>
    </row>
    <row r="20" spans="1:35" ht="20.100000000000001" customHeight="1">
      <c r="A20" s="606"/>
      <c r="B20" s="602"/>
      <c r="C20" s="602"/>
      <c r="D20" s="602"/>
      <c r="E20" s="605"/>
      <c r="F20" s="602"/>
      <c r="G20" s="602" t="str">
        <f t="shared" si="4"/>
        <v/>
      </c>
      <c r="H20" s="602" t="str">
        <f t="shared" si="5"/>
        <v/>
      </c>
      <c r="I20" s="602" t="str">
        <f t="shared" si="6"/>
        <v/>
      </c>
      <c r="J20" s="604"/>
      <c r="K20" s="603"/>
      <c r="L20" s="602"/>
      <c r="M20" s="602"/>
      <c r="N20" s="591">
        <f t="shared" si="0"/>
        <v>0</v>
      </c>
      <c r="O20" s="591">
        <f t="shared" si="7"/>
        <v>0</v>
      </c>
      <c r="P20" s="591">
        <f t="shared" si="1"/>
        <v>0</v>
      </c>
      <c r="Q20" s="591"/>
      <c r="R20" s="591" t="str">
        <f t="shared" si="2"/>
        <v/>
      </c>
      <c r="S20" s="591">
        <f t="shared" si="3"/>
        <v>0</v>
      </c>
      <c r="T20" s="591"/>
      <c r="U20" s="591"/>
      <c r="V20" s="591"/>
      <c r="W20" s="591">
        <f t="shared" si="8"/>
        <v>0</v>
      </c>
      <c r="X20" s="591"/>
      <c r="Y20" s="592"/>
      <c r="AA20" s="591"/>
      <c r="AH20" s="825"/>
      <c r="AI20" s="392" t="s">
        <v>1465</v>
      </c>
    </row>
    <row r="21" spans="1:35" ht="20.100000000000001" customHeight="1">
      <c r="A21" s="606"/>
      <c r="B21" s="602"/>
      <c r="C21" s="602"/>
      <c r="D21" s="602"/>
      <c r="E21" s="605"/>
      <c r="F21" s="602"/>
      <c r="G21" s="602" t="str">
        <f t="shared" si="4"/>
        <v/>
      </c>
      <c r="H21" s="602" t="str">
        <f t="shared" si="5"/>
        <v/>
      </c>
      <c r="I21" s="602" t="str">
        <f t="shared" si="6"/>
        <v/>
      </c>
      <c r="J21" s="604"/>
      <c r="K21" s="603"/>
      <c r="L21" s="602"/>
      <c r="M21" s="602"/>
      <c r="N21" s="591">
        <f t="shared" si="0"/>
        <v>0</v>
      </c>
      <c r="O21" s="591">
        <f t="shared" si="7"/>
        <v>0</v>
      </c>
      <c r="P21" s="591">
        <f t="shared" si="1"/>
        <v>0</v>
      </c>
      <c r="Q21" s="591"/>
      <c r="R21" s="591" t="str">
        <f t="shared" si="2"/>
        <v/>
      </c>
      <c r="S21" s="591">
        <f t="shared" si="3"/>
        <v>0</v>
      </c>
      <c r="T21" s="591"/>
      <c r="U21" s="591"/>
      <c r="V21" s="591"/>
      <c r="W21" s="591">
        <f t="shared" si="8"/>
        <v>0</v>
      </c>
      <c r="Y21" s="581"/>
      <c r="Z21" s="581" t="s">
        <v>1464</v>
      </c>
      <c r="AH21" s="825" t="s">
        <v>1456</v>
      </c>
      <c r="AI21" s="392" t="s">
        <v>1463</v>
      </c>
    </row>
    <row r="22" spans="1:35" ht="20.100000000000001" customHeight="1">
      <c r="A22" s="606"/>
      <c r="B22" s="602"/>
      <c r="C22" s="602"/>
      <c r="D22" s="602"/>
      <c r="E22" s="605"/>
      <c r="F22" s="602"/>
      <c r="G22" s="602" t="str">
        <f t="shared" si="4"/>
        <v/>
      </c>
      <c r="H22" s="602" t="str">
        <f t="shared" si="5"/>
        <v/>
      </c>
      <c r="I22" s="602" t="str">
        <f t="shared" si="6"/>
        <v/>
      </c>
      <c r="J22" s="604"/>
      <c r="K22" s="603"/>
      <c r="L22" s="602"/>
      <c r="M22" s="602"/>
      <c r="N22" s="591">
        <f t="shared" si="0"/>
        <v>0</v>
      </c>
      <c r="O22" s="591">
        <f t="shared" si="7"/>
        <v>0</v>
      </c>
      <c r="P22" s="591">
        <f t="shared" si="1"/>
        <v>0</v>
      </c>
      <c r="Q22" s="591"/>
      <c r="R22" s="591" t="str">
        <f t="shared" si="2"/>
        <v/>
      </c>
      <c r="S22" s="591">
        <f t="shared" si="3"/>
        <v>0</v>
      </c>
      <c r="T22" s="591"/>
      <c r="U22" s="591"/>
      <c r="V22" s="591"/>
      <c r="W22" s="591">
        <f t="shared" si="8"/>
        <v>0</v>
      </c>
      <c r="X22" s="591" t="s">
        <v>1462</v>
      </c>
      <c r="Y22" s="583">
        <v>2</v>
      </c>
      <c r="Z22" s="591">
        <f>VLOOKUP(G3,X22:Y26,2,FALSE)</f>
        <v>2</v>
      </c>
      <c r="AA22" s="591"/>
      <c r="AB22" s="591"/>
      <c r="AC22" s="591"/>
      <c r="AH22" s="825"/>
      <c r="AI22" s="392" t="s">
        <v>1461</v>
      </c>
    </row>
    <row r="23" spans="1:35" ht="20.100000000000001" customHeight="1">
      <c r="A23" s="606"/>
      <c r="B23" s="602"/>
      <c r="C23" s="602"/>
      <c r="D23" s="602"/>
      <c r="E23" s="605"/>
      <c r="F23" s="602"/>
      <c r="G23" s="602" t="str">
        <f t="shared" si="4"/>
        <v/>
      </c>
      <c r="H23" s="602" t="str">
        <f t="shared" si="5"/>
        <v/>
      </c>
      <c r="I23" s="602" t="str">
        <f t="shared" si="6"/>
        <v/>
      </c>
      <c r="J23" s="604"/>
      <c r="K23" s="603"/>
      <c r="L23" s="602"/>
      <c r="M23" s="602"/>
      <c r="N23" s="591">
        <f t="shared" si="0"/>
        <v>0</v>
      </c>
      <c r="O23" s="591">
        <f t="shared" si="7"/>
        <v>0</v>
      </c>
      <c r="P23" s="591">
        <f t="shared" si="1"/>
        <v>0</v>
      </c>
      <c r="Q23" s="591"/>
      <c r="R23" s="591" t="str">
        <f t="shared" si="2"/>
        <v/>
      </c>
      <c r="S23" s="591">
        <f t="shared" si="3"/>
        <v>0</v>
      </c>
      <c r="T23" s="591"/>
      <c r="U23" s="591"/>
      <c r="V23" s="591"/>
      <c r="W23" s="591">
        <f t="shared" si="8"/>
        <v>0</v>
      </c>
      <c r="X23" s="591" t="s">
        <v>1460</v>
      </c>
      <c r="Y23" s="583">
        <v>2</v>
      </c>
      <c r="Z23" s="591" t="s">
        <v>1459</v>
      </c>
      <c r="AA23" s="591"/>
      <c r="AB23" s="591" t="s">
        <v>234</v>
      </c>
      <c r="AC23" s="591">
        <v>-35</v>
      </c>
      <c r="AH23" s="825"/>
      <c r="AI23" s="392" t="s">
        <v>1458</v>
      </c>
    </row>
    <row r="24" spans="1:35" ht="20.100000000000001" customHeight="1">
      <c r="A24" s="606"/>
      <c r="B24" s="602"/>
      <c r="C24" s="602"/>
      <c r="D24" s="602"/>
      <c r="E24" s="605"/>
      <c r="F24" s="602"/>
      <c r="G24" s="602" t="str">
        <f t="shared" si="4"/>
        <v/>
      </c>
      <c r="H24" s="602" t="str">
        <f t="shared" si="5"/>
        <v/>
      </c>
      <c r="I24" s="602" t="str">
        <f t="shared" si="6"/>
        <v/>
      </c>
      <c r="J24" s="604"/>
      <c r="K24" s="603"/>
      <c r="L24" s="602"/>
      <c r="M24" s="602"/>
      <c r="N24" s="591">
        <f t="shared" si="0"/>
        <v>0</v>
      </c>
      <c r="O24" s="591">
        <f t="shared" si="7"/>
        <v>0</v>
      </c>
      <c r="P24" s="591">
        <f t="shared" si="1"/>
        <v>0</v>
      </c>
      <c r="Q24" s="591"/>
      <c r="R24" s="591" t="str">
        <f t="shared" si="2"/>
        <v/>
      </c>
      <c r="S24" s="591">
        <f t="shared" si="3"/>
        <v>0</v>
      </c>
      <c r="T24" s="591"/>
      <c r="U24" s="591"/>
      <c r="V24" s="591"/>
      <c r="W24" s="591">
        <f t="shared" si="8"/>
        <v>0</v>
      </c>
      <c r="X24" s="591" t="s">
        <v>1457</v>
      </c>
      <c r="Y24" s="583">
        <v>2</v>
      </c>
      <c r="Z24" s="619">
        <f>IF(B3=AB23,AC23,Z22)</f>
        <v>-35</v>
      </c>
      <c r="AA24" s="591"/>
      <c r="AB24" s="591"/>
      <c r="AC24" s="591"/>
      <c r="AH24" s="825"/>
      <c r="AI24" s="392" t="s">
        <v>1456</v>
      </c>
    </row>
    <row r="25" spans="1:35" ht="20.100000000000001" customHeight="1">
      <c r="A25" s="606"/>
      <c r="B25" s="602"/>
      <c r="C25" s="602"/>
      <c r="D25" s="602"/>
      <c r="E25" s="605"/>
      <c r="F25" s="602"/>
      <c r="G25" s="602" t="str">
        <f t="shared" si="4"/>
        <v/>
      </c>
      <c r="H25" s="602" t="str">
        <f t="shared" si="5"/>
        <v/>
      </c>
      <c r="I25" s="602" t="str">
        <f t="shared" si="6"/>
        <v/>
      </c>
      <c r="J25" s="604"/>
      <c r="K25" s="603"/>
      <c r="L25" s="602"/>
      <c r="M25" s="602"/>
      <c r="N25" s="591">
        <f t="shared" si="0"/>
        <v>0</v>
      </c>
      <c r="O25" s="591">
        <f t="shared" si="7"/>
        <v>0</v>
      </c>
      <c r="P25" s="591">
        <f t="shared" si="1"/>
        <v>0</v>
      </c>
      <c r="Q25" s="591"/>
      <c r="R25" s="591" t="str">
        <f t="shared" si="2"/>
        <v/>
      </c>
      <c r="S25" s="591">
        <f t="shared" si="3"/>
        <v>0</v>
      </c>
      <c r="T25" s="591"/>
      <c r="U25" s="591"/>
      <c r="V25" s="591"/>
      <c r="W25" s="591">
        <f t="shared" si="8"/>
        <v>0</v>
      </c>
      <c r="X25" s="591" t="s">
        <v>1455</v>
      </c>
      <c r="Y25" s="583">
        <v>2</v>
      </c>
      <c r="Z25" s="591"/>
      <c r="AA25" s="591"/>
      <c r="AH25" s="825"/>
      <c r="AI25" s="392" t="s">
        <v>1454</v>
      </c>
    </row>
    <row r="26" spans="1:35" ht="20.100000000000001" customHeight="1">
      <c r="A26" s="606"/>
      <c r="B26" s="602"/>
      <c r="C26" s="602"/>
      <c r="D26" s="602"/>
      <c r="E26" s="605"/>
      <c r="F26" s="602"/>
      <c r="G26" s="602" t="str">
        <f t="shared" si="4"/>
        <v/>
      </c>
      <c r="H26" s="602" t="str">
        <f t="shared" si="5"/>
        <v/>
      </c>
      <c r="I26" s="602" t="str">
        <f t="shared" si="6"/>
        <v/>
      </c>
      <c r="J26" s="604"/>
      <c r="K26" s="603"/>
      <c r="L26" s="602"/>
      <c r="M26" s="602"/>
      <c r="N26" s="591">
        <f t="shared" si="0"/>
        <v>0</v>
      </c>
      <c r="O26" s="591">
        <f t="shared" si="7"/>
        <v>0</v>
      </c>
      <c r="P26" s="591">
        <f t="shared" si="1"/>
        <v>0</v>
      </c>
      <c r="Q26" s="591"/>
      <c r="R26" s="591" t="str">
        <f t="shared" si="2"/>
        <v/>
      </c>
      <c r="S26" s="591">
        <f t="shared" si="3"/>
        <v>0</v>
      </c>
      <c r="T26" s="591"/>
      <c r="U26" s="591"/>
      <c r="V26" s="591"/>
      <c r="W26" s="591">
        <f t="shared" si="8"/>
        <v>0</v>
      </c>
      <c r="X26" s="583" t="s">
        <v>1411</v>
      </c>
      <c r="Y26" s="583">
        <v>0</v>
      </c>
      <c r="Z26" s="591"/>
      <c r="AA26" s="591"/>
      <c r="AH26" s="618" t="s">
        <v>1453</v>
      </c>
      <c r="AI26" s="392" t="s">
        <v>1453</v>
      </c>
    </row>
    <row r="27" spans="1:35" ht="20.100000000000001" customHeight="1">
      <c r="A27" s="606"/>
      <c r="B27" s="602"/>
      <c r="C27" s="602"/>
      <c r="D27" s="602"/>
      <c r="E27" s="605"/>
      <c r="F27" s="602"/>
      <c r="G27" s="602" t="str">
        <f t="shared" si="4"/>
        <v/>
      </c>
      <c r="H27" s="602" t="str">
        <f t="shared" si="5"/>
        <v/>
      </c>
      <c r="I27" s="602" t="str">
        <f t="shared" si="6"/>
        <v/>
      </c>
      <c r="J27" s="604"/>
      <c r="K27" s="603"/>
      <c r="L27" s="602"/>
      <c r="M27" s="602"/>
      <c r="N27" s="591">
        <f t="shared" si="0"/>
        <v>0</v>
      </c>
      <c r="O27" s="591">
        <f t="shared" si="7"/>
        <v>0</v>
      </c>
      <c r="P27" s="591">
        <f t="shared" si="1"/>
        <v>0</v>
      </c>
      <c r="Q27" s="591"/>
      <c r="R27" s="591" t="str">
        <f t="shared" si="2"/>
        <v/>
      </c>
      <c r="S27" s="591">
        <f t="shared" si="3"/>
        <v>0</v>
      </c>
      <c r="T27" s="591"/>
      <c r="U27" s="591"/>
      <c r="V27" s="591"/>
      <c r="W27" s="591">
        <f t="shared" si="8"/>
        <v>0</v>
      </c>
      <c r="X27" s="591"/>
      <c r="Y27" s="592"/>
      <c r="AA27" s="591"/>
      <c r="AH27" s="825" t="s">
        <v>1206</v>
      </c>
      <c r="AI27" s="392" t="s">
        <v>1452</v>
      </c>
    </row>
    <row r="28" spans="1:35" ht="20.100000000000001" customHeight="1">
      <c r="A28" s="606"/>
      <c r="B28" s="602"/>
      <c r="C28" s="602"/>
      <c r="D28" s="602"/>
      <c r="E28" s="605"/>
      <c r="F28" s="602"/>
      <c r="G28" s="602" t="str">
        <f t="shared" si="4"/>
        <v/>
      </c>
      <c r="H28" s="602" t="str">
        <f t="shared" si="5"/>
        <v/>
      </c>
      <c r="I28" s="602" t="str">
        <f t="shared" si="6"/>
        <v/>
      </c>
      <c r="J28" s="604"/>
      <c r="K28" s="603"/>
      <c r="L28" s="602"/>
      <c r="M28" s="602"/>
      <c r="N28" s="591">
        <f t="shared" si="0"/>
        <v>0</v>
      </c>
      <c r="O28" s="591">
        <f t="shared" si="7"/>
        <v>0</v>
      </c>
      <c r="P28" s="591">
        <f t="shared" si="1"/>
        <v>0</v>
      </c>
      <c r="Q28" s="591"/>
      <c r="R28" s="591" t="str">
        <f t="shared" si="2"/>
        <v/>
      </c>
      <c r="S28" s="591">
        <f t="shared" si="3"/>
        <v>0</v>
      </c>
      <c r="T28" s="591"/>
      <c r="U28" s="591"/>
      <c r="V28" s="591"/>
      <c r="W28" s="591">
        <f t="shared" si="8"/>
        <v>0</v>
      </c>
      <c r="X28" s="591"/>
      <c r="Y28" s="592"/>
      <c r="AA28" s="591"/>
      <c r="AH28" s="825"/>
      <c r="AI28" s="392" t="s">
        <v>1205</v>
      </c>
    </row>
    <row r="29" spans="1:35" ht="20.100000000000001" customHeight="1">
      <c r="A29" s="603" t="s">
        <v>1451</v>
      </c>
      <c r="B29" s="603"/>
      <c r="C29" s="603"/>
      <c r="D29" s="603"/>
      <c r="E29" s="605"/>
      <c r="F29" s="603"/>
      <c r="G29" s="603"/>
      <c r="H29" s="603"/>
      <c r="I29" s="603"/>
      <c r="J29" s="604"/>
      <c r="K29" s="603"/>
      <c r="L29" s="604"/>
      <c r="M29" s="604"/>
      <c r="N29" s="591">
        <f t="shared" si="0"/>
        <v>0</v>
      </c>
      <c r="O29" s="591">
        <f t="shared" si="7"/>
        <v>0</v>
      </c>
      <c r="P29" s="591">
        <f t="shared" si="1"/>
        <v>0</v>
      </c>
      <c r="Q29" s="591"/>
      <c r="R29" s="591">
        <f t="shared" si="2"/>
        <v>0</v>
      </c>
      <c r="S29" s="591">
        <f t="shared" si="3"/>
        <v>0</v>
      </c>
      <c r="T29" s="591"/>
      <c r="U29" s="591"/>
      <c r="V29" s="591"/>
      <c r="W29" s="591">
        <f t="shared" si="8"/>
        <v>0</v>
      </c>
      <c r="X29" s="591"/>
      <c r="Y29" s="592"/>
      <c r="AA29" s="591"/>
      <c r="AH29" s="825"/>
      <c r="AI29" s="392" t="s">
        <v>1450</v>
      </c>
    </row>
    <row r="30" spans="1:35" ht="20.100000000000001" customHeight="1">
      <c r="A30" s="606"/>
      <c r="B30" s="602"/>
      <c r="C30" s="602"/>
      <c r="D30" s="602"/>
      <c r="E30" s="605"/>
      <c r="F30" s="602"/>
      <c r="G30" s="602" t="str">
        <f t="shared" ref="G30:G39" si="9">IF(B30&gt;0,IF(J30="平板无刀型",B30,B30+$Z$22),"")</f>
        <v/>
      </c>
      <c r="H30" s="602" t="str">
        <f t="shared" ref="H30:H39" si="10">IF(C30&gt;0,IF(J30="平板无刀型",C30,C30+$Z$24),"")</f>
        <v/>
      </c>
      <c r="I30" s="602" t="str">
        <f t="shared" ref="I30:I39" si="11">+IF(D30&gt;0,D30,"")</f>
        <v/>
      </c>
      <c r="J30" s="604"/>
      <c r="K30" s="603"/>
      <c r="L30" s="602"/>
      <c r="M30" s="602"/>
      <c r="N30" s="591">
        <f t="shared" si="0"/>
        <v>0</v>
      </c>
      <c r="O30" s="591">
        <f t="shared" si="7"/>
        <v>0</v>
      </c>
      <c r="P30" s="591">
        <f t="shared" si="1"/>
        <v>0</v>
      </c>
      <c r="Q30" s="591"/>
      <c r="R30" s="591" t="str">
        <f t="shared" si="2"/>
        <v/>
      </c>
      <c r="S30" s="591">
        <f t="shared" si="3"/>
        <v>0</v>
      </c>
      <c r="T30" s="591"/>
      <c r="U30" s="591"/>
      <c r="V30" s="591"/>
      <c r="W30" s="591">
        <f t="shared" si="8"/>
        <v>0</v>
      </c>
      <c r="X30" s="591"/>
      <c r="Y30" s="592"/>
      <c r="AA30" s="591"/>
      <c r="AH30" s="618" t="s">
        <v>49</v>
      </c>
      <c r="AI30" s="392" t="s">
        <v>49</v>
      </c>
    </row>
    <row r="31" spans="1:35" ht="20.100000000000001" customHeight="1">
      <c r="A31" s="606"/>
      <c r="B31" s="602"/>
      <c r="C31" s="602"/>
      <c r="D31" s="602"/>
      <c r="E31" s="605"/>
      <c r="F31" s="602"/>
      <c r="G31" s="602" t="str">
        <f t="shared" si="9"/>
        <v/>
      </c>
      <c r="H31" s="602" t="str">
        <f t="shared" si="10"/>
        <v/>
      </c>
      <c r="I31" s="602" t="str">
        <f t="shared" si="11"/>
        <v/>
      </c>
      <c r="J31" s="604"/>
      <c r="K31" s="603"/>
      <c r="L31" s="602"/>
      <c r="M31" s="602"/>
      <c r="N31" s="591">
        <f t="shared" si="0"/>
        <v>0</v>
      </c>
      <c r="O31" s="591">
        <f t="shared" si="7"/>
        <v>0</v>
      </c>
      <c r="P31" s="591">
        <f t="shared" si="1"/>
        <v>0</v>
      </c>
      <c r="Q31" s="591"/>
      <c r="R31" s="591" t="str">
        <f t="shared" si="2"/>
        <v/>
      </c>
      <c r="S31" s="591">
        <f t="shared" si="3"/>
        <v>0</v>
      </c>
      <c r="T31" s="591"/>
      <c r="U31" s="591"/>
      <c r="V31" s="591"/>
      <c r="W31" s="591">
        <f t="shared" si="8"/>
        <v>0</v>
      </c>
      <c r="X31" s="591"/>
      <c r="Y31" s="592"/>
      <c r="AA31" s="591"/>
      <c r="AH31" s="825" t="s">
        <v>56</v>
      </c>
      <c r="AI31" s="392" t="s">
        <v>56</v>
      </c>
    </row>
    <row r="32" spans="1:35" ht="20.100000000000001" customHeight="1">
      <c r="A32" s="606"/>
      <c r="B32" s="602"/>
      <c r="C32" s="602"/>
      <c r="D32" s="602"/>
      <c r="E32" s="605"/>
      <c r="F32" s="602"/>
      <c r="G32" s="602" t="str">
        <f t="shared" si="9"/>
        <v/>
      </c>
      <c r="H32" s="602" t="str">
        <f t="shared" si="10"/>
        <v/>
      </c>
      <c r="I32" s="602" t="str">
        <f t="shared" si="11"/>
        <v/>
      </c>
      <c r="J32" s="604"/>
      <c r="K32" s="603"/>
      <c r="L32" s="602"/>
      <c r="M32" s="602"/>
      <c r="N32" s="591">
        <f t="shared" si="0"/>
        <v>0</v>
      </c>
      <c r="O32" s="591">
        <f t="shared" si="7"/>
        <v>0</v>
      </c>
      <c r="P32" s="591">
        <f t="shared" si="1"/>
        <v>0</v>
      </c>
      <c r="Q32" s="591"/>
      <c r="R32" s="591" t="str">
        <f t="shared" si="2"/>
        <v/>
      </c>
      <c r="S32" s="591">
        <f t="shared" si="3"/>
        <v>0</v>
      </c>
      <c r="T32" s="591"/>
      <c r="U32" s="591"/>
      <c r="V32" s="591"/>
      <c r="W32" s="591">
        <f t="shared" si="8"/>
        <v>0</v>
      </c>
      <c r="X32" s="591"/>
      <c r="Y32" s="592"/>
      <c r="AA32" s="591"/>
      <c r="AH32" s="825"/>
      <c r="AI32" s="392" t="s">
        <v>1449</v>
      </c>
    </row>
    <row r="33" spans="1:35" ht="20.100000000000001" customHeight="1">
      <c r="A33" s="606"/>
      <c r="B33" s="602"/>
      <c r="C33" s="602"/>
      <c r="D33" s="602"/>
      <c r="E33" s="605"/>
      <c r="F33" s="602"/>
      <c r="G33" s="602" t="str">
        <f t="shared" si="9"/>
        <v/>
      </c>
      <c r="H33" s="602" t="str">
        <f t="shared" si="10"/>
        <v/>
      </c>
      <c r="I33" s="602" t="str">
        <f t="shared" si="11"/>
        <v/>
      </c>
      <c r="J33" s="604"/>
      <c r="K33" s="603"/>
      <c r="L33" s="602"/>
      <c r="M33" s="602"/>
      <c r="N33" s="591">
        <f t="shared" si="0"/>
        <v>0</v>
      </c>
      <c r="O33" s="591">
        <f t="shared" si="7"/>
        <v>0</v>
      </c>
      <c r="P33" s="591">
        <f t="shared" si="1"/>
        <v>0</v>
      </c>
      <c r="Q33" s="591"/>
      <c r="R33" s="591" t="str">
        <f t="shared" si="2"/>
        <v/>
      </c>
      <c r="S33" s="591">
        <f t="shared" si="3"/>
        <v>0</v>
      </c>
      <c r="T33" s="591"/>
      <c r="U33" s="591"/>
      <c r="V33" s="591"/>
      <c r="W33" s="591">
        <f t="shared" si="8"/>
        <v>0</v>
      </c>
      <c r="X33" s="591"/>
      <c r="Y33" s="592"/>
      <c r="AA33" s="591"/>
      <c r="AH33" s="825" t="s">
        <v>1195</v>
      </c>
      <c r="AI33" s="370" t="s">
        <v>1194</v>
      </c>
    </row>
    <row r="34" spans="1:35" ht="20.100000000000001" customHeight="1">
      <c r="A34" s="606"/>
      <c r="B34" s="602"/>
      <c r="C34" s="602"/>
      <c r="D34" s="602"/>
      <c r="E34" s="605"/>
      <c r="F34" s="602"/>
      <c r="G34" s="602" t="str">
        <f t="shared" si="9"/>
        <v/>
      </c>
      <c r="H34" s="602" t="str">
        <f t="shared" si="10"/>
        <v/>
      </c>
      <c r="I34" s="602" t="str">
        <f t="shared" si="11"/>
        <v/>
      </c>
      <c r="J34" s="604"/>
      <c r="K34" s="603"/>
      <c r="L34" s="602"/>
      <c r="M34" s="602"/>
      <c r="N34" s="591">
        <f t="shared" si="0"/>
        <v>0</v>
      </c>
      <c r="O34" s="591">
        <f t="shared" si="7"/>
        <v>0</v>
      </c>
      <c r="P34" s="591">
        <f t="shared" si="1"/>
        <v>0</v>
      </c>
      <c r="Q34" s="591"/>
      <c r="R34" s="591" t="str">
        <f t="shared" si="2"/>
        <v/>
      </c>
      <c r="S34" s="591">
        <f t="shared" si="3"/>
        <v>0</v>
      </c>
      <c r="T34" s="591"/>
      <c r="U34" s="591"/>
      <c r="V34" s="591"/>
      <c r="W34" s="591">
        <f t="shared" si="8"/>
        <v>0</v>
      </c>
      <c r="X34" s="591"/>
      <c r="Y34" s="592"/>
      <c r="AA34" s="591"/>
      <c r="AH34" s="825"/>
      <c r="AI34" s="370" t="s">
        <v>1190</v>
      </c>
    </row>
    <row r="35" spans="1:35" ht="20.100000000000001" customHeight="1">
      <c r="A35" s="617" t="s">
        <v>1448</v>
      </c>
      <c r="B35" s="602"/>
      <c r="C35" s="602"/>
      <c r="D35" s="602"/>
      <c r="E35" s="605"/>
      <c r="F35" s="602"/>
      <c r="G35" s="602" t="str">
        <f t="shared" si="9"/>
        <v/>
      </c>
      <c r="H35" s="602" t="str">
        <f t="shared" si="10"/>
        <v/>
      </c>
      <c r="I35" s="602" t="str">
        <f t="shared" si="11"/>
        <v/>
      </c>
      <c r="J35" s="604"/>
      <c r="K35" s="603"/>
      <c r="L35" s="602"/>
      <c r="M35" s="602"/>
      <c r="N35" s="591">
        <f t="shared" si="0"/>
        <v>0</v>
      </c>
      <c r="O35" s="591">
        <f t="shared" si="7"/>
        <v>0</v>
      </c>
      <c r="P35" s="591">
        <f t="shared" si="1"/>
        <v>0</v>
      </c>
      <c r="Q35" s="591">
        <f>(B35+C35)*2*D35/1000/0.8</f>
        <v>0</v>
      </c>
      <c r="R35" s="591" t="str">
        <f t="shared" si="2"/>
        <v/>
      </c>
      <c r="S35" s="591">
        <f t="shared" si="3"/>
        <v>0</v>
      </c>
      <c r="T35" s="591"/>
      <c r="U35" s="591"/>
      <c r="V35" s="591"/>
      <c r="W35" s="591">
        <f t="shared" si="8"/>
        <v>0</v>
      </c>
      <c r="X35" s="591"/>
      <c r="Y35" s="592"/>
      <c r="AA35" s="591"/>
      <c r="AH35" s="825"/>
      <c r="AI35" s="346" t="s">
        <v>1185</v>
      </c>
    </row>
    <row r="36" spans="1:35" ht="20.100000000000001" customHeight="1">
      <c r="A36" s="617" t="s">
        <v>1448</v>
      </c>
      <c r="B36" s="602"/>
      <c r="C36" s="602"/>
      <c r="D36" s="602"/>
      <c r="E36" s="605"/>
      <c r="F36" s="602"/>
      <c r="G36" s="602" t="str">
        <f t="shared" si="9"/>
        <v/>
      </c>
      <c r="H36" s="602" t="str">
        <f t="shared" si="10"/>
        <v/>
      </c>
      <c r="I36" s="602" t="str">
        <f t="shared" si="11"/>
        <v/>
      </c>
      <c r="J36" s="604"/>
      <c r="K36" s="603"/>
      <c r="L36" s="602"/>
      <c r="M36" s="602"/>
      <c r="N36" s="591">
        <f t="shared" si="0"/>
        <v>0</v>
      </c>
      <c r="O36" s="591">
        <f t="shared" si="7"/>
        <v>0</v>
      </c>
      <c r="P36" s="591">
        <f t="shared" si="1"/>
        <v>0</v>
      </c>
      <c r="Q36" s="591">
        <f>(B36+C36)*2*D36/1000/0.8</f>
        <v>0</v>
      </c>
      <c r="R36" s="591" t="str">
        <f t="shared" si="2"/>
        <v/>
      </c>
      <c r="S36" s="591">
        <f t="shared" si="3"/>
        <v>0</v>
      </c>
      <c r="T36" s="591"/>
      <c r="U36" s="591"/>
      <c r="V36" s="591"/>
      <c r="W36" s="591">
        <f t="shared" si="8"/>
        <v>0</v>
      </c>
      <c r="X36" s="591"/>
      <c r="Y36" s="592"/>
      <c r="AA36" s="591"/>
      <c r="AH36" s="825"/>
      <c r="AI36" s="370" t="s">
        <v>1181</v>
      </c>
    </row>
    <row r="37" spans="1:35" ht="20.100000000000001" customHeight="1">
      <c r="A37" s="617" t="s">
        <v>1448</v>
      </c>
      <c r="B37" s="602"/>
      <c r="C37" s="602"/>
      <c r="D37" s="602"/>
      <c r="E37" s="605"/>
      <c r="F37" s="602"/>
      <c r="G37" s="602" t="str">
        <f t="shared" si="9"/>
        <v/>
      </c>
      <c r="H37" s="602" t="str">
        <f t="shared" si="10"/>
        <v/>
      </c>
      <c r="I37" s="602" t="str">
        <f t="shared" si="11"/>
        <v/>
      </c>
      <c r="J37" s="604"/>
      <c r="K37" s="603"/>
      <c r="L37" s="602"/>
      <c r="M37" s="602"/>
      <c r="N37" s="591">
        <f t="shared" si="0"/>
        <v>0</v>
      </c>
      <c r="O37" s="591">
        <f t="shared" si="7"/>
        <v>0</v>
      </c>
      <c r="P37" s="591">
        <f t="shared" si="1"/>
        <v>0</v>
      </c>
      <c r="Q37" s="591">
        <f>(B37+C37)*2*D37/1000/0.8</f>
        <v>0</v>
      </c>
      <c r="R37" s="591" t="str">
        <f t="shared" si="2"/>
        <v/>
      </c>
      <c r="S37" s="591">
        <f t="shared" si="3"/>
        <v>0</v>
      </c>
      <c r="T37" s="591"/>
      <c r="U37" s="591"/>
      <c r="V37" s="591"/>
      <c r="W37" s="591">
        <f t="shared" si="8"/>
        <v>0</v>
      </c>
      <c r="X37" s="591"/>
      <c r="Y37" s="592"/>
      <c r="AA37" s="591"/>
      <c r="AH37" s="825"/>
      <c r="AI37" s="346" t="s">
        <v>1177</v>
      </c>
    </row>
    <row r="38" spans="1:35" ht="20.100000000000001" customHeight="1">
      <c r="A38" s="617" t="s">
        <v>1448</v>
      </c>
      <c r="B38" s="602"/>
      <c r="C38" s="602"/>
      <c r="D38" s="602"/>
      <c r="E38" s="605"/>
      <c r="F38" s="602"/>
      <c r="G38" s="602" t="str">
        <f t="shared" si="9"/>
        <v/>
      </c>
      <c r="H38" s="602" t="str">
        <f t="shared" si="10"/>
        <v/>
      </c>
      <c r="I38" s="602" t="str">
        <f t="shared" si="11"/>
        <v/>
      </c>
      <c r="J38" s="604"/>
      <c r="K38" s="603"/>
      <c r="L38" s="602"/>
      <c r="M38" s="602"/>
      <c r="N38" s="591">
        <f t="shared" si="0"/>
        <v>0</v>
      </c>
      <c r="O38" s="591">
        <f t="shared" si="7"/>
        <v>0</v>
      </c>
      <c r="P38" s="591">
        <f t="shared" si="1"/>
        <v>0</v>
      </c>
      <c r="Q38" s="591">
        <f>(B38+C38)*2*D38/1000/0.8</f>
        <v>0</v>
      </c>
      <c r="R38" s="591" t="str">
        <f t="shared" si="2"/>
        <v/>
      </c>
      <c r="S38" s="591">
        <f t="shared" si="3"/>
        <v>0</v>
      </c>
      <c r="T38" s="591"/>
      <c r="U38" s="591"/>
      <c r="V38" s="591"/>
      <c r="W38" s="591">
        <f t="shared" si="8"/>
        <v>0</v>
      </c>
      <c r="X38" s="591"/>
      <c r="Y38" s="592"/>
      <c r="AA38" s="591"/>
      <c r="AH38" s="825"/>
      <c r="AI38" s="346" t="s">
        <v>1173</v>
      </c>
    </row>
    <row r="39" spans="1:35" ht="20.100000000000001" customHeight="1">
      <c r="A39" s="617" t="s">
        <v>1448</v>
      </c>
      <c r="B39" s="602"/>
      <c r="C39" s="602"/>
      <c r="D39" s="602"/>
      <c r="E39" s="605"/>
      <c r="F39" s="602"/>
      <c r="G39" s="602" t="str">
        <f t="shared" si="9"/>
        <v/>
      </c>
      <c r="H39" s="602" t="str">
        <f t="shared" si="10"/>
        <v/>
      </c>
      <c r="I39" s="602" t="str">
        <f t="shared" si="11"/>
        <v/>
      </c>
      <c r="J39" s="604"/>
      <c r="K39" s="603"/>
      <c r="L39" s="602"/>
      <c r="M39" s="602"/>
      <c r="N39" s="591">
        <f t="shared" si="0"/>
        <v>0</v>
      </c>
      <c r="O39" s="591">
        <f t="shared" si="7"/>
        <v>0</v>
      </c>
      <c r="P39" s="591">
        <f t="shared" si="1"/>
        <v>0</v>
      </c>
      <c r="Q39" s="591">
        <f>(B39+C39)*2*D39/1000/0.8</f>
        <v>0</v>
      </c>
      <c r="R39" s="591" t="str">
        <f t="shared" si="2"/>
        <v/>
      </c>
      <c r="S39" s="591">
        <f t="shared" si="3"/>
        <v>0</v>
      </c>
      <c r="T39" s="591"/>
      <c r="U39" s="591"/>
      <c r="V39" s="591"/>
      <c r="W39" s="591">
        <f t="shared" si="8"/>
        <v>0</v>
      </c>
      <c r="X39" s="591"/>
      <c r="Y39" s="592"/>
      <c r="AA39" s="591"/>
      <c r="AH39" s="825" t="s">
        <v>1447</v>
      </c>
      <c r="AI39" s="392" t="s">
        <v>1446</v>
      </c>
    </row>
    <row r="40" spans="1:35" s="609" customFormat="1" ht="20.100000000000001" customHeight="1">
      <c r="A40" s="616" t="s">
        <v>237</v>
      </c>
      <c r="B40" s="614">
        <v>2440</v>
      </c>
      <c r="C40" s="614"/>
      <c r="D40" s="614"/>
      <c r="E40" s="605"/>
      <c r="F40" s="614"/>
      <c r="G40" s="614">
        <f t="shared" ref="G40:I43" si="12">B40</f>
        <v>2440</v>
      </c>
      <c r="H40" s="614">
        <f t="shared" si="12"/>
        <v>0</v>
      </c>
      <c r="I40" s="614">
        <f t="shared" si="12"/>
        <v>0</v>
      </c>
      <c r="J40" s="614" t="s">
        <v>1445</v>
      </c>
      <c r="K40" s="615"/>
      <c r="L40" s="614"/>
      <c r="M40" s="614"/>
      <c r="N40" s="612">
        <f t="shared" si="0"/>
        <v>0</v>
      </c>
      <c r="O40" s="591">
        <f t="shared" si="7"/>
        <v>0</v>
      </c>
      <c r="P40" s="591">
        <f t="shared" si="1"/>
        <v>0</v>
      </c>
      <c r="Q40" s="612"/>
      <c r="R40" s="612">
        <f t="shared" si="2"/>
        <v>0</v>
      </c>
      <c r="S40" s="612"/>
      <c r="T40" s="612"/>
      <c r="U40" s="612"/>
      <c r="V40" s="612">
        <f>(B40+18*2)*(C40+18*2)*D40/1000000</f>
        <v>0</v>
      </c>
      <c r="W40" s="591"/>
      <c r="X40" s="612"/>
      <c r="Y40" s="613"/>
      <c r="AA40" s="612"/>
      <c r="AB40" s="611"/>
      <c r="AE40" s="611"/>
      <c r="AF40" s="610"/>
      <c r="AH40" s="825"/>
      <c r="AI40" s="392" t="s">
        <v>1444</v>
      </c>
    </row>
    <row r="41" spans="1:35" ht="20.100000000000001" customHeight="1">
      <c r="A41" s="607" t="s">
        <v>1441</v>
      </c>
      <c r="B41" s="602">
        <v>50</v>
      </c>
      <c r="C41" s="602">
        <v>720</v>
      </c>
      <c r="D41" s="602"/>
      <c r="E41" s="605"/>
      <c r="F41" s="602"/>
      <c r="G41" s="602">
        <f t="shared" si="12"/>
        <v>50</v>
      </c>
      <c r="H41" s="602">
        <f t="shared" si="12"/>
        <v>720</v>
      </c>
      <c r="I41" s="602">
        <f t="shared" si="12"/>
        <v>0</v>
      </c>
      <c r="J41" s="602" t="s">
        <v>1433</v>
      </c>
      <c r="K41" s="603"/>
      <c r="L41" s="602"/>
      <c r="M41" s="602"/>
      <c r="N41" s="591">
        <f t="shared" si="0"/>
        <v>0</v>
      </c>
      <c r="O41" s="591">
        <f t="shared" si="7"/>
        <v>0</v>
      </c>
      <c r="P41" s="591">
        <f t="shared" si="1"/>
        <v>0</v>
      </c>
      <c r="Q41" s="591"/>
      <c r="R41" s="591">
        <f t="shared" si="2"/>
        <v>0</v>
      </c>
      <c r="S41" s="591"/>
      <c r="T41" s="591"/>
      <c r="U41" s="591">
        <f>(B41+18*2)*(C41+18*2)*D41/1000000</f>
        <v>0</v>
      </c>
      <c r="V41" s="591"/>
      <c r="W41" s="591"/>
      <c r="X41" s="591"/>
      <c r="Y41" s="592"/>
      <c r="AA41" s="591"/>
      <c r="AH41" s="825"/>
      <c r="AI41" s="392" t="s">
        <v>1443</v>
      </c>
    </row>
    <row r="42" spans="1:35" ht="20.100000000000001" customHeight="1">
      <c r="A42" s="607" t="s">
        <v>1441</v>
      </c>
      <c r="B42" s="602">
        <v>50</v>
      </c>
      <c r="C42" s="602">
        <v>720</v>
      </c>
      <c r="D42" s="602"/>
      <c r="E42" s="605"/>
      <c r="F42" s="602"/>
      <c r="G42" s="602">
        <f t="shared" si="12"/>
        <v>50</v>
      </c>
      <c r="H42" s="602">
        <f t="shared" si="12"/>
        <v>720</v>
      </c>
      <c r="I42" s="602">
        <f t="shared" si="12"/>
        <v>0</v>
      </c>
      <c r="J42" s="602" t="s">
        <v>1433</v>
      </c>
      <c r="K42" s="603"/>
      <c r="L42" s="602"/>
      <c r="M42" s="602"/>
      <c r="N42" s="591">
        <f t="shared" si="0"/>
        <v>0</v>
      </c>
      <c r="O42" s="591">
        <f t="shared" si="7"/>
        <v>0</v>
      </c>
      <c r="P42" s="591">
        <f t="shared" si="1"/>
        <v>0</v>
      </c>
      <c r="Q42" s="591"/>
      <c r="R42" s="591">
        <f t="shared" si="2"/>
        <v>0</v>
      </c>
      <c r="S42" s="591"/>
      <c r="T42" s="591"/>
      <c r="U42" s="591">
        <f>(B42+18*2)*(C42+18*2)*D42/1000000</f>
        <v>0</v>
      </c>
      <c r="V42" s="591"/>
      <c r="W42" s="591"/>
      <c r="X42" s="591"/>
      <c r="Y42" s="592"/>
      <c r="AA42" s="591"/>
      <c r="AH42" s="825"/>
      <c r="AI42" s="392" t="s">
        <v>1442</v>
      </c>
    </row>
    <row r="43" spans="1:35" ht="20.100000000000001" customHeight="1">
      <c r="A43" s="607" t="s">
        <v>1441</v>
      </c>
      <c r="B43" s="602">
        <v>50</v>
      </c>
      <c r="C43" s="602">
        <v>2160</v>
      </c>
      <c r="D43" s="602"/>
      <c r="E43" s="605"/>
      <c r="F43" s="602"/>
      <c r="G43" s="602">
        <f t="shared" si="12"/>
        <v>50</v>
      </c>
      <c r="H43" s="602">
        <f t="shared" si="12"/>
        <v>2160</v>
      </c>
      <c r="I43" s="602">
        <f t="shared" si="12"/>
        <v>0</v>
      </c>
      <c r="J43" s="602" t="s">
        <v>1433</v>
      </c>
      <c r="K43" s="603"/>
      <c r="L43" s="602"/>
      <c r="M43" s="602"/>
      <c r="N43" s="591">
        <f t="shared" si="0"/>
        <v>0</v>
      </c>
      <c r="O43" s="591">
        <f t="shared" si="7"/>
        <v>0</v>
      </c>
      <c r="P43" s="591">
        <f t="shared" si="1"/>
        <v>0</v>
      </c>
      <c r="Q43" s="591"/>
      <c r="R43" s="591">
        <f t="shared" si="2"/>
        <v>0</v>
      </c>
      <c r="S43" s="591"/>
      <c r="T43" s="591"/>
      <c r="U43" s="591">
        <f>(B43+18*2)*(C43+18*2)*D43/1000000</f>
        <v>0</v>
      </c>
      <c r="V43" s="591"/>
      <c r="W43" s="591"/>
      <c r="X43" s="591"/>
      <c r="Y43" s="592"/>
      <c r="AA43" s="591"/>
      <c r="AH43" s="825"/>
      <c r="AI43" s="346" t="s">
        <v>1440</v>
      </c>
    </row>
    <row r="44" spans="1:35" ht="20.100000000000001" customHeight="1">
      <c r="A44" s="607" t="s">
        <v>1438</v>
      </c>
      <c r="B44" s="602">
        <v>50</v>
      </c>
      <c r="C44" s="602">
        <v>60</v>
      </c>
      <c r="D44" s="602"/>
      <c r="E44" s="605"/>
      <c r="F44" s="602"/>
      <c r="G44" s="602">
        <f>C44+2</f>
        <v>62</v>
      </c>
      <c r="H44" s="602">
        <v>2400</v>
      </c>
      <c r="I44" s="602">
        <v>1</v>
      </c>
      <c r="J44" s="602" t="s">
        <v>1433</v>
      </c>
      <c r="K44" s="602" t="s">
        <v>929</v>
      </c>
      <c r="L44" s="602"/>
      <c r="M44" s="602"/>
      <c r="N44" s="591">
        <f t="shared" si="0"/>
        <v>0</v>
      </c>
      <c r="O44" s="591">
        <f t="shared" si="7"/>
        <v>0</v>
      </c>
      <c r="P44" s="591" t="str">
        <f t="shared" si="1"/>
        <v>0</v>
      </c>
      <c r="Q44" s="591"/>
      <c r="R44" s="591">
        <f t="shared" si="2"/>
        <v>1</v>
      </c>
      <c r="S44" s="591"/>
      <c r="T44" s="591">
        <f>(B44+18*2)*(C44+18*2)*D44/1000000</f>
        <v>0</v>
      </c>
      <c r="U44" s="591"/>
      <c r="V44" s="591"/>
      <c r="W44" s="591"/>
      <c r="X44" s="591"/>
      <c r="Y44" s="592"/>
      <c r="AA44" s="591"/>
      <c r="AH44" s="825"/>
      <c r="AI44" s="346" t="s">
        <v>1439</v>
      </c>
    </row>
    <row r="45" spans="1:35" ht="20.100000000000001" customHeight="1">
      <c r="A45" s="607" t="s">
        <v>1438</v>
      </c>
      <c r="B45" s="602">
        <v>50</v>
      </c>
      <c r="C45" s="602">
        <f>C40</f>
        <v>0</v>
      </c>
      <c r="D45" s="602"/>
      <c r="E45" s="605"/>
      <c r="F45" s="602"/>
      <c r="G45" s="602">
        <f>C45+2</f>
        <v>2</v>
      </c>
      <c r="H45" s="602">
        <v>2400</v>
      </c>
      <c r="I45" s="602">
        <v>1</v>
      </c>
      <c r="J45" s="602" t="s">
        <v>1433</v>
      </c>
      <c r="K45" s="602" t="s">
        <v>929</v>
      </c>
      <c r="L45" s="602"/>
      <c r="M45" s="602"/>
      <c r="N45" s="591">
        <f t="shared" si="0"/>
        <v>0</v>
      </c>
      <c r="O45" s="591">
        <f t="shared" si="7"/>
        <v>0</v>
      </c>
      <c r="P45" s="591" t="str">
        <f t="shared" si="1"/>
        <v>0</v>
      </c>
      <c r="Q45" s="591"/>
      <c r="R45" s="591">
        <f t="shared" si="2"/>
        <v>1</v>
      </c>
      <c r="S45" s="591"/>
      <c r="T45" s="591">
        <f>(B45+18*2)*(C45+18*2)*D45/1000000</f>
        <v>0</v>
      </c>
      <c r="U45" s="591"/>
      <c r="V45" s="591"/>
      <c r="W45" s="591"/>
      <c r="X45" s="591"/>
      <c r="Y45" s="592"/>
      <c r="AA45" s="591"/>
      <c r="AH45" s="825"/>
      <c r="AI45" s="346" t="s">
        <v>1437</v>
      </c>
    </row>
    <row r="46" spans="1:35" ht="20.100000000000001" customHeight="1">
      <c r="A46" s="607" t="s">
        <v>1436</v>
      </c>
      <c r="B46" s="602">
        <v>42</v>
      </c>
      <c r="C46" s="602">
        <v>42</v>
      </c>
      <c r="D46" s="602"/>
      <c r="E46" s="605"/>
      <c r="F46" s="602"/>
      <c r="G46" s="602">
        <f>B46</f>
        <v>42</v>
      </c>
      <c r="H46" s="602">
        <f>C46</f>
        <v>42</v>
      </c>
      <c r="I46" s="602">
        <f>D46</f>
        <v>0</v>
      </c>
      <c r="J46" s="602" t="s">
        <v>1435</v>
      </c>
      <c r="K46" s="602" t="s">
        <v>929</v>
      </c>
      <c r="L46" s="602"/>
      <c r="M46" s="602"/>
      <c r="N46" s="591">
        <f t="shared" si="0"/>
        <v>0</v>
      </c>
      <c r="O46" s="591">
        <f t="shared" si="7"/>
        <v>0</v>
      </c>
      <c r="P46" s="591" t="str">
        <f t="shared" si="1"/>
        <v>0</v>
      </c>
      <c r="Q46" s="591"/>
      <c r="R46" s="591"/>
      <c r="S46" s="591"/>
      <c r="T46" s="591">
        <f>(B46+18*2)*(C46+18*2)*D46/1000000</f>
        <v>0</v>
      </c>
      <c r="U46" s="591"/>
      <c r="V46" s="591"/>
      <c r="W46" s="591"/>
      <c r="X46" s="591"/>
      <c r="Y46" s="592"/>
      <c r="AA46" s="591"/>
      <c r="AH46" s="825"/>
      <c r="AI46" s="346" t="s">
        <v>1434</v>
      </c>
    </row>
    <row r="47" spans="1:35" ht="20.100000000000001" customHeight="1">
      <c r="A47" s="607" t="s">
        <v>18</v>
      </c>
      <c r="B47" s="602">
        <v>2400</v>
      </c>
      <c r="C47" s="602">
        <v>78</v>
      </c>
      <c r="D47" s="603"/>
      <c r="E47" s="605"/>
      <c r="F47" s="603"/>
      <c r="G47" s="602">
        <v>2440</v>
      </c>
      <c r="H47" s="602">
        <v>85</v>
      </c>
      <c r="I47" s="602">
        <f>D47</f>
        <v>0</v>
      </c>
      <c r="J47" s="602" t="s">
        <v>1433</v>
      </c>
      <c r="K47" s="602" t="s">
        <v>929</v>
      </c>
      <c r="L47" s="602"/>
      <c r="M47" s="602"/>
      <c r="N47" s="591">
        <f t="shared" si="0"/>
        <v>0</v>
      </c>
      <c r="O47" s="591">
        <f t="shared" si="7"/>
        <v>0</v>
      </c>
      <c r="P47" s="591" t="str">
        <f t="shared" si="1"/>
        <v>0</v>
      </c>
      <c r="Q47" s="591"/>
      <c r="R47" s="591">
        <f>I47</f>
        <v>0</v>
      </c>
      <c r="S47" s="591"/>
      <c r="T47" s="591"/>
      <c r="U47" s="591">
        <f>(G47+18*2)*(H47+18*2)*I47/1000000</f>
        <v>0</v>
      </c>
      <c r="V47" s="591"/>
      <c r="W47" s="591"/>
      <c r="X47" s="591"/>
      <c r="Y47" s="592"/>
      <c r="AA47" s="591"/>
      <c r="AH47" s="825" t="s">
        <v>1432</v>
      </c>
      <c r="AI47" s="346" t="s">
        <v>1431</v>
      </c>
    </row>
    <row r="48" spans="1:35" ht="20.100000000000001" customHeight="1">
      <c r="A48" s="608"/>
      <c r="B48" s="603"/>
      <c r="C48" s="603"/>
      <c r="D48" s="603"/>
      <c r="E48" s="605"/>
      <c r="F48" s="603"/>
      <c r="G48" s="602">
        <v>2440</v>
      </c>
      <c r="H48" s="602">
        <v>60</v>
      </c>
      <c r="I48" s="602">
        <f>+D47</f>
        <v>0</v>
      </c>
      <c r="J48" s="602" t="s">
        <v>1430</v>
      </c>
      <c r="K48" s="602" t="s">
        <v>929</v>
      </c>
      <c r="L48" s="602"/>
      <c r="M48" s="602"/>
      <c r="N48" s="591">
        <f>B47*C47*D47/1000000</f>
        <v>0</v>
      </c>
      <c r="O48" s="591">
        <f>(B47+36*2+170)*(C47+36*2+170)*D47/1000000</f>
        <v>0</v>
      </c>
      <c r="P48" s="591" t="str">
        <f t="shared" si="1"/>
        <v>0</v>
      </c>
      <c r="Q48" s="591"/>
      <c r="R48" s="591">
        <f>I48</f>
        <v>0</v>
      </c>
      <c r="S48" s="591"/>
      <c r="T48" s="591"/>
      <c r="U48" s="591">
        <f>(G48+18*2)*(H48+18*2)*I48/1000000</f>
        <v>0</v>
      </c>
      <c r="V48" s="591"/>
      <c r="W48" s="591"/>
      <c r="X48" s="591"/>
      <c r="Y48" s="592"/>
      <c r="AA48" s="591"/>
      <c r="AH48" s="825"/>
      <c r="AI48" s="346" t="s">
        <v>1429</v>
      </c>
    </row>
    <row r="49" spans="1:35" ht="20.100000000000001" customHeight="1">
      <c r="A49" s="607"/>
      <c r="B49" s="602"/>
      <c r="C49" s="602"/>
      <c r="D49" s="602"/>
      <c r="E49" s="605"/>
      <c r="F49" s="602"/>
      <c r="G49" s="602"/>
      <c r="H49" s="602"/>
      <c r="I49" s="602"/>
      <c r="J49" s="604"/>
      <c r="K49" s="603"/>
      <c r="L49" s="602"/>
      <c r="M49" s="602"/>
      <c r="N49" s="591">
        <f>B49*C49*D49/1000000</f>
        <v>0</v>
      </c>
      <c r="O49" s="591">
        <f>(B49+36*2+170)*(C49+36*2+170)*D49/1000000</f>
        <v>0</v>
      </c>
      <c r="P49" s="591">
        <f t="shared" si="1"/>
        <v>0</v>
      </c>
      <c r="Q49" s="591"/>
      <c r="R49" s="591">
        <f>I49</f>
        <v>0</v>
      </c>
      <c r="S49" s="591"/>
      <c r="T49" s="591"/>
      <c r="U49" s="591"/>
      <c r="V49" s="591"/>
      <c r="W49" s="591"/>
      <c r="X49" s="591"/>
      <c r="Y49" s="592"/>
      <c r="AA49" s="591"/>
      <c r="AH49" s="825"/>
      <c r="AI49" s="346" t="s">
        <v>1428</v>
      </c>
    </row>
    <row r="50" spans="1:35" ht="20.100000000000001" customHeight="1">
      <c r="A50" s="606"/>
      <c r="B50" s="602"/>
      <c r="C50" s="602"/>
      <c r="D50" s="602"/>
      <c r="E50" s="605"/>
      <c r="F50" s="602"/>
      <c r="G50" s="602"/>
      <c r="H50" s="602"/>
      <c r="I50" s="602"/>
      <c r="J50" s="604"/>
      <c r="K50" s="603"/>
      <c r="L50" s="602"/>
      <c r="M50" s="602"/>
      <c r="N50" s="591">
        <f>B50*C50*D50/1000000</f>
        <v>0</v>
      </c>
      <c r="O50" s="591">
        <f>(B50+36*2+170)*(C50+36*2+170)*D50/1000000</f>
        <v>0</v>
      </c>
      <c r="P50" s="591">
        <f t="shared" si="1"/>
        <v>0</v>
      </c>
      <c r="Q50" s="591"/>
      <c r="R50" s="591">
        <f>I50</f>
        <v>0</v>
      </c>
      <c r="S50" s="591"/>
      <c r="T50" s="591"/>
      <c r="U50" s="591"/>
      <c r="V50" s="591"/>
      <c r="W50" s="591"/>
      <c r="X50" s="591"/>
      <c r="Y50" s="592"/>
      <c r="AA50" s="591"/>
    </row>
    <row r="51" spans="1:35" ht="16.5">
      <c r="A51" s="601" t="s">
        <v>1427</v>
      </c>
      <c r="B51" s="601"/>
      <c r="C51" s="601"/>
      <c r="D51" s="601"/>
      <c r="E51" s="601"/>
      <c r="F51" s="601"/>
      <c r="G51" s="601"/>
      <c r="H51" s="601"/>
      <c r="I51" s="601"/>
      <c r="J51" s="601"/>
      <c r="K51" s="601"/>
      <c r="L51" s="601"/>
      <c r="M51" s="601"/>
      <c r="N51" s="591">
        <f t="shared" ref="N51:V51" si="13">SUM(N7:N50)</f>
        <v>2.4000000000000001E-5</v>
      </c>
      <c r="O51" s="599">
        <f t="shared" si="13"/>
        <v>0.25958399999999998</v>
      </c>
      <c r="P51" s="599">
        <f t="shared" si="13"/>
        <v>9.4851162717169637E-6</v>
      </c>
      <c r="Q51" s="600">
        <f t="shared" si="13"/>
        <v>0.06</v>
      </c>
      <c r="R51" s="591">
        <f t="shared" si="13"/>
        <v>8</v>
      </c>
      <c r="S51" s="599">
        <f t="shared" si="13"/>
        <v>8.6639999999999998E-3</v>
      </c>
      <c r="T51" s="599">
        <f t="shared" si="13"/>
        <v>0</v>
      </c>
      <c r="U51" s="599">
        <f t="shared" si="13"/>
        <v>0</v>
      </c>
      <c r="V51" s="599">
        <f t="shared" si="13"/>
        <v>0</v>
      </c>
      <c r="W51" s="591"/>
      <c r="X51" s="591"/>
      <c r="Y51" s="592"/>
      <c r="AA51" s="591"/>
    </row>
    <row r="52" spans="1:35" ht="16.5">
      <c r="A52" s="598" t="s">
        <v>238</v>
      </c>
      <c r="B52" s="596"/>
      <c r="C52" s="596"/>
      <c r="D52" s="596"/>
      <c r="E52" s="596"/>
      <c r="F52" s="596"/>
      <c r="G52" s="596"/>
      <c r="H52" s="596"/>
      <c r="I52" s="596"/>
      <c r="J52" s="596"/>
      <c r="K52" s="596"/>
      <c r="L52" s="596"/>
      <c r="M52" s="596"/>
      <c r="N52" s="591"/>
      <c r="O52" s="594" t="s">
        <v>1426</v>
      </c>
      <c r="Q52" s="591"/>
      <c r="R52" s="591"/>
      <c r="S52" s="597">
        <f>S51*72+T51*122+U51*152+V51*50</f>
        <v>0.62380800000000003</v>
      </c>
      <c r="T52" s="591"/>
      <c r="U52" s="591"/>
      <c r="V52" s="591"/>
      <c r="W52" s="80">
        <f>SUM(W7:W51)</f>
        <v>0</v>
      </c>
      <c r="X52" s="591"/>
      <c r="Y52" s="592"/>
      <c r="AA52" s="591"/>
    </row>
    <row r="53" spans="1:35" ht="16.5">
      <c r="A53" s="596" t="s">
        <v>1425</v>
      </c>
      <c r="B53" s="596"/>
      <c r="C53" s="596"/>
      <c r="D53" s="596"/>
      <c r="E53" s="596"/>
      <c r="F53" s="596"/>
      <c r="G53" s="596"/>
      <c r="H53" s="596"/>
      <c r="I53" s="596"/>
      <c r="J53" s="596"/>
      <c r="K53" s="596"/>
      <c r="L53" s="596"/>
      <c r="M53" s="596"/>
      <c r="N53" s="591"/>
      <c r="O53" s="595">
        <f>VLOOKUP(B4,X:AD,3,FALSE)*O51</f>
        <v>0.25958399999999998</v>
      </c>
      <c r="Q53" s="591"/>
      <c r="R53" s="591"/>
      <c r="S53" s="594" t="s">
        <v>1424</v>
      </c>
      <c r="T53" s="591"/>
      <c r="U53" s="591"/>
      <c r="V53" s="591"/>
      <c r="W53" s="593" t="s">
        <v>234</v>
      </c>
      <c r="X53" s="591"/>
      <c r="Y53" s="592"/>
      <c r="Z53" s="591"/>
      <c r="AA53" s="591"/>
    </row>
    <row r="54" spans="1:35" ht="16.5">
      <c r="A54" s="590" t="s">
        <v>230</v>
      </c>
      <c r="B54" s="587"/>
      <c r="C54" s="587"/>
      <c r="D54" s="587"/>
      <c r="E54" s="587"/>
      <c r="F54" s="587"/>
      <c r="G54" s="587"/>
      <c r="H54" s="587"/>
      <c r="I54" s="587"/>
      <c r="J54" s="587"/>
      <c r="K54" s="587"/>
      <c r="L54" s="584"/>
      <c r="M54" s="584"/>
    </row>
    <row r="55" spans="1:35" ht="16.5">
      <c r="A55" s="589"/>
      <c r="B55" s="872"/>
      <c r="C55" s="872"/>
      <c r="D55" s="588"/>
      <c r="E55" s="588"/>
      <c r="F55" s="588"/>
      <c r="G55" s="586"/>
      <c r="H55" s="588"/>
      <c r="I55" s="588"/>
      <c r="J55" s="587"/>
      <c r="K55" s="586"/>
    </row>
    <row r="56" spans="1:35" ht="16.5"/>
    <row r="57" spans="1:35" ht="16.5">
      <c r="D57" s="585" t="s">
        <v>1423</v>
      </c>
      <c r="E57" s="585"/>
      <c r="F57" s="585"/>
      <c r="AH57" s="826"/>
      <c r="AI57" s="340"/>
    </row>
    <row r="58" spans="1:35" ht="16.5">
      <c r="AH58" s="826"/>
      <c r="AI58" s="340"/>
    </row>
    <row r="59" spans="1:35" ht="16.5">
      <c r="AH59" s="826"/>
      <c r="AI59" s="340"/>
    </row>
    <row r="60" spans="1:35" ht="16.5">
      <c r="AH60" s="826"/>
      <c r="AI60" s="340"/>
    </row>
    <row r="61" spans="1:35" ht="16.5">
      <c r="AH61" s="826"/>
      <c r="AI61" s="340"/>
    </row>
    <row r="62" spans="1:35" ht="16.5">
      <c r="AH62" s="826"/>
      <c r="AI62" s="340"/>
    </row>
    <row r="63" spans="1:35" ht="16.5">
      <c r="AH63" s="826"/>
      <c r="AI63" s="340"/>
    </row>
    <row r="64" spans="1:35" ht="16.5">
      <c r="AH64" s="826"/>
      <c r="AI64" s="340"/>
    </row>
    <row r="65" spans="34:35" ht="16.5">
      <c r="AH65" s="826"/>
      <c r="AI65" s="340"/>
    </row>
    <row r="66" spans="34:35" ht="16.5">
      <c r="AH66" s="826"/>
      <c r="AI66" s="340"/>
    </row>
    <row r="67" spans="34:35" ht="16.5">
      <c r="AH67" s="826"/>
      <c r="AI67" s="340"/>
    </row>
  </sheetData>
  <protectedRanges>
    <protectedRange sqref="G2 A10:A28 A30:A48 B10:D48 B5:C6 M1:M2 H3:I3 B4 A4:A6 D1:E3 I2:L2 A51:M55 H10:M48 K5 J6:K6 D4:I6 L3:M6 J4:K4 A1:C1 A2:B3 F1:H1 J1:L1 F10:F48 A49:D50 F49:M50" name="区域1"/>
  </protectedRanges>
  <mergeCells count="14">
    <mergeCell ref="AH57:AH62"/>
    <mergeCell ref="AH63:AH67"/>
    <mergeCell ref="AH47:AH49"/>
    <mergeCell ref="AH4:AH8"/>
    <mergeCell ref="AH9:AH14"/>
    <mergeCell ref="AH15:AH17"/>
    <mergeCell ref="A1:M1"/>
    <mergeCell ref="B55:C55"/>
    <mergeCell ref="AH19:AH20"/>
    <mergeCell ref="AH21:AH25"/>
    <mergeCell ref="AH27:AH29"/>
    <mergeCell ref="AH31:AH32"/>
    <mergeCell ref="AH33:AH38"/>
    <mergeCell ref="AH39:AH46"/>
  </mergeCells>
  <phoneticPr fontId="6" type="noConversion"/>
  <dataValidations count="7">
    <dataValidation type="list" allowBlank="1" showInputMessage="1" showErrorMessage="1" sqref="G3">
      <formula1>$X$21:$X$26</formula1>
    </dataValidation>
    <dataValidation type="list" allowBlank="1" showInputMessage="1" showErrorMessage="1" sqref="E7:E50">
      <formula1>$AI$3:$AI$49</formula1>
    </dataValidation>
    <dataValidation type="list" allowBlank="1" showInputMessage="1" showErrorMessage="1" sqref="B3">
      <formula1>$AB$21:$AB$23</formula1>
    </dataValidation>
    <dataValidation type="list" allowBlank="1" showInputMessage="1" showErrorMessage="1" sqref="B4">
      <formula1>$X$4:$X$14</formula1>
    </dataValidation>
    <dataValidation type="list" allowBlank="1" showInputMessage="1" showErrorMessage="1" sqref="WVN983043:WVT983043 C65538:J65538 JB65539:JH65539 SX65539:TD65539 ACT65539:ACZ65539 AMP65539:AMV65539 AWL65539:AWR65539 BGH65539:BGN65539 BQD65539:BQJ65539 BZZ65539:CAF65539 CJV65539:CKB65539 CTR65539:CTX65539 DDN65539:DDT65539 DNJ65539:DNP65539 DXF65539:DXL65539 EHB65539:EHH65539 EQX65539:ERD65539 FAT65539:FAZ65539 FKP65539:FKV65539 FUL65539:FUR65539 GEH65539:GEN65539 GOD65539:GOJ65539 GXZ65539:GYF65539 HHV65539:HIB65539 HRR65539:HRX65539 IBN65539:IBT65539 ILJ65539:ILP65539 IVF65539:IVL65539 JFB65539:JFH65539 JOX65539:JPD65539 JYT65539:JYZ65539 KIP65539:KIV65539 KSL65539:KSR65539 LCH65539:LCN65539 LMD65539:LMJ65539 LVZ65539:LWF65539 MFV65539:MGB65539 MPR65539:MPX65539 MZN65539:MZT65539 NJJ65539:NJP65539 NTF65539:NTL65539 ODB65539:ODH65539 OMX65539:OND65539 OWT65539:OWZ65539 PGP65539:PGV65539 PQL65539:PQR65539 QAH65539:QAN65539 QKD65539:QKJ65539 QTZ65539:QUF65539 RDV65539:REB65539 RNR65539:RNX65539 RXN65539:RXT65539 SHJ65539:SHP65539 SRF65539:SRL65539 TBB65539:TBH65539 TKX65539:TLD65539 TUT65539:TUZ65539 UEP65539:UEV65539 UOL65539:UOR65539 UYH65539:UYN65539 VID65539:VIJ65539 VRZ65539:VSF65539 WBV65539:WCB65539 WLR65539:WLX65539 WVN65539:WVT65539 JB131075:JH131075 SX131075:TD131075 ACT131075:ACZ131075 AMP131075:AMV131075 AWL131075:AWR131075 BGH131075:BGN131075 BQD131075:BQJ131075 BZZ131075:CAF131075 CJV131075:CKB131075 CTR131075:CTX131075 DDN131075:DDT131075 DNJ131075:DNP131075 DXF131075:DXL131075 EHB131075:EHH131075 EQX131075:ERD131075 FAT131075:FAZ131075 FKP131075:FKV131075 FUL131075:FUR131075 GEH131075:GEN131075 GOD131075:GOJ131075 GXZ131075:GYF131075 HHV131075:HIB131075 HRR131075:HRX131075 IBN131075:IBT131075 ILJ131075:ILP131075 IVF131075:IVL131075 JFB131075:JFH131075 JOX131075:JPD131075 JYT131075:JYZ131075 KIP131075:KIV131075 KSL131075:KSR131075 LCH131075:LCN131075 LMD131075:LMJ131075 LVZ131075:LWF131075 MFV131075:MGB131075 MPR131075:MPX131075 MZN131075:MZT131075 NJJ131075:NJP131075 NTF131075:NTL131075 ODB131075:ODH131075 OMX131075:OND131075 OWT131075:OWZ131075 PGP131075:PGV131075 PQL131075:PQR131075 QAH131075:QAN131075 QKD131075:QKJ131075 QTZ131075:QUF131075 RDV131075:REB131075 RNR131075:RNX131075 RXN131075:RXT131075 SHJ131075:SHP131075 SRF131075:SRL131075 TBB131075:TBH131075 TKX131075:TLD131075 TUT131075:TUZ131075 UEP131075:UEV131075 UOL131075:UOR131075 UYH131075:UYN131075 VID131075:VIJ131075 VRZ131075:VSF131075 WBV131075:WCB131075 WLR131075:WLX131075 WVN131075:WVT131075 JB196611:JH196611 SX196611:TD196611 ACT196611:ACZ196611 AMP196611:AMV196611 AWL196611:AWR196611 BGH196611:BGN196611 BQD196611:BQJ196611 BZZ196611:CAF196611 CJV196611:CKB196611 CTR196611:CTX196611 DDN196611:DDT196611 DNJ196611:DNP196611 DXF196611:DXL196611 EHB196611:EHH196611 EQX196611:ERD196611 FAT196611:FAZ196611 FKP196611:FKV196611 FUL196611:FUR196611 GEH196611:GEN196611 GOD196611:GOJ196611 GXZ196611:GYF196611 HHV196611:HIB196611 HRR196611:HRX196611 IBN196611:IBT196611 ILJ196611:ILP196611 IVF196611:IVL196611 JFB196611:JFH196611 JOX196611:JPD196611 JYT196611:JYZ196611 KIP196611:KIV196611 KSL196611:KSR196611 LCH196611:LCN196611 LMD196611:LMJ196611 LVZ196611:LWF196611 MFV196611:MGB196611 MPR196611:MPX196611 MZN196611:MZT196611 NJJ196611:NJP196611 NTF196611:NTL196611 ODB196611:ODH196611 OMX196611:OND196611 OWT196611:OWZ196611 PGP196611:PGV196611 PQL196611:PQR196611 QAH196611:QAN196611 QKD196611:QKJ196611 QTZ196611:QUF196611 RDV196611:REB196611 RNR196611:RNX196611 RXN196611:RXT196611 SHJ196611:SHP196611 SRF196611:SRL196611 TBB196611:TBH196611 TKX196611:TLD196611 TUT196611:TUZ196611 UEP196611:UEV196611 UOL196611:UOR196611 UYH196611:UYN196611 VID196611:VIJ196611 VRZ196611:VSF196611 WBV196611:WCB196611 WLR196611:WLX196611 WVN196611:WVT196611 JB262147:JH262147 SX262147:TD262147 ACT262147:ACZ262147 AMP262147:AMV262147 AWL262147:AWR262147 BGH262147:BGN262147 BQD262147:BQJ262147 BZZ262147:CAF262147 CJV262147:CKB262147 CTR262147:CTX262147 DDN262147:DDT262147 DNJ262147:DNP262147 DXF262147:DXL262147 EHB262147:EHH262147 EQX262147:ERD262147 FAT262147:FAZ262147 FKP262147:FKV262147 FUL262147:FUR262147 GEH262147:GEN262147 GOD262147:GOJ262147 GXZ262147:GYF262147 HHV262147:HIB262147 HRR262147:HRX262147 IBN262147:IBT262147 ILJ262147:ILP262147 IVF262147:IVL262147 JFB262147:JFH262147 JOX262147:JPD262147 JYT262147:JYZ262147 KIP262147:KIV262147 KSL262147:KSR262147 LCH262147:LCN262147 LMD262147:LMJ262147 LVZ262147:LWF262147 MFV262147:MGB262147 MPR262147:MPX262147 MZN262147:MZT262147 NJJ262147:NJP262147 NTF262147:NTL262147 ODB262147:ODH262147 OMX262147:OND262147 OWT262147:OWZ262147 PGP262147:PGV262147 PQL262147:PQR262147 QAH262147:QAN262147 QKD262147:QKJ262147 QTZ262147:QUF262147 RDV262147:REB262147 RNR262147:RNX262147 RXN262147:RXT262147 SHJ262147:SHP262147 SRF262147:SRL262147 TBB262147:TBH262147 TKX262147:TLD262147 TUT262147:TUZ262147 UEP262147:UEV262147 UOL262147:UOR262147 UYH262147:UYN262147 VID262147:VIJ262147 VRZ262147:VSF262147 WBV262147:WCB262147 WLR262147:WLX262147 WVN262147:WVT262147 JB327683:JH327683 SX327683:TD327683 ACT327683:ACZ327683 AMP327683:AMV327683 AWL327683:AWR327683 BGH327683:BGN327683 BQD327683:BQJ327683 BZZ327683:CAF327683 CJV327683:CKB327683 CTR327683:CTX327683 DDN327683:DDT327683 DNJ327683:DNP327683 DXF327683:DXL327683 EHB327683:EHH327683 EQX327683:ERD327683 FAT327683:FAZ327683 FKP327683:FKV327683 FUL327683:FUR327683 GEH327683:GEN327683 GOD327683:GOJ327683 GXZ327683:GYF327683 HHV327683:HIB327683 HRR327683:HRX327683 IBN327683:IBT327683 ILJ327683:ILP327683 IVF327683:IVL327683 JFB327683:JFH327683 JOX327683:JPD327683 JYT327683:JYZ327683 KIP327683:KIV327683 KSL327683:KSR327683 LCH327683:LCN327683 LMD327683:LMJ327683 LVZ327683:LWF327683 MFV327683:MGB327683 MPR327683:MPX327683 MZN327683:MZT327683 NJJ327683:NJP327683 NTF327683:NTL327683 ODB327683:ODH327683 OMX327683:OND327683 OWT327683:OWZ327683 PGP327683:PGV327683 PQL327683:PQR327683 QAH327683:QAN327683 QKD327683:QKJ327683 QTZ327683:QUF327683 RDV327683:REB327683 RNR327683:RNX327683 RXN327683:RXT327683 SHJ327683:SHP327683 SRF327683:SRL327683 TBB327683:TBH327683 TKX327683:TLD327683 TUT327683:TUZ327683 UEP327683:UEV327683 UOL327683:UOR327683 UYH327683:UYN327683 VID327683:VIJ327683 VRZ327683:VSF327683 WBV327683:WCB327683 WLR327683:WLX327683 WVN327683:WVT327683 JB393219:JH393219 SX393219:TD393219 ACT393219:ACZ393219 AMP393219:AMV393219 AWL393219:AWR393219 BGH393219:BGN393219 BQD393219:BQJ393219 BZZ393219:CAF393219 CJV393219:CKB393219 CTR393219:CTX393219 DDN393219:DDT393219 DNJ393219:DNP393219 DXF393219:DXL393219 EHB393219:EHH393219 EQX393219:ERD393219 FAT393219:FAZ393219 FKP393219:FKV393219 FUL393219:FUR393219 GEH393219:GEN393219 GOD393219:GOJ393219 GXZ393219:GYF393219 HHV393219:HIB393219 HRR393219:HRX393219 IBN393219:IBT393219 ILJ393219:ILP393219 IVF393219:IVL393219 JFB393219:JFH393219 JOX393219:JPD393219 JYT393219:JYZ393219 KIP393219:KIV393219 KSL393219:KSR393219 LCH393219:LCN393219 LMD393219:LMJ393219 LVZ393219:LWF393219 MFV393219:MGB393219 MPR393219:MPX393219 MZN393219:MZT393219 NJJ393219:NJP393219 NTF393219:NTL393219 ODB393219:ODH393219 OMX393219:OND393219 OWT393219:OWZ393219 PGP393219:PGV393219 PQL393219:PQR393219 QAH393219:QAN393219 QKD393219:QKJ393219 QTZ393219:QUF393219 RDV393219:REB393219 RNR393219:RNX393219 RXN393219:RXT393219 SHJ393219:SHP393219 SRF393219:SRL393219 TBB393219:TBH393219 TKX393219:TLD393219 TUT393219:TUZ393219 UEP393219:UEV393219 UOL393219:UOR393219 UYH393219:UYN393219 VID393219:VIJ393219 VRZ393219:VSF393219 WBV393219:WCB393219 WLR393219:WLX393219 WVN393219:WVT393219 JB458755:JH458755 SX458755:TD458755 ACT458755:ACZ458755 AMP458755:AMV458755 AWL458755:AWR458755 BGH458755:BGN458755 BQD458755:BQJ458755 BZZ458755:CAF458755 CJV458755:CKB458755 CTR458755:CTX458755 DDN458755:DDT458755 DNJ458755:DNP458755 DXF458755:DXL458755 EHB458755:EHH458755 EQX458755:ERD458755 FAT458755:FAZ458755 FKP458755:FKV458755 FUL458755:FUR458755 GEH458755:GEN458755 GOD458755:GOJ458755 GXZ458755:GYF458755 HHV458755:HIB458755 HRR458755:HRX458755 IBN458755:IBT458755 ILJ458755:ILP458755 IVF458755:IVL458755 JFB458755:JFH458755 JOX458755:JPD458755 JYT458755:JYZ458755 KIP458755:KIV458755 KSL458755:KSR458755 LCH458755:LCN458755 LMD458755:LMJ458755 LVZ458755:LWF458755 MFV458755:MGB458755 MPR458755:MPX458755 MZN458755:MZT458755 NJJ458755:NJP458755 NTF458755:NTL458755 ODB458755:ODH458755 OMX458755:OND458755 OWT458755:OWZ458755 PGP458755:PGV458755 PQL458755:PQR458755 QAH458755:QAN458755 QKD458755:QKJ458755 QTZ458755:QUF458755 RDV458755:REB458755 RNR458755:RNX458755 RXN458755:RXT458755 SHJ458755:SHP458755 SRF458755:SRL458755 TBB458755:TBH458755 TKX458755:TLD458755 TUT458755:TUZ458755 UEP458755:UEV458755 UOL458755:UOR458755 UYH458755:UYN458755 VID458755:VIJ458755 VRZ458755:VSF458755 WBV458755:WCB458755 WLR458755:WLX458755 WVN458755:WVT458755 JB524291:JH524291 SX524291:TD524291 ACT524291:ACZ524291 AMP524291:AMV524291 AWL524291:AWR524291 BGH524291:BGN524291 BQD524291:BQJ524291 BZZ524291:CAF524291 CJV524291:CKB524291 CTR524291:CTX524291 DDN524291:DDT524291 DNJ524291:DNP524291 DXF524291:DXL524291 EHB524291:EHH524291 EQX524291:ERD524291 FAT524291:FAZ524291 FKP524291:FKV524291 FUL524291:FUR524291 GEH524291:GEN524291 GOD524291:GOJ524291 GXZ524291:GYF524291 HHV524291:HIB524291 HRR524291:HRX524291 IBN524291:IBT524291 ILJ524291:ILP524291 IVF524291:IVL524291 JFB524291:JFH524291 JOX524291:JPD524291 JYT524291:JYZ524291 KIP524291:KIV524291 KSL524291:KSR524291 LCH524291:LCN524291 LMD524291:LMJ524291 LVZ524291:LWF524291 MFV524291:MGB524291 MPR524291:MPX524291 MZN524291:MZT524291 NJJ524291:NJP524291 NTF524291:NTL524291 ODB524291:ODH524291 OMX524291:OND524291 OWT524291:OWZ524291 PGP524291:PGV524291 PQL524291:PQR524291 QAH524291:QAN524291 QKD524291:QKJ524291 QTZ524291:QUF524291 RDV524291:REB524291 RNR524291:RNX524291 RXN524291:RXT524291 SHJ524291:SHP524291 SRF524291:SRL524291 TBB524291:TBH524291 TKX524291:TLD524291 TUT524291:TUZ524291 UEP524291:UEV524291 UOL524291:UOR524291 UYH524291:UYN524291 VID524291:VIJ524291 VRZ524291:VSF524291 WBV524291:WCB524291 WLR524291:WLX524291 WVN524291:WVT524291 JB589827:JH589827 SX589827:TD589827 ACT589827:ACZ589827 AMP589827:AMV589827 AWL589827:AWR589827 BGH589827:BGN589827 BQD589827:BQJ589827 BZZ589827:CAF589827 CJV589827:CKB589827 CTR589827:CTX589827 DDN589827:DDT589827 DNJ589827:DNP589827 DXF589827:DXL589827 EHB589827:EHH589827 EQX589827:ERD589827 FAT589827:FAZ589827 FKP589827:FKV589827 FUL589827:FUR589827 GEH589827:GEN589827 GOD589827:GOJ589827 GXZ589827:GYF589827 HHV589827:HIB589827 HRR589827:HRX589827 IBN589827:IBT589827 ILJ589827:ILP589827 IVF589827:IVL589827 JFB589827:JFH589827 JOX589827:JPD589827 JYT589827:JYZ589827 KIP589827:KIV589827 KSL589827:KSR589827 LCH589827:LCN589827 LMD589827:LMJ589827 LVZ589827:LWF589827 MFV589827:MGB589827 MPR589827:MPX589827 MZN589827:MZT589827 NJJ589827:NJP589827 NTF589827:NTL589827 ODB589827:ODH589827 OMX589827:OND589827 OWT589827:OWZ589827 PGP589827:PGV589827 PQL589827:PQR589827 QAH589827:QAN589827 QKD589827:QKJ589827 QTZ589827:QUF589827 RDV589827:REB589827 RNR589827:RNX589827 RXN589827:RXT589827 SHJ589827:SHP589827 SRF589827:SRL589827 TBB589827:TBH589827 TKX589827:TLD589827 TUT589827:TUZ589827 UEP589827:UEV589827 UOL589827:UOR589827 UYH589827:UYN589827 VID589827:VIJ589827 VRZ589827:VSF589827 WBV589827:WCB589827 WLR589827:WLX589827 WVN589827:WVT589827 JB655363:JH655363 SX655363:TD655363 ACT655363:ACZ655363 AMP655363:AMV655363 AWL655363:AWR655363 BGH655363:BGN655363 BQD655363:BQJ655363 BZZ655363:CAF655363 CJV655363:CKB655363 CTR655363:CTX655363 DDN655363:DDT655363 DNJ655363:DNP655363 DXF655363:DXL655363 EHB655363:EHH655363 EQX655363:ERD655363 FAT655363:FAZ655363 FKP655363:FKV655363 FUL655363:FUR655363 GEH655363:GEN655363 GOD655363:GOJ655363 GXZ655363:GYF655363 HHV655363:HIB655363 HRR655363:HRX655363 IBN655363:IBT655363 ILJ655363:ILP655363 IVF655363:IVL655363 JFB655363:JFH655363 JOX655363:JPD655363 JYT655363:JYZ655363 KIP655363:KIV655363 KSL655363:KSR655363 LCH655363:LCN655363 LMD655363:LMJ655363 LVZ655363:LWF655363 MFV655363:MGB655363 MPR655363:MPX655363 MZN655363:MZT655363 NJJ655363:NJP655363 NTF655363:NTL655363 ODB655363:ODH655363 OMX655363:OND655363 OWT655363:OWZ655363 PGP655363:PGV655363 PQL655363:PQR655363 QAH655363:QAN655363 QKD655363:QKJ655363 QTZ655363:QUF655363 RDV655363:REB655363 RNR655363:RNX655363 RXN655363:RXT655363 SHJ655363:SHP655363 SRF655363:SRL655363 TBB655363:TBH655363 TKX655363:TLD655363 TUT655363:TUZ655363 UEP655363:UEV655363 UOL655363:UOR655363 UYH655363:UYN655363 VID655363:VIJ655363 VRZ655363:VSF655363 WBV655363:WCB655363 WLR655363:WLX655363 WVN655363:WVT655363 JB720899:JH720899 SX720899:TD720899 ACT720899:ACZ720899 AMP720899:AMV720899 AWL720899:AWR720899 BGH720899:BGN720899 BQD720899:BQJ720899 BZZ720899:CAF720899 CJV720899:CKB720899 CTR720899:CTX720899 DDN720899:DDT720899 DNJ720899:DNP720899 DXF720899:DXL720899 EHB720899:EHH720899 EQX720899:ERD720899 FAT720899:FAZ720899 FKP720899:FKV720899 FUL720899:FUR720899 GEH720899:GEN720899 GOD720899:GOJ720899 GXZ720899:GYF720899 HHV720899:HIB720899 HRR720899:HRX720899 IBN720899:IBT720899 ILJ720899:ILP720899 IVF720899:IVL720899 JFB720899:JFH720899 JOX720899:JPD720899 JYT720899:JYZ720899 KIP720899:KIV720899 KSL720899:KSR720899 LCH720899:LCN720899 LMD720899:LMJ720899 LVZ720899:LWF720899 MFV720899:MGB720899 MPR720899:MPX720899 MZN720899:MZT720899 NJJ720899:NJP720899 NTF720899:NTL720899 ODB720899:ODH720899 OMX720899:OND720899 OWT720899:OWZ720899 PGP720899:PGV720899 PQL720899:PQR720899 QAH720899:QAN720899 QKD720899:QKJ720899 QTZ720899:QUF720899 RDV720899:REB720899 RNR720899:RNX720899 RXN720899:RXT720899 SHJ720899:SHP720899 SRF720899:SRL720899 TBB720899:TBH720899 TKX720899:TLD720899 TUT720899:TUZ720899 UEP720899:UEV720899 UOL720899:UOR720899 UYH720899:UYN720899 VID720899:VIJ720899 VRZ720899:VSF720899 WBV720899:WCB720899 WLR720899:WLX720899 WVN720899:WVT720899 JB786435:JH786435 SX786435:TD786435 ACT786435:ACZ786435 AMP786435:AMV786435 AWL786435:AWR786435 BGH786435:BGN786435 BQD786435:BQJ786435 BZZ786435:CAF786435 CJV786435:CKB786435 CTR786435:CTX786435 DDN786435:DDT786435 DNJ786435:DNP786435 DXF786435:DXL786435 EHB786435:EHH786435 EQX786435:ERD786435 FAT786435:FAZ786435 FKP786435:FKV786435 FUL786435:FUR786435 GEH786435:GEN786435 GOD786435:GOJ786435 GXZ786435:GYF786435 HHV786435:HIB786435 HRR786435:HRX786435 IBN786435:IBT786435 ILJ786435:ILP786435 IVF786435:IVL786435 JFB786435:JFH786435 JOX786435:JPD786435 JYT786435:JYZ786435 KIP786435:KIV786435 KSL786435:KSR786435 LCH786435:LCN786435 LMD786435:LMJ786435 LVZ786435:LWF786435 MFV786435:MGB786435 MPR786435:MPX786435 MZN786435:MZT786435 NJJ786435:NJP786435 NTF786435:NTL786435 ODB786435:ODH786435 OMX786435:OND786435 OWT786435:OWZ786435 PGP786435:PGV786435 PQL786435:PQR786435 QAH786435:QAN786435 QKD786435:QKJ786435 QTZ786435:QUF786435 RDV786435:REB786435 RNR786435:RNX786435 RXN786435:RXT786435 SHJ786435:SHP786435 SRF786435:SRL786435 TBB786435:TBH786435 TKX786435:TLD786435 TUT786435:TUZ786435 UEP786435:UEV786435 UOL786435:UOR786435 UYH786435:UYN786435 VID786435:VIJ786435 VRZ786435:VSF786435 WBV786435:WCB786435 WLR786435:WLX786435 WVN786435:WVT786435 JB851971:JH851971 SX851971:TD851971 ACT851971:ACZ851971 AMP851971:AMV851971 AWL851971:AWR851971 BGH851971:BGN851971 BQD851971:BQJ851971 BZZ851971:CAF851971 CJV851971:CKB851971 CTR851971:CTX851971 DDN851971:DDT851971 DNJ851971:DNP851971 DXF851971:DXL851971 EHB851971:EHH851971 EQX851971:ERD851971 FAT851971:FAZ851971 FKP851971:FKV851971 FUL851971:FUR851971 GEH851971:GEN851971 GOD851971:GOJ851971 GXZ851971:GYF851971 HHV851971:HIB851971 HRR851971:HRX851971 IBN851971:IBT851971 ILJ851971:ILP851971 IVF851971:IVL851971 JFB851971:JFH851971 JOX851971:JPD851971 JYT851971:JYZ851971 KIP851971:KIV851971 KSL851971:KSR851971 LCH851971:LCN851971 LMD851971:LMJ851971 LVZ851971:LWF851971 MFV851971:MGB851971 MPR851971:MPX851971 MZN851971:MZT851971 NJJ851971:NJP851971 NTF851971:NTL851971 ODB851971:ODH851971 OMX851971:OND851971 OWT851971:OWZ851971 PGP851971:PGV851971 PQL851971:PQR851971 QAH851971:QAN851971 QKD851971:QKJ851971 QTZ851971:QUF851971 RDV851971:REB851971 RNR851971:RNX851971 RXN851971:RXT851971 SHJ851971:SHP851971 SRF851971:SRL851971 TBB851971:TBH851971 TKX851971:TLD851971 TUT851971:TUZ851971 UEP851971:UEV851971 UOL851971:UOR851971 UYH851971:UYN851971 VID851971:VIJ851971 VRZ851971:VSF851971 WBV851971:WCB851971 WLR851971:WLX851971 WVN851971:WVT851971 JB917507:JH917507 SX917507:TD917507 ACT917507:ACZ917507 AMP917507:AMV917507 AWL917507:AWR917507 BGH917507:BGN917507 BQD917507:BQJ917507 BZZ917507:CAF917507 CJV917507:CKB917507 CTR917507:CTX917507 DDN917507:DDT917507 DNJ917507:DNP917507 DXF917507:DXL917507 EHB917507:EHH917507 EQX917507:ERD917507 FAT917507:FAZ917507 FKP917507:FKV917507 FUL917507:FUR917507 GEH917507:GEN917507 GOD917507:GOJ917507 GXZ917507:GYF917507 HHV917507:HIB917507 HRR917507:HRX917507 IBN917507:IBT917507 ILJ917507:ILP917507 IVF917507:IVL917507 JFB917507:JFH917507 JOX917507:JPD917507 JYT917507:JYZ917507 KIP917507:KIV917507 KSL917507:KSR917507 LCH917507:LCN917507 LMD917507:LMJ917507 LVZ917507:LWF917507 MFV917507:MGB917507 MPR917507:MPX917507 MZN917507:MZT917507 NJJ917507:NJP917507 NTF917507:NTL917507 ODB917507:ODH917507 OMX917507:OND917507 OWT917507:OWZ917507 PGP917507:PGV917507 PQL917507:PQR917507 QAH917507:QAN917507 QKD917507:QKJ917507 QTZ917507:QUF917507 RDV917507:REB917507 RNR917507:RNX917507 RXN917507:RXT917507 SHJ917507:SHP917507 SRF917507:SRL917507 TBB917507:TBH917507 TKX917507:TLD917507 TUT917507:TUZ917507 UEP917507:UEV917507 UOL917507:UOR917507 UYH917507:UYN917507 VID917507:VIJ917507 VRZ917507:VSF917507 WBV917507:WCB917507 WLR917507:WLX917507 WVN917507:WVT917507 JB983043:JH983043 SX983043:TD983043 ACT983043:ACZ983043 AMP983043:AMV983043 AWL983043:AWR983043 BGH983043:BGN983043 BQD983043:BQJ983043 BZZ983043:CAF983043 CJV983043:CKB983043 CTR983043:CTX983043 DDN983043:DDT983043 DNJ983043:DNP983043 DXF983043:DXL983043 EHB983043:EHH983043 EQX983043:ERD983043 FAT983043:FAZ983043 FKP983043:FKV983043 FUL983043:FUR983043 GEH983043:GEN983043 GOD983043:GOJ983043 GXZ983043:GYF983043 HHV983043:HIB983043 HRR983043:HRX983043 IBN983043:IBT983043 ILJ983043:ILP983043 IVF983043:IVL983043 JFB983043:JFH983043 JOX983043:JPD983043 JYT983043:JYZ983043 KIP983043:KIV983043 KSL983043:KSR983043 LCH983043:LCN983043 LMD983043:LMJ983043 LVZ983043:LWF983043 MFV983043:MGB983043 MPR983043:MPX983043 MZN983043:MZT983043 NJJ983043:NJP983043 NTF983043:NTL983043 ODB983043:ODH983043 OMX983043:OND983043 OWT983043:OWZ983043 PGP983043:PGV983043 PQL983043:PQR983043 QAH983043:QAN983043 QKD983043:QKJ983043 QTZ983043:QUF983043 RDV983043:REB983043 RNR983043:RNX983043 RXN983043:RXT983043 SHJ983043:SHP983043 SRF983043:SRL983043 TBB983043:TBH983043 TKX983043:TLD983043 TUT983043:TUZ983043 UEP983043:UEV983043 UOL983043:UOR983043 UYH983043:UYN983043 VID983043:VIJ983043 VRZ983043:VSF983043 WBV983043:WCB983043 WLR983043:WLX983043 C983042:J983042 C917506:J917506 C851970:J851970 C786434:J786434 C720898:J720898 C655362:J655362 C589826:J589826 C524290:J524290 C458754:J458754 C393218:J393218 C327682:J327682 C262146:J262146 C196610:J196610 C131074:J131074">
      <formula1>$O$3:$O$5</formula1>
    </dataValidation>
    <dataValidation type="list" allowBlank="1" showInputMessage="1" showErrorMessage="1" sqref="WVV983043 L65538:M65538 JJ65539 TF65539 ADB65539 AMX65539 AWT65539 BGP65539 BQL65539 CAH65539 CKD65539 CTZ65539 DDV65539 DNR65539 DXN65539 EHJ65539 ERF65539 FBB65539 FKX65539 FUT65539 GEP65539 GOL65539 GYH65539 HID65539 HRZ65539 IBV65539 ILR65539 IVN65539 JFJ65539 JPF65539 JZB65539 KIX65539 KST65539 LCP65539 LML65539 LWH65539 MGD65539 MPZ65539 MZV65539 NJR65539 NTN65539 ODJ65539 ONF65539 OXB65539 PGX65539 PQT65539 QAP65539 QKL65539 QUH65539 RED65539 RNZ65539 RXV65539 SHR65539 SRN65539 TBJ65539 TLF65539 TVB65539 UEX65539 UOT65539 UYP65539 VIL65539 VSH65539 WCD65539 WLZ65539 WVV65539 JJ131075 TF131075 ADB131075 AMX131075 AWT131075 BGP131075 BQL131075 CAH131075 CKD131075 CTZ131075 DDV131075 DNR131075 DXN131075 EHJ131075 ERF131075 FBB131075 FKX131075 FUT131075 GEP131075 GOL131075 GYH131075 HID131075 HRZ131075 IBV131075 ILR131075 IVN131075 JFJ131075 JPF131075 JZB131075 KIX131075 KST131075 LCP131075 LML131075 LWH131075 MGD131075 MPZ131075 MZV131075 NJR131075 NTN131075 ODJ131075 ONF131075 OXB131075 PGX131075 PQT131075 QAP131075 QKL131075 QUH131075 RED131075 RNZ131075 RXV131075 SHR131075 SRN131075 TBJ131075 TLF131075 TVB131075 UEX131075 UOT131075 UYP131075 VIL131075 VSH131075 WCD131075 WLZ131075 WVV131075 JJ196611 TF196611 ADB196611 AMX196611 AWT196611 BGP196611 BQL196611 CAH196611 CKD196611 CTZ196611 DDV196611 DNR196611 DXN196611 EHJ196611 ERF196611 FBB196611 FKX196611 FUT196611 GEP196611 GOL196611 GYH196611 HID196611 HRZ196611 IBV196611 ILR196611 IVN196611 JFJ196611 JPF196611 JZB196611 KIX196611 KST196611 LCP196611 LML196611 LWH196611 MGD196611 MPZ196611 MZV196611 NJR196611 NTN196611 ODJ196611 ONF196611 OXB196611 PGX196611 PQT196611 QAP196611 QKL196611 QUH196611 RED196611 RNZ196611 RXV196611 SHR196611 SRN196611 TBJ196611 TLF196611 TVB196611 UEX196611 UOT196611 UYP196611 VIL196611 VSH196611 WCD196611 WLZ196611 WVV196611 JJ262147 TF262147 ADB262147 AMX262147 AWT262147 BGP262147 BQL262147 CAH262147 CKD262147 CTZ262147 DDV262147 DNR262147 DXN262147 EHJ262147 ERF262147 FBB262147 FKX262147 FUT262147 GEP262147 GOL262147 GYH262147 HID262147 HRZ262147 IBV262147 ILR262147 IVN262147 JFJ262147 JPF262147 JZB262147 KIX262147 KST262147 LCP262147 LML262147 LWH262147 MGD262147 MPZ262147 MZV262147 NJR262147 NTN262147 ODJ262147 ONF262147 OXB262147 PGX262147 PQT262147 QAP262147 QKL262147 QUH262147 RED262147 RNZ262147 RXV262147 SHR262147 SRN262147 TBJ262147 TLF262147 TVB262147 UEX262147 UOT262147 UYP262147 VIL262147 VSH262147 WCD262147 WLZ262147 WVV262147 JJ327683 TF327683 ADB327683 AMX327683 AWT327683 BGP327683 BQL327683 CAH327683 CKD327683 CTZ327683 DDV327683 DNR327683 DXN327683 EHJ327683 ERF327683 FBB327683 FKX327683 FUT327683 GEP327683 GOL327683 GYH327683 HID327683 HRZ327683 IBV327683 ILR327683 IVN327683 JFJ327683 JPF327683 JZB327683 KIX327683 KST327683 LCP327683 LML327683 LWH327683 MGD327683 MPZ327683 MZV327683 NJR327683 NTN327683 ODJ327683 ONF327683 OXB327683 PGX327683 PQT327683 QAP327683 QKL327683 QUH327683 RED327683 RNZ327683 RXV327683 SHR327683 SRN327683 TBJ327683 TLF327683 TVB327683 UEX327683 UOT327683 UYP327683 VIL327683 VSH327683 WCD327683 WLZ327683 WVV327683 JJ393219 TF393219 ADB393219 AMX393219 AWT393219 BGP393219 BQL393219 CAH393219 CKD393219 CTZ393219 DDV393219 DNR393219 DXN393219 EHJ393219 ERF393219 FBB393219 FKX393219 FUT393219 GEP393219 GOL393219 GYH393219 HID393219 HRZ393219 IBV393219 ILR393219 IVN393219 JFJ393219 JPF393219 JZB393219 KIX393219 KST393219 LCP393219 LML393219 LWH393219 MGD393219 MPZ393219 MZV393219 NJR393219 NTN393219 ODJ393219 ONF393219 OXB393219 PGX393219 PQT393219 QAP393219 QKL393219 QUH393219 RED393219 RNZ393219 RXV393219 SHR393219 SRN393219 TBJ393219 TLF393219 TVB393219 UEX393219 UOT393219 UYP393219 VIL393219 VSH393219 WCD393219 WLZ393219 WVV393219 JJ458755 TF458755 ADB458755 AMX458755 AWT458755 BGP458755 BQL458755 CAH458755 CKD458755 CTZ458755 DDV458755 DNR458755 DXN458755 EHJ458755 ERF458755 FBB458755 FKX458755 FUT458755 GEP458755 GOL458755 GYH458755 HID458755 HRZ458755 IBV458755 ILR458755 IVN458755 JFJ458755 JPF458755 JZB458755 KIX458755 KST458755 LCP458755 LML458755 LWH458755 MGD458755 MPZ458755 MZV458755 NJR458755 NTN458755 ODJ458755 ONF458755 OXB458755 PGX458755 PQT458755 QAP458755 QKL458755 QUH458755 RED458755 RNZ458755 RXV458755 SHR458755 SRN458755 TBJ458755 TLF458755 TVB458755 UEX458755 UOT458755 UYP458755 VIL458755 VSH458755 WCD458755 WLZ458755 WVV458755 JJ524291 TF524291 ADB524291 AMX524291 AWT524291 BGP524291 BQL524291 CAH524291 CKD524291 CTZ524291 DDV524291 DNR524291 DXN524291 EHJ524291 ERF524291 FBB524291 FKX524291 FUT524291 GEP524291 GOL524291 GYH524291 HID524291 HRZ524291 IBV524291 ILR524291 IVN524291 JFJ524291 JPF524291 JZB524291 KIX524291 KST524291 LCP524291 LML524291 LWH524291 MGD524291 MPZ524291 MZV524291 NJR524291 NTN524291 ODJ524291 ONF524291 OXB524291 PGX524291 PQT524291 QAP524291 QKL524291 QUH524291 RED524291 RNZ524291 RXV524291 SHR524291 SRN524291 TBJ524291 TLF524291 TVB524291 UEX524291 UOT524291 UYP524291 VIL524291 VSH524291 WCD524291 WLZ524291 WVV524291 JJ589827 TF589827 ADB589827 AMX589827 AWT589827 BGP589827 BQL589827 CAH589827 CKD589827 CTZ589827 DDV589827 DNR589827 DXN589827 EHJ589827 ERF589827 FBB589827 FKX589827 FUT589827 GEP589827 GOL589827 GYH589827 HID589827 HRZ589827 IBV589827 ILR589827 IVN589827 JFJ589827 JPF589827 JZB589827 KIX589827 KST589827 LCP589827 LML589827 LWH589827 MGD589827 MPZ589827 MZV589827 NJR589827 NTN589827 ODJ589827 ONF589827 OXB589827 PGX589827 PQT589827 QAP589827 QKL589827 QUH589827 RED589827 RNZ589827 RXV589827 SHR589827 SRN589827 TBJ589827 TLF589827 TVB589827 UEX589827 UOT589827 UYP589827 VIL589827 VSH589827 WCD589827 WLZ589827 WVV589827 JJ655363 TF655363 ADB655363 AMX655363 AWT655363 BGP655363 BQL655363 CAH655363 CKD655363 CTZ655363 DDV655363 DNR655363 DXN655363 EHJ655363 ERF655363 FBB655363 FKX655363 FUT655363 GEP655363 GOL655363 GYH655363 HID655363 HRZ655363 IBV655363 ILR655363 IVN655363 JFJ655363 JPF655363 JZB655363 KIX655363 KST655363 LCP655363 LML655363 LWH655363 MGD655363 MPZ655363 MZV655363 NJR655363 NTN655363 ODJ655363 ONF655363 OXB655363 PGX655363 PQT655363 QAP655363 QKL655363 QUH655363 RED655363 RNZ655363 RXV655363 SHR655363 SRN655363 TBJ655363 TLF655363 TVB655363 UEX655363 UOT655363 UYP655363 VIL655363 VSH655363 WCD655363 WLZ655363 WVV655363 JJ720899 TF720899 ADB720899 AMX720899 AWT720899 BGP720899 BQL720899 CAH720899 CKD720899 CTZ720899 DDV720899 DNR720899 DXN720899 EHJ720899 ERF720899 FBB720899 FKX720899 FUT720899 GEP720899 GOL720899 GYH720899 HID720899 HRZ720899 IBV720899 ILR720899 IVN720899 JFJ720899 JPF720899 JZB720899 KIX720899 KST720899 LCP720899 LML720899 LWH720899 MGD720899 MPZ720899 MZV720899 NJR720899 NTN720899 ODJ720899 ONF720899 OXB720899 PGX720899 PQT720899 QAP720899 QKL720899 QUH720899 RED720899 RNZ720899 RXV720899 SHR720899 SRN720899 TBJ720899 TLF720899 TVB720899 UEX720899 UOT720899 UYP720899 VIL720899 VSH720899 WCD720899 WLZ720899 WVV720899 JJ786435 TF786435 ADB786435 AMX786435 AWT786435 BGP786435 BQL786435 CAH786435 CKD786435 CTZ786435 DDV786435 DNR786435 DXN786435 EHJ786435 ERF786435 FBB786435 FKX786435 FUT786435 GEP786435 GOL786435 GYH786435 HID786435 HRZ786435 IBV786435 ILR786435 IVN786435 JFJ786435 JPF786435 JZB786435 KIX786435 KST786435 LCP786435 LML786435 LWH786435 MGD786435 MPZ786435 MZV786435 NJR786435 NTN786435 ODJ786435 ONF786435 OXB786435 PGX786435 PQT786435 QAP786435 QKL786435 QUH786435 RED786435 RNZ786435 RXV786435 SHR786435 SRN786435 TBJ786435 TLF786435 TVB786435 UEX786435 UOT786435 UYP786435 VIL786435 VSH786435 WCD786435 WLZ786435 WVV786435 JJ851971 TF851971 ADB851971 AMX851971 AWT851971 BGP851971 BQL851971 CAH851971 CKD851971 CTZ851971 DDV851971 DNR851971 DXN851971 EHJ851971 ERF851971 FBB851971 FKX851971 FUT851971 GEP851971 GOL851971 GYH851971 HID851971 HRZ851971 IBV851971 ILR851971 IVN851971 JFJ851971 JPF851971 JZB851971 KIX851971 KST851971 LCP851971 LML851971 LWH851971 MGD851971 MPZ851971 MZV851971 NJR851971 NTN851971 ODJ851971 ONF851971 OXB851971 PGX851971 PQT851971 QAP851971 QKL851971 QUH851971 RED851971 RNZ851971 RXV851971 SHR851971 SRN851971 TBJ851971 TLF851971 TVB851971 UEX851971 UOT851971 UYP851971 VIL851971 VSH851971 WCD851971 WLZ851971 WVV851971 JJ917507 TF917507 ADB917507 AMX917507 AWT917507 BGP917507 BQL917507 CAH917507 CKD917507 CTZ917507 DDV917507 DNR917507 DXN917507 EHJ917507 ERF917507 FBB917507 FKX917507 FUT917507 GEP917507 GOL917507 GYH917507 HID917507 HRZ917507 IBV917507 ILR917507 IVN917507 JFJ917507 JPF917507 JZB917507 KIX917507 KST917507 LCP917507 LML917507 LWH917507 MGD917507 MPZ917507 MZV917507 NJR917507 NTN917507 ODJ917507 ONF917507 OXB917507 PGX917507 PQT917507 QAP917507 QKL917507 QUH917507 RED917507 RNZ917507 RXV917507 SHR917507 SRN917507 TBJ917507 TLF917507 TVB917507 UEX917507 UOT917507 UYP917507 VIL917507 VSH917507 WCD917507 WLZ917507 WVV917507 JJ983043 TF983043 ADB983043 AMX983043 AWT983043 BGP983043 BQL983043 CAH983043 CKD983043 CTZ983043 DDV983043 DNR983043 DXN983043 EHJ983043 ERF983043 FBB983043 FKX983043 FUT983043 GEP983043 GOL983043 GYH983043 HID983043 HRZ983043 IBV983043 ILR983043 IVN983043 JFJ983043 JPF983043 JZB983043 KIX983043 KST983043 LCP983043 LML983043 LWH983043 MGD983043 MPZ983043 MZV983043 NJR983043 NTN983043 ODJ983043 ONF983043 OXB983043 PGX983043 PQT983043 QAP983043 QKL983043 QUH983043 RED983043 RNZ983043 RXV983043 SHR983043 SRN983043 TBJ983043 TLF983043 TVB983043 UEX983043 UOT983043 UYP983043 VIL983043 VSH983043 WCD983043 WLZ983043 L983042:M983042 L917506:M917506 L851970:M851970 L786434:M786434 L720898:M720898 L655362:M655362 L589826:M589826 L524290:M524290 L458754:M458754 L393218:M393218 L327682:M327682 L262146:M262146 L196610:M196610 L131074:M131074">
      <formula1>$X$22:$X$24</formula1>
    </dataValidation>
    <dataValidation type="list" allowBlank="1" showInputMessage="1" showErrorMessage="1" sqref="L2 H65536:I65536 H131072:I131072 JE2:JF2 TA2:TB2 ACW2:ACX2 AMS2:AMT2 AWO2:AWP2 BGK2:BGL2 BQG2:BQH2 CAC2:CAD2 CJY2:CJZ2 CTU2:CTV2 DDQ2:DDR2 DNM2:DNN2 DXI2:DXJ2 EHE2:EHF2 ERA2:ERB2 FAW2:FAX2 FKS2:FKT2 FUO2:FUP2 GEK2:GEL2 GOG2:GOH2 GYC2:GYD2 HHY2:HHZ2 HRU2:HRV2 IBQ2:IBR2 ILM2:ILN2 IVI2:IVJ2 JFE2:JFF2 JPA2:JPB2 JYW2:JYX2 KIS2:KIT2 KSO2:KSP2 LCK2:LCL2 LMG2:LMH2 LWC2:LWD2 MFY2:MFZ2 MPU2:MPV2 MZQ2:MZR2 NJM2:NJN2 NTI2:NTJ2 ODE2:ODF2 ONA2:ONB2 OWW2:OWX2 PGS2:PGT2 PQO2:PQP2 QAK2:QAL2 QKG2:QKH2 QUC2:QUD2 RDY2:RDZ2 RNU2:RNV2 RXQ2:RXR2 SHM2:SHN2 SRI2:SRJ2 TBE2:TBF2 TLA2:TLB2 TUW2:TUX2 UES2:UET2 UOO2:UOP2 UYK2:UYL2 VIG2:VIH2 VSC2:VSD2 WBY2:WBZ2 WLU2:WLV2 WVQ2:WVR2 JE65537:JF65537 TA65537:TB65537 ACW65537:ACX65537 AMS65537:AMT65537 AWO65537:AWP65537 BGK65537:BGL65537 BQG65537:BQH65537 CAC65537:CAD65537 CJY65537:CJZ65537 CTU65537:CTV65537 DDQ65537:DDR65537 DNM65537:DNN65537 DXI65537:DXJ65537 EHE65537:EHF65537 ERA65537:ERB65537 FAW65537:FAX65537 FKS65537:FKT65537 FUO65537:FUP65537 GEK65537:GEL65537 GOG65537:GOH65537 GYC65537:GYD65537 HHY65537:HHZ65537 HRU65537:HRV65537 IBQ65537:IBR65537 ILM65537:ILN65537 IVI65537:IVJ65537 JFE65537:JFF65537 JPA65537:JPB65537 JYW65537:JYX65537 KIS65537:KIT65537 KSO65537:KSP65537 LCK65537:LCL65537 LMG65537:LMH65537 LWC65537:LWD65537 MFY65537:MFZ65537 MPU65537:MPV65537 MZQ65537:MZR65537 NJM65537:NJN65537 NTI65537:NTJ65537 ODE65537:ODF65537 ONA65537:ONB65537 OWW65537:OWX65537 PGS65537:PGT65537 PQO65537:PQP65537 QAK65537:QAL65537 QKG65537:QKH65537 QUC65537:QUD65537 RDY65537:RDZ65537 RNU65537:RNV65537 RXQ65537:RXR65537 SHM65537:SHN65537 SRI65537:SRJ65537 TBE65537:TBF65537 TLA65537:TLB65537 TUW65537:TUX65537 UES65537:UET65537 UOO65537:UOP65537 UYK65537:UYL65537 VIG65537:VIH65537 VSC65537:VSD65537 WBY65537:WBZ65537 WLU65537:WLV65537 WVQ65537:WVR65537 JE131073:JF131073 TA131073:TB131073 ACW131073:ACX131073 AMS131073:AMT131073 AWO131073:AWP131073 BGK131073:BGL131073 BQG131073:BQH131073 CAC131073:CAD131073 CJY131073:CJZ131073 CTU131073:CTV131073 DDQ131073:DDR131073 DNM131073:DNN131073 DXI131073:DXJ131073 EHE131073:EHF131073 ERA131073:ERB131073 FAW131073:FAX131073 FKS131073:FKT131073 FUO131073:FUP131073 GEK131073:GEL131073 GOG131073:GOH131073 GYC131073:GYD131073 HHY131073:HHZ131073 HRU131073:HRV131073 IBQ131073:IBR131073 ILM131073:ILN131073 IVI131073:IVJ131073 JFE131073:JFF131073 JPA131073:JPB131073 JYW131073:JYX131073 KIS131073:KIT131073 KSO131073:KSP131073 LCK131073:LCL131073 LMG131073:LMH131073 LWC131073:LWD131073 MFY131073:MFZ131073 MPU131073:MPV131073 MZQ131073:MZR131073 NJM131073:NJN131073 NTI131073:NTJ131073 ODE131073:ODF131073 ONA131073:ONB131073 OWW131073:OWX131073 PGS131073:PGT131073 PQO131073:PQP131073 QAK131073:QAL131073 QKG131073:QKH131073 QUC131073:QUD131073 RDY131073:RDZ131073 RNU131073:RNV131073 RXQ131073:RXR131073 SHM131073:SHN131073 SRI131073:SRJ131073 TBE131073:TBF131073 TLA131073:TLB131073 TUW131073:TUX131073 UES131073:UET131073 UOO131073:UOP131073 UYK131073:UYL131073 VIG131073:VIH131073 VSC131073:VSD131073 WBY131073:WBZ131073 WLU131073:WLV131073 WVQ131073:WVR131073 JE196609:JF196609 TA196609:TB196609 ACW196609:ACX196609 AMS196609:AMT196609 AWO196609:AWP196609 BGK196609:BGL196609 BQG196609:BQH196609 CAC196609:CAD196609 CJY196609:CJZ196609 CTU196609:CTV196609 DDQ196609:DDR196609 DNM196609:DNN196609 DXI196609:DXJ196609 EHE196609:EHF196609 ERA196609:ERB196609 FAW196609:FAX196609 FKS196609:FKT196609 FUO196609:FUP196609 GEK196609:GEL196609 GOG196609:GOH196609 GYC196609:GYD196609 HHY196609:HHZ196609 HRU196609:HRV196609 IBQ196609:IBR196609 ILM196609:ILN196609 IVI196609:IVJ196609 JFE196609:JFF196609 JPA196609:JPB196609 JYW196609:JYX196609 KIS196609:KIT196609 KSO196609:KSP196609 LCK196609:LCL196609 LMG196609:LMH196609 LWC196609:LWD196609 MFY196609:MFZ196609 MPU196609:MPV196609 MZQ196609:MZR196609 NJM196609:NJN196609 NTI196609:NTJ196609 ODE196609:ODF196609 ONA196609:ONB196609 OWW196609:OWX196609 PGS196609:PGT196609 PQO196609:PQP196609 QAK196609:QAL196609 QKG196609:QKH196609 QUC196609:QUD196609 RDY196609:RDZ196609 RNU196609:RNV196609 RXQ196609:RXR196609 SHM196609:SHN196609 SRI196609:SRJ196609 TBE196609:TBF196609 TLA196609:TLB196609 TUW196609:TUX196609 UES196609:UET196609 UOO196609:UOP196609 UYK196609:UYL196609 VIG196609:VIH196609 VSC196609:VSD196609 WBY196609:WBZ196609 WLU196609:WLV196609 WVQ196609:WVR196609 JE262145:JF262145 TA262145:TB262145 ACW262145:ACX262145 AMS262145:AMT262145 AWO262145:AWP262145 BGK262145:BGL262145 BQG262145:BQH262145 CAC262145:CAD262145 CJY262145:CJZ262145 CTU262145:CTV262145 DDQ262145:DDR262145 DNM262145:DNN262145 DXI262145:DXJ262145 EHE262145:EHF262145 ERA262145:ERB262145 FAW262145:FAX262145 FKS262145:FKT262145 FUO262145:FUP262145 GEK262145:GEL262145 GOG262145:GOH262145 GYC262145:GYD262145 HHY262145:HHZ262145 HRU262145:HRV262145 IBQ262145:IBR262145 ILM262145:ILN262145 IVI262145:IVJ262145 JFE262145:JFF262145 JPA262145:JPB262145 JYW262145:JYX262145 KIS262145:KIT262145 KSO262145:KSP262145 LCK262145:LCL262145 LMG262145:LMH262145 LWC262145:LWD262145 MFY262145:MFZ262145 MPU262145:MPV262145 MZQ262145:MZR262145 NJM262145:NJN262145 NTI262145:NTJ262145 ODE262145:ODF262145 ONA262145:ONB262145 OWW262145:OWX262145 PGS262145:PGT262145 PQO262145:PQP262145 QAK262145:QAL262145 QKG262145:QKH262145 QUC262145:QUD262145 RDY262145:RDZ262145 RNU262145:RNV262145 RXQ262145:RXR262145 SHM262145:SHN262145 SRI262145:SRJ262145 TBE262145:TBF262145 TLA262145:TLB262145 TUW262145:TUX262145 UES262145:UET262145 UOO262145:UOP262145 UYK262145:UYL262145 VIG262145:VIH262145 VSC262145:VSD262145 WBY262145:WBZ262145 WLU262145:WLV262145 WVQ262145:WVR262145 JE327681:JF327681 TA327681:TB327681 ACW327681:ACX327681 AMS327681:AMT327681 AWO327681:AWP327681 BGK327681:BGL327681 BQG327681:BQH327681 CAC327681:CAD327681 CJY327681:CJZ327681 CTU327681:CTV327681 DDQ327681:DDR327681 DNM327681:DNN327681 DXI327681:DXJ327681 EHE327681:EHF327681 ERA327681:ERB327681 FAW327681:FAX327681 FKS327681:FKT327681 FUO327681:FUP327681 GEK327681:GEL327681 GOG327681:GOH327681 GYC327681:GYD327681 HHY327681:HHZ327681 HRU327681:HRV327681 IBQ327681:IBR327681 ILM327681:ILN327681 IVI327681:IVJ327681 JFE327681:JFF327681 JPA327681:JPB327681 JYW327681:JYX327681 KIS327681:KIT327681 KSO327681:KSP327681 LCK327681:LCL327681 LMG327681:LMH327681 LWC327681:LWD327681 MFY327681:MFZ327681 MPU327681:MPV327681 MZQ327681:MZR327681 NJM327681:NJN327681 NTI327681:NTJ327681 ODE327681:ODF327681 ONA327681:ONB327681 OWW327681:OWX327681 PGS327681:PGT327681 PQO327681:PQP327681 QAK327681:QAL327681 QKG327681:QKH327681 QUC327681:QUD327681 RDY327681:RDZ327681 RNU327681:RNV327681 RXQ327681:RXR327681 SHM327681:SHN327681 SRI327681:SRJ327681 TBE327681:TBF327681 TLA327681:TLB327681 TUW327681:TUX327681 UES327681:UET327681 UOO327681:UOP327681 UYK327681:UYL327681 VIG327681:VIH327681 VSC327681:VSD327681 WBY327681:WBZ327681 WLU327681:WLV327681 WVQ327681:WVR327681 JE393217:JF393217 TA393217:TB393217 ACW393217:ACX393217 AMS393217:AMT393217 AWO393217:AWP393217 BGK393217:BGL393217 BQG393217:BQH393217 CAC393217:CAD393217 CJY393217:CJZ393217 CTU393217:CTV393217 DDQ393217:DDR393217 DNM393217:DNN393217 DXI393217:DXJ393217 EHE393217:EHF393217 ERA393217:ERB393217 FAW393217:FAX393217 FKS393217:FKT393217 FUO393217:FUP393217 GEK393217:GEL393217 GOG393217:GOH393217 GYC393217:GYD393217 HHY393217:HHZ393217 HRU393217:HRV393217 IBQ393217:IBR393217 ILM393217:ILN393217 IVI393217:IVJ393217 JFE393217:JFF393217 JPA393217:JPB393217 JYW393217:JYX393217 KIS393217:KIT393217 KSO393217:KSP393217 LCK393217:LCL393217 LMG393217:LMH393217 LWC393217:LWD393217 MFY393217:MFZ393217 MPU393217:MPV393217 MZQ393217:MZR393217 NJM393217:NJN393217 NTI393217:NTJ393217 ODE393217:ODF393217 ONA393217:ONB393217 OWW393217:OWX393217 PGS393217:PGT393217 PQO393217:PQP393217 QAK393217:QAL393217 QKG393217:QKH393217 QUC393217:QUD393217 RDY393217:RDZ393217 RNU393217:RNV393217 RXQ393217:RXR393217 SHM393217:SHN393217 SRI393217:SRJ393217 TBE393217:TBF393217 TLA393217:TLB393217 TUW393217:TUX393217 UES393217:UET393217 UOO393217:UOP393217 UYK393217:UYL393217 VIG393217:VIH393217 VSC393217:VSD393217 WBY393217:WBZ393217 WLU393217:WLV393217 WVQ393217:WVR393217 JE458753:JF458753 TA458753:TB458753 ACW458753:ACX458753 AMS458753:AMT458753 AWO458753:AWP458753 BGK458753:BGL458753 BQG458753:BQH458753 CAC458753:CAD458753 CJY458753:CJZ458753 CTU458753:CTV458753 DDQ458753:DDR458753 DNM458753:DNN458753 DXI458753:DXJ458753 EHE458753:EHF458753 ERA458753:ERB458753 FAW458753:FAX458753 FKS458753:FKT458753 FUO458753:FUP458753 GEK458753:GEL458753 GOG458753:GOH458753 GYC458753:GYD458753 HHY458753:HHZ458753 HRU458753:HRV458753 IBQ458753:IBR458753 ILM458753:ILN458753 IVI458753:IVJ458753 JFE458753:JFF458753 JPA458753:JPB458753 JYW458753:JYX458753 KIS458753:KIT458753 KSO458753:KSP458753 LCK458753:LCL458753 LMG458753:LMH458753 LWC458753:LWD458753 MFY458753:MFZ458753 MPU458753:MPV458753 MZQ458753:MZR458753 NJM458753:NJN458753 NTI458753:NTJ458753 ODE458753:ODF458753 ONA458753:ONB458753 OWW458753:OWX458753 PGS458753:PGT458753 PQO458753:PQP458753 QAK458753:QAL458753 QKG458753:QKH458753 QUC458753:QUD458753 RDY458753:RDZ458753 RNU458753:RNV458753 RXQ458753:RXR458753 SHM458753:SHN458753 SRI458753:SRJ458753 TBE458753:TBF458753 TLA458753:TLB458753 TUW458753:TUX458753 UES458753:UET458753 UOO458753:UOP458753 UYK458753:UYL458753 VIG458753:VIH458753 VSC458753:VSD458753 WBY458753:WBZ458753 WLU458753:WLV458753 WVQ458753:WVR458753 JE524289:JF524289 TA524289:TB524289 ACW524289:ACX524289 AMS524289:AMT524289 AWO524289:AWP524289 BGK524289:BGL524289 BQG524289:BQH524289 CAC524289:CAD524289 CJY524289:CJZ524289 CTU524289:CTV524289 DDQ524289:DDR524289 DNM524289:DNN524289 DXI524289:DXJ524289 EHE524289:EHF524289 ERA524289:ERB524289 FAW524289:FAX524289 FKS524289:FKT524289 FUO524289:FUP524289 GEK524289:GEL524289 GOG524289:GOH524289 GYC524289:GYD524289 HHY524289:HHZ524289 HRU524289:HRV524289 IBQ524289:IBR524289 ILM524289:ILN524289 IVI524289:IVJ524289 JFE524289:JFF524289 JPA524289:JPB524289 JYW524289:JYX524289 KIS524289:KIT524289 KSO524289:KSP524289 LCK524289:LCL524289 LMG524289:LMH524289 LWC524289:LWD524289 MFY524289:MFZ524289 MPU524289:MPV524289 MZQ524289:MZR524289 NJM524289:NJN524289 NTI524289:NTJ524289 ODE524289:ODF524289 ONA524289:ONB524289 OWW524289:OWX524289 PGS524289:PGT524289 PQO524289:PQP524289 QAK524289:QAL524289 QKG524289:QKH524289 QUC524289:QUD524289 RDY524289:RDZ524289 RNU524289:RNV524289 RXQ524289:RXR524289 SHM524289:SHN524289 SRI524289:SRJ524289 TBE524289:TBF524289 TLA524289:TLB524289 TUW524289:TUX524289 UES524289:UET524289 UOO524289:UOP524289 UYK524289:UYL524289 VIG524289:VIH524289 VSC524289:VSD524289 WBY524289:WBZ524289 WLU524289:WLV524289 WVQ524289:WVR524289 JE589825:JF589825 TA589825:TB589825 ACW589825:ACX589825 AMS589825:AMT589825 AWO589825:AWP589825 BGK589825:BGL589825 BQG589825:BQH589825 CAC589825:CAD589825 CJY589825:CJZ589825 CTU589825:CTV589825 DDQ589825:DDR589825 DNM589825:DNN589825 DXI589825:DXJ589825 EHE589825:EHF589825 ERA589825:ERB589825 FAW589825:FAX589825 FKS589825:FKT589825 FUO589825:FUP589825 GEK589825:GEL589825 GOG589825:GOH589825 GYC589825:GYD589825 HHY589825:HHZ589825 HRU589825:HRV589825 IBQ589825:IBR589825 ILM589825:ILN589825 IVI589825:IVJ589825 JFE589825:JFF589825 JPA589825:JPB589825 JYW589825:JYX589825 KIS589825:KIT589825 KSO589825:KSP589825 LCK589825:LCL589825 LMG589825:LMH589825 LWC589825:LWD589825 MFY589825:MFZ589825 MPU589825:MPV589825 MZQ589825:MZR589825 NJM589825:NJN589825 NTI589825:NTJ589825 ODE589825:ODF589825 ONA589825:ONB589825 OWW589825:OWX589825 PGS589825:PGT589825 PQO589825:PQP589825 QAK589825:QAL589825 QKG589825:QKH589825 QUC589825:QUD589825 RDY589825:RDZ589825 RNU589825:RNV589825 RXQ589825:RXR589825 SHM589825:SHN589825 SRI589825:SRJ589825 TBE589825:TBF589825 TLA589825:TLB589825 TUW589825:TUX589825 UES589825:UET589825 UOO589825:UOP589825 UYK589825:UYL589825 VIG589825:VIH589825 VSC589825:VSD589825 WBY589825:WBZ589825 WLU589825:WLV589825 WVQ589825:WVR589825 JE655361:JF655361 TA655361:TB655361 ACW655361:ACX655361 AMS655361:AMT655361 AWO655361:AWP655361 BGK655361:BGL655361 BQG655361:BQH655361 CAC655361:CAD655361 CJY655361:CJZ655361 CTU655361:CTV655361 DDQ655361:DDR655361 DNM655361:DNN655361 DXI655361:DXJ655361 EHE655361:EHF655361 ERA655361:ERB655361 FAW655361:FAX655361 FKS655361:FKT655361 FUO655361:FUP655361 GEK655361:GEL655361 GOG655361:GOH655361 GYC655361:GYD655361 HHY655361:HHZ655361 HRU655361:HRV655361 IBQ655361:IBR655361 ILM655361:ILN655361 IVI655361:IVJ655361 JFE655361:JFF655361 JPA655361:JPB655361 JYW655361:JYX655361 KIS655361:KIT655361 KSO655361:KSP655361 LCK655361:LCL655361 LMG655361:LMH655361 LWC655361:LWD655361 MFY655361:MFZ655361 MPU655361:MPV655361 MZQ655361:MZR655361 NJM655361:NJN655361 NTI655361:NTJ655361 ODE655361:ODF655361 ONA655361:ONB655361 OWW655361:OWX655361 PGS655361:PGT655361 PQO655361:PQP655361 QAK655361:QAL655361 QKG655361:QKH655361 QUC655361:QUD655361 RDY655361:RDZ655361 RNU655361:RNV655361 RXQ655361:RXR655361 SHM655361:SHN655361 SRI655361:SRJ655361 TBE655361:TBF655361 TLA655361:TLB655361 TUW655361:TUX655361 UES655361:UET655361 UOO655361:UOP655361 UYK655361:UYL655361 VIG655361:VIH655361 VSC655361:VSD655361 WBY655361:WBZ655361 WLU655361:WLV655361 WVQ655361:WVR655361 JE720897:JF720897 TA720897:TB720897 ACW720897:ACX720897 AMS720897:AMT720897 AWO720897:AWP720897 BGK720897:BGL720897 BQG720897:BQH720897 CAC720897:CAD720897 CJY720897:CJZ720897 CTU720897:CTV720897 DDQ720897:DDR720897 DNM720897:DNN720897 DXI720897:DXJ720897 EHE720897:EHF720897 ERA720897:ERB720897 FAW720897:FAX720897 FKS720897:FKT720897 FUO720897:FUP720897 GEK720897:GEL720897 GOG720897:GOH720897 GYC720897:GYD720897 HHY720897:HHZ720897 HRU720897:HRV720897 IBQ720897:IBR720897 ILM720897:ILN720897 IVI720897:IVJ720897 JFE720897:JFF720897 JPA720897:JPB720897 JYW720897:JYX720897 KIS720897:KIT720897 KSO720897:KSP720897 LCK720897:LCL720897 LMG720897:LMH720897 LWC720897:LWD720897 MFY720897:MFZ720897 MPU720897:MPV720897 MZQ720897:MZR720897 NJM720897:NJN720897 NTI720897:NTJ720897 ODE720897:ODF720897 ONA720897:ONB720897 OWW720897:OWX720897 PGS720897:PGT720897 PQO720897:PQP720897 QAK720897:QAL720897 QKG720897:QKH720897 QUC720897:QUD720897 RDY720897:RDZ720897 RNU720897:RNV720897 RXQ720897:RXR720897 SHM720897:SHN720897 SRI720897:SRJ720897 TBE720897:TBF720897 TLA720897:TLB720897 TUW720897:TUX720897 UES720897:UET720897 UOO720897:UOP720897 UYK720897:UYL720897 VIG720897:VIH720897 VSC720897:VSD720897 WBY720897:WBZ720897 WLU720897:WLV720897 WVQ720897:WVR720897 JE786433:JF786433 TA786433:TB786433 ACW786433:ACX786433 AMS786433:AMT786433 AWO786433:AWP786433 BGK786433:BGL786433 BQG786433:BQH786433 CAC786433:CAD786433 CJY786433:CJZ786433 CTU786433:CTV786433 DDQ786433:DDR786433 DNM786433:DNN786433 DXI786433:DXJ786433 EHE786433:EHF786433 ERA786433:ERB786433 FAW786433:FAX786433 FKS786433:FKT786433 FUO786433:FUP786433 GEK786433:GEL786433 GOG786433:GOH786433 GYC786433:GYD786433 HHY786433:HHZ786433 HRU786433:HRV786433 IBQ786433:IBR786433 ILM786433:ILN786433 IVI786433:IVJ786433 JFE786433:JFF786433 JPA786433:JPB786433 JYW786433:JYX786433 KIS786433:KIT786433 KSO786433:KSP786433 LCK786433:LCL786433 LMG786433:LMH786433 LWC786433:LWD786433 MFY786433:MFZ786433 MPU786433:MPV786433 MZQ786433:MZR786433 NJM786433:NJN786433 NTI786433:NTJ786433 ODE786433:ODF786433 ONA786433:ONB786433 OWW786433:OWX786433 PGS786433:PGT786433 PQO786433:PQP786433 QAK786433:QAL786433 QKG786433:QKH786433 QUC786433:QUD786433 RDY786433:RDZ786433 RNU786433:RNV786433 RXQ786433:RXR786433 SHM786433:SHN786433 SRI786433:SRJ786433 TBE786433:TBF786433 TLA786433:TLB786433 TUW786433:TUX786433 UES786433:UET786433 UOO786433:UOP786433 UYK786433:UYL786433 VIG786433:VIH786433 VSC786433:VSD786433 WBY786433:WBZ786433 WLU786433:WLV786433 WVQ786433:WVR786433 JE851969:JF851969 TA851969:TB851969 ACW851969:ACX851969 AMS851969:AMT851969 AWO851969:AWP851969 BGK851969:BGL851969 BQG851969:BQH851969 CAC851969:CAD851969 CJY851969:CJZ851969 CTU851969:CTV851969 DDQ851969:DDR851969 DNM851969:DNN851969 DXI851969:DXJ851969 EHE851969:EHF851969 ERA851969:ERB851969 FAW851969:FAX851969 FKS851969:FKT851969 FUO851969:FUP851969 GEK851969:GEL851969 GOG851969:GOH851969 GYC851969:GYD851969 HHY851969:HHZ851969 HRU851969:HRV851969 IBQ851969:IBR851969 ILM851969:ILN851969 IVI851969:IVJ851969 JFE851969:JFF851969 JPA851969:JPB851969 JYW851969:JYX851969 KIS851969:KIT851969 KSO851969:KSP851969 LCK851969:LCL851969 LMG851969:LMH851969 LWC851969:LWD851969 MFY851969:MFZ851969 MPU851969:MPV851969 MZQ851969:MZR851969 NJM851969:NJN851969 NTI851969:NTJ851969 ODE851969:ODF851969 ONA851969:ONB851969 OWW851969:OWX851969 PGS851969:PGT851969 PQO851969:PQP851969 QAK851969:QAL851969 QKG851969:QKH851969 QUC851969:QUD851969 RDY851969:RDZ851969 RNU851969:RNV851969 RXQ851969:RXR851969 SHM851969:SHN851969 SRI851969:SRJ851969 TBE851969:TBF851969 TLA851969:TLB851969 TUW851969:TUX851969 UES851969:UET851969 UOO851969:UOP851969 UYK851969:UYL851969 VIG851969:VIH851969 VSC851969:VSD851969 WBY851969:WBZ851969 WLU851969:WLV851969 WVQ851969:WVR851969 JE917505:JF917505 TA917505:TB917505 ACW917505:ACX917505 AMS917505:AMT917505 AWO917505:AWP917505 BGK917505:BGL917505 BQG917505:BQH917505 CAC917505:CAD917505 CJY917505:CJZ917505 CTU917505:CTV917505 DDQ917505:DDR917505 DNM917505:DNN917505 DXI917505:DXJ917505 EHE917505:EHF917505 ERA917505:ERB917505 FAW917505:FAX917505 FKS917505:FKT917505 FUO917505:FUP917505 GEK917505:GEL917505 GOG917505:GOH917505 GYC917505:GYD917505 HHY917505:HHZ917505 HRU917505:HRV917505 IBQ917505:IBR917505 ILM917505:ILN917505 IVI917505:IVJ917505 JFE917505:JFF917505 JPA917505:JPB917505 JYW917505:JYX917505 KIS917505:KIT917505 KSO917505:KSP917505 LCK917505:LCL917505 LMG917505:LMH917505 LWC917505:LWD917505 MFY917505:MFZ917505 MPU917505:MPV917505 MZQ917505:MZR917505 NJM917505:NJN917505 NTI917505:NTJ917505 ODE917505:ODF917505 ONA917505:ONB917505 OWW917505:OWX917505 PGS917505:PGT917505 PQO917505:PQP917505 QAK917505:QAL917505 QKG917505:QKH917505 QUC917505:QUD917505 RDY917505:RDZ917505 RNU917505:RNV917505 RXQ917505:RXR917505 SHM917505:SHN917505 SRI917505:SRJ917505 TBE917505:TBF917505 TLA917505:TLB917505 TUW917505:TUX917505 UES917505:UET917505 UOO917505:UOP917505 UYK917505:UYL917505 VIG917505:VIH917505 VSC917505:VSD917505 WBY917505:WBZ917505 WLU917505:WLV917505 WVQ917505:WVR917505 JE983041:JF983041 TA983041:TB983041 ACW983041:ACX983041 AMS983041:AMT983041 AWO983041:AWP983041 BGK983041:BGL983041 BQG983041:BQH983041 CAC983041:CAD983041 CJY983041:CJZ983041 CTU983041:CTV983041 DDQ983041:DDR983041 DNM983041:DNN983041 DXI983041:DXJ983041 EHE983041:EHF983041 ERA983041:ERB983041 FAW983041:FAX983041 FKS983041:FKT983041 FUO983041:FUP983041 GEK983041:GEL983041 GOG983041:GOH983041 GYC983041:GYD983041 HHY983041:HHZ983041 HRU983041:HRV983041 IBQ983041:IBR983041 ILM983041:ILN983041 IVI983041:IVJ983041 JFE983041:JFF983041 JPA983041:JPB983041 JYW983041:JYX983041 KIS983041:KIT983041 KSO983041:KSP983041 LCK983041:LCL983041 LMG983041:LMH983041 LWC983041:LWD983041 MFY983041:MFZ983041 MPU983041:MPV983041 MZQ983041:MZR983041 NJM983041:NJN983041 NTI983041:NTJ983041 ODE983041:ODF983041 ONA983041:ONB983041 OWW983041:OWX983041 PGS983041:PGT983041 PQO983041:PQP983041 QAK983041:QAL983041 QKG983041:QKH983041 QUC983041:QUD983041 RDY983041:RDZ983041 RNU983041:RNV983041 RXQ983041:RXR983041 SHM983041:SHN983041 SRI983041:SRJ983041 TBE983041:TBF983041 TLA983041:TLB983041 TUW983041:TUX983041 UES983041:UET983041 UOO983041:UOP983041 UYK983041:UYL983041 VIG983041:VIH983041 VSC983041:VSD983041 WBY983041:WBZ983041 WLU983041:WLV983041 WVQ983041:WVR983041 H983040:I983040 H917504:I917504 H851968:I851968 H786432:I786432 H720896:I720896 H655360:I655360 H589824:I589824 H524288:I524288 H458752:I458752 H393216:I393216 H327680:I327680 H262144:I262144 H196608:I196608">
      <formula1>$AA$22:$AA$23</formula1>
    </dataValidation>
  </dataValidations>
  <pageMargins left="0.7" right="0.7" top="0.75" bottom="0.75" header="0.3" footer="0.3"/>
  <pageSetup paperSize="9" orientation="landscape"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AB32"/>
  <sheetViews>
    <sheetView tabSelected="1" view="pageBreakPreview" topLeftCell="A7" zoomScaleSheetLayoutView="100" workbookViewId="0">
      <selection activeCell="D26" sqref="D26"/>
    </sheetView>
  </sheetViews>
  <sheetFormatPr defaultRowHeight="20.100000000000001" customHeight="1"/>
  <cols>
    <col min="1" max="1" width="6.625" style="586" customWidth="1"/>
    <col min="2" max="2" width="7.25" style="586" customWidth="1"/>
    <col min="3" max="3" width="36.125" style="586" customWidth="1"/>
    <col min="4" max="4" width="9" style="586" customWidth="1"/>
    <col min="5" max="5" width="15.125" style="586" customWidth="1"/>
    <col min="6" max="6" width="7.625" style="586" customWidth="1"/>
    <col min="7" max="7" width="8.5" style="586" customWidth="1"/>
    <col min="8" max="8" width="11.75" style="586" customWidth="1"/>
    <col min="9" max="9" width="14.625" style="586" customWidth="1"/>
    <col min="10" max="10" width="7.375" style="586" customWidth="1"/>
    <col min="11" max="11" width="4.75" style="586" customWidth="1"/>
    <col min="12" max="12" width="7.5" style="586" customWidth="1"/>
    <col min="13" max="13" width="4.875" style="586" customWidth="1"/>
    <col min="14" max="14" width="8.5" style="665" customWidth="1"/>
    <col min="15" max="15" width="16.25" style="666" customWidth="1"/>
    <col min="16" max="16" width="9.25" style="666" customWidth="1"/>
    <col min="17" max="17" width="9.5" style="586" bestFit="1" customWidth="1"/>
    <col min="18" max="18" width="9.875" style="586" customWidth="1"/>
    <col min="19" max="19" width="10" style="586" customWidth="1"/>
    <col min="20" max="20" width="13.5" style="586" customWidth="1"/>
    <col min="21" max="21" width="6.625" style="586" customWidth="1"/>
    <col min="22" max="22" width="6.5" style="586" customWidth="1"/>
    <col min="23" max="23" width="9" style="586"/>
    <col min="24" max="24" width="8.5" style="586" customWidth="1"/>
    <col min="25" max="25" width="6.375" style="586" customWidth="1"/>
    <col min="26" max="26" width="5.75" style="586" customWidth="1"/>
    <col min="27" max="27" width="12.625" style="586" customWidth="1"/>
    <col min="28" max="28" width="8.375" style="665" customWidth="1"/>
    <col min="29" max="29" width="24.875" style="586" customWidth="1"/>
    <col min="30" max="30" width="9" style="586"/>
    <col min="31" max="31" width="37.5" style="586" customWidth="1"/>
    <col min="32" max="248" width="9" style="586"/>
    <col min="249" max="250" width="3.75" style="586" customWidth="1"/>
    <col min="251" max="251" width="3.5" style="586" customWidth="1"/>
    <col min="252" max="252" width="3.875" style="586" customWidth="1"/>
    <col min="253" max="254" width="7.625" style="586" customWidth="1"/>
    <col min="255" max="255" width="6.375" style="586" customWidth="1"/>
    <col min="256" max="256" width="6.25" style="586" customWidth="1"/>
    <col min="257" max="257" width="6.625" style="586" customWidth="1"/>
    <col min="258" max="258" width="4.875" style="586" customWidth="1"/>
    <col min="259" max="259" width="4.75" style="586" customWidth="1"/>
    <col min="260" max="260" width="6.75" style="586" customWidth="1"/>
    <col min="261" max="261" width="0" style="586" hidden="1" customWidth="1"/>
    <col min="262" max="262" width="4.375" style="586" customWidth="1"/>
    <col min="263" max="263" width="5.625" style="586" customWidth="1"/>
    <col min="264" max="264" width="5.375" style="586" customWidth="1"/>
    <col min="265" max="265" width="6.875" style="586" customWidth="1"/>
    <col min="266" max="266" width="5.125" style="586" customWidth="1"/>
    <col min="267" max="267" width="4.75" style="586" customWidth="1"/>
    <col min="268" max="268" width="5.625" style="586" customWidth="1"/>
    <col min="269" max="269" width="4.875" style="586" customWidth="1"/>
    <col min="270" max="270" width="5.25" style="586" customWidth="1"/>
    <col min="271" max="271" width="16.25" style="586" customWidth="1"/>
    <col min="272" max="272" width="9.25" style="586" customWidth="1"/>
    <col min="273" max="273" width="9.5" style="586" bestFit="1" customWidth="1"/>
    <col min="274" max="274" width="9.875" style="586" customWidth="1"/>
    <col min="275" max="276" width="10" style="586" customWidth="1"/>
    <col min="277" max="277" width="6.625" style="586" customWidth="1"/>
    <col min="278" max="278" width="6.5" style="586" customWidth="1"/>
    <col min="279" max="279" width="9" style="586"/>
    <col min="280" max="280" width="8.5" style="586" customWidth="1"/>
    <col min="281" max="281" width="6.375" style="586" customWidth="1"/>
    <col min="282" max="282" width="5.75" style="586" customWidth="1"/>
    <col min="283" max="283" width="12.625" style="586" customWidth="1"/>
    <col min="284" max="284" width="8.375" style="586" customWidth="1"/>
    <col min="285" max="285" width="24.875" style="586" customWidth="1"/>
    <col min="286" max="286" width="9" style="586"/>
    <col min="287" max="287" width="37.5" style="586" customWidth="1"/>
    <col min="288" max="504" width="9" style="586"/>
    <col min="505" max="506" width="3.75" style="586" customWidth="1"/>
    <col min="507" max="507" width="3.5" style="586" customWidth="1"/>
    <col min="508" max="508" width="3.875" style="586" customWidth="1"/>
    <col min="509" max="510" width="7.625" style="586" customWidth="1"/>
    <col min="511" max="511" width="6.375" style="586" customWidth="1"/>
    <col min="512" max="512" width="6.25" style="586" customWidth="1"/>
    <col min="513" max="513" width="6.625" style="586" customWidth="1"/>
    <col min="514" max="514" width="4.875" style="586" customWidth="1"/>
    <col min="515" max="515" width="4.75" style="586" customWidth="1"/>
    <col min="516" max="516" width="6.75" style="586" customWidth="1"/>
    <col min="517" max="517" width="0" style="586" hidden="1" customWidth="1"/>
    <col min="518" max="518" width="4.375" style="586" customWidth="1"/>
    <col min="519" max="519" width="5.625" style="586" customWidth="1"/>
    <col min="520" max="520" width="5.375" style="586" customWidth="1"/>
    <col min="521" max="521" width="6.875" style="586" customWidth="1"/>
    <col min="522" max="522" width="5.125" style="586" customWidth="1"/>
    <col min="523" max="523" width="4.75" style="586" customWidth="1"/>
    <col min="524" max="524" width="5.625" style="586" customWidth="1"/>
    <col min="525" max="525" width="4.875" style="586" customWidth="1"/>
    <col min="526" max="526" width="5.25" style="586" customWidth="1"/>
    <col min="527" max="527" width="16.25" style="586" customWidth="1"/>
    <col min="528" max="528" width="9.25" style="586" customWidth="1"/>
    <col min="529" max="529" width="9.5" style="586" bestFit="1" customWidth="1"/>
    <col min="530" max="530" width="9.875" style="586" customWidth="1"/>
    <col min="531" max="532" width="10" style="586" customWidth="1"/>
    <col min="533" max="533" width="6.625" style="586" customWidth="1"/>
    <col min="534" max="534" width="6.5" style="586" customWidth="1"/>
    <col min="535" max="535" width="9" style="586"/>
    <col min="536" max="536" width="8.5" style="586" customWidth="1"/>
    <col min="537" max="537" width="6.375" style="586" customWidth="1"/>
    <col min="538" max="538" width="5.75" style="586" customWidth="1"/>
    <col min="539" max="539" width="12.625" style="586" customWidth="1"/>
    <col min="540" max="540" width="8.375" style="586" customWidth="1"/>
    <col min="541" max="541" width="24.875" style="586" customWidth="1"/>
    <col min="542" max="542" width="9" style="586"/>
    <col min="543" max="543" width="37.5" style="586" customWidth="1"/>
    <col min="544" max="760" width="9" style="586"/>
    <col min="761" max="762" width="3.75" style="586" customWidth="1"/>
    <col min="763" max="763" width="3.5" style="586" customWidth="1"/>
    <col min="764" max="764" width="3.875" style="586" customWidth="1"/>
    <col min="765" max="766" width="7.625" style="586" customWidth="1"/>
    <col min="767" max="767" width="6.375" style="586" customWidth="1"/>
    <col min="768" max="768" width="6.25" style="586" customWidth="1"/>
    <col min="769" max="769" width="6.625" style="586" customWidth="1"/>
    <col min="770" max="770" width="4.875" style="586" customWidth="1"/>
    <col min="771" max="771" width="4.75" style="586" customWidth="1"/>
    <col min="772" max="772" width="6.75" style="586" customWidth="1"/>
    <col min="773" max="773" width="0" style="586" hidden="1" customWidth="1"/>
    <col min="774" max="774" width="4.375" style="586" customWidth="1"/>
    <col min="775" max="775" width="5.625" style="586" customWidth="1"/>
    <col min="776" max="776" width="5.375" style="586" customWidth="1"/>
    <col min="777" max="777" width="6.875" style="586" customWidth="1"/>
    <col min="778" max="778" width="5.125" style="586" customWidth="1"/>
    <col min="779" max="779" width="4.75" style="586" customWidth="1"/>
    <col min="780" max="780" width="5.625" style="586" customWidth="1"/>
    <col min="781" max="781" width="4.875" style="586" customWidth="1"/>
    <col min="782" max="782" width="5.25" style="586" customWidth="1"/>
    <col min="783" max="783" width="16.25" style="586" customWidth="1"/>
    <col min="784" max="784" width="9.25" style="586" customWidth="1"/>
    <col min="785" max="785" width="9.5" style="586" bestFit="1" customWidth="1"/>
    <col min="786" max="786" width="9.875" style="586" customWidth="1"/>
    <col min="787" max="788" width="10" style="586" customWidth="1"/>
    <col min="789" max="789" width="6.625" style="586" customWidth="1"/>
    <col min="790" max="790" width="6.5" style="586" customWidth="1"/>
    <col min="791" max="791" width="9" style="586"/>
    <col min="792" max="792" width="8.5" style="586" customWidth="1"/>
    <col min="793" max="793" width="6.375" style="586" customWidth="1"/>
    <col min="794" max="794" width="5.75" style="586" customWidth="1"/>
    <col min="795" max="795" width="12.625" style="586" customWidth="1"/>
    <col min="796" max="796" width="8.375" style="586" customWidth="1"/>
    <col min="797" max="797" width="24.875" style="586" customWidth="1"/>
    <col min="798" max="798" width="9" style="586"/>
    <col min="799" max="799" width="37.5" style="586" customWidth="1"/>
    <col min="800" max="1016" width="9" style="586"/>
    <col min="1017" max="1018" width="3.75" style="586" customWidth="1"/>
    <col min="1019" max="1019" width="3.5" style="586" customWidth="1"/>
    <col min="1020" max="1020" width="3.875" style="586" customWidth="1"/>
    <col min="1021" max="1022" width="7.625" style="586" customWidth="1"/>
    <col min="1023" max="1023" width="6.375" style="586" customWidth="1"/>
    <col min="1024" max="1024" width="6.25" style="586" customWidth="1"/>
    <col min="1025" max="1025" width="6.625" style="586" customWidth="1"/>
    <col min="1026" max="1026" width="4.875" style="586" customWidth="1"/>
    <col min="1027" max="1027" width="4.75" style="586" customWidth="1"/>
    <col min="1028" max="1028" width="6.75" style="586" customWidth="1"/>
    <col min="1029" max="1029" width="0" style="586" hidden="1" customWidth="1"/>
    <col min="1030" max="1030" width="4.375" style="586" customWidth="1"/>
    <col min="1031" max="1031" width="5.625" style="586" customWidth="1"/>
    <col min="1032" max="1032" width="5.375" style="586" customWidth="1"/>
    <col min="1033" max="1033" width="6.875" style="586" customWidth="1"/>
    <col min="1034" max="1034" width="5.125" style="586" customWidth="1"/>
    <col min="1035" max="1035" width="4.75" style="586" customWidth="1"/>
    <col min="1036" max="1036" width="5.625" style="586" customWidth="1"/>
    <col min="1037" max="1037" width="4.875" style="586" customWidth="1"/>
    <col min="1038" max="1038" width="5.25" style="586" customWidth="1"/>
    <col min="1039" max="1039" width="16.25" style="586" customWidth="1"/>
    <col min="1040" max="1040" width="9.25" style="586" customWidth="1"/>
    <col min="1041" max="1041" width="9.5" style="586" bestFit="1" customWidth="1"/>
    <col min="1042" max="1042" width="9.875" style="586" customWidth="1"/>
    <col min="1043" max="1044" width="10" style="586" customWidth="1"/>
    <col min="1045" max="1045" width="6.625" style="586" customWidth="1"/>
    <col min="1046" max="1046" width="6.5" style="586" customWidth="1"/>
    <col min="1047" max="1047" width="9" style="586"/>
    <col min="1048" max="1048" width="8.5" style="586" customWidth="1"/>
    <col min="1049" max="1049" width="6.375" style="586" customWidth="1"/>
    <col min="1050" max="1050" width="5.75" style="586" customWidth="1"/>
    <col min="1051" max="1051" width="12.625" style="586" customWidth="1"/>
    <col min="1052" max="1052" width="8.375" style="586" customWidth="1"/>
    <col min="1053" max="1053" width="24.875" style="586" customWidth="1"/>
    <col min="1054" max="1054" width="9" style="586"/>
    <col min="1055" max="1055" width="37.5" style="586" customWidth="1"/>
    <col min="1056" max="1272" width="9" style="586"/>
    <col min="1273" max="1274" width="3.75" style="586" customWidth="1"/>
    <col min="1275" max="1275" width="3.5" style="586" customWidth="1"/>
    <col min="1276" max="1276" width="3.875" style="586" customWidth="1"/>
    <col min="1277" max="1278" width="7.625" style="586" customWidth="1"/>
    <col min="1279" max="1279" width="6.375" style="586" customWidth="1"/>
    <col min="1280" max="1280" width="6.25" style="586" customWidth="1"/>
    <col min="1281" max="1281" width="6.625" style="586" customWidth="1"/>
    <col min="1282" max="1282" width="4.875" style="586" customWidth="1"/>
    <col min="1283" max="1283" width="4.75" style="586" customWidth="1"/>
    <col min="1284" max="1284" width="6.75" style="586" customWidth="1"/>
    <col min="1285" max="1285" width="0" style="586" hidden="1" customWidth="1"/>
    <col min="1286" max="1286" width="4.375" style="586" customWidth="1"/>
    <col min="1287" max="1287" width="5.625" style="586" customWidth="1"/>
    <col min="1288" max="1288" width="5.375" style="586" customWidth="1"/>
    <col min="1289" max="1289" width="6.875" style="586" customWidth="1"/>
    <col min="1290" max="1290" width="5.125" style="586" customWidth="1"/>
    <col min="1291" max="1291" width="4.75" style="586" customWidth="1"/>
    <col min="1292" max="1292" width="5.625" style="586" customWidth="1"/>
    <col min="1293" max="1293" width="4.875" style="586" customWidth="1"/>
    <col min="1294" max="1294" width="5.25" style="586" customWidth="1"/>
    <col min="1295" max="1295" width="16.25" style="586" customWidth="1"/>
    <col min="1296" max="1296" width="9.25" style="586" customWidth="1"/>
    <col min="1297" max="1297" width="9.5" style="586" bestFit="1" customWidth="1"/>
    <col min="1298" max="1298" width="9.875" style="586" customWidth="1"/>
    <col min="1299" max="1300" width="10" style="586" customWidth="1"/>
    <col min="1301" max="1301" width="6.625" style="586" customWidth="1"/>
    <col min="1302" max="1302" width="6.5" style="586" customWidth="1"/>
    <col min="1303" max="1303" width="9" style="586"/>
    <col min="1304" max="1304" width="8.5" style="586" customWidth="1"/>
    <col min="1305" max="1305" width="6.375" style="586" customWidth="1"/>
    <col min="1306" max="1306" width="5.75" style="586" customWidth="1"/>
    <col min="1307" max="1307" width="12.625" style="586" customWidth="1"/>
    <col min="1308" max="1308" width="8.375" style="586" customWidth="1"/>
    <col min="1309" max="1309" width="24.875" style="586" customWidth="1"/>
    <col min="1310" max="1310" width="9" style="586"/>
    <col min="1311" max="1311" width="37.5" style="586" customWidth="1"/>
    <col min="1312" max="1528" width="9" style="586"/>
    <col min="1529" max="1530" width="3.75" style="586" customWidth="1"/>
    <col min="1531" max="1531" width="3.5" style="586" customWidth="1"/>
    <col min="1532" max="1532" width="3.875" style="586" customWidth="1"/>
    <col min="1533" max="1534" width="7.625" style="586" customWidth="1"/>
    <col min="1535" max="1535" width="6.375" style="586" customWidth="1"/>
    <col min="1536" max="1536" width="6.25" style="586" customWidth="1"/>
    <col min="1537" max="1537" width="6.625" style="586" customWidth="1"/>
    <col min="1538" max="1538" width="4.875" style="586" customWidth="1"/>
    <col min="1539" max="1539" width="4.75" style="586" customWidth="1"/>
    <col min="1540" max="1540" width="6.75" style="586" customWidth="1"/>
    <col min="1541" max="1541" width="0" style="586" hidden="1" customWidth="1"/>
    <col min="1542" max="1542" width="4.375" style="586" customWidth="1"/>
    <col min="1543" max="1543" width="5.625" style="586" customWidth="1"/>
    <col min="1544" max="1544" width="5.375" style="586" customWidth="1"/>
    <col min="1545" max="1545" width="6.875" style="586" customWidth="1"/>
    <col min="1546" max="1546" width="5.125" style="586" customWidth="1"/>
    <col min="1547" max="1547" width="4.75" style="586" customWidth="1"/>
    <col min="1548" max="1548" width="5.625" style="586" customWidth="1"/>
    <col min="1549" max="1549" width="4.875" style="586" customWidth="1"/>
    <col min="1550" max="1550" width="5.25" style="586" customWidth="1"/>
    <col min="1551" max="1551" width="16.25" style="586" customWidth="1"/>
    <col min="1552" max="1552" width="9.25" style="586" customWidth="1"/>
    <col min="1553" max="1553" width="9.5" style="586" bestFit="1" customWidth="1"/>
    <col min="1554" max="1554" width="9.875" style="586" customWidth="1"/>
    <col min="1555" max="1556" width="10" style="586" customWidth="1"/>
    <col min="1557" max="1557" width="6.625" style="586" customWidth="1"/>
    <col min="1558" max="1558" width="6.5" style="586" customWidth="1"/>
    <col min="1559" max="1559" width="9" style="586"/>
    <col min="1560" max="1560" width="8.5" style="586" customWidth="1"/>
    <col min="1561" max="1561" width="6.375" style="586" customWidth="1"/>
    <col min="1562" max="1562" width="5.75" style="586" customWidth="1"/>
    <col min="1563" max="1563" width="12.625" style="586" customWidth="1"/>
    <col min="1564" max="1564" width="8.375" style="586" customWidth="1"/>
    <col min="1565" max="1565" width="24.875" style="586" customWidth="1"/>
    <col min="1566" max="1566" width="9" style="586"/>
    <col min="1567" max="1567" width="37.5" style="586" customWidth="1"/>
    <col min="1568" max="1784" width="9" style="586"/>
    <col min="1785" max="1786" width="3.75" style="586" customWidth="1"/>
    <col min="1787" max="1787" width="3.5" style="586" customWidth="1"/>
    <col min="1788" max="1788" width="3.875" style="586" customWidth="1"/>
    <col min="1789" max="1790" width="7.625" style="586" customWidth="1"/>
    <col min="1791" max="1791" width="6.375" style="586" customWidth="1"/>
    <col min="1792" max="1792" width="6.25" style="586" customWidth="1"/>
    <col min="1793" max="1793" width="6.625" style="586" customWidth="1"/>
    <col min="1794" max="1794" width="4.875" style="586" customWidth="1"/>
    <col min="1795" max="1795" width="4.75" style="586" customWidth="1"/>
    <col min="1796" max="1796" width="6.75" style="586" customWidth="1"/>
    <col min="1797" max="1797" width="0" style="586" hidden="1" customWidth="1"/>
    <col min="1798" max="1798" width="4.375" style="586" customWidth="1"/>
    <col min="1799" max="1799" width="5.625" style="586" customWidth="1"/>
    <col min="1800" max="1800" width="5.375" style="586" customWidth="1"/>
    <col min="1801" max="1801" width="6.875" style="586" customWidth="1"/>
    <col min="1802" max="1802" width="5.125" style="586" customWidth="1"/>
    <col min="1803" max="1803" width="4.75" style="586" customWidth="1"/>
    <col min="1804" max="1804" width="5.625" style="586" customWidth="1"/>
    <col min="1805" max="1805" width="4.875" style="586" customWidth="1"/>
    <col min="1806" max="1806" width="5.25" style="586" customWidth="1"/>
    <col min="1807" max="1807" width="16.25" style="586" customWidth="1"/>
    <col min="1808" max="1808" width="9.25" style="586" customWidth="1"/>
    <col min="1809" max="1809" width="9.5" style="586" bestFit="1" customWidth="1"/>
    <col min="1810" max="1810" width="9.875" style="586" customWidth="1"/>
    <col min="1811" max="1812" width="10" style="586" customWidth="1"/>
    <col min="1813" max="1813" width="6.625" style="586" customWidth="1"/>
    <col min="1814" max="1814" width="6.5" style="586" customWidth="1"/>
    <col min="1815" max="1815" width="9" style="586"/>
    <col min="1816" max="1816" width="8.5" style="586" customWidth="1"/>
    <col min="1817" max="1817" width="6.375" style="586" customWidth="1"/>
    <col min="1818" max="1818" width="5.75" style="586" customWidth="1"/>
    <col min="1819" max="1819" width="12.625" style="586" customWidth="1"/>
    <col min="1820" max="1820" width="8.375" style="586" customWidth="1"/>
    <col min="1821" max="1821" width="24.875" style="586" customWidth="1"/>
    <col min="1822" max="1822" width="9" style="586"/>
    <col min="1823" max="1823" width="37.5" style="586" customWidth="1"/>
    <col min="1824" max="2040" width="9" style="586"/>
    <col min="2041" max="2042" width="3.75" style="586" customWidth="1"/>
    <col min="2043" max="2043" width="3.5" style="586" customWidth="1"/>
    <col min="2044" max="2044" width="3.875" style="586" customWidth="1"/>
    <col min="2045" max="2046" width="7.625" style="586" customWidth="1"/>
    <col min="2047" max="2047" width="6.375" style="586" customWidth="1"/>
    <col min="2048" max="2048" width="6.25" style="586" customWidth="1"/>
    <col min="2049" max="2049" width="6.625" style="586" customWidth="1"/>
    <col min="2050" max="2050" width="4.875" style="586" customWidth="1"/>
    <col min="2051" max="2051" width="4.75" style="586" customWidth="1"/>
    <col min="2052" max="2052" width="6.75" style="586" customWidth="1"/>
    <col min="2053" max="2053" width="0" style="586" hidden="1" customWidth="1"/>
    <col min="2054" max="2054" width="4.375" style="586" customWidth="1"/>
    <col min="2055" max="2055" width="5.625" style="586" customWidth="1"/>
    <col min="2056" max="2056" width="5.375" style="586" customWidth="1"/>
    <col min="2057" max="2057" width="6.875" style="586" customWidth="1"/>
    <col min="2058" max="2058" width="5.125" style="586" customWidth="1"/>
    <col min="2059" max="2059" width="4.75" style="586" customWidth="1"/>
    <col min="2060" max="2060" width="5.625" style="586" customWidth="1"/>
    <col min="2061" max="2061" width="4.875" style="586" customWidth="1"/>
    <col min="2062" max="2062" width="5.25" style="586" customWidth="1"/>
    <col min="2063" max="2063" width="16.25" style="586" customWidth="1"/>
    <col min="2064" max="2064" width="9.25" style="586" customWidth="1"/>
    <col min="2065" max="2065" width="9.5" style="586" bestFit="1" customWidth="1"/>
    <col min="2066" max="2066" width="9.875" style="586" customWidth="1"/>
    <col min="2067" max="2068" width="10" style="586" customWidth="1"/>
    <col min="2069" max="2069" width="6.625" style="586" customWidth="1"/>
    <col min="2070" max="2070" width="6.5" style="586" customWidth="1"/>
    <col min="2071" max="2071" width="9" style="586"/>
    <col min="2072" max="2072" width="8.5" style="586" customWidth="1"/>
    <col min="2073" max="2073" width="6.375" style="586" customWidth="1"/>
    <col min="2074" max="2074" width="5.75" style="586" customWidth="1"/>
    <col min="2075" max="2075" width="12.625" style="586" customWidth="1"/>
    <col min="2076" max="2076" width="8.375" style="586" customWidth="1"/>
    <col min="2077" max="2077" width="24.875" style="586" customWidth="1"/>
    <col min="2078" max="2078" width="9" style="586"/>
    <col min="2079" max="2079" width="37.5" style="586" customWidth="1"/>
    <col min="2080" max="2296" width="9" style="586"/>
    <col min="2297" max="2298" width="3.75" style="586" customWidth="1"/>
    <col min="2299" max="2299" width="3.5" style="586" customWidth="1"/>
    <col min="2300" max="2300" width="3.875" style="586" customWidth="1"/>
    <col min="2301" max="2302" width="7.625" style="586" customWidth="1"/>
    <col min="2303" max="2303" width="6.375" style="586" customWidth="1"/>
    <col min="2304" max="2304" width="6.25" style="586" customWidth="1"/>
    <col min="2305" max="2305" width="6.625" style="586" customWidth="1"/>
    <col min="2306" max="2306" width="4.875" style="586" customWidth="1"/>
    <col min="2307" max="2307" width="4.75" style="586" customWidth="1"/>
    <col min="2308" max="2308" width="6.75" style="586" customWidth="1"/>
    <col min="2309" max="2309" width="0" style="586" hidden="1" customWidth="1"/>
    <col min="2310" max="2310" width="4.375" style="586" customWidth="1"/>
    <col min="2311" max="2311" width="5.625" style="586" customWidth="1"/>
    <col min="2312" max="2312" width="5.375" style="586" customWidth="1"/>
    <col min="2313" max="2313" width="6.875" style="586" customWidth="1"/>
    <col min="2314" max="2314" width="5.125" style="586" customWidth="1"/>
    <col min="2315" max="2315" width="4.75" style="586" customWidth="1"/>
    <col min="2316" max="2316" width="5.625" style="586" customWidth="1"/>
    <col min="2317" max="2317" width="4.875" style="586" customWidth="1"/>
    <col min="2318" max="2318" width="5.25" style="586" customWidth="1"/>
    <col min="2319" max="2319" width="16.25" style="586" customWidth="1"/>
    <col min="2320" max="2320" width="9.25" style="586" customWidth="1"/>
    <col min="2321" max="2321" width="9.5" style="586" bestFit="1" customWidth="1"/>
    <col min="2322" max="2322" width="9.875" style="586" customWidth="1"/>
    <col min="2323" max="2324" width="10" style="586" customWidth="1"/>
    <col min="2325" max="2325" width="6.625" style="586" customWidth="1"/>
    <col min="2326" max="2326" width="6.5" style="586" customWidth="1"/>
    <col min="2327" max="2327" width="9" style="586"/>
    <col min="2328" max="2328" width="8.5" style="586" customWidth="1"/>
    <col min="2329" max="2329" width="6.375" style="586" customWidth="1"/>
    <col min="2330" max="2330" width="5.75" style="586" customWidth="1"/>
    <col min="2331" max="2331" width="12.625" style="586" customWidth="1"/>
    <col min="2332" max="2332" width="8.375" style="586" customWidth="1"/>
    <col min="2333" max="2333" width="24.875" style="586" customWidth="1"/>
    <col min="2334" max="2334" width="9" style="586"/>
    <col min="2335" max="2335" width="37.5" style="586" customWidth="1"/>
    <col min="2336" max="2552" width="9" style="586"/>
    <col min="2553" max="2554" width="3.75" style="586" customWidth="1"/>
    <col min="2555" max="2555" width="3.5" style="586" customWidth="1"/>
    <col min="2556" max="2556" width="3.875" style="586" customWidth="1"/>
    <col min="2557" max="2558" width="7.625" style="586" customWidth="1"/>
    <col min="2559" max="2559" width="6.375" style="586" customWidth="1"/>
    <col min="2560" max="2560" width="6.25" style="586" customWidth="1"/>
    <col min="2561" max="2561" width="6.625" style="586" customWidth="1"/>
    <col min="2562" max="2562" width="4.875" style="586" customWidth="1"/>
    <col min="2563" max="2563" width="4.75" style="586" customWidth="1"/>
    <col min="2564" max="2564" width="6.75" style="586" customWidth="1"/>
    <col min="2565" max="2565" width="0" style="586" hidden="1" customWidth="1"/>
    <col min="2566" max="2566" width="4.375" style="586" customWidth="1"/>
    <col min="2567" max="2567" width="5.625" style="586" customWidth="1"/>
    <col min="2568" max="2568" width="5.375" style="586" customWidth="1"/>
    <col min="2569" max="2569" width="6.875" style="586" customWidth="1"/>
    <col min="2570" max="2570" width="5.125" style="586" customWidth="1"/>
    <col min="2571" max="2571" width="4.75" style="586" customWidth="1"/>
    <col min="2572" max="2572" width="5.625" style="586" customWidth="1"/>
    <col min="2573" max="2573" width="4.875" style="586" customWidth="1"/>
    <col min="2574" max="2574" width="5.25" style="586" customWidth="1"/>
    <col min="2575" max="2575" width="16.25" style="586" customWidth="1"/>
    <col min="2576" max="2576" width="9.25" style="586" customWidth="1"/>
    <col min="2577" max="2577" width="9.5" style="586" bestFit="1" customWidth="1"/>
    <col min="2578" max="2578" width="9.875" style="586" customWidth="1"/>
    <col min="2579" max="2580" width="10" style="586" customWidth="1"/>
    <col min="2581" max="2581" width="6.625" style="586" customWidth="1"/>
    <col min="2582" max="2582" width="6.5" style="586" customWidth="1"/>
    <col min="2583" max="2583" width="9" style="586"/>
    <col min="2584" max="2584" width="8.5" style="586" customWidth="1"/>
    <col min="2585" max="2585" width="6.375" style="586" customWidth="1"/>
    <col min="2586" max="2586" width="5.75" style="586" customWidth="1"/>
    <col min="2587" max="2587" width="12.625" style="586" customWidth="1"/>
    <col min="2588" max="2588" width="8.375" style="586" customWidth="1"/>
    <col min="2589" max="2589" width="24.875" style="586" customWidth="1"/>
    <col min="2590" max="2590" width="9" style="586"/>
    <col min="2591" max="2591" width="37.5" style="586" customWidth="1"/>
    <col min="2592" max="2808" width="9" style="586"/>
    <col min="2809" max="2810" width="3.75" style="586" customWidth="1"/>
    <col min="2811" max="2811" width="3.5" style="586" customWidth="1"/>
    <col min="2812" max="2812" width="3.875" style="586" customWidth="1"/>
    <col min="2813" max="2814" width="7.625" style="586" customWidth="1"/>
    <col min="2815" max="2815" width="6.375" style="586" customWidth="1"/>
    <col min="2816" max="2816" width="6.25" style="586" customWidth="1"/>
    <col min="2817" max="2817" width="6.625" style="586" customWidth="1"/>
    <col min="2818" max="2818" width="4.875" style="586" customWidth="1"/>
    <col min="2819" max="2819" width="4.75" style="586" customWidth="1"/>
    <col min="2820" max="2820" width="6.75" style="586" customWidth="1"/>
    <col min="2821" max="2821" width="0" style="586" hidden="1" customWidth="1"/>
    <col min="2822" max="2822" width="4.375" style="586" customWidth="1"/>
    <col min="2823" max="2823" width="5.625" style="586" customWidth="1"/>
    <col min="2824" max="2824" width="5.375" style="586" customWidth="1"/>
    <col min="2825" max="2825" width="6.875" style="586" customWidth="1"/>
    <col min="2826" max="2826" width="5.125" style="586" customWidth="1"/>
    <col min="2827" max="2827" width="4.75" style="586" customWidth="1"/>
    <col min="2828" max="2828" width="5.625" style="586" customWidth="1"/>
    <col min="2829" max="2829" width="4.875" style="586" customWidth="1"/>
    <col min="2830" max="2830" width="5.25" style="586" customWidth="1"/>
    <col min="2831" max="2831" width="16.25" style="586" customWidth="1"/>
    <col min="2832" max="2832" width="9.25" style="586" customWidth="1"/>
    <col min="2833" max="2833" width="9.5" style="586" bestFit="1" customWidth="1"/>
    <col min="2834" max="2834" width="9.875" style="586" customWidth="1"/>
    <col min="2835" max="2836" width="10" style="586" customWidth="1"/>
    <col min="2837" max="2837" width="6.625" style="586" customWidth="1"/>
    <col min="2838" max="2838" width="6.5" style="586" customWidth="1"/>
    <col min="2839" max="2839" width="9" style="586"/>
    <col min="2840" max="2840" width="8.5" style="586" customWidth="1"/>
    <col min="2841" max="2841" width="6.375" style="586" customWidth="1"/>
    <col min="2842" max="2842" width="5.75" style="586" customWidth="1"/>
    <col min="2843" max="2843" width="12.625" style="586" customWidth="1"/>
    <col min="2844" max="2844" width="8.375" style="586" customWidth="1"/>
    <col min="2845" max="2845" width="24.875" style="586" customWidth="1"/>
    <col min="2846" max="2846" width="9" style="586"/>
    <col min="2847" max="2847" width="37.5" style="586" customWidth="1"/>
    <col min="2848" max="3064" width="9" style="586"/>
    <col min="3065" max="3066" width="3.75" style="586" customWidth="1"/>
    <col min="3067" max="3067" width="3.5" style="586" customWidth="1"/>
    <col min="3068" max="3068" width="3.875" style="586" customWidth="1"/>
    <col min="3069" max="3070" width="7.625" style="586" customWidth="1"/>
    <col min="3071" max="3071" width="6.375" style="586" customWidth="1"/>
    <col min="3072" max="3072" width="6.25" style="586" customWidth="1"/>
    <col min="3073" max="3073" width="6.625" style="586" customWidth="1"/>
    <col min="3074" max="3074" width="4.875" style="586" customWidth="1"/>
    <col min="3075" max="3075" width="4.75" style="586" customWidth="1"/>
    <col min="3076" max="3076" width="6.75" style="586" customWidth="1"/>
    <col min="3077" max="3077" width="0" style="586" hidden="1" customWidth="1"/>
    <col min="3078" max="3078" width="4.375" style="586" customWidth="1"/>
    <col min="3079" max="3079" width="5.625" style="586" customWidth="1"/>
    <col min="3080" max="3080" width="5.375" style="586" customWidth="1"/>
    <col min="3081" max="3081" width="6.875" style="586" customWidth="1"/>
    <col min="3082" max="3082" width="5.125" style="586" customWidth="1"/>
    <col min="3083" max="3083" width="4.75" style="586" customWidth="1"/>
    <col min="3084" max="3084" width="5.625" style="586" customWidth="1"/>
    <col min="3085" max="3085" width="4.875" style="586" customWidth="1"/>
    <col min="3086" max="3086" width="5.25" style="586" customWidth="1"/>
    <col min="3087" max="3087" width="16.25" style="586" customWidth="1"/>
    <col min="3088" max="3088" width="9.25" style="586" customWidth="1"/>
    <col min="3089" max="3089" width="9.5" style="586" bestFit="1" customWidth="1"/>
    <col min="3090" max="3090" width="9.875" style="586" customWidth="1"/>
    <col min="3091" max="3092" width="10" style="586" customWidth="1"/>
    <col min="3093" max="3093" width="6.625" style="586" customWidth="1"/>
    <col min="3094" max="3094" width="6.5" style="586" customWidth="1"/>
    <col min="3095" max="3095" width="9" style="586"/>
    <col min="3096" max="3096" width="8.5" style="586" customWidth="1"/>
    <col min="3097" max="3097" width="6.375" style="586" customWidth="1"/>
    <col min="3098" max="3098" width="5.75" style="586" customWidth="1"/>
    <col min="3099" max="3099" width="12.625" style="586" customWidth="1"/>
    <col min="3100" max="3100" width="8.375" style="586" customWidth="1"/>
    <col min="3101" max="3101" width="24.875" style="586" customWidth="1"/>
    <col min="3102" max="3102" width="9" style="586"/>
    <col min="3103" max="3103" width="37.5" style="586" customWidth="1"/>
    <col min="3104" max="3320" width="9" style="586"/>
    <col min="3321" max="3322" width="3.75" style="586" customWidth="1"/>
    <col min="3323" max="3323" width="3.5" style="586" customWidth="1"/>
    <col min="3324" max="3324" width="3.875" style="586" customWidth="1"/>
    <col min="3325" max="3326" width="7.625" style="586" customWidth="1"/>
    <col min="3327" max="3327" width="6.375" style="586" customWidth="1"/>
    <col min="3328" max="3328" width="6.25" style="586" customWidth="1"/>
    <col min="3329" max="3329" width="6.625" style="586" customWidth="1"/>
    <col min="3330" max="3330" width="4.875" style="586" customWidth="1"/>
    <col min="3331" max="3331" width="4.75" style="586" customWidth="1"/>
    <col min="3332" max="3332" width="6.75" style="586" customWidth="1"/>
    <col min="3333" max="3333" width="0" style="586" hidden="1" customWidth="1"/>
    <col min="3334" max="3334" width="4.375" style="586" customWidth="1"/>
    <col min="3335" max="3335" width="5.625" style="586" customWidth="1"/>
    <col min="3336" max="3336" width="5.375" style="586" customWidth="1"/>
    <col min="3337" max="3337" width="6.875" style="586" customWidth="1"/>
    <col min="3338" max="3338" width="5.125" style="586" customWidth="1"/>
    <col min="3339" max="3339" width="4.75" style="586" customWidth="1"/>
    <col min="3340" max="3340" width="5.625" style="586" customWidth="1"/>
    <col min="3341" max="3341" width="4.875" style="586" customWidth="1"/>
    <col min="3342" max="3342" width="5.25" style="586" customWidth="1"/>
    <col min="3343" max="3343" width="16.25" style="586" customWidth="1"/>
    <col min="3344" max="3344" width="9.25" style="586" customWidth="1"/>
    <col min="3345" max="3345" width="9.5" style="586" bestFit="1" customWidth="1"/>
    <col min="3346" max="3346" width="9.875" style="586" customWidth="1"/>
    <col min="3347" max="3348" width="10" style="586" customWidth="1"/>
    <col min="3349" max="3349" width="6.625" style="586" customWidth="1"/>
    <col min="3350" max="3350" width="6.5" style="586" customWidth="1"/>
    <col min="3351" max="3351" width="9" style="586"/>
    <col min="3352" max="3352" width="8.5" style="586" customWidth="1"/>
    <col min="3353" max="3353" width="6.375" style="586" customWidth="1"/>
    <col min="3354" max="3354" width="5.75" style="586" customWidth="1"/>
    <col min="3355" max="3355" width="12.625" style="586" customWidth="1"/>
    <col min="3356" max="3356" width="8.375" style="586" customWidth="1"/>
    <col min="3357" max="3357" width="24.875" style="586" customWidth="1"/>
    <col min="3358" max="3358" width="9" style="586"/>
    <col min="3359" max="3359" width="37.5" style="586" customWidth="1"/>
    <col min="3360" max="3576" width="9" style="586"/>
    <col min="3577" max="3578" width="3.75" style="586" customWidth="1"/>
    <col min="3579" max="3579" width="3.5" style="586" customWidth="1"/>
    <col min="3580" max="3580" width="3.875" style="586" customWidth="1"/>
    <col min="3581" max="3582" width="7.625" style="586" customWidth="1"/>
    <col min="3583" max="3583" width="6.375" style="586" customWidth="1"/>
    <col min="3584" max="3584" width="6.25" style="586" customWidth="1"/>
    <col min="3585" max="3585" width="6.625" style="586" customWidth="1"/>
    <col min="3586" max="3586" width="4.875" style="586" customWidth="1"/>
    <col min="3587" max="3587" width="4.75" style="586" customWidth="1"/>
    <col min="3588" max="3588" width="6.75" style="586" customWidth="1"/>
    <col min="3589" max="3589" width="0" style="586" hidden="1" customWidth="1"/>
    <col min="3590" max="3590" width="4.375" style="586" customWidth="1"/>
    <col min="3591" max="3591" width="5.625" style="586" customWidth="1"/>
    <col min="3592" max="3592" width="5.375" style="586" customWidth="1"/>
    <col min="3593" max="3593" width="6.875" style="586" customWidth="1"/>
    <col min="3594" max="3594" width="5.125" style="586" customWidth="1"/>
    <col min="3595" max="3595" width="4.75" style="586" customWidth="1"/>
    <col min="3596" max="3596" width="5.625" style="586" customWidth="1"/>
    <col min="3597" max="3597" width="4.875" style="586" customWidth="1"/>
    <col min="3598" max="3598" width="5.25" style="586" customWidth="1"/>
    <col min="3599" max="3599" width="16.25" style="586" customWidth="1"/>
    <col min="3600" max="3600" width="9.25" style="586" customWidth="1"/>
    <col min="3601" max="3601" width="9.5" style="586" bestFit="1" customWidth="1"/>
    <col min="3602" max="3602" width="9.875" style="586" customWidth="1"/>
    <col min="3603" max="3604" width="10" style="586" customWidth="1"/>
    <col min="3605" max="3605" width="6.625" style="586" customWidth="1"/>
    <col min="3606" max="3606" width="6.5" style="586" customWidth="1"/>
    <col min="3607" max="3607" width="9" style="586"/>
    <col min="3608" max="3608" width="8.5" style="586" customWidth="1"/>
    <col min="3609" max="3609" width="6.375" style="586" customWidth="1"/>
    <col min="3610" max="3610" width="5.75" style="586" customWidth="1"/>
    <col min="3611" max="3611" width="12.625" style="586" customWidth="1"/>
    <col min="3612" max="3612" width="8.375" style="586" customWidth="1"/>
    <col min="3613" max="3613" width="24.875" style="586" customWidth="1"/>
    <col min="3614" max="3614" width="9" style="586"/>
    <col min="3615" max="3615" width="37.5" style="586" customWidth="1"/>
    <col min="3616" max="3832" width="9" style="586"/>
    <col min="3833" max="3834" width="3.75" style="586" customWidth="1"/>
    <col min="3835" max="3835" width="3.5" style="586" customWidth="1"/>
    <col min="3836" max="3836" width="3.875" style="586" customWidth="1"/>
    <col min="3837" max="3838" width="7.625" style="586" customWidth="1"/>
    <col min="3839" max="3839" width="6.375" style="586" customWidth="1"/>
    <col min="3840" max="3840" width="6.25" style="586" customWidth="1"/>
    <col min="3841" max="3841" width="6.625" style="586" customWidth="1"/>
    <col min="3842" max="3842" width="4.875" style="586" customWidth="1"/>
    <col min="3843" max="3843" width="4.75" style="586" customWidth="1"/>
    <col min="3844" max="3844" width="6.75" style="586" customWidth="1"/>
    <col min="3845" max="3845" width="0" style="586" hidden="1" customWidth="1"/>
    <col min="3846" max="3846" width="4.375" style="586" customWidth="1"/>
    <col min="3847" max="3847" width="5.625" style="586" customWidth="1"/>
    <col min="3848" max="3848" width="5.375" style="586" customWidth="1"/>
    <col min="3849" max="3849" width="6.875" style="586" customWidth="1"/>
    <col min="3850" max="3850" width="5.125" style="586" customWidth="1"/>
    <col min="3851" max="3851" width="4.75" style="586" customWidth="1"/>
    <col min="3852" max="3852" width="5.625" style="586" customWidth="1"/>
    <col min="3853" max="3853" width="4.875" style="586" customWidth="1"/>
    <col min="3854" max="3854" width="5.25" style="586" customWidth="1"/>
    <col min="3855" max="3855" width="16.25" style="586" customWidth="1"/>
    <col min="3856" max="3856" width="9.25" style="586" customWidth="1"/>
    <col min="3857" max="3857" width="9.5" style="586" bestFit="1" customWidth="1"/>
    <col min="3858" max="3858" width="9.875" style="586" customWidth="1"/>
    <col min="3859" max="3860" width="10" style="586" customWidth="1"/>
    <col min="3861" max="3861" width="6.625" style="586" customWidth="1"/>
    <col min="3862" max="3862" width="6.5" style="586" customWidth="1"/>
    <col min="3863" max="3863" width="9" style="586"/>
    <col min="3864" max="3864" width="8.5" style="586" customWidth="1"/>
    <col min="3865" max="3865" width="6.375" style="586" customWidth="1"/>
    <col min="3866" max="3866" width="5.75" style="586" customWidth="1"/>
    <col min="3867" max="3867" width="12.625" style="586" customWidth="1"/>
    <col min="3868" max="3868" width="8.375" style="586" customWidth="1"/>
    <col min="3869" max="3869" width="24.875" style="586" customWidth="1"/>
    <col min="3870" max="3870" width="9" style="586"/>
    <col min="3871" max="3871" width="37.5" style="586" customWidth="1"/>
    <col min="3872" max="4088" width="9" style="586"/>
    <col min="4089" max="4090" width="3.75" style="586" customWidth="1"/>
    <col min="4091" max="4091" width="3.5" style="586" customWidth="1"/>
    <col min="4092" max="4092" width="3.875" style="586" customWidth="1"/>
    <col min="4093" max="4094" width="7.625" style="586" customWidth="1"/>
    <col min="4095" max="4095" width="6.375" style="586" customWidth="1"/>
    <col min="4096" max="4096" width="6.25" style="586" customWidth="1"/>
    <col min="4097" max="4097" width="6.625" style="586" customWidth="1"/>
    <col min="4098" max="4098" width="4.875" style="586" customWidth="1"/>
    <col min="4099" max="4099" width="4.75" style="586" customWidth="1"/>
    <col min="4100" max="4100" width="6.75" style="586" customWidth="1"/>
    <col min="4101" max="4101" width="0" style="586" hidden="1" customWidth="1"/>
    <col min="4102" max="4102" width="4.375" style="586" customWidth="1"/>
    <col min="4103" max="4103" width="5.625" style="586" customWidth="1"/>
    <col min="4104" max="4104" width="5.375" style="586" customWidth="1"/>
    <col min="4105" max="4105" width="6.875" style="586" customWidth="1"/>
    <col min="4106" max="4106" width="5.125" style="586" customWidth="1"/>
    <col min="4107" max="4107" width="4.75" style="586" customWidth="1"/>
    <col min="4108" max="4108" width="5.625" style="586" customWidth="1"/>
    <col min="4109" max="4109" width="4.875" style="586" customWidth="1"/>
    <col min="4110" max="4110" width="5.25" style="586" customWidth="1"/>
    <col min="4111" max="4111" width="16.25" style="586" customWidth="1"/>
    <col min="4112" max="4112" width="9.25" style="586" customWidth="1"/>
    <col min="4113" max="4113" width="9.5" style="586" bestFit="1" customWidth="1"/>
    <col min="4114" max="4114" width="9.875" style="586" customWidth="1"/>
    <col min="4115" max="4116" width="10" style="586" customWidth="1"/>
    <col min="4117" max="4117" width="6.625" style="586" customWidth="1"/>
    <col min="4118" max="4118" width="6.5" style="586" customWidth="1"/>
    <col min="4119" max="4119" width="9" style="586"/>
    <col min="4120" max="4120" width="8.5" style="586" customWidth="1"/>
    <col min="4121" max="4121" width="6.375" style="586" customWidth="1"/>
    <col min="4122" max="4122" width="5.75" style="586" customWidth="1"/>
    <col min="4123" max="4123" width="12.625" style="586" customWidth="1"/>
    <col min="4124" max="4124" width="8.375" style="586" customWidth="1"/>
    <col min="4125" max="4125" width="24.875" style="586" customWidth="1"/>
    <col min="4126" max="4126" width="9" style="586"/>
    <col min="4127" max="4127" width="37.5" style="586" customWidth="1"/>
    <col min="4128" max="4344" width="9" style="586"/>
    <col min="4345" max="4346" width="3.75" style="586" customWidth="1"/>
    <col min="4347" max="4347" width="3.5" style="586" customWidth="1"/>
    <col min="4348" max="4348" width="3.875" style="586" customWidth="1"/>
    <col min="4349" max="4350" width="7.625" style="586" customWidth="1"/>
    <col min="4351" max="4351" width="6.375" style="586" customWidth="1"/>
    <col min="4352" max="4352" width="6.25" style="586" customWidth="1"/>
    <col min="4353" max="4353" width="6.625" style="586" customWidth="1"/>
    <col min="4354" max="4354" width="4.875" style="586" customWidth="1"/>
    <col min="4355" max="4355" width="4.75" style="586" customWidth="1"/>
    <col min="4356" max="4356" width="6.75" style="586" customWidth="1"/>
    <col min="4357" max="4357" width="0" style="586" hidden="1" customWidth="1"/>
    <col min="4358" max="4358" width="4.375" style="586" customWidth="1"/>
    <col min="4359" max="4359" width="5.625" style="586" customWidth="1"/>
    <col min="4360" max="4360" width="5.375" style="586" customWidth="1"/>
    <col min="4361" max="4361" width="6.875" style="586" customWidth="1"/>
    <col min="4362" max="4362" width="5.125" style="586" customWidth="1"/>
    <col min="4363" max="4363" width="4.75" style="586" customWidth="1"/>
    <col min="4364" max="4364" width="5.625" style="586" customWidth="1"/>
    <col min="4365" max="4365" width="4.875" style="586" customWidth="1"/>
    <col min="4366" max="4366" width="5.25" style="586" customWidth="1"/>
    <col min="4367" max="4367" width="16.25" style="586" customWidth="1"/>
    <col min="4368" max="4368" width="9.25" style="586" customWidth="1"/>
    <col min="4369" max="4369" width="9.5" style="586" bestFit="1" customWidth="1"/>
    <col min="4370" max="4370" width="9.875" style="586" customWidth="1"/>
    <col min="4371" max="4372" width="10" style="586" customWidth="1"/>
    <col min="4373" max="4373" width="6.625" style="586" customWidth="1"/>
    <col min="4374" max="4374" width="6.5" style="586" customWidth="1"/>
    <col min="4375" max="4375" width="9" style="586"/>
    <col min="4376" max="4376" width="8.5" style="586" customWidth="1"/>
    <col min="4377" max="4377" width="6.375" style="586" customWidth="1"/>
    <col min="4378" max="4378" width="5.75" style="586" customWidth="1"/>
    <col min="4379" max="4379" width="12.625" style="586" customWidth="1"/>
    <col min="4380" max="4380" width="8.375" style="586" customWidth="1"/>
    <col min="4381" max="4381" width="24.875" style="586" customWidth="1"/>
    <col min="4382" max="4382" width="9" style="586"/>
    <col min="4383" max="4383" width="37.5" style="586" customWidth="1"/>
    <col min="4384" max="4600" width="9" style="586"/>
    <col min="4601" max="4602" width="3.75" style="586" customWidth="1"/>
    <col min="4603" max="4603" width="3.5" style="586" customWidth="1"/>
    <col min="4604" max="4604" width="3.875" style="586" customWidth="1"/>
    <col min="4605" max="4606" width="7.625" style="586" customWidth="1"/>
    <col min="4607" max="4607" width="6.375" style="586" customWidth="1"/>
    <col min="4608" max="4608" width="6.25" style="586" customWidth="1"/>
    <col min="4609" max="4609" width="6.625" style="586" customWidth="1"/>
    <col min="4610" max="4610" width="4.875" style="586" customWidth="1"/>
    <col min="4611" max="4611" width="4.75" style="586" customWidth="1"/>
    <col min="4612" max="4612" width="6.75" style="586" customWidth="1"/>
    <col min="4613" max="4613" width="0" style="586" hidden="1" customWidth="1"/>
    <col min="4614" max="4614" width="4.375" style="586" customWidth="1"/>
    <col min="4615" max="4615" width="5.625" style="586" customWidth="1"/>
    <col min="4616" max="4616" width="5.375" style="586" customWidth="1"/>
    <col min="4617" max="4617" width="6.875" style="586" customWidth="1"/>
    <col min="4618" max="4618" width="5.125" style="586" customWidth="1"/>
    <col min="4619" max="4619" width="4.75" style="586" customWidth="1"/>
    <col min="4620" max="4620" width="5.625" style="586" customWidth="1"/>
    <col min="4621" max="4621" width="4.875" style="586" customWidth="1"/>
    <col min="4622" max="4622" width="5.25" style="586" customWidth="1"/>
    <col min="4623" max="4623" width="16.25" style="586" customWidth="1"/>
    <col min="4624" max="4624" width="9.25" style="586" customWidth="1"/>
    <col min="4625" max="4625" width="9.5" style="586" bestFit="1" customWidth="1"/>
    <col min="4626" max="4626" width="9.875" style="586" customWidth="1"/>
    <col min="4627" max="4628" width="10" style="586" customWidth="1"/>
    <col min="4629" max="4629" width="6.625" style="586" customWidth="1"/>
    <col min="4630" max="4630" width="6.5" style="586" customWidth="1"/>
    <col min="4631" max="4631" width="9" style="586"/>
    <col min="4632" max="4632" width="8.5" style="586" customWidth="1"/>
    <col min="4633" max="4633" width="6.375" style="586" customWidth="1"/>
    <col min="4634" max="4634" width="5.75" style="586" customWidth="1"/>
    <col min="4635" max="4635" width="12.625" style="586" customWidth="1"/>
    <col min="4636" max="4636" width="8.375" style="586" customWidth="1"/>
    <col min="4637" max="4637" width="24.875" style="586" customWidth="1"/>
    <col min="4638" max="4638" width="9" style="586"/>
    <col min="4639" max="4639" width="37.5" style="586" customWidth="1"/>
    <col min="4640" max="4856" width="9" style="586"/>
    <col min="4857" max="4858" width="3.75" style="586" customWidth="1"/>
    <col min="4859" max="4859" width="3.5" style="586" customWidth="1"/>
    <col min="4860" max="4860" width="3.875" style="586" customWidth="1"/>
    <col min="4861" max="4862" width="7.625" style="586" customWidth="1"/>
    <col min="4863" max="4863" width="6.375" style="586" customWidth="1"/>
    <col min="4864" max="4864" width="6.25" style="586" customWidth="1"/>
    <col min="4865" max="4865" width="6.625" style="586" customWidth="1"/>
    <col min="4866" max="4866" width="4.875" style="586" customWidth="1"/>
    <col min="4867" max="4867" width="4.75" style="586" customWidth="1"/>
    <col min="4868" max="4868" width="6.75" style="586" customWidth="1"/>
    <col min="4869" max="4869" width="0" style="586" hidden="1" customWidth="1"/>
    <col min="4870" max="4870" width="4.375" style="586" customWidth="1"/>
    <col min="4871" max="4871" width="5.625" style="586" customWidth="1"/>
    <col min="4872" max="4872" width="5.375" style="586" customWidth="1"/>
    <col min="4873" max="4873" width="6.875" style="586" customWidth="1"/>
    <col min="4874" max="4874" width="5.125" style="586" customWidth="1"/>
    <col min="4875" max="4875" width="4.75" style="586" customWidth="1"/>
    <col min="4876" max="4876" width="5.625" style="586" customWidth="1"/>
    <col min="4877" max="4877" width="4.875" style="586" customWidth="1"/>
    <col min="4878" max="4878" width="5.25" style="586" customWidth="1"/>
    <col min="4879" max="4879" width="16.25" style="586" customWidth="1"/>
    <col min="4880" max="4880" width="9.25" style="586" customWidth="1"/>
    <col min="4881" max="4881" width="9.5" style="586" bestFit="1" customWidth="1"/>
    <col min="4882" max="4882" width="9.875" style="586" customWidth="1"/>
    <col min="4883" max="4884" width="10" style="586" customWidth="1"/>
    <col min="4885" max="4885" width="6.625" style="586" customWidth="1"/>
    <col min="4886" max="4886" width="6.5" style="586" customWidth="1"/>
    <col min="4887" max="4887" width="9" style="586"/>
    <col min="4888" max="4888" width="8.5" style="586" customWidth="1"/>
    <col min="4889" max="4889" width="6.375" style="586" customWidth="1"/>
    <col min="4890" max="4890" width="5.75" style="586" customWidth="1"/>
    <col min="4891" max="4891" width="12.625" style="586" customWidth="1"/>
    <col min="4892" max="4892" width="8.375" style="586" customWidth="1"/>
    <col min="4893" max="4893" width="24.875" style="586" customWidth="1"/>
    <col min="4894" max="4894" width="9" style="586"/>
    <col min="4895" max="4895" width="37.5" style="586" customWidth="1"/>
    <col min="4896" max="5112" width="9" style="586"/>
    <col min="5113" max="5114" width="3.75" style="586" customWidth="1"/>
    <col min="5115" max="5115" width="3.5" style="586" customWidth="1"/>
    <col min="5116" max="5116" width="3.875" style="586" customWidth="1"/>
    <col min="5117" max="5118" width="7.625" style="586" customWidth="1"/>
    <col min="5119" max="5119" width="6.375" style="586" customWidth="1"/>
    <col min="5120" max="5120" width="6.25" style="586" customWidth="1"/>
    <col min="5121" max="5121" width="6.625" style="586" customWidth="1"/>
    <col min="5122" max="5122" width="4.875" style="586" customWidth="1"/>
    <col min="5123" max="5123" width="4.75" style="586" customWidth="1"/>
    <col min="5124" max="5124" width="6.75" style="586" customWidth="1"/>
    <col min="5125" max="5125" width="0" style="586" hidden="1" customWidth="1"/>
    <col min="5126" max="5126" width="4.375" style="586" customWidth="1"/>
    <col min="5127" max="5127" width="5.625" style="586" customWidth="1"/>
    <col min="5128" max="5128" width="5.375" style="586" customWidth="1"/>
    <col min="5129" max="5129" width="6.875" style="586" customWidth="1"/>
    <col min="5130" max="5130" width="5.125" style="586" customWidth="1"/>
    <col min="5131" max="5131" width="4.75" style="586" customWidth="1"/>
    <col min="5132" max="5132" width="5.625" style="586" customWidth="1"/>
    <col min="5133" max="5133" width="4.875" style="586" customWidth="1"/>
    <col min="5134" max="5134" width="5.25" style="586" customWidth="1"/>
    <col min="5135" max="5135" width="16.25" style="586" customWidth="1"/>
    <col min="5136" max="5136" width="9.25" style="586" customWidth="1"/>
    <col min="5137" max="5137" width="9.5" style="586" bestFit="1" customWidth="1"/>
    <col min="5138" max="5138" width="9.875" style="586" customWidth="1"/>
    <col min="5139" max="5140" width="10" style="586" customWidth="1"/>
    <col min="5141" max="5141" width="6.625" style="586" customWidth="1"/>
    <col min="5142" max="5142" width="6.5" style="586" customWidth="1"/>
    <col min="5143" max="5143" width="9" style="586"/>
    <col min="5144" max="5144" width="8.5" style="586" customWidth="1"/>
    <col min="5145" max="5145" width="6.375" style="586" customWidth="1"/>
    <col min="5146" max="5146" width="5.75" style="586" customWidth="1"/>
    <col min="5147" max="5147" width="12.625" style="586" customWidth="1"/>
    <col min="5148" max="5148" width="8.375" style="586" customWidth="1"/>
    <col min="5149" max="5149" width="24.875" style="586" customWidth="1"/>
    <col min="5150" max="5150" width="9" style="586"/>
    <col min="5151" max="5151" width="37.5" style="586" customWidth="1"/>
    <col min="5152" max="5368" width="9" style="586"/>
    <col min="5369" max="5370" width="3.75" style="586" customWidth="1"/>
    <col min="5371" max="5371" width="3.5" style="586" customWidth="1"/>
    <col min="5372" max="5372" width="3.875" style="586" customWidth="1"/>
    <col min="5373" max="5374" width="7.625" style="586" customWidth="1"/>
    <col min="5375" max="5375" width="6.375" style="586" customWidth="1"/>
    <col min="5376" max="5376" width="6.25" style="586" customWidth="1"/>
    <col min="5377" max="5377" width="6.625" style="586" customWidth="1"/>
    <col min="5378" max="5378" width="4.875" style="586" customWidth="1"/>
    <col min="5379" max="5379" width="4.75" style="586" customWidth="1"/>
    <col min="5380" max="5380" width="6.75" style="586" customWidth="1"/>
    <col min="5381" max="5381" width="0" style="586" hidden="1" customWidth="1"/>
    <col min="5382" max="5382" width="4.375" style="586" customWidth="1"/>
    <col min="5383" max="5383" width="5.625" style="586" customWidth="1"/>
    <col min="5384" max="5384" width="5.375" style="586" customWidth="1"/>
    <col min="5385" max="5385" width="6.875" style="586" customWidth="1"/>
    <col min="5386" max="5386" width="5.125" style="586" customWidth="1"/>
    <col min="5387" max="5387" width="4.75" style="586" customWidth="1"/>
    <col min="5388" max="5388" width="5.625" style="586" customWidth="1"/>
    <col min="5389" max="5389" width="4.875" style="586" customWidth="1"/>
    <col min="5390" max="5390" width="5.25" style="586" customWidth="1"/>
    <col min="5391" max="5391" width="16.25" style="586" customWidth="1"/>
    <col min="5392" max="5392" width="9.25" style="586" customWidth="1"/>
    <col min="5393" max="5393" width="9.5" style="586" bestFit="1" customWidth="1"/>
    <col min="5394" max="5394" width="9.875" style="586" customWidth="1"/>
    <col min="5395" max="5396" width="10" style="586" customWidth="1"/>
    <col min="5397" max="5397" width="6.625" style="586" customWidth="1"/>
    <col min="5398" max="5398" width="6.5" style="586" customWidth="1"/>
    <col min="5399" max="5399" width="9" style="586"/>
    <col min="5400" max="5400" width="8.5" style="586" customWidth="1"/>
    <col min="5401" max="5401" width="6.375" style="586" customWidth="1"/>
    <col min="5402" max="5402" width="5.75" style="586" customWidth="1"/>
    <col min="5403" max="5403" width="12.625" style="586" customWidth="1"/>
    <col min="5404" max="5404" width="8.375" style="586" customWidth="1"/>
    <col min="5405" max="5405" width="24.875" style="586" customWidth="1"/>
    <col min="5406" max="5406" width="9" style="586"/>
    <col min="5407" max="5407" width="37.5" style="586" customWidth="1"/>
    <col min="5408" max="5624" width="9" style="586"/>
    <col min="5625" max="5626" width="3.75" style="586" customWidth="1"/>
    <col min="5627" max="5627" width="3.5" style="586" customWidth="1"/>
    <col min="5628" max="5628" width="3.875" style="586" customWidth="1"/>
    <col min="5629" max="5630" width="7.625" style="586" customWidth="1"/>
    <col min="5631" max="5631" width="6.375" style="586" customWidth="1"/>
    <col min="5632" max="5632" width="6.25" style="586" customWidth="1"/>
    <col min="5633" max="5633" width="6.625" style="586" customWidth="1"/>
    <col min="5634" max="5634" width="4.875" style="586" customWidth="1"/>
    <col min="5635" max="5635" width="4.75" style="586" customWidth="1"/>
    <col min="5636" max="5636" width="6.75" style="586" customWidth="1"/>
    <col min="5637" max="5637" width="0" style="586" hidden="1" customWidth="1"/>
    <col min="5638" max="5638" width="4.375" style="586" customWidth="1"/>
    <col min="5639" max="5639" width="5.625" style="586" customWidth="1"/>
    <col min="5640" max="5640" width="5.375" style="586" customWidth="1"/>
    <col min="5641" max="5641" width="6.875" style="586" customWidth="1"/>
    <col min="5642" max="5642" width="5.125" style="586" customWidth="1"/>
    <col min="5643" max="5643" width="4.75" style="586" customWidth="1"/>
    <col min="5644" max="5644" width="5.625" style="586" customWidth="1"/>
    <col min="5645" max="5645" width="4.875" style="586" customWidth="1"/>
    <col min="5646" max="5646" width="5.25" style="586" customWidth="1"/>
    <col min="5647" max="5647" width="16.25" style="586" customWidth="1"/>
    <col min="5648" max="5648" width="9.25" style="586" customWidth="1"/>
    <col min="5649" max="5649" width="9.5" style="586" bestFit="1" customWidth="1"/>
    <col min="5650" max="5650" width="9.875" style="586" customWidth="1"/>
    <col min="5651" max="5652" width="10" style="586" customWidth="1"/>
    <col min="5653" max="5653" width="6.625" style="586" customWidth="1"/>
    <col min="5654" max="5654" width="6.5" style="586" customWidth="1"/>
    <col min="5655" max="5655" width="9" style="586"/>
    <col min="5656" max="5656" width="8.5" style="586" customWidth="1"/>
    <col min="5657" max="5657" width="6.375" style="586" customWidth="1"/>
    <col min="5658" max="5658" width="5.75" style="586" customWidth="1"/>
    <col min="5659" max="5659" width="12.625" style="586" customWidth="1"/>
    <col min="5660" max="5660" width="8.375" style="586" customWidth="1"/>
    <col min="5661" max="5661" width="24.875" style="586" customWidth="1"/>
    <col min="5662" max="5662" width="9" style="586"/>
    <col min="5663" max="5663" width="37.5" style="586" customWidth="1"/>
    <col min="5664" max="5880" width="9" style="586"/>
    <col min="5881" max="5882" width="3.75" style="586" customWidth="1"/>
    <col min="5883" max="5883" width="3.5" style="586" customWidth="1"/>
    <col min="5884" max="5884" width="3.875" style="586" customWidth="1"/>
    <col min="5885" max="5886" width="7.625" style="586" customWidth="1"/>
    <col min="5887" max="5887" width="6.375" style="586" customWidth="1"/>
    <col min="5888" max="5888" width="6.25" style="586" customWidth="1"/>
    <col min="5889" max="5889" width="6.625" style="586" customWidth="1"/>
    <col min="5890" max="5890" width="4.875" style="586" customWidth="1"/>
    <col min="5891" max="5891" width="4.75" style="586" customWidth="1"/>
    <col min="5892" max="5892" width="6.75" style="586" customWidth="1"/>
    <col min="5893" max="5893" width="0" style="586" hidden="1" customWidth="1"/>
    <col min="5894" max="5894" width="4.375" style="586" customWidth="1"/>
    <col min="5895" max="5895" width="5.625" style="586" customWidth="1"/>
    <col min="5896" max="5896" width="5.375" style="586" customWidth="1"/>
    <col min="5897" max="5897" width="6.875" style="586" customWidth="1"/>
    <col min="5898" max="5898" width="5.125" style="586" customWidth="1"/>
    <col min="5899" max="5899" width="4.75" style="586" customWidth="1"/>
    <col min="5900" max="5900" width="5.625" style="586" customWidth="1"/>
    <col min="5901" max="5901" width="4.875" style="586" customWidth="1"/>
    <col min="5902" max="5902" width="5.25" style="586" customWidth="1"/>
    <col min="5903" max="5903" width="16.25" style="586" customWidth="1"/>
    <col min="5904" max="5904" width="9.25" style="586" customWidth="1"/>
    <col min="5905" max="5905" width="9.5" style="586" bestFit="1" customWidth="1"/>
    <col min="5906" max="5906" width="9.875" style="586" customWidth="1"/>
    <col min="5907" max="5908" width="10" style="586" customWidth="1"/>
    <col min="5909" max="5909" width="6.625" style="586" customWidth="1"/>
    <col min="5910" max="5910" width="6.5" style="586" customWidth="1"/>
    <col min="5911" max="5911" width="9" style="586"/>
    <col min="5912" max="5912" width="8.5" style="586" customWidth="1"/>
    <col min="5913" max="5913" width="6.375" style="586" customWidth="1"/>
    <col min="5914" max="5914" width="5.75" style="586" customWidth="1"/>
    <col min="5915" max="5915" width="12.625" style="586" customWidth="1"/>
    <col min="5916" max="5916" width="8.375" style="586" customWidth="1"/>
    <col min="5917" max="5917" width="24.875" style="586" customWidth="1"/>
    <col min="5918" max="5918" width="9" style="586"/>
    <col min="5919" max="5919" width="37.5" style="586" customWidth="1"/>
    <col min="5920" max="6136" width="9" style="586"/>
    <col min="6137" max="6138" width="3.75" style="586" customWidth="1"/>
    <col min="6139" max="6139" width="3.5" style="586" customWidth="1"/>
    <col min="6140" max="6140" width="3.875" style="586" customWidth="1"/>
    <col min="6141" max="6142" width="7.625" style="586" customWidth="1"/>
    <col min="6143" max="6143" width="6.375" style="586" customWidth="1"/>
    <col min="6144" max="6144" width="6.25" style="586" customWidth="1"/>
    <col min="6145" max="6145" width="6.625" style="586" customWidth="1"/>
    <col min="6146" max="6146" width="4.875" style="586" customWidth="1"/>
    <col min="6147" max="6147" width="4.75" style="586" customWidth="1"/>
    <col min="6148" max="6148" width="6.75" style="586" customWidth="1"/>
    <col min="6149" max="6149" width="0" style="586" hidden="1" customWidth="1"/>
    <col min="6150" max="6150" width="4.375" style="586" customWidth="1"/>
    <col min="6151" max="6151" width="5.625" style="586" customWidth="1"/>
    <col min="6152" max="6152" width="5.375" style="586" customWidth="1"/>
    <col min="6153" max="6153" width="6.875" style="586" customWidth="1"/>
    <col min="6154" max="6154" width="5.125" style="586" customWidth="1"/>
    <col min="6155" max="6155" width="4.75" style="586" customWidth="1"/>
    <col min="6156" max="6156" width="5.625" style="586" customWidth="1"/>
    <col min="6157" max="6157" width="4.875" style="586" customWidth="1"/>
    <col min="6158" max="6158" width="5.25" style="586" customWidth="1"/>
    <col min="6159" max="6159" width="16.25" style="586" customWidth="1"/>
    <col min="6160" max="6160" width="9.25" style="586" customWidth="1"/>
    <col min="6161" max="6161" width="9.5" style="586" bestFit="1" customWidth="1"/>
    <col min="6162" max="6162" width="9.875" style="586" customWidth="1"/>
    <col min="6163" max="6164" width="10" style="586" customWidth="1"/>
    <col min="6165" max="6165" width="6.625" style="586" customWidth="1"/>
    <col min="6166" max="6166" width="6.5" style="586" customWidth="1"/>
    <col min="6167" max="6167" width="9" style="586"/>
    <col min="6168" max="6168" width="8.5" style="586" customWidth="1"/>
    <col min="6169" max="6169" width="6.375" style="586" customWidth="1"/>
    <col min="6170" max="6170" width="5.75" style="586" customWidth="1"/>
    <col min="6171" max="6171" width="12.625" style="586" customWidth="1"/>
    <col min="6172" max="6172" width="8.375" style="586" customWidth="1"/>
    <col min="6173" max="6173" width="24.875" style="586" customWidth="1"/>
    <col min="6174" max="6174" width="9" style="586"/>
    <col min="6175" max="6175" width="37.5" style="586" customWidth="1"/>
    <col min="6176" max="6392" width="9" style="586"/>
    <col min="6393" max="6394" width="3.75" style="586" customWidth="1"/>
    <col min="6395" max="6395" width="3.5" style="586" customWidth="1"/>
    <col min="6396" max="6396" width="3.875" style="586" customWidth="1"/>
    <col min="6397" max="6398" width="7.625" style="586" customWidth="1"/>
    <col min="6399" max="6399" width="6.375" style="586" customWidth="1"/>
    <col min="6400" max="6400" width="6.25" style="586" customWidth="1"/>
    <col min="6401" max="6401" width="6.625" style="586" customWidth="1"/>
    <col min="6402" max="6402" width="4.875" style="586" customWidth="1"/>
    <col min="6403" max="6403" width="4.75" style="586" customWidth="1"/>
    <col min="6404" max="6404" width="6.75" style="586" customWidth="1"/>
    <col min="6405" max="6405" width="0" style="586" hidden="1" customWidth="1"/>
    <col min="6406" max="6406" width="4.375" style="586" customWidth="1"/>
    <col min="6407" max="6407" width="5.625" style="586" customWidth="1"/>
    <col min="6408" max="6408" width="5.375" style="586" customWidth="1"/>
    <col min="6409" max="6409" width="6.875" style="586" customWidth="1"/>
    <col min="6410" max="6410" width="5.125" style="586" customWidth="1"/>
    <col min="6411" max="6411" width="4.75" style="586" customWidth="1"/>
    <col min="6412" max="6412" width="5.625" style="586" customWidth="1"/>
    <col min="6413" max="6413" width="4.875" style="586" customWidth="1"/>
    <col min="6414" max="6414" width="5.25" style="586" customWidth="1"/>
    <col min="6415" max="6415" width="16.25" style="586" customWidth="1"/>
    <col min="6416" max="6416" width="9.25" style="586" customWidth="1"/>
    <col min="6417" max="6417" width="9.5" style="586" bestFit="1" customWidth="1"/>
    <col min="6418" max="6418" width="9.875" style="586" customWidth="1"/>
    <col min="6419" max="6420" width="10" style="586" customWidth="1"/>
    <col min="6421" max="6421" width="6.625" style="586" customWidth="1"/>
    <col min="6422" max="6422" width="6.5" style="586" customWidth="1"/>
    <col min="6423" max="6423" width="9" style="586"/>
    <col min="6424" max="6424" width="8.5" style="586" customWidth="1"/>
    <col min="6425" max="6425" width="6.375" style="586" customWidth="1"/>
    <col min="6426" max="6426" width="5.75" style="586" customWidth="1"/>
    <col min="6427" max="6427" width="12.625" style="586" customWidth="1"/>
    <col min="6428" max="6428" width="8.375" style="586" customWidth="1"/>
    <col min="6429" max="6429" width="24.875" style="586" customWidth="1"/>
    <col min="6430" max="6430" width="9" style="586"/>
    <col min="6431" max="6431" width="37.5" style="586" customWidth="1"/>
    <col min="6432" max="6648" width="9" style="586"/>
    <col min="6649" max="6650" width="3.75" style="586" customWidth="1"/>
    <col min="6651" max="6651" width="3.5" style="586" customWidth="1"/>
    <col min="6652" max="6652" width="3.875" style="586" customWidth="1"/>
    <col min="6653" max="6654" width="7.625" style="586" customWidth="1"/>
    <col min="6655" max="6655" width="6.375" style="586" customWidth="1"/>
    <col min="6656" max="6656" width="6.25" style="586" customWidth="1"/>
    <col min="6657" max="6657" width="6.625" style="586" customWidth="1"/>
    <col min="6658" max="6658" width="4.875" style="586" customWidth="1"/>
    <col min="6659" max="6659" width="4.75" style="586" customWidth="1"/>
    <col min="6660" max="6660" width="6.75" style="586" customWidth="1"/>
    <col min="6661" max="6661" width="0" style="586" hidden="1" customWidth="1"/>
    <col min="6662" max="6662" width="4.375" style="586" customWidth="1"/>
    <col min="6663" max="6663" width="5.625" style="586" customWidth="1"/>
    <col min="6664" max="6664" width="5.375" style="586" customWidth="1"/>
    <col min="6665" max="6665" width="6.875" style="586" customWidth="1"/>
    <col min="6666" max="6666" width="5.125" style="586" customWidth="1"/>
    <col min="6667" max="6667" width="4.75" style="586" customWidth="1"/>
    <col min="6668" max="6668" width="5.625" style="586" customWidth="1"/>
    <col min="6669" max="6669" width="4.875" style="586" customWidth="1"/>
    <col min="6670" max="6670" width="5.25" style="586" customWidth="1"/>
    <col min="6671" max="6671" width="16.25" style="586" customWidth="1"/>
    <col min="6672" max="6672" width="9.25" style="586" customWidth="1"/>
    <col min="6673" max="6673" width="9.5" style="586" bestFit="1" customWidth="1"/>
    <col min="6674" max="6674" width="9.875" style="586" customWidth="1"/>
    <col min="6675" max="6676" width="10" style="586" customWidth="1"/>
    <col min="6677" max="6677" width="6.625" style="586" customWidth="1"/>
    <col min="6678" max="6678" width="6.5" style="586" customWidth="1"/>
    <col min="6679" max="6679" width="9" style="586"/>
    <col min="6680" max="6680" width="8.5" style="586" customWidth="1"/>
    <col min="6681" max="6681" width="6.375" style="586" customWidth="1"/>
    <col min="6682" max="6682" width="5.75" style="586" customWidth="1"/>
    <col min="6683" max="6683" width="12.625" style="586" customWidth="1"/>
    <col min="6684" max="6684" width="8.375" style="586" customWidth="1"/>
    <col min="6685" max="6685" width="24.875" style="586" customWidth="1"/>
    <col min="6686" max="6686" width="9" style="586"/>
    <col min="6687" max="6687" width="37.5" style="586" customWidth="1"/>
    <col min="6688" max="6904" width="9" style="586"/>
    <col min="6905" max="6906" width="3.75" style="586" customWidth="1"/>
    <col min="6907" max="6907" width="3.5" style="586" customWidth="1"/>
    <col min="6908" max="6908" width="3.875" style="586" customWidth="1"/>
    <col min="6909" max="6910" width="7.625" style="586" customWidth="1"/>
    <col min="6911" max="6911" width="6.375" style="586" customWidth="1"/>
    <col min="6912" max="6912" width="6.25" style="586" customWidth="1"/>
    <col min="6913" max="6913" width="6.625" style="586" customWidth="1"/>
    <col min="6914" max="6914" width="4.875" style="586" customWidth="1"/>
    <col min="6915" max="6915" width="4.75" style="586" customWidth="1"/>
    <col min="6916" max="6916" width="6.75" style="586" customWidth="1"/>
    <col min="6917" max="6917" width="0" style="586" hidden="1" customWidth="1"/>
    <col min="6918" max="6918" width="4.375" style="586" customWidth="1"/>
    <col min="6919" max="6919" width="5.625" style="586" customWidth="1"/>
    <col min="6920" max="6920" width="5.375" style="586" customWidth="1"/>
    <col min="6921" max="6921" width="6.875" style="586" customWidth="1"/>
    <col min="6922" max="6922" width="5.125" style="586" customWidth="1"/>
    <col min="6923" max="6923" width="4.75" style="586" customWidth="1"/>
    <col min="6924" max="6924" width="5.625" style="586" customWidth="1"/>
    <col min="6925" max="6925" width="4.875" style="586" customWidth="1"/>
    <col min="6926" max="6926" width="5.25" style="586" customWidth="1"/>
    <col min="6927" max="6927" width="16.25" style="586" customWidth="1"/>
    <col min="6928" max="6928" width="9.25" style="586" customWidth="1"/>
    <col min="6929" max="6929" width="9.5" style="586" bestFit="1" customWidth="1"/>
    <col min="6930" max="6930" width="9.875" style="586" customWidth="1"/>
    <col min="6931" max="6932" width="10" style="586" customWidth="1"/>
    <col min="6933" max="6933" width="6.625" style="586" customWidth="1"/>
    <col min="6934" max="6934" width="6.5" style="586" customWidth="1"/>
    <col min="6935" max="6935" width="9" style="586"/>
    <col min="6936" max="6936" width="8.5" style="586" customWidth="1"/>
    <col min="6937" max="6937" width="6.375" style="586" customWidth="1"/>
    <col min="6938" max="6938" width="5.75" style="586" customWidth="1"/>
    <col min="6939" max="6939" width="12.625" style="586" customWidth="1"/>
    <col min="6940" max="6940" width="8.375" style="586" customWidth="1"/>
    <col min="6941" max="6941" width="24.875" style="586" customWidth="1"/>
    <col min="6942" max="6942" width="9" style="586"/>
    <col min="6943" max="6943" width="37.5" style="586" customWidth="1"/>
    <col min="6944" max="7160" width="9" style="586"/>
    <col min="7161" max="7162" width="3.75" style="586" customWidth="1"/>
    <col min="7163" max="7163" width="3.5" style="586" customWidth="1"/>
    <col min="7164" max="7164" width="3.875" style="586" customWidth="1"/>
    <col min="7165" max="7166" width="7.625" style="586" customWidth="1"/>
    <col min="7167" max="7167" width="6.375" style="586" customWidth="1"/>
    <col min="7168" max="7168" width="6.25" style="586" customWidth="1"/>
    <col min="7169" max="7169" width="6.625" style="586" customWidth="1"/>
    <col min="7170" max="7170" width="4.875" style="586" customWidth="1"/>
    <col min="7171" max="7171" width="4.75" style="586" customWidth="1"/>
    <col min="7172" max="7172" width="6.75" style="586" customWidth="1"/>
    <col min="7173" max="7173" width="0" style="586" hidden="1" customWidth="1"/>
    <col min="7174" max="7174" width="4.375" style="586" customWidth="1"/>
    <col min="7175" max="7175" width="5.625" style="586" customWidth="1"/>
    <col min="7176" max="7176" width="5.375" style="586" customWidth="1"/>
    <col min="7177" max="7177" width="6.875" style="586" customWidth="1"/>
    <col min="7178" max="7178" width="5.125" style="586" customWidth="1"/>
    <col min="7179" max="7179" width="4.75" style="586" customWidth="1"/>
    <col min="7180" max="7180" width="5.625" style="586" customWidth="1"/>
    <col min="7181" max="7181" width="4.875" style="586" customWidth="1"/>
    <col min="7182" max="7182" width="5.25" style="586" customWidth="1"/>
    <col min="7183" max="7183" width="16.25" style="586" customWidth="1"/>
    <col min="7184" max="7184" width="9.25" style="586" customWidth="1"/>
    <col min="7185" max="7185" width="9.5" style="586" bestFit="1" customWidth="1"/>
    <col min="7186" max="7186" width="9.875" style="586" customWidth="1"/>
    <col min="7187" max="7188" width="10" style="586" customWidth="1"/>
    <col min="7189" max="7189" width="6.625" style="586" customWidth="1"/>
    <col min="7190" max="7190" width="6.5" style="586" customWidth="1"/>
    <col min="7191" max="7191" width="9" style="586"/>
    <col min="7192" max="7192" width="8.5" style="586" customWidth="1"/>
    <col min="7193" max="7193" width="6.375" style="586" customWidth="1"/>
    <col min="7194" max="7194" width="5.75" style="586" customWidth="1"/>
    <col min="7195" max="7195" width="12.625" style="586" customWidth="1"/>
    <col min="7196" max="7196" width="8.375" style="586" customWidth="1"/>
    <col min="7197" max="7197" width="24.875" style="586" customWidth="1"/>
    <col min="7198" max="7198" width="9" style="586"/>
    <col min="7199" max="7199" width="37.5" style="586" customWidth="1"/>
    <col min="7200" max="7416" width="9" style="586"/>
    <col min="7417" max="7418" width="3.75" style="586" customWidth="1"/>
    <col min="7419" max="7419" width="3.5" style="586" customWidth="1"/>
    <col min="7420" max="7420" width="3.875" style="586" customWidth="1"/>
    <col min="7421" max="7422" width="7.625" style="586" customWidth="1"/>
    <col min="7423" max="7423" width="6.375" style="586" customWidth="1"/>
    <col min="7424" max="7424" width="6.25" style="586" customWidth="1"/>
    <col min="7425" max="7425" width="6.625" style="586" customWidth="1"/>
    <col min="7426" max="7426" width="4.875" style="586" customWidth="1"/>
    <col min="7427" max="7427" width="4.75" style="586" customWidth="1"/>
    <col min="7428" max="7428" width="6.75" style="586" customWidth="1"/>
    <col min="7429" max="7429" width="0" style="586" hidden="1" customWidth="1"/>
    <col min="7430" max="7430" width="4.375" style="586" customWidth="1"/>
    <col min="7431" max="7431" width="5.625" style="586" customWidth="1"/>
    <col min="7432" max="7432" width="5.375" style="586" customWidth="1"/>
    <col min="7433" max="7433" width="6.875" style="586" customWidth="1"/>
    <col min="7434" max="7434" width="5.125" style="586" customWidth="1"/>
    <col min="7435" max="7435" width="4.75" style="586" customWidth="1"/>
    <col min="7436" max="7436" width="5.625" style="586" customWidth="1"/>
    <col min="7437" max="7437" width="4.875" style="586" customWidth="1"/>
    <col min="7438" max="7438" width="5.25" style="586" customWidth="1"/>
    <col min="7439" max="7439" width="16.25" style="586" customWidth="1"/>
    <col min="7440" max="7440" width="9.25" style="586" customWidth="1"/>
    <col min="7441" max="7441" width="9.5" style="586" bestFit="1" customWidth="1"/>
    <col min="7442" max="7442" width="9.875" style="586" customWidth="1"/>
    <col min="7443" max="7444" width="10" style="586" customWidth="1"/>
    <col min="7445" max="7445" width="6.625" style="586" customWidth="1"/>
    <col min="7446" max="7446" width="6.5" style="586" customWidth="1"/>
    <col min="7447" max="7447" width="9" style="586"/>
    <col min="7448" max="7448" width="8.5" style="586" customWidth="1"/>
    <col min="7449" max="7449" width="6.375" style="586" customWidth="1"/>
    <col min="7450" max="7450" width="5.75" style="586" customWidth="1"/>
    <col min="7451" max="7451" width="12.625" style="586" customWidth="1"/>
    <col min="7452" max="7452" width="8.375" style="586" customWidth="1"/>
    <col min="7453" max="7453" width="24.875" style="586" customWidth="1"/>
    <col min="7454" max="7454" width="9" style="586"/>
    <col min="7455" max="7455" width="37.5" style="586" customWidth="1"/>
    <col min="7456" max="7672" width="9" style="586"/>
    <col min="7673" max="7674" width="3.75" style="586" customWidth="1"/>
    <col min="7675" max="7675" width="3.5" style="586" customWidth="1"/>
    <col min="7676" max="7676" width="3.875" style="586" customWidth="1"/>
    <col min="7677" max="7678" width="7.625" style="586" customWidth="1"/>
    <col min="7679" max="7679" width="6.375" style="586" customWidth="1"/>
    <col min="7680" max="7680" width="6.25" style="586" customWidth="1"/>
    <col min="7681" max="7681" width="6.625" style="586" customWidth="1"/>
    <col min="7682" max="7682" width="4.875" style="586" customWidth="1"/>
    <col min="7683" max="7683" width="4.75" style="586" customWidth="1"/>
    <col min="7684" max="7684" width="6.75" style="586" customWidth="1"/>
    <col min="7685" max="7685" width="0" style="586" hidden="1" customWidth="1"/>
    <col min="7686" max="7686" width="4.375" style="586" customWidth="1"/>
    <col min="7687" max="7687" width="5.625" style="586" customWidth="1"/>
    <col min="7688" max="7688" width="5.375" style="586" customWidth="1"/>
    <col min="7689" max="7689" width="6.875" style="586" customWidth="1"/>
    <col min="7690" max="7690" width="5.125" style="586" customWidth="1"/>
    <col min="7691" max="7691" width="4.75" style="586" customWidth="1"/>
    <col min="7692" max="7692" width="5.625" style="586" customWidth="1"/>
    <col min="7693" max="7693" width="4.875" style="586" customWidth="1"/>
    <col min="7694" max="7694" width="5.25" style="586" customWidth="1"/>
    <col min="7695" max="7695" width="16.25" style="586" customWidth="1"/>
    <col min="7696" max="7696" width="9.25" style="586" customWidth="1"/>
    <col min="7697" max="7697" width="9.5" style="586" bestFit="1" customWidth="1"/>
    <col min="7698" max="7698" width="9.875" style="586" customWidth="1"/>
    <col min="7699" max="7700" width="10" style="586" customWidth="1"/>
    <col min="7701" max="7701" width="6.625" style="586" customWidth="1"/>
    <col min="7702" max="7702" width="6.5" style="586" customWidth="1"/>
    <col min="7703" max="7703" width="9" style="586"/>
    <col min="7704" max="7704" width="8.5" style="586" customWidth="1"/>
    <col min="7705" max="7705" width="6.375" style="586" customWidth="1"/>
    <col min="7706" max="7706" width="5.75" style="586" customWidth="1"/>
    <col min="7707" max="7707" width="12.625" style="586" customWidth="1"/>
    <col min="7708" max="7708" width="8.375" style="586" customWidth="1"/>
    <col min="7709" max="7709" width="24.875" style="586" customWidth="1"/>
    <col min="7710" max="7710" width="9" style="586"/>
    <col min="7711" max="7711" width="37.5" style="586" customWidth="1"/>
    <col min="7712" max="7928" width="9" style="586"/>
    <col min="7929" max="7930" width="3.75" style="586" customWidth="1"/>
    <col min="7931" max="7931" width="3.5" style="586" customWidth="1"/>
    <col min="7932" max="7932" width="3.875" style="586" customWidth="1"/>
    <col min="7933" max="7934" width="7.625" style="586" customWidth="1"/>
    <col min="7935" max="7935" width="6.375" style="586" customWidth="1"/>
    <col min="7936" max="7936" width="6.25" style="586" customWidth="1"/>
    <col min="7937" max="7937" width="6.625" style="586" customWidth="1"/>
    <col min="7938" max="7938" width="4.875" style="586" customWidth="1"/>
    <col min="7939" max="7939" width="4.75" style="586" customWidth="1"/>
    <col min="7940" max="7940" width="6.75" style="586" customWidth="1"/>
    <col min="7941" max="7941" width="0" style="586" hidden="1" customWidth="1"/>
    <col min="7942" max="7942" width="4.375" style="586" customWidth="1"/>
    <col min="7943" max="7943" width="5.625" style="586" customWidth="1"/>
    <col min="7944" max="7944" width="5.375" style="586" customWidth="1"/>
    <col min="7945" max="7945" width="6.875" style="586" customWidth="1"/>
    <col min="7946" max="7946" width="5.125" style="586" customWidth="1"/>
    <col min="7947" max="7947" width="4.75" style="586" customWidth="1"/>
    <col min="7948" max="7948" width="5.625" style="586" customWidth="1"/>
    <col min="7949" max="7949" width="4.875" style="586" customWidth="1"/>
    <col min="7950" max="7950" width="5.25" style="586" customWidth="1"/>
    <col min="7951" max="7951" width="16.25" style="586" customWidth="1"/>
    <col min="7952" max="7952" width="9.25" style="586" customWidth="1"/>
    <col min="7953" max="7953" width="9.5" style="586" bestFit="1" customWidth="1"/>
    <col min="7954" max="7954" width="9.875" style="586" customWidth="1"/>
    <col min="7955" max="7956" width="10" style="586" customWidth="1"/>
    <col min="7957" max="7957" width="6.625" style="586" customWidth="1"/>
    <col min="7958" max="7958" width="6.5" style="586" customWidth="1"/>
    <col min="7959" max="7959" width="9" style="586"/>
    <col min="7960" max="7960" width="8.5" style="586" customWidth="1"/>
    <col min="7961" max="7961" width="6.375" style="586" customWidth="1"/>
    <col min="7962" max="7962" width="5.75" style="586" customWidth="1"/>
    <col min="7963" max="7963" width="12.625" style="586" customWidth="1"/>
    <col min="7964" max="7964" width="8.375" style="586" customWidth="1"/>
    <col min="7965" max="7965" width="24.875" style="586" customWidth="1"/>
    <col min="7966" max="7966" width="9" style="586"/>
    <col min="7967" max="7967" width="37.5" style="586" customWidth="1"/>
    <col min="7968" max="8184" width="9" style="586"/>
    <col min="8185" max="8186" width="3.75" style="586" customWidth="1"/>
    <col min="8187" max="8187" width="3.5" style="586" customWidth="1"/>
    <col min="8188" max="8188" width="3.875" style="586" customWidth="1"/>
    <col min="8189" max="8190" width="7.625" style="586" customWidth="1"/>
    <col min="8191" max="8191" width="6.375" style="586" customWidth="1"/>
    <col min="8192" max="8192" width="6.25" style="586" customWidth="1"/>
    <col min="8193" max="8193" width="6.625" style="586" customWidth="1"/>
    <col min="8194" max="8194" width="4.875" style="586" customWidth="1"/>
    <col min="8195" max="8195" width="4.75" style="586" customWidth="1"/>
    <col min="8196" max="8196" width="6.75" style="586" customWidth="1"/>
    <col min="8197" max="8197" width="0" style="586" hidden="1" customWidth="1"/>
    <col min="8198" max="8198" width="4.375" style="586" customWidth="1"/>
    <col min="8199" max="8199" width="5.625" style="586" customWidth="1"/>
    <col min="8200" max="8200" width="5.375" style="586" customWidth="1"/>
    <col min="8201" max="8201" width="6.875" style="586" customWidth="1"/>
    <col min="8202" max="8202" width="5.125" style="586" customWidth="1"/>
    <col min="8203" max="8203" width="4.75" style="586" customWidth="1"/>
    <col min="8204" max="8204" width="5.625" style="586" customWidth="1"/>
    <col min="8205" max="8205" width="4.875" style="586" customWidth="1"/>
    <col min="8206" max="8206" width="5.25" style="586" customWidth="1"/>
    <col min="8207" max="8207" width="16.25" style="586" customWidth="1"/>
    <col min="8208" max="8208" width="9.25" style="586" customWidth="1"/>
    <col min="8209" max="8209" width="9.5" style="586" bestFit="1" customWidth="1"/>
    <col min="8210" max="8210" width="9.875" style="586" customWidth="1"/>
    <col min="8211" max="8212" width="10" style="586" customWidth="1"/>
    <col min="8213" max="8213" width="6.625" style="586" customWidth="1"/>
    <col min="8214" max="8214" width="6.5" style="586" customWidth="1"/>
    <col min="8215" max="8215" width="9" style="586"/>
    <col min="8216" max="8216" width="8.5" style="586" customWidth="1"/>
    <col min="8217" max="8217" width="6.375" style="586" customWidth="1"/>
    <col min="8218" max="8218" width="5.75" style="586" customWidth="1"/>
    <col min="8219" max="8219" width="12.625" style="586" customWidth="1"/>
    <col min="8220" max="8220" width="8.375" style="586" customWidth="1"/>
    <col min="8221" max="8221" width="24.875" style="586" customWidth="1"/>
    <col min="8222" max="8222" width="9" style="586"/>
    <col min="8223" max="8223" width="37.5" style="586" customWidth="1"/>
    <col min="8224" max="8440" width="9" style="586"/>
    <col min="8441" max="8442" width="3.75" style="586" customWidth="1"/>
    <col min="8443" max="8443" width="3.5" style="586" customWidth="1"/>
    <col min="8444" max="8444" width="3.875" style="586" customWidth="1"/>
    <col min="8445" max="8446" width="7.625" style="586" customWidth="1"/>
    <col min="8447" max="8447" width="6.375" style="586" customWidth="1"/>
    <col min="8448" max="8448" width="6.25" style="586" customWidth="1"/>
    <col min="8449" max="8449" width="6.625" style="586" customWidth="1"/>
    <col min="8450" max="8450" width="4.875" style="586" customWidth="1"/>
    <col min="8451" max="8451" width="4.75" style="586" customWidth="1"/>
    <col min="8452" max="8452" width="6.75" style="586" customWidth="1"/>
    <col min="8453" max="8453" width="0" style="586" hidden="1" customWidth="1"/>
    <col min="8454" max="8454" width="4.375" style="586" customWidth="1"/>
    <col min="8455" max="8455" width="5.625" style="586" customWidth="1"/>
    <col min="8456" max="8456" width="5.375" style="586" customWidth="1"/>
    <col min="8457" max="8457" width="6.875" style="586" customWidth="1"/>
    <col min="8458" max="8458" width="5.125" style="586" customWidth="1"/>
    <col min="8459" max="8459" width="4.75" style="586" customWidth="1"/>
    <col min="8460" max="8460" width="5.625" style="586" customWidth="1"/>
    <col min="8461" max="8461" width="4.875" style="586" customWidth="1"/>
    <col min="8462" max="8462" width="5.25" style="586" customWidth="1"/>
    <col min="8463" max="8463" width="16.25" style="586" customWidth="1"/>
    <col min="8464" max="8464" width="9.25" style="586" customWidth="1"/>
    <col min="8465" max="8465" width="9.5" style="586" bestFit="1" customWidth="1"/>
    <col min="8466" max="8466" width="9.875" style="586" customWidth="1"/>
    <col min="8467" max="8468" width="10" style="586" customWidth="1"/>
    <col min="8469" max="8469" width="6.625" style="586" customWidth="1"/>
    <col min="8470" max="8470" width="6.5" style="586" customWidth="1"/>
    <col min="8471" max="8471" width="9" style="586"/>
    <col min="8472" max="8472" width="8.5" style="586" customWidth="1"/>
    <col min="8473" max="8473" width="6.375" style="586" customWidth="1"/>
    <col min="8474" max="8474" width="5.75" style="586" customWidth="1"/>
    <col min="8475" max="8475" width="12.625" style="586" customWidth="1"/>
    <col min="8476" max="8476" width="8.375" style="586" customWidth="1"/>
    <col min="8477" max="8477" width="24.875" style="586" customWidth="1"/>
    <col min="8478" max="8478" width="9" style="586"/>
    <col min="8479" max="8479" width="37.5" style="586" customWidth="1"/>
    <col min="8480" max="8696" width="9" style="586"/>
    <col min="8697" max="8698" width="3.75" style="586" customWidth="1"/>
    <col min="8699" max="8699" width="3.5" style="586" customWidth="1"/>
    <col min="8700" max="8700" width="3.875" style="586" customWidth="1"/>
    <col min="8701" max="8702" width="7.625" style="586" customWidth="1"/>
    <col min="8703" max="8703" width="6.375" style="586" customWidth="1"/>
    <col min="8704" max="8704" width="6.25" style="586" customWidth="1"/>
    <col min="8705" max="8705" width="6.625" style="586" customWidth="1"/>
    <col min="8706" max="8706" width="4.875" style="586" customWidth="1"/>
    <col min="8707" max="8707" width="4.75" style="586" customWidth="1"/>
    <col min="8708" max="8708" width="6.75" style="586" customWidth="1"/>
    <col min="8709" max="8709" width="0" style="586" hidden="1" customWidth="1"/>
    <col min="8710" max="8710" width="4.375" style="586" customWidth="1"/>
    <col min="8711" max="8711" width="5.625" style="586" customWidth="1"/>
    <col min="8712" max="8712" width="5.375" style="586" customWidth="1"/>
    <col min="8713" max="8713" width="6.875" style="586" customWidth="1"/>
    <col min="8714" max="8714" width="5.125" style="586" customWidth="1"/>
    <col min="8715" max="8715" width="4.75" style="586" customWidth="1"/>
    <col min="8716" max="8716" width="5.625" style="586" customWidth="1"/>
    <col min="8717" max="8717" width="4.875" style="586" customWidth="1"/>
    <col min="8718" max="8718" width="5.25" style="586" customWidth="1"/>
    <col min="8719" max="8719" width="16.25" style="586" customWidth="1"/>
    <col min="8720" max="8720" width="9.25" style="586" customWidth="1"/>
    <col min="8721" max="8721" width="9.5" style="586" bestFit="1" customWidth="1"/>
    <col min="8722" max="8722" width="9.875" style="586" customWidth="1"/>
    <col min="8723" max="8724" width="10" style="586" customWidth="1"/>
    <col min="8725" max="8725" width="6.625" style="586" customWidth="1"/>
    <col min="8726" max="8726" width="6.5" style="586" customWidth="1"/>
    <col min="8727" max="8727" width="9" style="586"/>
    <col min="8728" max="8728" width="8.5" style="586" customWidth="1"/>
    <col min="8729" max="8729" width="6.375" style="586" customWidth="1"/>
    <col min="8730" max="8730" width="5.75" style="586" customWidth="1"/>
    <col min="8731" max="8731" width="12.625" style="586" customWidth="1"/>
    <col min="8732" max="8732" width="8.375" style="586" customWidth="1"/>
    <col min="8733" max="8733" width="24.875" style="586" customWidth="1"/>
    <col min="8734" max="8734" width="9" style="586"/>
    <col min="8735" max="8735" width="37.5" style="586" customWidth="1"/>
    <col min="8736" max="8952" width="9" style="586"/>
    <col min="8953" max="8954" width="3.75" style="586" customWidth="1"/>
    <col min="8955" max="8955" width="3.5" style="586" customWidth="1"/>
    <col min="8956" max="8956" width="3.875" style="586" customWidth="1"/>
    <col min="8957" max="8958" width="7.625" style="586" customWidth="1"/>
    <col min="8959" max="8959" width="6.375" style="586" customWidth="1"/>
    <col min="8960" max="8960" width="6.25" style="586" customWidth="1"/>
    <col min="8961" max="8961" width="6.625" style="586" customWidth="1"/>
    <col min="8962" max="8962" width="4.875" style="586" customWidth="1"/>
    <col min="8963" max="8963" width="4.75" style="586" customWidth="1"/>
    <col min="8964" max="8964" width="6.75" style="586" customWidth="1"/>
    <col min="8965" max="8965" width="0" style="586" hidden="1" customWidth="1"/>
    <col min="8966" max="8966" width="4.375" style="586" customWidth="1"/>
    <col min="8967" max="8967" width="5.625" style="586" customWidth="1"/>
    <col min="8968" max="8968" width="5.375" style="586" customWidth="1"/>
    <col min="8969" max="8969" width="6.875" style="586" customWidth="1"/>
    <col min="8970" max="8970" width="5.125" style="586" customWidth="1"/>
    <col min="8971" max="8971" width="4.75" style="586" customWidth="1"/>
    <col min="8972" max="8972" width="5.625" style="586" customWidth="1"/>
    <col min="8973" max="8973" width="4.875" style="586" customWidth="1"/>
    <col min="8974" max="8974" width="5.25" style="586" customWidth="1"/>
    <col min="8975" max="8975" width="16.25" style="586" customWidth="1"/>
    <col min="8976" max="8976" width="9.25" style="586" customWidth="1"/>
    <col min="8977" max="8977" width="9.5" style="586" bestFit="1" customWidth="1"/>
    <col min="8978" max="8978" width="9.875" style="586" customWidth="1"/>
    <col min="8979" max="8980" width="10" style="586" customWidth="1"/>
    <col min="8981" max="8981" width="6.625" style="586" customWidth="1"/>
    <col min="8982" max="8982" width="6.5" style="586" customWidth="1"/>
    <col min="8983" max="8983" width="9" style="586"/>
    <col min="8984" max="8984" width="8.5" style="586" customWidth="1"/>
    <col min="8985" max="8985" width="6.375" style="586" customWidth="1"/>
    <col min="8986" max="8986" width="5.75" style="586" customWidth="1"/>
    <col min="8987" max="8987" width="12.625" style="586" customWidth="1"/>
    <col min="8988" max="8988" width="8.375" style="586" customWidth="1"/>
    <col min="8989" max="8989" width="24.875" style="586" customWidth="1"/>
    <col min="8990" max="8990" width="9" style="586"/>
    <col min="8991" max="8991" width="37.5" style="586" customWidth="1"/>
    <col min="8992" max="9208" width="9" style="586"/>
    <col min="9209" max="9210" width="3.75" style="586" customWidth="1"/>
    <col min="9211" max="9211" width="3.5" style="586" customWidth="1"/>
    <col min="9212" max="9212" width="3.875" style="586" customWidth="1"/>
    <col min="9213" max="9214" width="7.625" style="586" customWidth="1"/>
    <col min="9215" max="9215" width="6.375" style="586" customWidth="1"/>
    <col min="9216" max="9216" width="6.25" style="586" customWidth="1"/>
    <col min="9217" max="9217" width="6.625" style="586" customWidth="1"/>
    <col min="9218" max="9218" width="4.875" style="586" customWidth="1"/>
    <col min="9219" max="9219" width="4.75" style="586" customWidth="1"/>
    <col min="9220" max="9220" width="6.75" style="586" customWidth="1"/>
    <col min="9221" max="9221" width="0" style="586" hidden="1" customWidth="1"/>
    <col min="9222" max="9222" width="4.375" style="586" customWidth="1"/>
    <col min="9223" max="9223" width="5.625" style="586" customWidth="1"/>
    <col min="9224" max="9224" width="5.375" style="586" customWidth="1"/>
    <col min="9225" max="9225" width="6.875" style="586" customWidth="1"/>
    <col min="9226" max="9226" width="5.125" style="586" customWidth="1"/>
    <col min="9227" max="9227" width="4.75" style="586" customWidth="1"/>
    <col min="9228" max="9228" width="5.625" style="586" customWidth="1"/>
    <col min="9229" max="9229" width="4.875" style="586" customWidth="1"/>
    <col min="9230" max="9230" width="5.25" style="586" customWidth="1"/>
    <col min="9231" max="9231" width="16.25" style="586" customWidth="1"/>
    <col min="9232" max="9232" width="9.25" style="586" customWidth="1"/>
    <col min="9233" max="9233" width="9.5" style="586" bestFit="1" customWidth="1"/>
    <col min="9234" max="9234" width="9.875" style="586" customWidth="1"/>
    <col min="9235" max="9236" width="10" style="586" customWidth="1"/>
    <col min="9237" max="9237" width="6.625" style="586" customWidth="1"/>
    <col min="9238" max="9238" width="6.5" style="586" customWidth="1"/>
    <col min="9239" max="9239" width="9" style="586"/>
    <col min="9240" max="9240" width="8.5" style="586" customWidth="1"/>
    <col min="9241" max="9241" width="6.375" style="586" customWidth="1"/>
    <col min="9242" max="9242" width="5.75" style="586" customWidth="1"/>
    <col min="9243" max="9243" width="12.625" style="586" customWidth="1"/>
    <col min="9244" max="9244" width="8.375" style="586" customWidth="1"/>
    <col min="9245" max="9245" width="24.875" style="586" customWidth="1"/>
    <col min="9246" max="9246" width="9" style="586"/>
    <col min="9247" max="9247" width="37.5" style="586" customWidth="1"/>
    <col min="9248" max="9464" width="9" style="586"/>
    <col min="9465" max="9466" width="3.75" style="586" customWidth="1"/>
    <col min="9467" max="9467" width="3.5" style="586" customWidth="1"/>
    <col min="9468" max="9468" width="3.875" style="586" customWidth="1"/>
    <col min="9469" max="9470" width="7.625" style="586" customWidth="1"/>
    <col min="9471" max="9471" width="6.375" style="586" customWidth="1"/>
    <col min="9472" max="9472" width="6.25" style="586" customWidth="1"/>
    <col min="9473" max="9473" width="6.625" style="586" customWidth="1"/>
    <col min="9474" max="9474" width="4.875" style="586" customWidth="1"/>
    <col min="9475" max="9475" width="4.75" style="586" customWidth="1"/>
    <col min="9476" max="9476" width="6.75" style="586" customWidth="1"/>
    <col min="9477" max="9477" width="0" style="586" hidden="1" customWidth="1"/>
    <col min="9478" max="9478" width="4.375" style="586" customWidth="1"/>
    <col min="9479" max="9479" width="5.625" style="586" customWidth="1"/>
    <col min="9480" max="9480" width="5.375" style="586" customWidth="1"/>
    <col min="9481" max="9481" width="6.875" style="586" customWidth="1"/>
    <col min="9482" max="9482" width="5.125" style="586" customWidth="1"/>
    <col min="9483" max="9483" width="4.75" style="586" customWidth="1"/>
    <col min="9484" max="9484" width="5.625" style="586" customWidth="1"/>
    <col min="9485" max="9485" width="4.875" style="586" customWidth="1"/>
    <col min="9486" max="9486" width="5.25" style="586" customWidth="1"/>
    <col min="9487" max="9487" width="16.25" style="586" customWidth="1"/>
    <col min="9488" max="9488" width="9.25" style="586" customWidth="1"/>
    <col min="9489" max="9489" width="9.5" style="586" bestFit="1" customWidth="1"/>
    <col min="9490" max="9490" width="9.875" style="586" customWidth="1"/>
    <col min="9491" max="9492" width="10" style="586" customWidth="1"/>
    <col min="9493" max="9493" width="6.625" style="586" customWidth="1"/>
    <col min="9494" max="9494" width="6.5" style="586" customWidth="1"/>
    <col min="9495" max="9495" width="9" style="586"/>
    <col min="9496" max="9496" width="8.5" style="586" customWidth="1"/>
    <col min="9497" max="9497" width="6.375" style="586" customWidth="1"/>
    <col min="9498" max="9498" width="5.75" style="586" customWidth="1"/>
    <col min="9499" max="9499" width="12.625" style="586" customWidth="1"/>
    <col min="9500" max="9500" width="8.375" style="586" customWidth="1"/>
    <col min="9501" max="9501" width="24.875" style="586" customWidth="1"/>
    <col min="9502" max="9502" width="9" style="586"/>
    <col min="9503" max="9503" width="37.5" style="586" customWidth="1"/>
    <col min="9504" max="9720" width="9" style="586"/>
    <col min="9721" max="9722" width="3.75" style="586" customWidth="1"/>
    <col min="9723" max="9723" width="3.5" style="586" customWidth="1"/>
    <col min="9724" max="9724" width="3.875" style="586" customWidth="1"/>
    <col min="9725" max="9726" width="7.625" style="586" customWidth="1"/>
    <col min="9727" max="9727" width="6.375" style="586" customWidth="1"/>
    <col min="9728" max="9728" width="6.25" style="586" customWidth="1"/>
    <col min="9729" max="9729" width="6.625" style="586" customWidth="1"/>
    <col min="9730" max="9730" width="4.875" style="586" customWidth="1"/>
    <col min="9731" max="9731" width="4.75" style="586" customWidth="1"/>
    <col min="9732" max="9732" width="6.75" style="586" customWidth="1"/>
    <col min="9733" max="9733" width="0" style="586" hidden="1" customWidth="1"/>
    <col min="9734" max="9734" width="4.375" style="586" customWidth="1"/>
    <col min="9735" max="9735" width="5.625" style="586" customWidth="1"/>
    <col min="9736" max="9736" width="5.375" style="586" customWidth="1"/>
    <col min="9737" max="9737" width="6.875" style="586" customWidth="1"/>
    <col min="9738" max="9738" width="5.125" style="586" customWidth="1"/>
    <col min="9739" max="9739" width="4.75" style="586" customWidth="1"/>
    <col min="9740" max="9740" width="5.625" style="586" customWidth="1"/>
    <col min="9741" max="9741" width="4.875" style="586" customWidth="1"/>
    <col min="9742" max="9742" width="5.25" style="586" customWidth="1"/>
    <col min="9743" max="9743" width="16.25" style="586" customWidth="1"/>
    <col min="9744" max="9744" width="9.25" style="586" customWidth="1"/>
    <col min="9745" max="9745" width="9.5" style="586" bestFit="1" customWidth="1"/>
    <col min="9746" max="9746" width="9.875" style="586" customWidth="1"/>
    <col min="9747" max="9748" width="10" style="586" customWidth="1"/>
    <col min="9749" max="9749" width="6.625" style="586" customWidth="1"/>
    <col min="9750" max="9750" width="6.5" style="586" customWidth="1"/>
    <col min="9751" max="9751" width="9" style="586"/>
    <col min="9752" max="9752" width="8.5" style="586" customWidth="1"/>
    <col min="9753" max="9753" width="6.375" style="586" customWidth="1"/>
    <col min="9754" max="9754" width="5.75" style="586" customWidth="1"/>
    <col min="9755" max="9755" width="12.625" style="586" customWidth="1"/>
    <col min="9756" max="9756" width="8.375" style="586" customWidth="1"/>
    <col min="9757" max="9757" width="24.875" style="586" customWidth="1"/>
    <col min="9758" max="9758" width="9" style="586"/>
    <col min="9759" max="9759" width="37.5" style="586" customWidth="1"/>
    <col min="9760" max="9976" width="9" style="586"/>
    <col min="9977" max="9978" width="3.75" style="586" customWidth="1"/>
    <col min="9979" max="9979" width="3.5" style="586" customWidth="1"/>
    <col min="9980" max="9980" width="3.875" style="586" customWidth="1"/>
    <col min="9981" max="9982" width="7.625" style="586" customWidth="1"/>
    <col min="9983" max="9983" width="6.375" style="586" customWidth="1"/>
    <col min="9984" max="9984" width="6.25" style="586" customWidth="1"/>
    <col min="9985" max="9985" width="6.625" style="586" customWidth="1"/>
    <col min="9986" max="9986" width="4.875" style="586" customWidth="1"/>
    <col min="9987" max="9987" width="4.75" style="586" customWidth="1"/>
    <col min="9988" max="9988" width="6.75" style="586" customWidth="1"/>
    <col min="9989" max="9989" width="0" style="586" hidden="1" customWidth="1"/>
    <col min="9990" max="9990" width="4.375" style="586" customWidth="1"/>
    <col min="9991" max="9991" width="5.625" style="586" customWidth="1"/>
    <col min="9992" max="9992" width="5.375" style="586" customWidth="1"/>
    <col min="9993" max="9993" width="6.875" style="586" customWidth="1"/>
    <col min="9994" max="9994" width="5.125" style="586" customWidth="1"/>
    <col min="9995" max="9995" width="4.75" style="586" customWidth="1"/>
    <col min="9996" max="9996" width="5.625" style="586" customWidth="1"/>
    <col min="9997" max="9997" width="4.875" style="586" customWidth="1"/>
    <col min="9998" max="9998" width="5.25" style="586" customWidth="1"/>
    <col min="9999" max="9999" width="16.25" style="586" customWidth="1"/>
    <col min="10000" max="10000" width="9.25" style="586" customWidth="1"/>
    <col min="10001" max="10001" width="9.5" style="586" bestFit="1" customWidth="1"/>
    <col min="10002" max="10002" width="9.875" style="586" customWidth="1"/>
    <col min="10003" max="10004" width="10" style="586" customWidth="1"/>
    <col min="10005" max="10005" width="6.625" style="586" customWidth="1"/>
    <col min="10006" max="10006" width="6.5" style="586" customWidth="1"/>
    <col min="10007" max="10007" width="9" style="586"/>
    <col min="10008" max="10008" width="8.5" style="586" customWidth="1"/>
    <col min="10009" max="10009" width="6.375" style="586" customWidth="1"/>
    <col min="10010" max="10010" width="5.75" style="586" customWidth="1"/>
    <col min="10011" max="10011" width="12.625" style="586" customWidth="1"/>
    <col min="10012" max="10012" width="8.375" style="586" customWidth="1"/>
    <col min="10013" max="10013" width="24.875" style="586" customWidth="1"/>
    <col min="10014" max="10014" width="9" style="586"/>
    <col min="10015" max="10015" width="37.5" style="586" customWidth="1"/>
    <col min="10016" max="10232" width="9" style="586"/>
    <col min="10233" max="10234" width="3.75" style="586" customWidth="1"/>
    <col min="10235" max="10235" width="3.5" style="586" customWidth="1"/>
    <col min="10236" max="10236" width="3.875" style="586" customWidth="1"/>
    <col min="10237" max="10238" width="7.625" style="586" customWidth="1"/>
    <col min="10239" max="10239" width="6.375" style="586" customWidth="1"/>
    <col min="10240" max="10240" width="6.25" style="586" customWidth="1"/>
    <col min="10241" max="10241" width="6.625" style="586" customWidth="1"/>
    <col min="10242" max="10242" width="4.875" style="586" customWidth="1"/>
    <col min="10243" max="10243" width="4.75" style="586" customWidth="1"/>
    <col min="10244" max="10244" width="6.75" style="586" customWidth="1"/>
    <col min="10245" max="10245" width="0" style="586" hidden="1" customWidth="1"/>
    <col min="10246" max="10246" width="4.375" style="586" customWidth="1"/>
    <col min="10247" max="10247" width="5.625" style="586" customWidth="1"/>
    <col min="10248" max="10248" width="5.375" style="586" customWidth="1"/>
    <col min="10249" max="10249" width="6.875" style="586" customWidth="1"/>
    <col min="10250" max="10250" width="5.125" style="586" customWidth="1"/>
    <col min="10251" max="10251" width="4.75" style="586" customWidth="1"/>
    <col min="10252" max="10252" width="5.625" style="586" customWidth="1"/>
    <col min="10253" max="10253" width="4.875" style="586" customWidth="1"/>
    <col min="10254" max="10254" width="5.25" style="586" customWidth="1"/>
    <col min="10255" max="10255" width="16.25" style="586" customWidth="1"/>
    <col min="10256" max="10256" width="9.25" style="586" customWidth="1"/>
    <col min="10257" max="10257" width="9.5" style="586" bestFit="1" customWidth="1"/>
    <col min="10258" max="10258" width="9.875" style="586" customWidth="1"/>
    <col min="10259" max="10260" width="10" style="586" customWidth="1"/>
    <col min="10261" max="10261" width="6.625" style="586" customWidth="1"/>
    <col min="10262" max="10262" width="6.5" style="586" customWidth="1"/>
    <col min="10263" max="10263" width="9" style="586"/>
    <col min="10264" max="10264" width="8.5" style="586" customWidth="1"/>
    <col min="10265" max="10265" width="6.375" style="586" customWidth="1"/>
    <col min="10266" max="10266" width="5.75" style="586" customWidth="1"/>
    <col min="10267" max="10267" width="12.625" style="586" customWidth="1"/>
    <col min="10268" max="10268" width="8.375" style="586" customWidth="1"/>
    <col min="10269" max="10269" width="24.875" style="586" customWidth="1"/>
    <col min="10270" max="10270" width="9" style="586"/>
    <col min="10271" max="10271" width="37.5" style="586" customWidth="1"/>
    <col min="10272" max="10488" width="9" style="586"/>
    <col min="10489" max="10490" width="3.75" style="586" customWidth="1"/>
    <col min="10491" max="10491" width="3.5" style="586" customWidth="1"/>
    <col min="10492" max="10492" width="3.875" style="586" customWidth="1"/>
    <col min="10493" max="10494" width="7.625" style="586" customWidth="1"/>
    <col min="10495" max="10495" width="6.375" style="586" customWidth="1"/>
    <col min="10496" max="10496" width="6.25" style="586" customWidth="1"/>
    <col min="10497" max="10497" width="6.625" style="586" customWidth="1"/>
    <col min="10498" max="10498" width="4.875" style="586" customWidth="1"/>
    <col min="10499" max="10499" width="4.75" style="586" customWidth="1"/>
    <col min="10500" max="10500" width="6.75" style="586" customWidth="1"/>
    <col min="10501" max="10501" width="0" style="586" hidden="1" customWidth="1"/>
    <col min="10502" max="10502" width="4.375" style="586" customWidth="1"/>
    <col min="10503" max="10503" width="5.625" style="586" customWidth="1"/>
    <col min="10504" max="10504" width="5.375" style="586" customWidth="1"/>
    <col min="10505" max="10505" width="6.875" style="586" customWidth="1"/>
    <col min="10506" max="10506" width="5.125" style="586" customWidth="1"/>
    <col min="10507" max="10507" width="4.75" style="586" customWidth="1"/>
    <col min="10508" max="10508" width="5.625" style="586" customWidth="1"/>
    <col min="10509" max="10509" width="4.875" style="586" customWidth="1"/>
    <col min="10510" max="10510" width="5.25" style="586" customWidth="1"/>
    <col min="10511" max="10511" width="16.25" style="586" customWidth="1"/>
    <col min="10512" max="10512" width="9.25" style="586" customWidth="1"/>
    <col min="10513" max="10513" width="9.5" style="586" bestFit="1" customWidth="1"/>
    <col min="10514" max="10514" width="9.875" style="586" customWidth="1"/>
    <col min="10515" max="10516" width="10" style="586" customWidth="1"/>
    <col min="10517" max="10517" width="6.625" style="586" customWidth="1"/>
    <col min="10518" max="10518" width="6.5" style="586" customWidth="1"/>
    <col min="10519" max="10519" width="9" style="586"/>
    <col min="10520" max="10520" width="8.5" style="586" customWidth="1"/>
    <col min="10521" max="10521" width="6.375" style="586" customWidth="1"/>
    <col min="10522" max="10522" width="5.75" style="586" customWidth="1"/>
    <col min="10523" max="10523" width="12.625" style="586" customWidth="1"/>
    <col min="10524" max="10524" width="8.375" style="586" customWidth="1"/>
    <col min="10525" max="10525" width="24.875" style="586" customWidth="1"/>
    <col min="10526" max="10526" width="9" style="586"/>
    <col min="10527" max="10527" width="37.5" style="586" customWidth="1"/>
    <col min="10528" max="10744" width="9" style="586"/>
    <col min="10745" max="10746" width="3.75" style="586" customWidth="1"/>
    <col min="10747" max="10747" width="3.5" style="586" customWidth="1"/>
    <col min="10748" max="10748" width="3.875" style="586" customWidth="1"/>
    <col min="10749" max="10750" width="7.625" style="586" customWidth="1"/>
    <col min="10751" max="10751" width="6.375" style="586" customWidth="1"/>
    <col min="10752" max="10752" width="6.25" style="586" customWidth="1"/>
    <col min="10753" max="10753" width="6.625" style="586" customWidth="1"/>
    <col min="10754" max="10754" width="4.875" style="586" customWidth="1"/>
    <col min="10755" max="10755" width="4.75" style="586" customWidth="1"/>
    <col min="10756" max="10756" width="6.75" style="586" customWidth="1"/>
    <col min="10757" max="10757" width="0" style="586" hidden="1" customWidth="1"/>
    <col min="10758" max="10758" width="4.375" style="586" customWidth="1"/>
    <col min="10759" max="10759" width="5.625" style="586" customWidth="1"/>
    <col min="10760" max="10760" width="5.375" style="586" customWidth="1"/>
    <col min="10761" max="10761" width="6.875" style="586" customWidth="1"/>
    <col min="10762" max="10762" width="5.125" style="586" customWidth="1"/>
    <col min="10763" max="10763" width="4.75" style="586" customWidth="1"/>
    <col min="10764" max="10764" width="5.625" style="586" customWidth="1"/>
    <col min="10765" max="10765" width="4.875" style="586" customWidth="1"/>
    <col min="10766" max="10766" width="5.25" style="586" customWidth="1"/>
    <col min="10767" max="10767" width="16.25" style="586" customWidth="1"/>
    <col min="10768" max="10768" width="9.25" style="586" customWidth="1"/>
    <col min="10769" max="10769" width="9.5" style="586" bestFit="1" customWidth="1"/>
    <col min="10770" max="10770" width="9.875" style="586" customWidth="1"/>
    <col min="10771" max="10772" width="10" style="586" customWidth="1"/>
    <col min="10773" max="10773" width="6.625" style="586" customWidth="1"/>
    <col min="10774" max="10774" width="6.5" style="586" customWidth="1"/>
    <col min="10775" max="10775" width="9" style="586"/>
    <col min="10776" max="10776" width="8.5" style="586" customWidth="1"/>
    <col min="10777" max="10777" width="6.375" style="586" customWidth="1"/>
    <col min="10778" max="10778" width="5.75" style="586" customWidth="1"/>
    <col min="10779" max="10779" width="12.625" style="586" customWidth="1"/>
    <col min="10780" max="10780" width="8.375" style="586" customWidth="1"/>
    <col min="10781" max="10781" width="24.875" style="586" customWidth="1"/>
    <col min="10782" max="10782" width="9" style="586"/>
    <col min="10783" max="10783" width="37.5" style="586" customWidth="1"/>
    <col min="10784" max="11000" width="9" style="586"/>
    <col min="11001" max="11002" width="3.75" style="586" customWidth="1"/>
    <col min="11003" max="11003" width="3.5" style="586" customWidth="1"/>
    <col min="11004" max="11004" width="3.875" style="586" customWidth="1"/>
    <col min="11005" max="11006" width="7.625" style="586" customWidth="1"/>
    <col min="11007" max="11007" width="6.375" style="586" customWidth="1"/>
    <col min="11008" max="11008" width="6.25" style="586" customWidth="1"/>
    <col min="11009" max="11009" width="6.625" style="586" customWidth="1"/>
    <col min="11010" max="11010" width="4.875" style="586" customWidth="1"/>
    <col min="11011" max="11011" width="4.75" style="586" customWidth="1"/>
    <col min="11012" max="11012" width="6.75" style="586" customWidth="1"/>
    <col min="11013" max="11013" width="0" style="586" hidden="1" customWidth="1"/>
    <col min="11014" max="11014" width="4.375" style="586" customWidth="1"/>
    <col min="11015" max="11015" width="5.625" style="586" customWidth="1"/>
    <col min="11016" max="11016" width="5.375" style="586" customWidth="1"/>
    <col min="11017" max="11017" width="6.875" style="586" customWidth="1"/>
    <col min="11018" max="11018" width="5.125" style="586" customWidth="1"/>
    <col min="11019" max="11019" width="4.75" style="586" customWidth="1"/>
    <col min="11020" max="11020" width="5.625" style="586" customWidth="1"/>
    <col min="11021" max="11021" width="4.875" style="586" customWidth="1"/>
    <col min="11022" max="11022" width="5.25" style="586" customWidth="1"/>
    <col min="11023" max="11023" width="16.25" style="586" customWidth="1"/>
    <col min="11024" max="11024" width="9.25" style="586" customWidth="1"/>
    <col min="11025" max="11025" width="9.5" style="586" bestFit="1" customWidth="1"/>
    <col min="11026" max="11026" width="9.875" style="586" customWidth="1"/>
    <col min="11027" max="11028" width="10" style="586" customWidth="1"/>
    <col min="11029" max="11029" width="6.625" style="586" customWidth="1"/>
    <col min="11030" max="11030" width="6.5" style="586" customWidth="1"/>
    <col min="11031" max="11031" width="9" style="586"/>
    <col min="11032" max="11032" width="8.5" style="586" customWidth="1"/>
    <col min="11033" max="11033" width="6.375" style="586" customWidth="1"/>
    <col min="11034" max="11034" width="5.75" style="586" customWidth="1"/>
    <col min="11035" max="11035" width="12.625" style="586" customWidth="1"/>
    <col min="11036" max="11036" width="8.375" style="586" customWidth="1"/>
    <col min="11037" max="11037" width="24.875" style="586" customWidth="1"/>
    <col min="11038" max="11038" width="9" style="586"/>
    <col min="11039" max="11039" width="37.5" style="586" customWidth="1"/>
    <col min="11040" max="11256" width="9" style="586"/>
    <col min="11257" max="11258" width="3.75" style="586" customWidth="1"/>
    <col min="11259" max="11259" width="3.5" style="586" customWidth="1"/>
    <col min="11260" max="11260" width="3.875" style="586" customWidth="1"/>
    <col min="11261" max="11262" width="7.625" style="586" customWidth="1"/>
    <col min="11263" max="11263" width="6.375" style="586" customWidth="1"/>
    <col min="11264" max="11264" width="6.25" style="586" customWidth="1"/>
    <col min="11265" max="11265" width="6.625" style="586" customWidth="1"/>
    <col min="11266" max="11266" width="4.875" style="586" customWidth="1"/>
    <col min="11267" max="11267" width="4.75" style="586" customWidth="1"/>
    <col min="11268" max="11268" width="6.75" style="586" customWidth="1"/>
    <col min="11269" max="11269" width="0" style="586" hidden="1" customWidth="1"/>
    <col min="11270" max="11270" width="4.375" style="586" customWidth="1"/>
    <col min="11271" max="11271" width="5.625" style="586" customWidth="1"/>
    <col min="11272" max="11272" width="5.375" style="586" customWidth="1"/>
    <col min="11273" max="11273" width="6.875" style="586" customWidth="1"/>
    <col min="11274" max="11274" width="5.125" style="586" customWidth="1"/>
    <col min="11275" max="11275" width="4.75" style="586" customWidth="1"/>
    <col min="11276" max="11276" width="5.625" style="586" customWidth="1"/>
    <col min="11277" max="11277" width="4.875" style="586" customWidth="1"/>
    <col min="11278" max="11278" width="5.25" style="586" customWidth="1"/>
    <col min="11279" max="11279" width="16.25" style="586" customWidth="1"/>
    <col min="11280" max="11280" width="9.25" style="586" customWidth="1"/>
    <col min="11281" max="11281" width="9.5" style="586" bestFit="1" customWidth="1"/>
    <col min="11282" max="11282" width="9.875" style="586" customWidth="1"/>
    <col min="11283" max="11284" width="10" style="586" customWidth="1"/>
    <col min="11285" max="11285" width="6.625" style="586" customWidth="1"/>
    <col min="11286" max="11286" width="6.5" style="586" customWidth="1"/>
    <col min="11287" max="11287" width="9" style="586"/>
    <col min="11288" max="11288" width="8.5" style="586" customWidth="1"/>
    <col min="11289" max="11289" width="6.375" style="586" customWidth="1"/>
    <col min="11290" max="11290" width="5.75" style="586" customWidth="1"/>
    <col min="11291" max="11291" width="12.625" style="586" customWidth="1"/>
    <col min="11292" max="11292" width="8.375" style="586" customWidth="1"/>
    <col min="11293" max="11293" width="24.875" style="586" customWidth="1"/>
    <col min="11294" max="11294" width="9" style="586"/>
    <col min="11295" max="11295" width="37.5" style="586" customWidth="1"/>
    <col min="11296" max="11512" width="9" style="586"/>
    <col min="11513" max="11514" width="3.75" style="586" customWidth="1"/>
    <col min="11515" max="11515" width="3.5" style="586" customWidth="1"/>
    <col min="11516" max="11516" width="3.875" style="586" customWidth="1"/>
    <col min="11517" max="11518" width="7.625" style="586" customWidth="1"/>
    <col min="11519" max="11519" width="6.375" style="586" customWidth="1"/>
    <col min="11520" max="11520" width="6.25" style="586" customWidth="1"/>
    <col min="11521" max="11521" width="6.625" style="586" customWidth="1"/>
    <col min="11522" max="11522" width="4.875" style="586" customWidth="1"/>
    <col min="11523" max="11523" width="4.75" style="586" customWidth="1"/>
    <col min="11524" max="11524" width="6.75" style="586" customWidth="1"/>
    <col min="11525" max="11525" width="0" style="586" hidden="1" customWidth="1"/>
    <col min="11526" max="11526" width="4.375" style="586" customWidth="1"/>
    <col min="11527" max="11527" width="5.625" style="586" customWidth="1"/>
    <col min="11528" max="11528" width="5.375" style="586" customWidth="1"/>
    <col min="11529" max="11529" width="6.875" style="586" customWidth="1"/>
    <col min="11530" max="11530" width="5.125" style="586" customWidth="1"/>
    <col min="11531" max="11531" width="4.75" style="586" customWidth="1"/>
    <col min="11532" max="11532" width="5.625" style="586" customWidth="1"/>
    <col min="11533" max="11533" width="4.875" style="586" customWidth="1"/>
    <col min="11534" max="11534" width="5.25" style="586" customWidth="1"/>
    <col min="11535" max="11535" width="16.25" style="586" customWidth="1"/>
    <col min="11536" max="11536" width="9.25" style="586" customWidth="1"/>
    <col min="11537" max="11537" width="9.5" style="586" bestFit="1" customWidth="1"/>
    <col min="11538" max="11538" width="9.875" style="586" customWidth="1"/>
    <col min="11539" max="11540" width="10" style="586" customWidth="1"/>
    <col min="11541" max="11541" width="6.625" style="586" customWidth="1"/>
    <col min="11542" max="11542" width="6.5" style="586" customWidth="1"/>
    <col min="11543" max="11543" width="9" style="586"/>
    <col min="11544" max="11544" width="8.5" style="586" customWidth="1"/>
    <col min="11545" max="11545" width="6.375" style="586" customWidth="1"/>
    <col min="11546" max="11546" width="5.75" style="586" customWidth="1"/>
    <col min="11547" max="11547" width="12.625" style="586" customWidth="1"/>
    <col min="11548" max="11548" width="8.375" style="586" customWidth="1"/>
    <col min="11549" max="11549" width="24.875" style="586" customWidth="1"/>
    <col min="11550" max="11550" width="9" style="586"/>
    <col min="11551" max="11551" width="37.5" style="586" customWidth="1"/>
    <col min="11552" max="11768" width="9" style="586"/>
    <col min="11769" max="11770" width="3.75" style="586" customWidth="1"/>
    <col min="11771" max="11771" width="3.5" style="586" customWidth="1"/>
    <col min="11772" max="11772" width="3.875" style="586" customWidth="1"/>
    <col min="11773" max="11774" width="7.625" style="586" customWidth="1"/>
    <col min="11775" max="11775" width="6.375" style="586" customWidth="1"/>
    <col min="11776" max="11776" width="6.25" style="586" customWidth="1"/>
    <col min="11777" max="11777" width="6.625" style="586" customWidth="1"/>
    <col min="11778" max="11778" width="4.875" style="586" customWidth="1"/>
    <col min="11779" max="11779" width="4.75" style="586" customWidth="1"/>
    <col min="11780" max="11780" width="6.75" style="586" customWidth="1"/>
    <col min="11781" max="11781" width="0" style="586" hidden="1" customWidth="1"/>
    <col min="11782" max="11782" width="4.375" style="586" customWidth="1"/>
    <col min="11783" max="11783" width="5.625" style="586" customWidth="1"/>
    <col min="11784" max="11784" width="5.375" style="586" customWidth="1"/>
    <col min="11785" max="11785" width="6.875" style="586" customWidth="1"/>
    <col min="11786" max="11786" width="5.125" style="586" customWidth="1"/>
    <col min="11787" max="11787" width="4.75" style="586" customWidth="1"/>
    <col min="11788" max="11788" width="5.625" style="586" customWidth="1"/>
    <col min="11789" max="11789" width="4.875" style="586" customWidth="1"/>
    <col min="11790" max="11790" width="5.25" style="586" customWidth="1"/>
    <col min="11791" max="11791" width="16.25" style="586" customWidth="1"/>
    <col min="11792" max="11792" width="9.25" style="586" customWidth="1"/>
    <col min="11793" max="11793" width="9.5" style="586" bestFit="1" customWidth="1"/>
    <col min="11794" max="11794" width="9.875" style="586" customWidth="1"/>
    <col min="11795" max="11796" width="10" style="586" customWidth="1"/>
    <col min="11797" max="11797" width="6.625" style="586" customWidth="1"/>
    <col min="11798" max="11798" width="6.5" style="586" customWidth="1"/>
    <col min="11799" max="11799" width="9" style="586"/>
    <col min="11800" max="11800" width="8.5" style="586" customWidth="1"/>
    <col min="11801" max="11801" width="6.375" style="586" customWidth="1"/>
    <col min="11802" max="11802" width="5.75" style="586" customWidth="1"/>
    <col min="11803" max="11803" width="12.625" style="586" customWidth="1"/>
    <col min="11804" max="11804" width="8.375" style="586" customWidth="1"/>
    <col min="11805" max="11805" width="24.875" style="586" customWidth="1"/>
    <col min="11806" max="11806" width="9" style="586"/>
    <col min="11807" max="11807" width="37.5" style="586" customWidth="1"/>
    <col min="11808" max="12024" width="9" style="586"/>
    <col min="12025" max="12026" width="3.75" style="586" customWidth="1"/>
    <col min="12027" max="12027" width="3.5" style="586" customWidth="1"/>
    <col min="12028" max="12028" width="3.875" style="586" customWidth="1"/>
    <col min="12029" max="12030" width="7.625" style="586" customWidth="1"/>
    <col min="12031" max="12031" width="6.375" style="586" customWidth="1"/>
    <col min="12032" max="12032" width="6.25" style="586" customWidth="1"/>
    <col min="12033" max="12033" width="6.625" style="586" customWidth="1"/>
    <col min="12034" max="12034" width="4.875" style="586" customWidth="1"/>
    <col min="12035" max="12035" width="4.75" style="586" customWidth="1"/>
    <col min="12036" max="12036" width="6.75" style="586" customWidth="1"/>
    <col min="12037" max="12037" width="0" style="586" hidden="1" customWidth="1"/>
    <col min="12038" max="12038" width="4.375" style="586" customWidth="1"/>
    <col min="12039" max="12039" width="5.625" style="586" customWidth="1"/>
    <col min="12040" max="12040" width="5.375" style="586" customWidth="1"/>
    <col min="12041" max="12041" width="6.875" style="586" customWidth="1"/>
    <col min="12042" max="12042" width="5.125" style="586" customWidth="1"/>
    <col min="12043" max="12043" width="4.75" style="586" customWidth="1"/>
    <col min="12044" max="12044" width="5.625" style="586" customWidth="1"/>
    <col min="12045" max="12045" width="4.875" style="586" customWidth="1"/>
    <col min="12046" max="12046" width="5.25" style="586" customWidth="1"/>
    <col min="12047" max="12047" width="16.25" style="586" customWidth="1"/>
    <col min="12048" max="12048" width="9.25" style="586" customWidth="1"/>
    <col min="12049" max="12049" width="9.5" style="586" bestFit="1" customWidth="1"/>
    <col min="12050" max="12050" width="9.875" style="586" customWidth="1"/>
    <col min="12051" max="12052" width="10" style="586" customWidth="1"/>
    <col min="12053" max="12053" width="6.625" style="586" customWidth="1"/>
    <col min="12054" max="12054" width="6.5" style="586" customWidth="1"/>
    <col min="12055" max="12055" width="9" style="586"/>
    <col min="12056" max="12056" width="8.5" style="586" customWidth="1"/>
    <col min="12057" max="12057" width="6.375" style="586" customWidth="1"/>
    <col min="12058" max="12058" width="5.75" style="586" customWidth="1"/>
    <col min="12059" max="12059" width="12.625" style="586" customWidth="1"/>
    <col min="12060" max="12060" width="8.375" style="586" customWidth="1"/>
    <col min="12061" max="12061" width="24.875" style="586" customWidth="1"/>
    <col min="12062" max="12062" width="9" style="586"/>
    <col min="12063" max="12063" width="37.5" style="586" customWidth="1"/>
    <col min="12064" max="12280" width="9" style="586"/>
    <col min="12281" max="12282" width="3.75" style="586" customWidth="1"/>
    <col min="12283" max="12283" width="3.5" style="586" customWidth="1"/>
    <col min="12284" max="12284" width="3.875" style="586" customWidth="1"/>
    <col min="12285" max="12286" width="7.625" style="586" customWidth="1"/>
    <col min="12287" max="12287" width="6.375" style="586" customWidth="1"/>
    <col min="12288" max="12288" width="6.25" style="586" customWidth="1"/>
    <col min="12289" max="12289" width="6.625" style="586" customWidth="1"/>
    <col min="12290" max="12290" width="4.875" style="586" customWidth="1"/>
    <col min="12291" max="12291" width="4.75" style="586" customWidth="1"/>
    <col min="12292" max="12292" width="6.75" style="586" customWidth="1"/>
    <col min="12293" max="12293" width="0" style="586" hidden="1" customWidth="1"/>
    <col min="12294" max="12294" width="4.375" style="586" customWidth="1"/>
    <col min="12295" max="12295" width="5.625" style="586" customWidth="1"/>
    <col min="12296" max="12296" width="5.375" style="586" customWidth="1"/>
    <col min="12297" max="12297" width="6.875" style="586" customWidth="1"/>
    <col min="12298" max="12298" width="5.125" style="586" customWidth="1"/>
    <col min="12299" max="12299" width="4.75" style="586" customWidth="1"/>
    <col min="12300" max="12300" width="5.625" style="586" customWidth="1"/>
    <col min="12301" max="12301" width="4.875" style="586" customWidth="1"/>
    <col min="12302" max="12302" width="5.25" style="586" customWidth="1"/>
    <col min="12303" max="12303" width="16.25" style="586" customWidth="1"/>
    <col min="12304" max="12304" width="9.25" style="586" customWidth="1"/>
    <col min="12305" max="12305" width="9.5" style="586" bestFit="1" customWidth="1"/>
    <col min="12306" max="12306" width="9.875" style="586" customWidth="1"/>
    <col min="12307" max="12308" width="10" style="586" customWidth="1"/>
    <col min="12309" max="12309" width="6.625" style="586" customWidth="1"/>
    <col min="12310" max="12310" width="6.5" style="586" customWidth="1"/>
    <col min="12311" max="12311" width="9" style="586"/>
    <col min="12312" max="12312" width="8.5" style="586" customWidth="1"/>
    <col min="12313" max="12313" width="6.375" style="586" customWidth="1"/>
    <col min="12314" max="12314" width="5.75" style="586" customWidth="1"/>
    <col min="12315" max="12315" width="12.625" style="586" customWidth="1"/>
    <col min="12316" max="12316" width="8.375" style="586" customWidth="1"/>
    <col min="12317" max="12317" width="24.875" style="586" customWidth="1"/>
    <col min="12318" max="12318" width="9" style="586"/>
    <col min="12319" max="12319" width="37.5" style="586" customWidth="1"/>
    <col min="12320" max="12536" width="9" style="586"/>
    <col min="12537" max="12538" width="3.75" style="586" customWidth="1"/>
    <col min="12539" max="12539" width="3.5" style="586" customWidth="1"/>
    <col min="12540" max="12540" width="3.875" style="586" customWidth="1"/>
    <col min="12541" max="12542" width="7.625" style="586" customWidth="1"/>
    <col min="12543" max="12543" width="6.375" style="586" customWidth="1"/>
    <col min="12544" max="12544" width="6.25" style="586" customWidth="1"/>
    <col min="12545" max="12545" width="6.625" style="586" customWidth="1"/>
    <col min="12546" max="12546" width="4.875" style="586" customWidth="1"/>
    <col min="12547" max="12547" width="4.75" style="586" customWidth="1"/>
    <col min="12548" max="12548" width="6.75" style="586" customWidth="1"/>
    <col min="12549" max="12549" width="0" style="586" hidden="1" customWidth="1"/>
    <col min="12550" max="12550" width="4.375" style="586" customWidth="1"/>
    <col min="12551" max="12551" width="5.625" style="586" customWidth="1"/>
    <col min="12552" max="12552" width="5.375" style="586" customWidth="1"/>
    <col min="12553" max="12553" width="6.875" style="586" customWidth="1"/>
    <col min="12554" max="12554" width="5.125" style="586" customWidth="1"/>
    <col min="12555" max="12555" width="4.75" style="586" customWidth="1"/>
    <col min="12556" max="12556" width="5.625" style="586" customWidth="1"/>
    <col min="12557" max="12557" width="4.875" style="586" customWidth="1"/>
    <col min="12558" max="12558" width="5.25" style="586" customWidth="1"/>
    <col min="12559" max="12559" width="16.25" style="586" customWidth="1"/>
    <col min="12560" max="12560" width="9.25" style="586" customWidth="1"/>
    <col min="12561" max="12561" width="9.5" style="586" bestFit="1" customWidth="1"/>
    <col min="12562" max="12562" width="9.875" style="586" customWidth="1"/>
    <col min="12563" max="12564" width="10" style="586" customWidth="1"/>
    <col min="12565" max="12565" width="6.625" style="586" customWidth="1"/>
    <col min="12566" max="12566" width="6.5" style="586" customWidth="1"/>
    <col min="12567" max="12567" width="9" style="586"/>
    <col min="12568" max="12568" width="8.5" style="586" customWidth="1"/>
    <col min="12569" max="12569" width="6.375" style="586" customWidth="1"/>
    <col min="12570" max="12570" width="5.75" style="586" customWidth="1"/>
    <col min="12571" max="12571" width="12.625" style="586" customWidth="1"/>
    <col min="12572" max="12572" width="8.375" style="586" customWidth="1"/>
    <col min="12573" max="12573" width="24.875" style="586" customWidth="1"/>
    <col min="12574" max="12574" width="9" style="586"/>
    <col min="12575" max="12575" width="37.5" style="586" customWidth="1"/>
    <col min="12576" max="12792" width="9" style="586"/>
    <col min="12793" max="12794" width="3.75" style="586" customWidth="1"/>
    <col min="12795" max="12795" width="3.5" style="586" customWidth="1"/>
    <col min="12796" max="12796" width="3.875" style="586" customWidth="1"/>
    <col min="12797" max="12798" width="7.625" style="586" customWidth="1"/>
    <col min="12799" max="12799" width="6.375" style="586" customWidth="1"/>
    <col min="12800" max="12800" width="6.25" style="586" customWidth="1"/>
    <col min="12801" max="12801" width="6.625" style="586" customWidth="1"/>
    <col min="12802" max="12802" width="4.875" style="586" customWidth="1"/>
    <col min="12803" max="12803" width="4.75" style="586" customWidth="1"/>
    <col min="12804" max="12804" width="6.75" style="586" customWidth="1"/>
    <col min="12805" max="12805" width="0" style="586" hidden="1" customWidth="1"/>
    <col min="12806" max="12806" width="4.375" style="586" customWidth="1"/>
    <col min="12807" max="12807" width="5.625" style="586" customWidth="1"/>
    <col min="12808" max="12808" width="5.375" style="586" customWidth="1"/>
    <col min="12809" max="12809" width="6.875" style="586" customWidth="1"/>
    <col min="12810" max="12810" width="5.125" style="586" customWidth="1"/>
    <col min="12811" max="12811" width="4.75" style="586" customWidth="1"/>
    <col min="12812" max="12812" width="5.625" style="586" customWidth="1"/>
    <col min="12813" max="12813" width="4.875" style="586" customWidth="1"/>
    <col min="12814" max="12814" width="5.25" style="586" customWidth="1"/>
    <col min="12815" max="12815" width="16.25" style="586" customWidth="1"/>
    <col min="12816" max="12816" width="9.25" style="586" customWidth="1"/>
    <col min="12817" max="12817" width="9.5" style="586" bestFit="1" customWidth="1"/>
    <col min="12818" max="12818" width="9.875" style="586" customWidth="1"/>
    <col min="12819" max="12820" width="10" style="586" customWidth="1"/>
    <col min="12821" max="12821" width="6.625" style="586" customWidth="1"/>
    <col min="12822" max="12822" width="6.5" style="586" customWidth="1"/>
    <col min="12823" max="12823" width="9" style="586"/>
    <col min="12824" max="12824" width="8.5" style="586" customWidth="1"/>
    <col min="12825" max="12825" width="6.375" style="586" customWidth="1"/>
    <col min="12826" max="12826" width="5.75" style="586" customWidth="1"/>
    <col min="12827" max="12827" width="12.625" style="586" customWidth="1"/>
    <col min="12828" max="12828" width="8.375" style="586" customWidth="1"/>
    <col min="12829" max="12829" width="24.875" style="586" customWidth="1"/>
    <col min="12830" max="12830" width="9" style="586"/>
    <col min="12831" max="12831" width="37.5" style="586" customWidth="1"/>
    <col min="12832" max="13048" width="9" style="586"/>
    <col min="13049" max="13050" width="3.75" style="586" customWidth="1"/>
    <col min="13051" max="13051" width="3.5" style="586" customWidth="1"/>
    <col min="13052" max="13052" width="3.875" style="586" customWidth="1"/>
    <col min="13053" max="13054" width="7.625" style="586" customWidth="1"/>
    <col min="13055" max="13055" width="6.375" style="586" customWidth="1"/>
    <col min="13056" max="13056" width="6.25" style="586" customWidth="1"/>
    <col min="13057" max="13057" width="6.625" style="586" customWidth="1"/>
    <col min="13058" max="13058" width="4.875" style="586" customWidth="1"/>
    <col min="13059" max="13059" width="4.75" style="586" customWidth="1"/>
    <col min="13060" max="13060" width="6.75" style="586" customWidth="1"/>
    <col min="13061" max="13061" width="0" style="586" hidden="1" customWidth="1"/>
    <col min="13062" max="13062" width="4.375" style="586" customWidth="1"/>
    <col min="13063" max="13063" width="5.625" style="586" customWidth="1"/>
    <col min="13064" max="13064" width="5.375" style="586" customWidth="1"/>
    <col min="13065" max="13065" width="6.875" style="586" customWidth="1"/>
    <col min="13066" max="13066" width="5.125" style="586" customWidth="1"/>
    <col min="13067" max="13067" width="4.75" style="586" customWidth="1"/>
    <col min="13068" max="13068" width="5.625" style="586" customWidth="1"/>
    <col min="13069" max="13069" width="4.875" style="586" customWidth="1"/>
    <col min="13070" max="13070" width="5.25" style="586" customWidth="1"/>
    <col min="13071" max="13071" width="16.25" style="586" customWidth="1"/>
    <col min="13072" max="13072" width="9.25" style="586" customWidth="1"/>
    <col min="13073" max="13073" width="9.5" style="586" bestFit="1" customWidth="1"/>
    <col min="13074" max="13074" width="9.875" style="586" customWidth="1"/>
    <col min="13075" max="13076" width="10" style="586" customWidth="1"/>
    <col min="13077" max="13077" width="6.625" style="586" customWidth="1"/>
    <col min="13078" max="13078" width="6.5" style="586" customWidth="1"/>
    <col min="13079" max="13079" width="9" style="586"/>
    <col min="13080" max="13080" width="8.5" style="586" customWidth="1"/>
    <col min="13081" max="13081" width="6.375" style="586" customWidth="1"/>
    <col min="13082" max="13082" width="5.75" style="586" customWidth="1"/>
    <col min="13083" max="13083" width="12.625" style="586" customWidth="1"/>
    <col min="13084" max="13084" width="8.375" style="586" customWidth="1"/>
    <col min="13085" max="13085" width="24.875" style="586" customWidth="1"/>
    <col min="13086" max="13086" width="9" style="586"/>
    <col min="13087" max="13087" width="37.5" style="586" customWidth="1"/>
    <col min="13088" max="13304" width="9" style="586"/>
    <col min="13305" max="13306" width="3.75" style="586" customWidth="1"/>
    <col min="13307" max="13307" width="3.5" style="586" customWidth="1"/>
    <col min="13308" max="13308" width="3.875" style="586" customWidth="1"/>
    <col min="13309" max="13310" width="7.625" style="586" customWidth="1"/>
    <col min="13311" max="13311" width="6.375" style="586" customWidth="1"/>
    <col min="13312" max="13312" width="6.25" style="586" customWidth="1"/>
    <col min="13313" max="13313" width="6.625" style="586" customWidth="1"/>
    <col min="13314" max="13314" width="4.875" style="586" customWidth="1"/>
    <col min="13315" max="13315" width="4.75" style="586" customWidth="1"/>
    <col min="13316" max="13316" width="6.75" style="586" customWidth="1"/>
    <col min="13317" max="13317" width="0" style="586" hidden="1" customWidth="1"/>
    <col min="13318" max="13318" width="4.375" style="586" customWidth="1"/>
    <col min="13319" max="13319" width="5.625" style="586" customWidth="1"/>
    <col min="13320" max="13320" width="5.375" style="586" customWidth="1"/>
    <col min="13321" max="13321" width="6.875" style="586" customWidth="1"/>
    <col min="13322" max="13322" width="5.125" style="586" customWidth="1"/>
    <col min="13323" max="13323" width="4.75" style="586" customWidth="1"/>
    <col min="13324" max="13324" width="5.625" style="586" customWidth="1"/>
    <col min="13325" max="13325" width="4.875" style="586" customWidth="1"/>
    <col min="13326" max="13326" width="5.25" style="586" customWidth="1"/>
    <col min="13327" max="13327" width="16.25" style="586" customWidth="1"/>
    <col min="13328" max="13328" width="9.25" style="586" customWidth="1"/>
    <col min="13329" max="13329" width="9.5" style="586" bestFit="1" customWidth="1"/>
    <col min="13330" max="13330" width="9.875" style="586" customWidth="1"/>
    <col min="13331" max="13332" width="10" style="586" customWidth="1"/>
    <col min="13333" max="13333" width="6.625" style="586" customWidth="1"/>
    <col min="13334" max="13334" width="6.5" style="586" customWidth="1"/>
    <col min="13335" max="13335" width="9" style="586"/>
    <col min="13336" max="13336" width="8.5" style="586" customWidth="1"/>
    <col min="13337" max="13337" width="6.375" style="586" customWidth="1"/>
    <col min="13338" max="13338" width="5.75" style="586" customWidth="1"/>
    <col min="13339" max="13339" width="12.625" style="586" customWidth="1"/>
    <col min="13340" max="13340" width="8.375" style="586" customWidth="1"/>
    <col min="13341" max="13341" width="24.875" style="586" customWidth="1"/>
    <col min="13342" max="13342" width="9" style="586"/>
    <col min="13343" max="13343" width="37.5" style="586" customWidth="1"/>
    <col min="13344" max="13560" width="9" style="586"/>
    <col min="13561" max="13562" width="3.75" style="586" customWidth="1"/>
    <col min="13563" max="13563" width="3.5" style="586" customWidth="1"/>
    <col min="13564" max="13564" width="3.875" style="586" customWidth="1"/>
    <col min="13565" max="13566" width="7.625" style="586" customWidth="1"/>
    <col min="13567" max="13567" width="6.375" style="586" customWidth="1"/>
    <col min="13568" max="13568" width="6.25" style="586" customWidth="1"/>
    <col min="13569" max="13569" width="6.625" style="586" customWidth="1"/>
    <col min="13570" max="13570" width="4.875" style="586" customWidth="1"/>
    <col min="13571" max="13571" width="4.75" style="586" customWidth="1"/>
    <col min="13572" max="13572" width="6.75" style="586" customWidth="1"/>
    <col min="13573" max="13573" width="0" style="586" hidden="1" customWidth="1"/>
    <col min="13574" max="13574" width="4.375" style="586" customWidth="1"/>
    <col min="13575" max="13575" width="5.625" style="586" customWidth="1"/>
    <col min="13576" max="13576" width="5.375" style="586" customWidth="1"/>
    <col min="13577" max="13577" width="6.875" style="586" customWidth="1"/>
    <col min="13578" max="13578" width="5.125" style="586" customWidth="1"/>
    <col min="13579" max="13579" width="4.75" style="586" customWidth="1"/>
    <col min="13580" max="13580" width="5.625" style="586" customWidth="1"/>
    <col min="13581" max="13581" width="4.875" style="586" customWidth="1"/>
    <col min="13582" max="13582" width="5.25" style="586" customWidth="1"/>
    <col min="13583" max="13583" width="16.25" style="586" customWidth="1"/>
    <col min="13584" max="13584" width="9.25" style="586" customWidth="1"/>
    <col min="13585" max="13585" width="9.5" style="586" bestFit="1" customWidth="1"/>
    <col min="13586" max="13586" width="9.875" style="586" customWidth="1"/>
    <col min="13587" max="13588" width="10" style="586" customWidth="1"/>
    <col min="13589" max="13589" width="6.625" style="586" customWidth="1"/>
    <col min="13590" max="13590" width="6.5" style="586" customWidth="1"/>
    <col min="13591" max="13591" width="9" style="586"/>
    <col min="13592" max="13592" width="8.5" style="586" customWidth="1"/>
    <col min="13593" max="13593" width="6.375" style="586" customWidth="1"/>
    <col min="13594" max="13594" width="5.75" style="586" customWidth="1"/>
    <col min="13595" max="13595" width="12.625" style="586" customWidth="1"/>
    <col min="13596" max="13596" width="8.375" style="586" customWidth="1"/>
    <col min="13597" max="13597" width="24.875" style="586" customWidth="1"/>
    <col min="13598" max="13598" width="9" style="586"/>
    <col min="13599" max="13599" width="37.5" style="586" customWidth="1"/>
    <col min="13600" max="13816" width="9" style="586"/>
    <col min="13817" max="13818" width="3.75" style="586" customWidth="1"/>
    <col min="13819" max="13819" width="3.5" style="586" customWidth="1"/>
    <col min="13820" max="13820" width="3.875" style="586" customWidth="1"/>
    <col min="13821" max="13822" width="7.625" style="586" customWidth="1"/>
    <col min="13823" max="13823" width="6.375" style="586" customWidth="1"/>
    <col min="13824" max="13824" width="6.25" style="586" customWidth="1"/>
    <col min="13825" max="13825" width="6.625" style="586" customWidth="1"/>
    <col min="13826" max="13826" width="4.875" style="586" customWidth="1"/>
    <col min="13827" max="13827" width="4.75" style="586" customWidth="1"/>
    <col min="13828" max="13828" width="6.75" style="586" customWidth="1"/>
    <col min="13829" max="13829" width="0" style="586" hidden="1" customWidth="1"/>
    <col min="13830" max="13830" width="4.375" style="586" customWidth="1"/>
    <col min="13831" max="13831" width="5.625" style="586" customWidth="1"/>
    <col min="13832" max="13832" width="5.375" style="586" customWidth="1"/>
    <col min="13833" max="13833" width="6.875" style="586" customWidth="1"/>
    <col min="13834" max="13834" width="5.125" style="586" customWidth="1"/>
    <col min="13835" max="13835" width="4.75" style="586" customWidth="1"/>
    <col min="13836" max="13836" width="5.625" style="586" customWidth="1"/>
    <col min="13837" max="13837" width="4.875" style="586" customWidth="1"/>
    <col min="13838" max="13838" width="5.25" style="586" customWidth="1"/>
    <col min="13839" max="13839" width="16.25" style="586" customWidth="1"/>
    <col min="13840" max="13840" width="9.25" style="586" customWidth="1"/>
    <col min="13841" max="13841" width="9.5" style="586" bestFit="1" customWidth="1"/>
    <col min="13842" max="13842" width="9.875" style="586" customWidth="1"/>
    <col min="13843" max="13844" width="10" style="586" customWidth="1"/>
    <col min="13845" max="13845" width="6.625" style="586" customWidth="1"/>
    <col min="13846" max="13846" width="6.5" style="586" customWidth="1"/>
    <col min="13847" max="13847" width="9" style="586"/>
    <col min="13848" max="13848" width="8.5" style="586" customWidth="1"/>
    <col min="13849" max="13849" width="6.375" style="586" customWidth="1"/>
    <col min="13850" max="13850" width="5.75" style="586" customWidth="1"/>
    <col min="13851" max="13851" width="12.625" style="586" customWidth="1"/>
    <col min="13852" max="13852" width="8.375" style="586" customWidth="1"/>
    <col min="13853" max="13853" width="24.875" style="586" customWidth="1"/>
    <col min="13854" max="13854" width="9" style="586"/>
    <col min="13855" max="13855" width="37.5" style="586" customWidth="1"/>
    <col min="13856" max="14072" width="9" style="586"/>
    <col min="14073" max="14074" width="3.75" style="586" customWidth="1"/>
    <col min="14075" max="14075" width="3.5" style="586" customWidth="1"/>
    <col min="14076" max="14076" width="3.875" style="586" customWidth="1"/>
    <col min="14077" max="14078" width="7.625" style="586" customWidth="1"/>
    <col min="14079" max="14079" width="6.375" style="586" customWidth="1"/>
    <col min="14080" max="14080" width="6.25" style="586" customWidth="1"/>
    <col min="14081" max="14081" width="6.625" style="586" customWidth="1"/>
    <col min="14082" max="14082" width="4.875" style="586" customWidth="1"/>
    <col min="14083" max="14083" width="4.75" style="586" customWidth="1"/>
    <col min="14084" max="14084" width="6.75" style="586" customWidth="1"/>
    <col min="14085" max="14085" width="0" style="586" hidden="1" customWidth="1"/>
    <col min="14086" max="14086" width="4.375" style="586" customWidth="1"/>
    <col min="14087" max="14087" width="5.625" style="586" customWidth="1"/>
    <col min="14088" max="14088" width="5.375" style="586" customWidth="1"/>
    <col min="14089" max="14089" width="6.875" style="586" customWidth="1"/>
    <col min="14090" max="14090" width="5.125" style="586" customWidth="1"/>
    <col min="14091" max="14091" width="4.75" style="586" customWidth="1"/>
    <col min="14092" max="14092" width="5.625" style="586" customWidth="1"/>
    <col min="14093" max="14093" width="4.875" style="586" customWidth="1"/>
    <col min="14094" max="14094" width="5.25" style="586" customWidth="1"/>
    <col min="14095" max="14095" width="16.25" style="586" customWidth="1"/>
    <col min="14096" max="14096" width="9.25" style="586" customWidth="1"/>
    <col min="14097" max="14097" width="9.5" style="586" bestFit="1" customWidth="1"/>
    <col min="14098" max="14098" width="9.875" style="586" customWidth="1"/>
    <col min="14099" max="14100" width="10" style="586" customWidth="1"/>
    <col min="14101" max="14101" width="6.625" style="586" customWidth="1"/>
    <col min="14102" max="14102" width="6.5" style="586" customWidth="1"/>
    <col min="14103" max="14103" width="9" style="586"/>
    <col min="14104" max="14104" width="8.5" style="586" customWidth="1"/>
    <col min="14105" max="14105" width="6.375" style="586" customWidth="1"/>
    <col min="14106" max="14106" width="5.75" style="586" customWidth="1"/>
    <col min="14107" max="14107" width="12.625" style="586" customWidth="1"/>
    <col min="14108" max="14108" width="8.375" style="586" customWidth="1"/>
    <col min="14109" max="14109" width="24.875" style="586" customWidth="1"/>
    <col min="14110" max="14110" width="9" style="586"/>
    <col min="14111" max="14111" width="37.5" style="586" customWidth="1"/>
    <col min="14112" max="14328" width="9" style="586"/>
    <col min="14329" max="14330" width="3.75" style="586" customWidth="1"/>
    <col min="14331" max="14331" width="3.5" style="586" customWidth="1"/>
    <col min="14332" max="14332" width="3.875" style="586" customWidth="1"/>
    <col min="14333" max="14334" width="7.625" style="586" customWidth="1"/>
    <col min="14335" max="14335" width="6.375" style="586" customWidth="1"/>
    <col min="14336" max="14336" width="6.25" style="586" customWidth="1"/>
    <col min="14337" max="14337" width="6.625" style="586" customWidth="1"/>
    <col min="14338" max="14338" width="4.875" style="586" customWidth="1"/>
    <col min="14339" max="14339" width="4.75" style="586" customWidth="1"/>
    <col min="14340" max="14340" width="6.75" style="586" customWidth="1"/>
    <col min="14341" max="14341" width="0" style="586" hidden="1" customWidth="1"/>
    <col min="14342" max="14342" width="4.375" style="586" customWidth="1"/>
    <col min="14343" max="14343" width="5.625" style="586" customWidth="1"/>
    <col min="14344" max="14344" width="5.375" style="586" customWidth="1"/>
    <col min="14345" max="14345" width="6.875" style="586" customWidth="1"/>
    <col min="14346" max="14346" width="5.125" style="586" customWidth="1"/>
    <col min="14347" max="14347" width="4.75" style="586" customWidth="1"/>
    <col min="14348" max="14348" width="5.625" style="586" customWidth="1"/>
    <col min="14349" max="14349" width="4.875" style="586" customWidth="1"/>
    <col min="14350" max="14350" width="5.25" style="586" customWidth="1"/>
    <col min="14351" max="14351" width="16.25" style="586" customWidth="1"/>
    <col min="14352" max="14352" width="9.25" style="586" customWidth="1"/>
    <col min="14353" max="14353" width="9.5" style="586" bestFit="1" customWidth="1"/>
    <col min="14354" max="14354" width="9.875" style="586" customWidth="1"/>
    <col min="14355" max="14356" width="10" style="586" customWidth="1"/>
    <col min="14357" max="14357" width="6.625" style="586" customWidth="1"/>
    <col min="14358" max="14358" width="6.5" style="586" customWidth="1"/>
    <col min="14359" max="14359" width="9" style="586"/>
    <col min="14360" max="14360" width="8.5" style="586" customWidth="1"/>
    <col min="14361" max="14361" width="6.375" style="586" customWidth="1"/>
    <col min="14362" max="14362" width="5.75" style="586" customWidth="1"/>
    <col min="14363" max="14363" width="12.625" style="586" customWidth="1"/>
    <col min="14364" max="14364" width="8.375" style="586" customWidth="1"/>
    <col min="14365" max="14365" width="24.875" style="586" customWidth="1"/>
    <col min="14366" max="14366" width="9" style="586"/>
    <col min="14367" max="14367" width="37.5" style="586" customWidth="1"/>
    <col min="14368" max="14584" width="9" style="586"/>
    <col min="14585" max="14586" width="3.75" style="586" customWidth="1"/>
    <col min="14587" max="14587" width="3.5" style="586" customWidth="1"/>
    <col min="14588" max="14588" width="3.875" style="586" customWidth="1"/>
    <col min="14589" max="14590" width="7.625" style="586" customWidth="1"/>
    <col min="14591" max="14591" width="6.375" style="586" customWidth="1"/>
    <col min="14592" max="14592" width="6.25" style="586" customWidth="1"/>
    <col min="14593" max="14593" width="6.625" style="586" customWidth="1"/>
    <col min="14594" max="14594" width="4.875" style="586" customWidth="1"/>
    <col min="14595" max="14595" width="4.75" style="586" customWidth="1"/>
    <col min="14596" max="14596" width="6.75" style="586" customWidth="1"/>
    <col min="14597" max="14597" width="0" style="586" hidden="1" customWidth="1"/>
    <col min="14598" max="14598" width="4.375" style="586" customWidth="1"/>
    <col min="14599" max="14599" width="5.625" style="586" customWidth="1"/>
    <col min="14600" max="14600" width="5.375" style="586" customWidth="1"/>
    <col min="14601" max="14601" width="6.875" style="586" customWidth="1"/>
    <col min="14602" max="14602" width="5.125" style="586" customWidth="1"/>
    <col min="14603" max="14603" width="4.75" style="586" customWidth="1"/>
    <col min="14604" max="14604" width="5.625" style="586" customWidth="1"/>
    <col min="14605" max="14605" width="4.875" style="586" customWidth="1"/>
    <col min="14606" max="14606" width="5.25" style="586" customWidth="1"/>
    <col min="14607" max="14607" width="16.25" style="586" customWidth="1"/>
    <col min="14608" max="14608" width="9.25" style="586" customWidth="1"/>
    <col min="14609" max="14609" width="9.5" style="586" bestFit="1" customWidth="1"/>
    <col min="14610" max="14610" width="9.875" style="586" customWidth="1"/>
    <col min="14611" max="14612" width="10" style="586" customWidth="1"/>
    <col min="14613" max="14613" width="6.625" style="586" customWidth="1"/>
    <col min="14614" max="14614" width="6.5" style="586" customWidth="1"/>
    <col min="14615" max="14615" width="9" style="586"/>
    <col min="14616" max="14616" width="8.5" style="586" customWidth="1"/>
    <col min="14617" max="14617" width="6.375" style="586" customWidth="1"/>
    <col min="14618" max="14618" width="5.75" style="586" customWidth="1"/>
    <col min="14619" max="14619" width="12.625" style="586" customWidth="1"/>
    <col min="14620" max="14620" width="8.375" style="586" customWidth="1"/>
    <col min="14621" max="14621" width="24.875" style="586" customWidth="1"/>
    <col min="14622" max="14622" width="9" style="586"/>
    <col min="14623" max="14623" width="37.5" style="586" customWidth="1"/>
    <col min="14624" max="14840" width="9" style="586"/>
    <col min="14841" max="14842" width="3.75" style="586" customWidth="1"/>
    <col min="14843" max="14843" width="3.5" style="586" customWidth="1"/>
    <col min="14844" max="14844" width="3.875" style="586" customWidth="1"/>
    <col min="14845" max="14846" width="7.625" style="586" customWidth="1"/>
    <col min="14847" max="14847" width="6.375" style="586" customWidth="1"/>
    <col min="14848" max="14848" width="6.25" style="586" customWidth="1"/>
    <col min="14849" max="14849" width="6.625" style="586" customWidth="1"/>
    <col min="14850" max="14850" width="4.875" style="586" customWidth="1"/>
    <col min="14851" max="14851" width="4.75" style="586" customWidth="1"/>
    <col min="14852" max="14852" width="6.75" style="586" customWidth="1"/>
    <col min="14853" max="14853" width="0" style="586" hidden="1" customWidth="1"/>
    <col min="14854" max="14854" width="4.375" style="586" customWidth="1"/>
    <col min="14855" max="14855" width="5.625" style="586" customWidth="1"/>
    <col min="14856" max="14856" width="5.375" style="586" customWidth="1"/>
    <col min="14857" max="14857" width="6.875" style="586" customWidth="1"/>
    <col min="14858" max="14858" width="5.125" style="586" customWidth="1"/>
    <col min="14859" max="14859" width="4.75" style="586" customWidth="1"/>
    <col min="14860" max="14860" width="5.625" style="586" customWidth="1"/>
    <col min="14861" max="14861" width="4.875" style="586" customWidth="1"/>
    <col min="14862" max="14862" width="5.25" style="586" customWidth="1"/>
    <col min="14863" max="14863" width="16.25" style="586" customWidth="1"/>
    <col min="14864" max="14864" width="9.25" style="586" customWidth="1"/>
    <col min="14865" max="14865" width="9.5" style="586" bestFit="1" customWidth="1"/>
    <col min="14866" max="14866" width="9.875" style="586" customWidth="1"/>
    <col min="14867" max="14868" width="10" style="586" customWidth="1"/>
    <col min="14869" max="14869" width="6.625" style="586" customWidth="1"/>
    <col min="14870" max="14870" width="6.5" style="586" customWidth="1"/>
    <col min="14871" max="14871" width="9" style="586"/>
    <col min="14872" max="14872" width="8.5" style="586" customWidth="1"/>
    <col min="14873" max="14873" width="6.375" style="586" customWidth="1"/>
    <col min="14874" max="14874" width="5.75" style="586" customWidth="1"/>
    <col min="14875" max="14875" width="12.625" style="586" customWidth="1"/>
    <col min="14876" max="14876" width="8.375" style="586" customWidth="1"/>
    <col min="14877" max="14877" width="24.875" style="586" customWidth="1"/>
    <col min="14878" max="14878" width="9" style="586"/>
    <col min="14879" max="14879" width="37.5" style="586" customWidth="1"/>
    <col min="14880" max="15096" width="9" style="586"/>
    <col min="15097" max="15098" width="3.75" style="586" customWidth="1"/>
    <col min="15099" max="15099" width="3.5" style="586" customWidth="1"/>
    <col min="15100" max="15100" width="3.875" style="586" customWidth="1"/>
    <col min="15101" max="15102" width="7.625" style="586" customWidth="1"/>
    <col min="15103" max="15103" width="6.375" style="586" customWidth="1"/>
    <col min="15104" max="15104" width="6.25" style="586" customWidth="1"/>
    <col min="15105" max="15105" width="6.625" style="586" customWidth="1"/>
    <col min="15106" max="15106" width="4.875" style="586" customWidth="1"/>
    <col min="15107" max="15107" width="4.75" style="586" customWidth="1"/>
    <col min="15108" max="15108" width="6.75" style="586" customWidth="1"/>
    <col min="15109" max="15109" width="0" style="586" hidden="1" customWidth="1"/>
    <col min="15110" max="15110" width="4.375" style="586" customWidth="1"/>
    <col min="15111" max="15111" width="5.625" style="586" customWidth="1"/>
    <col min="15112" max="15112" width="5.375" style="586" customWidth="1"/>
    <col min="15113" max="15113" width="6.875" style="586" customWidth="1"/>
    <col min="15114" max="15114" width="5.125" style="586" customWidth="1"/>
    <col min="15115" max="15115" width="4.75" style="586" customWidth="1"/>
    <col min="15116" max="15116" width="5.625" style="586" customWidth="1"/>
    <col min="15117" max="15117" width="4.875" style="586" customWidth="1"/>
    <col min="15118" max="15118" width="5.25" style="586" customWidth="1"/>
    <col min="15119" max="15119" width="16.25" style="586" customWidth="1"/>
    <col min="15120" max="15120" width="9.25" style="586" customWidth="1"/>
    <col min="15121" max="15121" width="9.5" style="586" bestFit="1" customWidth="1"/>
    <col min="15122" max="15122" width="9.875" style="586" customWidth="1"/>
    <col min="15123" max="15124" width="10" style="586" customWidth="1"/>
    <col min="15125" max="15125" width="6.625" style="586" customWidth="1"/>
    <col min="15126" max="15126" width="6.5" style="586" customWidth="1"/>
    <col min="15127" max="15127" width="9" style="586"/>
    <col min="15128" max="15128" width="8.5" style="586" customWidth="1"/>
    <col min="15129" max="15129" width="6.375" style="586" customWidth="1"/>
    <col min="15130" max="15130" width="5.75" style="586" customWidth="1"/>
    <col min="15131" max="15131" width="12.625" style="586" customWidth="1"/>
    <col min="15132" max="15132" width="8.375" style="586" customWidth="1"/>
    <col min="15133" max="15133" width="24.875" style="586" customWidth="1"/>
    <col min="15134" max="15134" width="9" style="586"/>
    <col min="15135" max="15135" width="37.5" style="586" customWidth="1"/>
    <col min="15136" max="15352" width="9" style="586"/>
    <col min="15353" max="15354" width="3.75" style="586" customWidth="1"/>
    <col min="15355" max="15355" width="3.5" style="586" customWidth="1"/>
    <col min="15356" max="15356" width="3.875" style="586" customWidth="1"/>
    <col min="15357" max="15358" width="7.625" style="586" customWidth="1"/>
    <col min="15359" max="15359" width="6.375" style="586" customWidth="1"/>
    <col min="15360" max="15360" width="6.25" style="586" customWidth="1"/>
    <col min="15361" max="15361" width="6.625" style="586" customWidth="1"/>
    <col min="15362" max="15362" width="4.875" style="586" customWidth="1"/>
    <col min="15363" max="15363" width="4.75" style="586" customWidth="1"/>
    <col min="15364" max="15364" width="6.75" style="586" customWidth="1"/>
    <col min="15365" max="15365" width="0" style="586" hidden="1" customWidth="1"/>
    <col min="15366" max="15366" width="4.375" style="586" customWidth="1"/>
    <col min="15367" max="15367" width="5.625" style="586" customWidth="1"/>
    <col min="15368" max="15368" width="5.375" style="586" customWidth="1"/>
    <col min="15369" max="15369" width="6.875" style="586" customWidth="1"/>
    <col min="15370" max="15370" width="5.125" style="586" customWidth="1"/>
    <col min="15371" max="15371" width="4.75" style="586" customWidth="1"/>
    <col min="15372" max="15372" width="5.625" style="586" customWidth="1"/>
    <col min="15373" max="15373" width="4.875" style="586" customWidth="1"/>
    <col min="15374" max="15374" width="5.25" style="586" customWidth="1"/>
    <col min="15375" max="15375" width="16.25" style="586" customWidth="1"/>
    <col min="15376" max="15376" width="9.25" style="586" customWidth="1"/>
    <col min="15377" max="15377" width="9.5" style="586" bestFit="1" customWidth="1"/>
    <col min="15378" max="15378" width="9.875" style="586" customWidth="1"/>
    <col min="15379" max="15380" width="10" style="586" customWidth="1"/>
    <col min="15381" max="15381" width="6.625" style="586" customWidth="1"/>
    <col min="15382" max="15382" width="6.5" style="586" customWidth="1"/>
    <col min="15383" max="15383" width="9" style="586"/>
    <col min="15384" max="15384" width="8.5" style="586" customWidth="1"/>
    <col min="15385" max="15385" width="6.375" style="586" customWidth="1"/>
    <col min="15386" max="15386" width="5.75" style="586" customWidth="1"/>
    <col min="15387" max="15387" width="12.625" style="586" customWidth="1"/>
    <col min="15388" max="15388" width="8.375" style="586" customWidth="1"/>
    <col min="15389" max="15389" width="24.875" style="586" customWidth="1"/>
    <col min="15390" max="15390" width="9" style="586"/>
    <col min="15391" max="15391" width="37.5" style="586" customWidth="1"/>
    <col min="15392" max="15608" width="9" style="586"/>
    <col min="15609" max="15610" width="3.75" style="586" customWidth="1"/>
    <col min="15611" max="15611" width="3.5" style="586" customWidth="1"/>
    <col min="15612" max="15612" width="3.875" style="586" customWidth="1"/>
    <col min="15613" max="15614" width="7.625" style="586" customWidth="1"/>
    <col min="15615" max="15615" width="6.375" style="586" customWidth="1"/>
    <col min="15616" max="15616" width="6.25" style="586" customWidth="1"/>
    <col min="15617" max="15617" width="6.625" style="586" customWidth="1"/>
    <col min="15618" max="15618" width="4.875" style="586" customWidth="1"/>
    <col min="15619" max="15619" width="4.75" style="586" customWidth="1"/>
    <col min="15620" max="15620" width="6.75" style="586" customWidth="1"/>
    <col min="15621" max="15621" width="0" style="586" hidden="1" customWidth="1"/>
    <col min="15622" max="15622" width="4.375" style="586" customWidth="1"/>
    <col min="15623" max="15623" width="5.625" style="586" customWidth="1"/>
    <col min="15624" max="15624" width="5.375" style="586" customWidth="1"/>
    <col min="15625" max="15625" width="6.875" style="586" customWidth="1"/>
    <col min="15626" max="15626" width="5.125" style="586" customWidth="1"/>
    <col min="15627" max="15627" width="4.75" style="586" customWidth="1"/>
    <col min="15628" max="15628" width="5.625" style="586" customWidth="1"/>
    <col min="15629" max="15629" width="4.875" style="586" customWidth="1"/>
    <col min="15630" max="15630" width="5.25" style="586" customWidth="1"/>
    <col min="15631" max="15631" width="16.25" style="586" customWidth="1"/>
    <col min="15632" max="15632" width="9.25" style="586" customWidth="1"/>
    <col min="15633" max="15633" width="9.5" style="586" bestFit="1" customWidth="1"/>
    <col min="15634" max="15634" width="9.875" style="586" customWidth="1"/>
    <col min="15635" max="15636" width="10" style="586" customWidth="1"/>
    <col min="15637" max="15637" width="6.625" style="586" customWidth="1"/>
    <col min="15638" max="15638" width="6.5" style="586" customWidth="1"/>
    <col min="15639" max="15639" width="9" style="586"/>
    <col min="15640" max="15640" width="8.5" style="586" customWidth="1"/>
    <col min="15641" max="15641" width="6.375" style="586" customWidth="1"/>
    <col min="15642" max="15642" width="5.75" style="586" customWidth="1"/>
    <col min="15643" max="15643" width="12.625" style="586" customWidth="1"/>
    <col min="15644" max="15644" width="8.375" style="586" customWidth="1"/>
    <col min="15645" max="15645" width="24.875" style="586" customWidth="1"/>
    <col min="15646" max="15646" width="9" style="586"/>
    <col min="15647" max="15647" width="37.5" style="586" customWidth="1"/>
    <col min="15648" max="15864" width="9" style="586"/>
    <col min="15865" max="15866" width="3.75" style="586" customWidth="1"/>
    <col min="15867" max="15867" width="3.5" style="586" customWidth="1"/>
    <col min="15868" max="15868" width="3.875" style="586" customWidth="1"/>
    <col min="15869" max="15870" width="7.625" style="586" customWidth="1"/>
    <col min="15871" max="15871" width="6.375" style="586" customWidth="1"/>
    <col min="15872" max="15872" width="6.25" style="586" customWidth="1"/>
    <col min="15873" max="15873" width="6.625" style="586" customWidth="1"/>
    <col min="15874" max="15874" width="4.875" style="586" customWidth="1"/>
    <col min="15875" max="15875" width="4.75" style="586" customWidth="1"/>
    <col min="15876" max="15876" width="6.75" style="586" customWidth="1"/>
    <col min="15877" max="15877" width="0" style="586" hidden="1" customWidth="1"/>
    <col min="15878" max="15878" width="4.375" style="586" customWidth="1"/>
    <col min="15879" max="15879" width="5.625" style="586" customWidth="1"/>
    <col min="15880" max="15880" width="5.375" style="586" customWidth="1"/>
    <col min="15881" max="15881" width="6.875" style="586" customWidth="1"/>
    <col min="15882" max="15882" width="5.125" style="586" customWidth="1"/>
    <col min="15883" max="15883" width="4.75" style="586" customWidth="1"/>
    <col min="15884" max="15884" width="5.625" style="586" customWidth="1"/>
    <col min="15885" max="15885" width="4.875" style="586" customWidth="1"/>
    <col min="15886" max="15886" width="5.25" style="586" customWidth="1"/>
    <col min="15887" max="15887" width="16.25" style="586" customWidth="1"/>
    <col min="15888" max="15888" width="9.25" style="586" customWidth="1"/>
    <col min="15889" max="15889" width="9.5" style="586" bestFit="1" customWidth="1"/>
    <col min="15890" max="15890" width="9.875" style="586" customWidth="1"/>
    <col min="15891" max="15892" width="10" style="586" customWidth="1"/>
    <col min="15893" max="15893" width="6.625" style="586" customWidth="1"/>
    <col min="15894" max="15894" width="6.5" style="586" customWidth="1"/>
    <col min="15895" max="15895" width="9" style="586"/>
    <col min="15896" max="15896" width="8.5" style="586" customWidth="1"/>
    <col min="15897" max="15897" width="6.375" style="586" customWidth="1"/>
    <col min="15898" max="15898" width="5.75" style="586" customWidth="1"/>
    <col min="15899" max="15899" width="12.625" style="586" customWidth="1"/>
    <col min="15900" max="15900" width="8.375" style="586" customWidth="1"/>
    <col min="15901" max="15901" width="24.875" style="586" customWidth="1"/>
    <col min="15902" max="15902" width="9" style="586"/>
    <col min="15903" max="15903" width="37.5" style="586" customWidth="1"/>
    <col min="15904" max="16120" width="9" style="586"/>
    <col min="16121" max="16122" width="3.75" style="586" customWidth="1"/>
    <col min="16123" max="16123" width="3.5" style="586" customWidth="1"/>
    <col min="16124" max="16124" width="3.875" style="586" customWidth="1"/>
    <col min="16125" max="16126" width="7.625" style="586" customWidth="1"/>
    <col min="16127" max="16127" width="6.375" style="586" customWidth="1"/>
    <col min="16128" max="16128" width="6.25" style="586" customWidth="1"/>
    <col min="16129" max="16129" width="6.625" style="586" customWidth="1"/>
    <col min="16130" max="16130" width="4.875" style="586" customWidth="1"/>
    <col min="16131" max="16131" width="4.75" style="586" customWidth="1"/>
    <col min="16132" max="16132" width="6.75" style="586" customWidth="1"/>
    <col min="16133" max="16133" width="0" style="586" hidden="1" customWidth="1"/>
    <col min="16134" max="16134" width="4.375" style="586" customWidth="1"/>
    <col min="16135" max="16135" width="5.625" style="586" customWidth="1"/>
    <col min="16136" max="16136" width="5.375" style="586" customWidth="1"/>
    <col min="16137" max="16137" width="6.875" style="586" customWidth="1"/>
    <col min="16138" max="16138" width="5.125" style="586" customWidth="1"/>
    <col min="16139" max="16139" width="4.75" style="586" customWidth="1"/>
    <col min="16140" max="16140" width="5.625" style="586" customWidth="1"/>
    <col min="16141" max="16141" width="4.875" style="586" customWidth="1"/>
    <col min="16142" max="16142" width="5.25" style="586" customWidth="1"/>
    <col min="16143" max="16143" width="16.25" style="586" customWidth="1"/>
    <col min="16144" max="16144" width="9.25" style="586" customWidth="1"/>
    <col min="16145" max="16145" width="9.5" style="586" bestFit="1" customWidth="1"/>
    <col min="16146" max="16146" width="9.875" style="586" customWidth="1"/>
    <col min="16147" max="16148" width="10" style="586" customWidth="1"/>
    <col min="16149" max="16149" width="6.625" style="586" customWidth="1"/>
    <col min="16150" max="16150" width="6.5" style="586" customWidth="1"/>
    <col min="16151" max="16151" width="9" style="586"/>
    <col min="16152" max="16152" width="8.5" style="586" customWidth="1"/>
    <col min="16153" max="16153" width="6.375" style="586" customWidth="1"/>
    <col min="16154" max="16154" width="5.75" style="586" customWidth="1"/>
    <col min="16155" max="16155" width="12.625" style="586" customWidth="1"/>
    <col min="16156" max="16156" width="8.375" style="586" customWidth="1"/>
    <col min="16157" max="16157" width="24.875" style="586" customWidth="1"/>
    <col min="16158" max="16158" width="9" style="586"/>
    <col min="16159" max="16159" width="37.5" style="586" customWidth="1"/>
    <col min="16160" max="16384" width="9" style="586"/>
  </cols>
  <sheetData>
    <row r="1" spans="1:28" s="80" customFormat="1" ht="16.5">
      <c r="A1" s="885" t="str">
        <f>G1&amp;I1</f>
        <v>（吸塑门板)领料单——香草天空Ⅱ</v>
      </c>
      <c r="B1" s="885"/>
      <c r="C1" s="885"/>
      <c r="D1" s="885"/>
      <c r="E1" s="885"/>
      <c r="F1" s="886"/>
      <c r="G1" s="890" t="s">
        <v>1582</v>
      </c>
      <c r="H1" s="890"/>
      <c r="I1" s="694" t="str">
        <f>吸塑门板下料单!G3</f>
        <v>香草天空Ⅱ</v>
      </c>
      <c r="J1" s="693"/>
      <c r="K1" s="588"/>
      <c r="L1" s="888"/>
      <c r="M1" s="888"/>
      <c r="N1" s="888"/>
      <c r="O1" s="888"/>
      <c r="P1" s="889"/>
      <c r="Q1" s="586"/>
      <c r="R1" s="586"/>
      <c r="S1" s="586"/>
      <c r="T1" s="586"/>
      <c r="U1" s="586"/>
      <c r="V1" s="586"/>
      <c r="W1" s="586"/>
      <c r="X1" s="586"/>
      <c r="Y1" s="586"/>
      <c r="Z1" s="586"/>
      <c r="AA1" s="586"/>
      <c r="AB1" s="665"/>
    </row>
    <row r="2" spans="1:28" s="80" customFormat="1" ht="16.5">
      <c r="A2" s="676"/>
      <c r="B2" s="676" t="s">
        <v>6</v>
      </c>
      <c r="C2" s="80">
        <f>吸塑门板下料单!B2</f>
        <v>0</v>
      </c>
      <c r="D2" s="676" t="s">
        <v>16</v>
      </c>
      <c r="E2" s="676">
        <f>吸塑门板下料单!D2</f>
        <v>0</v>
      </c>
      <c r="F2" s="692"/>
      <c r="G2" s="881" t="s">
        <v>9</v>
      </c>
      <c r="H2" s="881"/>
      <c r="I2" s="676" t="s">
        <v>13</v>
      </c>
      <c r="J2" s="586"/>
      <c r="K2" s="688"/>
      <c r="L2" s="80" t="s">
        <v>28</v>
      </c>
      <c r="M2" s="80" t="s">
        <v>5</v>
      </c>
      <c r="N2" s="687" t="s">
        <v>1581</v>
      </c>
      <c r="O2" s="687" t="s">
        <v>1581</v>
      </c>
      <c r="P2" s="586"/>
      <c r="Q2" s="586"/>
      <c r="R2" s="586"/>
      <c r="S2" s="586"/>
      <c r="T2" s="586"/>
      <c r="U2" s="586"/>
      <c r="V2" s="586"/>
      <c r="W2" s="586"/>
      <c r="X2" s="586"/>
      <c r="Y2" s="586"/>
      <c r="Z2" s="586"/>
      <c r="AA2" s="586"/>
      <c r="AB2" s="665"/>
    </row>
    <row r="3" spans="1:28" s="80" customFormat="1" ht="16.5">
      <c r="A3" s="676"/>
      <c r="B3" s="676" t="s">
        <v>244</v>
      </c>
      <c r="C3" s="676">
        <f>吸塑门板下料单!K2</f>
        <v>0</v>
      </c>
      <c r="D3" s="676" t="str">
        <f>吸塑门板下料单!L2</f>
        <v>版本型录号</v>
      </c>
      <c r="E3" s="676">
        <f>吸塑门板下料单!M2</f>
        <v>0</v>
      </c>
      <c r="F3" s="672"/>
      <c r="G3" s="672"/>
      <c r="H3" s="672"/>
      <c r="I3" s="672"/>
      <c r="J3" s="586"/>
      <c r="K3" s="586"/>
      <c r="L3" s="689"/>
      <c r="N3" s="687"/>
      <c r="O3" s="687">
        <f>+L3*M3*N3/1000000</f>
        <v>0</v>
      </c>
      <c r="P3" s="586"/>
      <c r="Q3" s="586"/>
      <c r="R3" s="586"/>
      <c r="S3" s="586"/>
      <c r="T3" s="586"/>
      <c r="U3" s="586"/>
      <c r="V3" s="586"/>
      <c r="W3" s="586"/>
      <c r="X3" s="586"/>
      <c r="Y3" s="586"/>
      <c r="Z3" s="586"/>
      <c r="AA3" s="586"/>
      <c r="AB3" s="665"/>
    </row>
    <row r="4" spans="1:28" s="676" customFormat="1" ht="33">
      <c r="F4" s="675"/>
      <c r="G4" s="675"/>
      <c r="H4" s="675"/>
      <c r="I4" s="675"/>
      <c r="J4" s="688"/>
      <c r="K4" s="665"/>
      <c r="L4" s="665"/>
      <c r="M4" s="665"/>
      <c r="N4" s="666"/>
      <c r="O4" s="691"/>
      <c r="P4" s="880" t="s">
        <v>239</v>
      </c>
      <c r="Q4" s="880"/>
      <c r="R4" s="690" t="s">
        <v>1580</v>
      </c>
      <c r="S4" s="878" t="s">
        <v>1580</v>
      </c>
      <c r="T4" s="880"/>
      <c r="U4" s="36" t="s">
        <v>14</v>
      </c>
      <c r="V4" s="689">
        <v>0.5</v>
      </c>
      <c r="W4" s="586"/>
      <c r="X4" s="586"/>
      <c r="Y4" s="586"/>
      <c r="Z4" s="586"/>
      <c r="AA4" s="586"/>
      <c r="AB4" s="665"/>
    </row>
    <row r="5" spans="1:28" ht="33">
      <c r="A5" s="676" t="s">
        <v>1</v>
      </c>
      <c r="B5" s="676" t="s">
        <v>24</v>
      </c>
      <c r="C5" s="676" t="s">
        <v>5</v>
      </c>
      <c r="D5" s="676" t="s">
        <v>5</v>
      </c>
      <c r="E5" s="676" t="s">
        <v>4</v>
      </c>
      <c r="F5" s="672" t="s">
        <v>325</v>
      </c>
      <c r="G5" s="672"/>
      <c r="H5" s="672"/>
      <c r="I5" s="672"/>
      <c r="J5" s="688"/>
      <c r="K5" s="688"/>
      <c r="L5" s="80" t="s">
        <v>395</v>
      </c>
      <c r="M5" s="687">
        <v>0.75</v>
      </c>
      <c r="P5" s="880" t="s">
        <v>239</v>
      </c>
      <c r="Q5" s="880"/>
      <c r="R5" s="36" t="s">
        <v>1579</v>
      </c>
      <c r="S5" s="878" t="s">
        <v>1578</v>
      </c>
      <c r="T5" s="879"/>
      <c r="U5" s="36" t="s">
        <v>32</v>
      </c>
      <c r="V5" s="36">
        <v>0.5</v>
      </c>
    </row>
    <row r="6" spans="1:28" ht="33">
      <c r="A6" s="875" t="s">
        <v>233</v>
      </c>
      <c r="B6" s="676">
        <v>1</v>
      </c>
      <c r="C6" s="676" t="str">
        <f>VLOOKUP(吸塑门板下料单!B4,吸塑门板下料单!X:AE,2,0)</f>
        <v>米黄麻单贴三聚氰胺E1级镂铣中密度板18*1220*2440</v>
      </c>
      <c r="D6" s="677">
        <v>1</v>
      </c>
      <c r="E6" s="676" t="s">
        <v>14</v>
      </c>
      <c r="F6" s="677"/>
      <c r="G6" s="673"/>
      <c r="H6" s="673"/>
      <c r="I6" s="673"/>
      <c r="L6" s="80" t="s">
        <v>1577</v>
      </c>
      <c r="M6" s="687">
        <v>0.75</v>
      </c>
    </row>
    <row r="7" spans="1:28" ht="33">
      <c r="A7" s="875"/>
      <c r="B7" s="676">
        <v>2</v>
      </c>
      <c r="C7" s="676" t="str">
        <f>VLOOKUP(吸塑门板下料单!B4,吸塑门板下料单!X:AF,9,0)</f>
        <v>米黄麻单贴三聚氰胺E1级镂铣中密度板25*1220*2440</v>
      </c>
      <c r="D7" s="677">
        <v>1</v>
      </c>
      <c r="E7" s="676" t="s">
        <v>14</v>
      </c>
      <c r="F7" s="677"/>
      <c r="G7" s="673"/>
      <c r="H7" s="673"/>
      <c r="I7" s="673"/>
      <c r="L7" s="80" t="s">
        <v>1576</v>
      </c>
      <c r="M7" s="687">
        <v>0.75</v>
      </c>
      <c r="P7" s="880" t="str">
        <f>+'[3]2014-2-28现存量'!$C$889</f>
        <v>尼龙胀塞8*60</v>
      </c>
      <c r="Q7" s="880"/>
      <c r="R7" s="880"/>
      <c r="S7" s="36" t="s">
        <v>329</v>
      </c>
      <c r="T7" s="36">
        <f>+T8</f>
        <v>4</v>
      </c>
    </row>
    <row r="8" spans="1:28" ht="16.5">
      <c r="A8" s="875"/>
      <c r="B8" s="676"/>
      <c r="C8" s="676"/>
      <c r="D8" s="676"/>
      <c r="E8" s="676"/>
      <c r="F8" s="676"/>
      <c r="G8" s="672"/>
      <c r="H8" s="672"/>
      <c r="I8" s="672"/>
      <c r="P8" s="890" t="s">
        <v>1575</v>
      </c>
      <c r="Q8" s="890"/>
      <c r="R8" s="890"/>
      <c r="S8" s="41" t="s">
        <v>242</v>
      </c>
      <c r="T8" s="36">
        <v>4</v>
      </c>
    </row>
    <row r="9" spans="1:28" ht="16.5">
      <c r="A9" s="875" t="s">
        <v>1574</v>
      </c>
      <c r="B9" s="676">
        <v>1</v>
      </c>
      <c r="C9" s="80" t="str">
        <f>G9&amp;I9</f>
        <v>玉砂玻璃5*1830*2440</v>
      </c>
      <c r="D9" s="681">
        <v>1</v>
      </c>
      <c r="E9" s="676" t="s">
        <v>240</v>
      </c>
      <c r="F9" s="681"/>
      <c r="G9" s="876" t="s">
        <v>1573</v>
      </c>
      <c r="H9" s="876"/>
      <c r="I9" s="681" t="s">
        <v>1572</v>
      </c>
      <c r="L9" s="686" t="s">
        <v>1571</v>
      </c>
      <c r="M9" s="685">
        <v>0.8</v>
      </c>
      <c r="P9" s="880" t="s">
        <v>390</v>
      </c>
      <c r="Q9" s="880"/>
      <c r="R9" s="880"/>
      <c r="S9" s="36" t="s">
        <v>329</v>
      </c>
      <c r="T9" s="36">
        <f>+T8*3</f>
        <v>12</v>
      </c>
    </row>
    <row r="10" spans="1:28" ht="16.5">
      <c r="A10" s="875"/>
      <c r="B10" s="676">
        <v>2</v>
      </c>
      <c r="C10" s="676" t="str">
        <f>VLOOKUP(吸塑门板下料单!B4,吸塑门板下料单!X:AE,5,0)</f>
        <v>米黄麻玻璃压条</v>
      </c>
      <c r="D10" s="681">
        <f>吸塑门板下料单!Q51</f>
        <v>0.06</v>
      </c>
      <c r="E10" s="676" t="s">
        <v>10</v>
      </c>
      <c r="F10" s="681"/>
      <c r="G10" s="684"/>
      <c r="H10" s="684"/>
      <c r="I10" s="684"/>
      <c r="L10" s="683" t="s">
        <v>1570</v>
      </c>
      <c r="M10" s="682">
        <v>0.8</v>
      </c>
    </row>
    <row r="11" spans="1:28" ht="16.5">
      <c r="A11" s="875"/>
      <c r="B11" s="676">
        <v>3</v>
      </c>
      <c r="C11" s="80" t="str">
        <f>G11&amp;I11</f>
        <v>波音软片（米黄）</v>
      </c>
      <c r="D11" s="681">
        <v>1</v>
      </c>
      <c r="E11" s="676" t="s">
        <v>240</v>
      </c>
      <c r="F11" s="681"/>
      <c r="G11" s="875" t="s">
        <v>1570</v>
      </c>
      <c r="H11" s="875"/>
      <c r="I11" s="681" t="str">
        <f>VLOOKUP(吸塑门板下料单!B4,吸塑门板下料单!X:AE,7,0)</f>
        <v>（米黄）</v>
      </c>
      <c r="O11" s="679"/>
      <c r="P11" s="882"/>
      <c r="Q11" s="882"/>
      <c r="R11" s="882"/>
      <c r="S11" s="882"/>
      <c r="T11" s="882"/>
      <c r="U11" s="680"/>
      <c r="V11" s="26"/>
    </row>
    <row r="12" spans="1:28" ht="16.5">
      <c r="A12" s="875"/>
      <c r="B12" s="676"/>
      <c r="C12" s="676"/>
      <c r="D12" s="676"/>
      <c r="E12" s="676"/>
      <c r="F12" s="676"/>
      <c r="G12" s="672"/>
      <c r="H12" s="672"/>
      <c r="I12" s="672"/>
      <c r="O12" s="679"/>
      <c r="P12" s="882"/>
      <c r="Q12" s="882"/>
      <c r="R12" s="882"/>
      <c r="S12" s="882"/>
      <c r="T12" s="882"/>
      <c r="U12" s="680"/>
      <c r="V12" s="26"/>
    </row>
    <row r="13" spans="1:28" ht="16.5">
      <c r="A13" s="875"/>
      <c r="B13" s="676"/>
      <c r="C13" s="676"/>
      <c r="D13" s="676"/>
      <c r="E13" s="676"/>
      <c r="F13" s="676"/>
      <c r="G13" s="672"/>
      <c r="H13" s="672"/>
      <c r="I13" s="672"/>
      <c r="J13" s="672"/>
      <c r="O13" s="679"/>
      <c r="P13" s="882"/>
      <c r="Q13" s="882"/>
      <c r="R13" s="882"/>
      <c r="S13" s="882"/>
      <c r="T13" s="882"/>
      <c r="U13" s="887"/>
      <c r="V13" s="882"/>
    </row>
    <row r="14" spans="1:28" ht="16.5">
      <c r="A14" s="875"/>
      <c r="B14" s="676"/>
      <c r="C14" s="676"/>
      <c r="D14" s="676"/>
      <c r="E14" s="676"/>
      <c r="F14" s="676"/>
      <c r="G14" s="672"/>
      <c r="H14" s="672"/>
      <c r="I14" s="672"/>
      <c r="J14" s="672"/>
      <c r="O14" s="679"/>
      <c r="P14" s="882"/>
      <c r="Q14" s="882"/>
      <c r="R14" s="882"/>
      <c r="S14" s="882"/>
      <c r="T14" s="882"/>
      <c r="U14" s="887"/>
      <c r="V14" s="882"/>
    </row>
    <row r="15" spans="1:28" ht="16.5">
      <c r="A15" s="875"/>
      <c r="B15" s="676"/>
      <c r="C15" s="676"/>
      <c r="D15" s="676"/>
      <c r="E15" s="676"/>
      <c r="F15" s="676"/>
      <c r="G15" s="672"/>
      <c r="H15" s="672"/>
      <c r="I15" s="672"/>
      <c r="J15" s="672"/>
      <c r="O15" s="679"/>
    </row>
    <row r="16" spans="1:28" ht="16.5">
      <c r="A16" s="875"/>
      <c r="B16" s="676"/>
      <c r="C16" s="676"/>
      <c r="D16" s="676"/>
      <c r="E16" s="676"/>
      <c r="F16" s="676"/>
      <c r="G16" s="672"/>
      <c r="H16" s="672"/>
      <c r="I16" s="672"/>
      <c r="J16" s="672"/>
      <c r="P16" s="877"/>
      <c r="Q16" s="877"/>
      <c r="R16" s="877"/>
      <c r="S16" s="877"/>
      <c r="T16" s="877"/>
      <c r="U16" s="668"/>
      <c r="V16" s="668"/>
    </row>
    <row r="17" spans="1:22" ht="16.5">
      <c r="A17" s="875" t="s">
        <v>1569</v>
      </c>
      <c r="B17" s="676">
        <v>1</v>
      </c>
      <c r="C17" s="676" t="str">
        <f>VLOOKUP(吸塑门板下料单!B4,吸塑门板下料单!X:AE,4,0)</f>
        <v>米黄麻吸塑膜0.35MM*1450MM(YEL2959)</v>
      </c>
      <c r="D17" s="677">
        <f>吸塑门板下料单!O53</f>
        <v>0.25958399999999998</v>
      </c>
      <c r="E17" s="676" t="s">
        <v>240</v>
      </c>
      <c r="F17" s="676"/>
      <c r="G17" s="877"/>
      <c r="H17" s="877"/>
      <c r="I17" s="672"/>
      <c r="J17" s="672"/>
      <c r="P17" s="672"/>
      <c r="Q17" s="672"/>
      <c r="R17" s="672"/>
      <c r="S17" s="672"/>
      <c r="T17" s="672"/>
      <c r="U17" s="668"/>
      <c r="V17" s="668"/>
    </row>
    <row r="18" spans="1:22" ht="16.5">
      <c r="A18" s="875"/>
      <c r="B18" s="875">
        <v>2</v>
      </c>
      <c r="C18" s="676" t="s">
        <v>1568</v>
      </c>
      <c r="D18" s="678">
        <f>吸塑门板下料单!S52</f>
        <v>0.62380800000000003</v>
      </c>
      <c r="E18" s="676" t="s">
        <v>15</v>
      </c>
      <c r="F18" s="676"/>
      <c r="G18" s="672"/>
      <c r="H18" s="672"/>
      <c r="I18" s="672"/>
      <c r="J18" s="672"/>
      <c r="P18" s="672"/>
      <c r="Q18" s="672"/>
      <c r="R18" s="672"/>
      <c r="S18" s="672"/>
      <c r="T18" s="672"/>
      <c r="U18" s="668"/>
      <c r="V18" s="668"/>
    </row>
    <row r="19" spans="1:22" ht="16.5">
      <c r="A19" s="875"/>
      <c r="B19" s="875"/>
      <c r="C19" s="676" t="s">
        <v>1567</v>
      </c>
      <c r="D19" s="678">
        <v>1</v>
      </c>
      <c r="E19" s="676" t="s">
        <v>15</v>
      </c>
      <c r="F19" s="676"/>
      <c r="G19" s="672"/>
      <c r="H19" s="672"/>
      <c r="I19" s="672"/>
      <c r="J19" s="672"/>
      <c r="P19" s="672"/>
      <c r="Q19" s="672"/>
      <c r="R19" s="672"/>
      <c r="S19" s="672"/>
      <c r="T19" s="672"/>
      <c r="U19" s="668"/>
      <c r="V19" s="668"/>
    </row>
    <row r="20" spans="1:22" ht="16.5">
      <c r="A20" s="875" t="s">
        <v>1566</v>
      </c>
      <c r="B20" s="676">
        <v>1</v>
      </c>
      <c r="C20" s="676" t="str">
        <f>I20&amp;G20</f>
        <v>米黄麻顶线2440*83*22(单贴)</v>
      </c>
      <c r="D20" s="676">
        <v>1</v>
      </c>
      <c r="E20" s="676" t="s">
        <v>336</v>
      </c>
      <c r="F20" s="676"/>
      <c r="G20" s="875" t="s">
        <v>1565</v>
      </c>
      <c r="H20" s="875"/>
      <c r="I20" s="676" t="str">
        <f>VLOOKUP(吸塑门板下料单!B4,吸塑门板下料单!X:AE,6,0)</f>
        <v>米黄麻</v>
      </c>
      <c r="J20" s="672"/>
      <c r="P20" s="672"/>
      <c r="Q20" s="672"/>
      <c r="R20" s="672"/>
      <c r="S20" s="672"/>
      <c r="T20" s="672"/>
      <c r="U20" s="668"/>
      <c r="V20" s="668"/>
    </row>
    <row r="21" spans="1:22" ht="16.5">
      <c r="A21" s="875"/>
      <c r="B21" s="676">
        <v>2</v>
      </c>
      <c r="C21" s="676" t="str">
        <f>I21&amp;G21</f>
        <v>米黄麻花线2440*60*18(单贴)</v>
      </c>
      <c r="D21" s="676">
        <v>1</v>
      </c>
      <c r="E21" s="676" t="s">
        <v>336</v>
      </c>
      <c r="F21" s="676"/>
      <c r="G21" s="875" t="s">
        <v>1564</v>
      </c>
      <c r="H21" s="875"/>
      <c r="I21" s="676" t="str">
        <f>VLOOKUP(吸塑门板下料单!B4,吸塑门板下料单!X:AE,6,0)</f>
        <v>米黄麻</v>
      </c>
      <c r="J21" s="672"/>
      <c r="P21" s="672"/>
      <c r="Q21" s="672"/>
      <c r="R21" s="672"/>
      <c r="S21" s="672"/>
      <c r="T21" s="672"/>
      <c r="U21" s="668"/>
      <c r="V21" s="668"/>
    </row>
    <row r="22" spans="1:22" ht="16.5">
      <c r="A22" s="875" t="s">
        <v>1563</v>
      </c>
      <c r="B22" s="676">
        <v>1</v>
      </c>
      <c r="C22" s="676" t="s">
        <v>1562</v>
      </c>
      <c r="D22" s="676">
        <v>1</v>
      </c>
      <c r="E22" s="676" t="s">
        <v>329</v>
      </c>
      <c r="F22" s="676"/>
      <c r="G22" s="877"/>
      <c r="H22" s="877"/>
      <c r="I22" s="672"/>
      <c r="J22" s="672"/>
      <c r="P22" s="672"/>
      <c r="Q22" s="672"/>
      <c r="R22" s="672"/>
      <c r="S22" s="672"/>
      <c r="T22" s="672"/>
      <c r="U22" s="668"/>
      <c r="V22" s="668"/>
    </row>
    <row r="23" spans="1:22" ht="16.5">
      <c r="A23" s="875"/>
      <c r="B23" s="676"/>
      <c r="C23" s="676" t="str">
        <f>I21&amp;G23</f>
        <v>米黄麻罗马柱基60*50*23(单贴)</v>
      </c>
      <c r="D23" s="676">
        <v>1</v>
      </c>
      <c r="E23" s="676" t="s">
        <v>329</v>
      </c>
      <c r="F23" s="676"/>
      <c r="G23" s="875" t="s">
        <v>1561</v>
      </c>
      <c r="H23" s="875"/>
      <c r="I23" s="672"/>
      <c r="J23" s="672"/>
      <c r="P23" s="672"/>
      <c r="Q23" s="672"/>
      <c r="R23" s="672"/>
      <c r="S23" s="672"/>
      <c r="T23" s="672"/>
      <c r="U23" s="668"/>
      <c r="V23" s="668"/>
    </row>
    <row r="24" spans="1:22" ht="16.5">
      <c r="A24" s="875"/>
      <c r="B24" s="676"/>
      <c r="C24" s="676" t="str">
        <f>I21&amp;G24</f>
        <v>米黄麻罗马柱基100*50*23(单贴)</v>
      </c>
      <c r="D24" s="676">
        <v>1</v>
      </c>
      <c r="E24" s="676" t="s">
        <v>329</v>
      </c>
      <c r="F24" s="676"/>
      <c r="G24" s="875" t="s">
        <v>1560</v>
      </c>
      <c r="H24" s="875"/>
      <c r="I24" s="672"/>
      <c r="J24" s="672"/>
      <c r="P24" s="672"/>
      <c r="Q24" s="672"/>
      <c r="R24" s="672"/>
      <c r="S24" s="672"/>
      <c r="T24" s="672"/>
      <c r="U24" s="668"/>
      <c r="V24" s="668"/>
    </row>
    <row r="25" spans="1:22" ht="16.5">
      <c r="A25" s="676"/>
      <c r="B25" s="676"/>
      <c r="C25" s="676" t="s">
        <v>1293</v>
      </c>
      <c r="D25" s="677">
        <v>1</v>
      </c>
      <c r="E25" s="676" t="s">
        <v>10</v>
      </c>
      <c r="F25" s="676"/>
      <c r="G25" s="672"/>
      <c r="H25" s="672"/>
      <c r="I25" s="672"/>
      <c r="J25" s="672"/>
      <c r="P25" s="672"/>
      <c r="Q25" s="672"/>
      <c r="R25" s="672"/>
      <c r="S25" s="672"/>
      <c r="T25" s="672"/>
      <c r="U25" s="668"/>
      <c r="V25" s="668"/>
    </row>
    <row r="26" spans="1:22" ht="16.5">
      <c r="A26" s="80"/>
      <c r="B26" s="80"/>
      <c r="C26" s="80" t="s">
        <v>1292</v>
      </c>
      <c r="D26" s="677">
        <v>1</v>
      </c>
      <c r="E26" s="676" t="s">
        <v>1291</v>
      </c>
      <c r="F26" s="676"/>
      <c r="G26" s="675"/>
      <c r="H26" s="675"/>
      <c r="I26" s="675"/>
      <c r="J26" s="675"/>
      <c r="P26" s="884"/>
      <c r="Q26" s="884"/>
      <c r="R26" s="884"/>
      <c r="S26" s="884"/>
      <c r="T26" s="884"/>
      <c r="U26" s="668"/>
      <c r="V26" s="668"/>
    </row>
    <row r="27" spans="1:22" ht="16.5">
      <c r="A27" s="672"/>
      <c r="B27" s="672"/>
      <c r="C27" s="672"/>
      <c r="D27" s="673"/>
      <c r="E27" s="672"/>
      <c r="F27" s="672"/>
      <c r="G27" s="672"/>
      <c r="H27" s="672"/>
      <c r="I27" s="672"/>
      <c r="J27" s="672"/>
      <c r="P27" s="671"/>
      <c r="Q27" s="671"/>
      <c r="R27" s="671"/>
      <c r="S27" s="671"/>
      <c r="T27" s="671"/>
      <c r="U27" s="668"/>
      <c r="V27" s="668"/>
    </row>
    <row r="28" spans="1:22" ht="16.5">
      <c r="A28" s="696" t="s">
        <v>1418</v>
      </c>
      <c r="B28" s="674"/>
      <c r="C28" s="672"/>
      <c r="D28" s="673"/>
      <c r="E28" s="672"/>
      <c r="F28" s="672"/>
      <c r="G28" s="672"/>
      <c r="H28" s="672"/>
      <c r="I28" s="672"/>
      <c r="J28" s="672"/>
      <c r="P28" s="671"/>
      <c r="Q28" s="671"/>
      <c r="R28" s="671"/>
      <c r="S28" s="671"/>
      <c r="T28" s="671"/>
      <c r="U28" s="668"/>
      <c r="V28" s="668"/>
    </row>
    <row r="29" spans="1:22" ht="16.5">
      <c r="A29" s="696" t="s">
        <v>1289</v>
      </c>
      <c r="B29" s="670"/>
      <c r="C29" s="670"/>
      <c r="D29" s="670"/>
      <c r="E29" s="670"/>
      <c r="F29" s="668"/>
      <c r="G29" s="669"/>
      <c r="H29" s="669"/>
      <c r="I29" s="669"/>
      <c r="J29" s="669"/>
      <c r="P29" s="883"/>
      <c r="Q29" s="883"/>
      <c r="R29" s="883"/>
      <c r="S29" s="883"/>
      <c r="T29" s="883"/>
      <c r="U29" s="668"/>
      <c r="V29" s="668"/>
    </row>
    <row r="30" spans="1:22" ht="16.5">
      <c r="A30" s="697" t="s">
        <v>1598</v>
      </c>
      <c r="B30" s="697"/>
      <c r="C30" s="697"/>
      <c r="D30" s="697"/>
      <c r="E30" s="697"/>
      <c r="F30" s="695"/>
      <c r="G30" s="667"/>
      <c r="H30" s="667"/>
      <c r="I30" s="667"/>
      <c r="J30" s="667"/>
    </row>
    <row r="31" spans="1:22" ht="16.5">
      <c r="A31" s="697"/>
      <c r="B31" s="697"/>
      <c r="C31" s="697"/>
      <c r="D31" s="697"/>
      <c r="E31" s="697"/>
      <c r="F31" s="695"/>
      <c r="G31" s="667"/>
      <c r="H31" s="667"/>
      <c r="I31" s="667"/>
      <c r="J31" s="667"/>
    </row>
    <row r="32" spans="1:22" ht="20.100000000000001" customHeight="1">
      <c r="B32" s="701" t="s">
        <v>1591</v>
      </c>
    </row>
  </sheetData>
  <mergeCells count="34">
    <mergeCell ref="A6:A8"/>
    <mergeCell ref="A17:A19"/>
    <mergeCell ref="B18:B19"/>
    <mergeCell ref="A1:F1"/>
    <mergeCell ref="U13:U14"/>
    <mergeCell ref="L1:P1"/>
    <mergeCell ref="G1:H1"/>
    <mergeCell ref="S4:T4"/>
    <mergeCell ref="P4:Q4"/>
    <mergeCell ref="P5:Q5"/>
    <mergeCell ref="P8:R8"/>
    <mergeCell ref="P9:R9"/>
    <mergeCell ref="P11:R14"/>
    <mergeCell ref="S13:T14"/>
    <mergeCell ref="S11:T11"/>
    <mergeCell ref="S12:T12"/>
    <mergeCell ref="S5:T5"/>
    <mergeCell ref="P7:R7"/>
    <mergeCell ref="G2:H2"/>
    <mergeCell ref="V13:V14"/>
    <mergeCell ref="P29:T29"/>
    <mergeCell ref="P26:T26"/>
    <mergeCell ref="P16:T16"/>
    <mergeCell ref="A22:A24"/>
    <mergeCell ref="A9:A16"/>
    <mergeCell ref="G9:H9"/>
    <mergeCell ref="A20:A21"/>
    <mergeCell ref="G11:H11"/>
    <mergeCell ref="G17:H17"/>
    <mergeCell ref="G20:H20"/>
    <mergeCell ref="G21:H21"/>
    <mergeCell ref="G22:H22"/>
    <mergeCell ref="G23:H23"/>
    <mergeCell ref="G24:H24"/>
  </mergeCells>
  <phoneticPr fontId="6" type="noConversion"/>
  <dataValidations count="2">
    <dataValidation type="list" allowBlank="1" showInputMessage="1" showErrorMessage="1" sqref="G9">
      <formula1>$L$5:$L$7</formula1>
    </dataValidation>
    <dataValidation type="list" allowBlank="1" showInputMessage="1" showErrorMessage="1" sqref="WVC983057:WVD983057 C131090 C196626 C262162 C327698 C393234 C458770 C524306 C589842 C655378 C720914 C786450 C851986 C917522 C983058 WLG983057:WLH983057 WBK983057:WBL983057 VRO983057:VRP983057 VHS983057:VHT983057 UXW983057:UXX983057 UOA983057:UOB983057 UEE983057:UEF983057 TUI983057:TUJ983057 TKM983057:TKN983057 TAQ983057:TAR983057 SQU983057:SQV983057 SGY983057:SGZ983057 RXC983057:RXD983057 RNG983057:RNH983057 RDK983057:RDL983057 QTO983057:QTP983057 QJS983057:QJT983057 PZW983057:PZX983057 PQA983057:PQB983057 PGE983057:PGF983057 OWI983057:OWJ983057 OMM983057:OMN983057 OCQ983057:OCR983057 NSU983057:NSV983057 NIY983057:NIZ983057 MZC983057:MZD983057 MPG983057:MPH983057 MFK983057:MFL983057 LVO983057:LVP983057 LLS983057:LLT983057 LBW983057:LBX983057 KSA983057:KSB983057 KIE983057:KIF983057 JYI983057:JYJ983057 JOM983057:JON983057 JEQ983057:JER983057 IUU983057:IUV983057 IKY983057:IKZ983057 IBC983057:IBD983057 HRG983057:HRH983057 HHK983057:HHL983057 GXO983057:GXP983057 GNS983057:GNT983057 GDW983057:GDX983057 FUA983057:FUB983057 FKE983057:FKF983057 FAI983057:FAJ983057 EQM983057:EQN983057 EGQ983057:EGR983057 DWU983057:DWV983057 DMY983057:DMZ983057 DDC983057:DDD983057 CTG983057:CTH983057 CJK983057:CJL983057 BZO983057:BZP983057 BPS983057:BPT983057 BFW983057:BFX983057 AWA983057:AWB983057 AME983057:AMF983057 ACI983057:ACJ983057 SM983057:SN983057 IQ983057:IR983057 WVC917521:WVD917521 WLG917521:WLH917521 WBK917521:WBL917521 VRO917521:VRP917521 VHS917521:VHT917521 UXW917521:UXX917521 UOA917521:UOB917521 UEE917521:UEF917521 TUI917521:TUJ917521 TKM917521:TKN917521 TAQ917521:TAR917521 SQU917521:SQV917521 SGY917521:SGZ917521 RXC917521:RXD917521 RNG917521:RNH917521 RDK917521:RDL917521 QTO917521:QTP917521 QJS917521:QJT917521 PZW917521:PZX917521 PQA917521:PQB917521 PGE917521:PGF917521 OWI917521:OWJ917521 OMM917521:OMN917521 OCQ917521:OCR917521 NSU917521:NSV917521 NIY917521:NIZ917521 MZC917521:MZD917521 MPG917521:MPH917521 MFK917521:MFL917521 LVO917521:LVP917521 LLS917521:LLT917521 LBW917521:LBX917521 KSA917521:KSB917521 KIE917521:KIF917521 JYI917521:JYJ917521 JOM917521:JON917521 JEQ917521:JER917521 IUU917521:IUV917521 IKY917521:IKZ917521 IBC917521:IBD917521 HRG917521:HRH917521 HHK917521:HHL917521 GXO917521:GXP917521 GNS917521:GNT917521 GDW917521:GDX917521 FUA917521:FUB917521 FKE917521:FKF917521 FAI917521:FAJ917521 EQM917521:EQN917521 EGQ917521:EGR917521 DWU917521:DWV917521 DMY917521:DMZ917521 DDC917521:DDD917521 CTG917521:CTH917521 CJK917521:CJL917521 BZO917521:BZP917521 BPS917521:BPT917521 BFW917521:BFX917521 AWA917521:AWB917521 AME917521:AMF917521 ACI917521:ACJ917521 SM917521:SN917521 IQ917521:IR917521 WVC851985:WVD851985 WLG851985:WLH851985 WBK851985:WBL851985 VRO851985:VRP851985 VHS851985:VHT851985 UXW851985:UXX851985 UOA851985:UOB851985 UEE851985:UEF851985 TUI851985:TUJ851985 TKM851985:TKN851985 TAQ851985:TAR851985 SQU851985:SQV851985 SGY851985:SGZ851985 RXC851985:RXD851985 RNG851985:RNH851985 RDK851985:RDL851985 QTO851985:QTP851985 QJS851985:QJT851985 PZW851985:PZX851985 PQA851985:PQB851985 PGE851985:PGF851985 OWI851985:OWJ851985 OMM851985:OMN851985 OCQ851985:OCR851985 NSU851985:NSV851985 NIY851985:NIZ851985 MZC851985:MZD851985 MPG851985:MPH851985 MFK851985:MFL851985 LVO851985:LVP851985 LLS851985:LLT851985 LBW851985:LBX851985 KSA851985:KSB851985 KIE851985:KIF851985 JYI851985:JYJ851985 JOM851985:JON851985 JEQ851985:JER851985 IUU851985:IUV851985 IKY851985:IKZ851985 IBC851985:IBD851985 HRG851985:HRH851985 HHK851985:HHL851985 GXO851985:GXP851985 GNS851985:GNT851985 GDW851985:GDX851985 FUA851985:FUB851985 FKE851985:FKF851985 FAI851985:FAJ851985 EQM851985:EQN851985 EGQ851985:EGR851985 DWU851985:DWV851985 DMY851985:DMZ851985 DDC851985:DDD851985 CTG851985:CTH851985 CJK851985:CJL851985 BZO851985:BZP851985 BPS851985:BPT851985 BFW851985:BFX851985 AWA851985:AWB851985 AME851985:AMF851985 ACI851985:ACJ851985 SM851985:SN851985 IQ851985:IR851985 WVC786449:WVD786449 WLG786449:WLH786449 WBK786449:WBL786449 VRO786449:VRP786449 VHS786449:VHT786449 UXW786449:UXX786449 UOA786449:UOB786449 UEE786449:UEF786449 TUI786449:TUJ786449 TKM786449:TKN786449 TAQ786449:TAR786449 SQU786449:SQV786449 SGY786449:SGZ786449 RXC786449:RXD786449 RNG786449:RNH786449 RDK786449:RDL786449 QTO786449:QTP786449 QJS786449:QJT786449 PZW786449:PZX786449 PQA786449:PQB786449 PGE786449:PGF786449 OWI786449:OWJ786449 OMM786449:OMN786449 OCQ786449:OCR786449 NSU786449:NSV786449 NIY786449:NIZ786449 MZC786449:MZD786449 MPG786449:MPH786449 MFK786449:MFL786449 LVO786449:LVP786449 LLS786449:LLT786449 LBW786449:LBX786449 KSA786449:KSB786449 KIE786449:KIF786449 JYI786449:JYJ786449 JOM786449:JON786449 JEQ786449:JER786449 IUU786449:IUV786449 IKY786449:IKZ786449 IBC786449:IBD786449 HRG786449:HRH786449 HHK786449:HHL786449 GXO786449:GXP786449 GNS786449:GNT786449 GDW786449:GDX786449 FUA786449:FUB786449 FKE786449:FKF786449 FAI786449:FAJ786449 EQM786449:EQN786449 EGQ786449:EGR786449 DWU786449:DWV786449 DMY786449:DMZ786449 DDC786449:DDD786449 CTG786449:CTH786449 CJK786449:CJL786449 BZO786449:BZP786449 BPS786449:BPT786449 BFW786449:BFX786449 AWA786449:AWB786449 AME786449:AMF786449 ACI786449:ACJ786449 SM786449:SN786449 IQ786449:IR786449 WVC720913:WVD720913 WLG720913:WLH720913 WBK720913:WBL720913 VRO720913:VRP720913 VHS720913:VHT720913 UXW720913:UXX720913 UOA720913:UOB720913 UEE720913:UEF720913 TUI720913:TUJ720913 TKM720913:TKN720913 TAQ720913:TAR720913 SQU720913:SQV720913 SGY720913:SGZ720913 RXC720913:RXD720913 RNG720913:RNH720913 RDK720913:RDL720913 QTO720913:QTP720913 QJS720913:QJT720913 PZW720913:PZX720913 PQA720913:PQB720913 PGE720913:PGF720913 OWI720913:OWJ720913 OMM720913:OMN720913 OCQ720913:OCR720913 NSU720913:NSV720913 NIY720913:NIZ720913 MZC720913:MZD720913 MPG720913:MPH720913 MFK720913:MFL720913 LVO720913:LVP720913 LLS720913:LLT720913 LBW720913:LBX720913 KSA720913:KSB720913 KIE720913:KIF720913 JYI720913:JYJ720913 JOM720913:JON720913 JEQ720913:JER720913 IUU720913:IUV720913 IKY720913:IKZ720913 IBC720913:IBD720913 HRG720913:HRH720913 HHK720913:HHL720913 GXO720913:GXP720913 GNS720913:GNT720913 GDW720913:GDX720913 FUA720913:FUB720913 FKE720913:FKF720913 FAI720913:FAJ720913 EQM720913:EQN720913 EGQ720913:EGR720913 DWU720913:DWV720913 DMY720913:DMZ720913 DDC720913:DDD720913 CTG720913:CTH720913 CJK720913:CJL720913 BZO720913:BZP720913 BPS720913:BPT720913 BFW720913:BFX720913 AWA720913:AWB720913 AME720913:AMF720913 ACI720913:ACJ720913 SM720913:SN720913 IQ720913:IR720913 WVC655377:WVD655377 WLG655377:WLH655377 WBK655377:WBL655377 VRO655377:VRP655377 VHS655377:VHT655377 UXW655377:UXX655377 UOA655377:UOB655377 UEE655377:UEF655377 TUI655377:TUJ655377 TKM655377:TKN655377 TAQ655377:TAR655377 SQU655377:SQV655377 SGY655377:SGZ655377 RXC655377:RXD655377 RNG655377:RNH655377 RDK655377:RDL655377 QTO655377:QTP655377 QJS655377:QJT655377 PZW655377:PZX655377 PQA655377:PQB655377 PGE655377:PGF655377 OWI655377:OWJ655377 OMM655377:OMN655377 OCQ655377:OCR655377 NSU655377:NSV655377 NIY655377:NIZ655377 MZC655377:MZD655377 MPG655377:MPH655377 MFK655377:MFL655377 LVO655377:LVP655377 LLS655377:LLT655377 LBW655377:LBX655377 KSA655377:KSB655377 KIE655377:KIF655377 JYI655377:JYJ655377 JOM655377:JON655377 JEQ655377:JER655377 IUU655377:IUV655377 IKY655377:IKZ655377 IBC655377:IBD655377 HRG655377:HRH655377 HHK655377:HHL655377 GXO655377:GXP655377 GNS655377:GNT655377 GDW655377:GDX655377 FUA655377:FUB655377 FKE655377:FKF655377 FAI655377:FAJ655377 EQM655377:EQN655377 EGQ655377:EGR655377 DWU655377:DWV655377 DMY655377:DMZ655377 DDC655377:DDD655377 CTG655377:CTH655377 CJK655377:CJL655377 BZO655377:BZP655377 BPS655377:BPT655377 BFW655377:BFX655377 AWA655377:AWB655377 AME655377:AMF655377 ACI655377:ACJ655377 SM655377:SN655377 IQ655377:IR655377 WVC589841:WVD589841 WLG589841:WLH589841 WBK589841:WBL589841 VRO589841:VRP589841 VHS589841:VHT589841 UXW589841:UXX589841 UOA589841:UOB589841 UEE589841:UEF589841 TUI589841:TUJ589841 TKM589841:TKN589841 TAQ589841:TAR589841 SQU589841:SQV589841 SGY589841:SGZ589841 RXC589841:RXD589841 RNG589841:RNH589841 RDK589841:RDL589841 QTO589841:QTP589841 QJS589841:QJT589841 PZW589841:PZX589841 PQA589841:PQB589841 PGE589841:PGF589841 OWI589841:OWJ589841 OMM589841:OMN589841 OCQ589841:OCR589841 NSU589841:NSV589841 NIY589841:NIZ589841 MZC589841:MZD589841 MPG589841:MPH589841 MFK589841:MFL589841 LVO589841:LVP589841 LLS589841:LLT589841 LBW589841:LBX589841 KSA589841:KSB589841 KIE589841:KIF589841 JYI589841:JYJ589841 JOM589841:JON589841 JEQ589841:JER589841 IUU589841:IUV589841 IKY589841:IKZ589841 IBC589841:IBD589841 HRG589841:HRH589841 HHK589841:HHL589841 GXO589841:GXP589841 GNS589841:GNT589841 GDW589841:GDX589841 FUA589841:FUB589841 FKE589841:FKF589841 FAI589841:FAJ589841 EQM589841:EQN589841 EGQ589841:EGR589841 DWU589841:DWV589841 DMY589841:DMZ589841 DDC589841:DDD589841 CTG589841:CTH589841 CJK589841:CJL589841 BZO589841:BZP589841 BPS589841:BPT589841 BFW589841:BFX589841 AWA589841:AWB589841 AME589841:AMF589841 ACI589841:ACJ589841 SM589841:SN589841 IQ589841:IR589841 WVC524305:WVD524305 WLG524305:WLH524305 WBK524305:WBL524305 VRO524305:VRP524305 VHS524305:VHT524305 UXW524305:UXX524305 UOA524305:UOB524305 UEE524305:UEF524305 TUI524305:TUJ524305 TKM524305:TKN524305 TAQ524305:TAR524305 SQU524305:SQV524305 SGY524305:SGZ524305 RXC524305:RXD524305 RNG524305:RNH524305 RDK524305:RDL524305 QTO524305:QTP524305 QJS524305:QJT524305 PZW524305:PZX524305 PQA524305:PQB524305 PGE524305:PGF524305 OWI524305:OWJ524305 OMM524305:OMN524305 OCQ524305:OCR524305 NSU524305:NSV524305 NIY524305:NIZ524305 MZC524305:MZD524305 MPG524305:MPH524305 MFK524305:MFL524305 LVO524305:LVP524305 LLS524305:LLT524305 LBW524305:LBX524305 KSA524305:KSB524305 KIE524305:KIF524305 JYI524305:JYJ524305 JOM524305:JON524305 JEQ524305:JER524305 IUU524305:IUV524305 IKY524305:IKZ524305 IBC524305:IBD524305 HRG524305:HRH524305 HHK524305:HHL524305 GXO524305:GXP524305 GNS524305:GNT524305 GDW524305:GDX524305 FUA524305:FUB524305 FKE524305:FKF524305 FAI524305:FAJ524305 EQM524305:EQN524305 EGQ524305:EGR524305 DWU524305:DWV524305 DMY524305:DMZ524305 DDC524305:DDD524305 CTG524305:CTH524305 CJK524305:CJL524305 BZO524305:BZP524305 BPS524305:BPT524305 BFW524305:BFX524305 AWA524305:AWB524305 AME524305:AMF524305 ACI524305:ACJ524305 SM524305:SN524305 IQ524305:IR524305 WVC458769:WVD458769 WLG458769:WLH458769 WBK458769:WBL458769 VRO458769:VRP458769 VHS458769:VHT458769 UXW458769:UXX458769 UOA458769:UOB458769 UEE458769:UEF458769 TUI458769:TUJ458769 TKM458769:TKN458769 TAQ458769:TAR458769 SQU458769:SQV458769 SGY458769:SGZ458769 RXC458769:RXD458769 RNG458769:RNH458769 RDK458769:RDL458769 QTO458769:QTP458769 QJS458769:QJT458769 PZW458769:PZX458769 PQA458769:PQB458769 PGE458769:PGF458769 OWI458769:OWJ458769 OMM458769:OMN458769 OCQ458769:OCR458769 NSU458769:NSV458769 NIY458769:NIZ458769 MZC458769:MZD458769 MPG458769:MPH458769 MFK458769:MFL458769 LVO458769:LVP458769 LLS458769:LLT458769 LBW458769:LBX458769 KSA458769:KSB458769 KIE458769:KIF458769 JYI458769:JYJ458769 JOM458769:JON458769 JEQ458769:JER458769 IUU458769:IUV458769 IKY458769:IKZ458769 IBC458769:IBD458769 HRG458769:HRH458769 HHK458769:HHL458769 GXO458769:GXP458769 GNS458769:GNT458769 GDW458769:GDX458769 FUA458769:FUB458769 FKE458769:FKF458769 FAI458769:FAJ458769 EQM458769:EQN458769 EGQ458769:EGR458769 DWU458769:DWV458769 DMY458769:DMZ458769 DDC458769:DDD458769 CTG458769:CTH458769 CJK458769:CJL458769 BZO458769:BZP458769 BPS458769:BPT458769 BFW458769:BFX458769 AWA458769:AWB458769 AME458769:AMF458769 ACI458769:ACJ458769 SM458769:SN458769 IQ458769:IR458769 WVC393233:WVD393233 WLG393233:WLH393233 WBK393233:WBL393233 VRO393233:VRP393233 VHS393233:VHT393233 UXW393233:UXX393233 UOA393233:UOB393233 UEE393233:UEF393233 TUI393233:TUJ393233 TKM393233:TKN393233 TAQ393233:TAR393233 SQU393233:SQV393233 SGY393233:SGZ393233 RXC393233:RXD393233 RNG393233:RNH393233 RDK393233:RDL393233 QTO393233:QTP393233 QJS393233:QJT393233 PZW393233:PZX393233 PQA393233:PQB393233 PGE393233:PGF393233 OWI393233:OWJ393233 OMM393233:OMN393233 OCQ393233:OCR393233 NSU393233:NSV393233 NIY393233:NIZ393233 MZC393233:MZD393233 MPG393233:MPH393233 MFK393233:MFL393233 LVO393233:LVP393233 LLS393233:LLT393233 LBW393233:LBX393233 KSA393233:KSB393233 KIE393233:KIF393233 JYI393233:JYJ393233 JOM393233:JON393233 JEQ393233:JER393233 IUU393233:IUV393233 IKY393233:IKZ393233 IBC393233:IBD393233 HRG393233:HRH393233 HHK393233:HHL393233 GXO393233:GXP393233 GNS393233:GNT393233 GDW393233:GDX393233 FUA393233:FUB393233 FKE393233:FKF393233 FAI393233:FAJ393233 EQM393233:EQN393233 EGQ393233:EGR393233 DWU393233:DWV393233 DMY393233:DMZ393233 DDC393233:DDD393233 CTG393233:CTH393233 CJK393233:CJL393233 BZO393233:BZP393233 BPS393233:BPT393233 BFW393233:BFX393233 AWA393233:AWB393233 AME393233:AMF393233 ACI393233:ACJ393233 SM393233:SN393233 IQ393233:IR393233 WVC327697:WVD327697 WLG327697:WLH327697 WBK327697:WBL327697 VRO327697:VRP327697 VHS327697:VHT327697 UXW327697:UXX327697 UOA327697:UOB327697 UEE327697:UEF327697 TUI327697:TUJ327697 TKM327697:TKN327697 TAQ327697:TAR327697 SQU327697:SQV327697 SGY327697:SGZ327697 RXC327697:RXD327697 RNG327697:RNH327697 RDK327697:RDL327697 QTO327697:QTP327697 QJS327697:QJT327697 PZW327697:PZX327697 PQA327697:PQB327697 PGE327697:PGF327697 OWI327697:OWJ327697 OMM327697:OMN327697 OCQ327697:OCR327697 NSU327697:NSV327697 NIY327697:NIZ327697 MZC327697:MZD327697 MPG327697:MPH327697 MFK327697:MFL327697 LVO327697:LVP327697 LLS327697:LLT327697 LBW327697:LBX327697 KSA327697:KSB327697 KIE327697:KIF327697 JYI327697:JYJ327697 JOM327697:JON327697 JEQ327697:JER327697 IUU327697:IUV327697 IKY327697:IKZ327697 IBC327697:IBD327697 HRG327697:HRH327697 HHK327697:HHL327697 GXO327697:GXP327697 GNS327697:GNT327697 GDW327697:GDX327697 FUA327697:FUB327697 FKE327697:FKF327697 FAI327697:FAJ327697 EQM327697:EQN327697 EGQ327697:EGR327697 DWU327697:DWV327697 DMY327697:DMZ327697 DDC327697:DDD327697 CTG327697:CTH327697 CJK327697:CJL327697 BZO327697:BZP327697 BPS327697:BPT327697 BFW327697:BFX327697 AWA327697:AWB327697 AME327697:AMF327697 ACI327697:ACJ327697 SM327697:SN327697 IQ327697:IR327697 WVC262161:WVD262161 WLG262161:WLH262161 WBK262161:WBL262161 VRO262161:VRP262161 VHS262161:VHT262161 UXW262161:UXX262161 UOA262161:UOB262161 UEE262161:UEF262161 TUI262161:TUJ262161 TKM262161:TKN262161 TAQ262161:TAR262161 SQU262161:SQV262161 SGY262161:SGZ262161 RXC262161:RXD262161 RNG262161:RNH262161 RDK262161:RDL262161 QTO262161:QTP262161 QJS262161:QJT262161 PZW262161:PZX262161 PQA262161:PQB262161 PGE262161:PGF262161 OWI262161:OWJ262161 OMM262161:OMN262161 OCQ262161:OCR262161 NSU262161:NSV262161 NIY262161:NIZ262161 MZC262161:MZD262161 MPG262161:MPH262161 MFK262161:MFL262161 LVO262161:LVP262161 LLS262161:LLT262161 LBW262161:LBX262161 KSA262161:KSB262161 KIE262161:KIF262161 JYI262161:JYJ262161 JOM262161:JON262161 JEQ262161:JER262161 IUU262161:IUV262161 IKY262161:IKZ262161 IBC262161:IBD262161 HRG262161:HRH262161 HHK262161:HHL262161 GXO262161:GXP262161 GNS262161:GNT262161 GDW262161:GDX262161 FUA262161:FUB262161 FKE262161:FKF262161 FAI262161:FAJ262161 EQM262161:EQN262161 EGQ262161:EGR262161 DWU262161:DWV262161 DMY262161:DMZ262161 DDC262161:DDD262161 CTG262161:CTH262161 CJK262161:CJL262161 BZO262161:BZP262161 BPS262161:BPT262161 BFW262161:BFX262161 AWA262161:AWB262161 AME262161:AMF262161 ACI262161:ACJ262161 SM262161:SN262161 IQ262161:IR262161 WVC196625:WVD196625 WLG196625:WLH196625 WBK196625:WBL196625 VRO196625:VRP196625 VHS196625:VHT196625 UXW196625:UXX196625 UOA196625:UOB196625 UEE196625:UEF196625 TUI196625:TUJ196625 TKM196625:TKN196625 TAQ196625:TAR196625 SQU196625:SQV196625 SGY196625:SGZ196625 RXC196625:RXD196625 RNG196625:RNH196625 RDK196625:RDL196625 QTO196625:QTP196625 QJS196625:QJT196625 PZW196625:PZX196625 PQA196625:PQB196625 PGE196625:PGF196625 OWI196625:OWJ196625 OMM196625:OMN196625 OCQ196625:OCR196625 NSU196625:NSV196625 NIY196625:NIZ196625 MZC196625:MZD196625 MPG196625:MPH196625 MFK196625:MFL196625 LVO196625:LVP196625 LLS196625:LLT196625 LBW196625:LBX196625 KSA196625:KSB196625 KIE196625:KIF196625 JYI196625:JYJ196625 JOM196625:JON196625 JEQ196625:JER196625 IUU196625:IUV196625 IKY196625:IKZ196625 IBC196625:IBD196625 HRG196625:HRH196625 HHK196625:HHL196625 GXO196625:GXP196625 GNS196625:GNT196625 GDW196625:GDX196625 FUA196625:FUB196625 FKE196625:FKF196625 FAI196625:FAJ196625 EQM196625:EQN196625 EGQ196625:EGR196625 DWU196625:DWV196625 DMY196625:DMZ196625 DDC196625:DDD196625 CTG196625:CTH196625 CJK196625:CJL196625 BZO196625:BZP196625 BPS196625:BPT196625 BFW196625:BFX196625 AWA196625:AWB196625 AME196625:AMF196625 ACI196625:ACJ196625 SM196625:SN196625 IQ196625:IR196625 WVC131089:WVD131089 WLG131089:WLH131089 WBK131089:WBL131089 VRO131089:VRP131089 VHS131089:VHT131089 UXW131089:UXX131089 UOA131089:UOB131089 UEE131089:UEF131089 TUI131089:TUJ131089 TKM131089:TKN131089 TAQ131089:TAR131089 SQU131089:SQV131089 SGY131089:SGZ131089 RXC131089:RXD131089 RNG131089:RNH131089 RDK131089:RDL131089 QTO131089:QTP131089 QJS131089:QJT131089 PZW131089:PZX131089 PQA131089:PQB131089 PGE131089:PGF131089 OWI131089:OWJ131089 OMM131089:OMN131089 OCQ131089:OCR131089 NSU131089:NSV131089 NIY131089:NIZ131089 MZC131089:MZD131089 MPG131089:MPH131089 MFK131089:MFL131089 LVO131089:LVP131089 LLS131089:LLT131089 LBW131089:LBX131089 KSA131089:KSB131089 KIE131089:KIF131089 JYI131089:JYJ131089 JOM131089:JON131089 JEQ131089:JER131089 IUU131089:IUV131089 IKY131089:IKZ131089 IBC131089:IBD131089 HRG131089:HRH131089 HHK131089:HHL131089 GXO131089:GXP131089 GNS131089:GNT131089 GDW131089:GDX131089 FUA131089:FUB131089 FKE131089:FKF131089 FAI131089:FAJ131089 EQM131089:EQN131089 EGQ131089:EGR131089 DWU131089:DWV131089 DMY131089:DMZ131089 DDC131089:DDD131089 CTG131089:CTH131089 CJK131089:CJL131089 BZO131089:BZP131089 BPS131089:BPT131089 BFW131089:BFX131089 AWA131089:AWB131089 AME131089:AMF131089 ACI131089:ACJ131089 SM131089:SN131089 IQ131089:IR131089 WVC65553:WVD65553 WLG65553:WLH65553 WBK65553:WBL65553 VRO65553:VRP65553 VHS65553:VHT65553 UXW65553:UXX65553 UOA65553:UOB65553 UEE65553:UEF65553 TUI65553:TUJ65553 TKM65553:TKN65553 TAQ65553:TAR65553 SQU65553:SQV65553 SGY65553:SGZ65553 RXC65553:RXD65553 RNG65553:RNH65553 RDK65553:RDL65553 QTO65553:QTP65553 QJS65553:QJT65553 PZW65553:PZX65553 PQA65553:PQB65553 PGE65553:PGF65553 OWI65553:OWJ65553 OMM65553:OMN65553 OCQ65553:OCR65553 NSU65553:NSV65553 NIY65553:NIZ65553 MZC65553:MZD65553 MPG65553:MPH65553 MFK65553:MFL65553 LVO65553:LVP65553 LLS65553:LLT65553 LBW65553:LBX65553 KSA65553:KSB65553 KIE65553:KIF65553 JYI65553:JYJ65553 JOM65553:JON65553 JEQ65553:JER65553 IUU65553:IUV65553 IKY65553:IKZ65553 IBC65553:IBD65553 HRG65553:HRH65553 HHK65553:HHL65553 GXO65553:GXP65553 GNS65553:GNT65553 GDW65553:GDX65553 FUA65553:FUB65553 FKE65553:FKF65553 FAI65553:FAJ65553 EQM65553:EQN65553 EGQ65553:EGR65553 DWU65553:DWV65553 DMY65553:DMZ65553 DDC65553:DDD65553 CTG65553:CTH65553 CJK65553:CJL65553 BZO65553:BZP65553 BPS65553:BPT65553 BFW65553:BFX65553 AWA65553:AWB65553 AME65553:AMF65553 ACI65553:ACJ65553 SM65553:SN65553 IQ65553:IR65553 C65554 SM9:SN9 ACI9:ACJ9 AME9:AMF9 AWA9:AWB9 BFW9:BFX9 BPS9:BPT9 BZO9:BZP9 CJK9:CJL9 CTG9:CTH9 DDC9:DDD9 DMY9:DMZ9 DWU9:DWV9 EGQ9:EGR9 EQM9:EQN9 FAI9:FAJ9 FKE9:FKF9 FUA9:FUB9 GDW9:GDX9 GNS9:GNT9 GXO9:GXP9 HHK9:HHL9 HRG9:HRH9 IBC9:IBD9 IKY9:IKZ9 IUU9:IUV9 JEQ9:JER9 JOM9:JON9 JYI9:JYJ9 KIE9:KIF9 KSA9:KSB9 LBW9:LBX9 LLS9:LLT9 LVO9:LVP9 MFK9:MFL9 MPG9:MPH9 MZC9:MZD9 NIY9:NIZ9 NSU9:NSV9 OCQ9:OCR9 OMM9:OMN9 OWI9:OWJ9 PGE9:PGF9 PQA9:PQB9 PZW9:PZX9 QJS9:QJT9 QTO9:QTP9 RDK9:RDL9 RNG9:RNH9 RXC9:RXD9 SGY9:SGZ9 SQU9:SQV9 TAQ9:TAR9 TKM9:TKN9 TUI9:TUJ9 UEE9:UEF9 UOA9:UOB9 UXW9:UXX9 VHS9:VHT9 VRO9:VRP9 WBK9:WBL9 WLG9:WLH9 WVC9:WVD9 IQ9:IR9">
      <formula1>$N$7:$N$10</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BQ3077"/>
  <sheetViews>
    <sheetView showGridLines="0" view="pageBreakPreview" topLeftCell="A28" zoomScaleSheetLayoutView="100" workbookViewId="0">
      <selection activeCell="AI24" sqref="AI24"/>
    </sheetView>
  </sheetViews>
  <sheetFormatPr defaultRowHeight="16.5"/>
  <cols>
    <col min="1" max="1" width="3.875" style="121" customWidth="1"/>
    <col min="2" max="2" width="4.125" style="121" customWidth="1"/>
    <col min="3" max="3" width="3.875" style="121" customWidth="1"/>
    <col min="4" max="4" width="4.125" style="121" customWidth="1"/>
    <col min="5" max="5" width="3.875" style="121" customWidth="1"/>
    <col min="6" max="6" width="6.375" style="121" customWidth="1"/>
    <col min="7" max="8" width="3.625" style="121" customWidth="1"/>
    <col min="9" max="9" width="4.125" style="121" customWidth="1"/>
    <col min="10" max="10" width="3.625" style="121" customWidth="1"/>
    <col min="11" max="11" width="5.625" style="121" customWidth="1"/>
    <col min="12" max="15" width="3.625" style="121" customWidth="1"/>
    <col min="16" max="16" width="5.625" style="121" customWidth="1"/>
    <col min="17" max="17" width="3.625" style="121" customWidth="1"/>
    <col min="18" max="18" width="4.125" style="121" customWidth="1"/>
    <col min="19" max="20" width="3.625" style="121" customWidth="1"/>
    <col min="21" max="21" width="5.625" style="271" customWidth="1"/>
    <col min="22" max="22" width="3.625" style="121" customWidth="1"/>
    <col min="23" max="23" width="4.125" style="121" customWidth="1"/>
    <col min="24" max="25" width="3.625" style="121" customWidth="1"/>
    <col min="26" max="26" width="6.625" style="121" customWidth="1"/>
    <col min="27" max="27" width="3.625" style="121" customWidth="1"/>
    <col min="28" max="28" width="4.125" style="121" customWidth="1"/>
    <col min="29" max="30" width="3.625" style="121" customWidth="1"/>
    <col min="31" max="31" width="5.375" style="121" customWidth="1"/>
    <col min="32" max="35" width="3.625" style="121" customWidth="1"/>
    <col min="36" max="36" width="5.375" style="121" customWidth="1"/>
    <col min="37" max="37" width="3.625" style="121" customWidth="1"/>
    <col min="38" max="39" width="4.125" style="121" customWidth="1"/>
    <col min="40" max="40" width="3.625" style="101" customWidth="1"/>
    <col min="41" max="41" width="7.25" style="101" customWidth="1"/>
    <col min="42" max="42" width="5.625" style="81" customWidth="1"/>
    <col min="43" max="43" width="9.625" style="82" customWidth="1"/>
    <col min="44" max="46" width="11.625" style="96" customWidth="1"/>
    <col min="47" max="47" width="11.625" style="82" customWidth="1"/>
    <col min="48" max="48" width="10.875" style="84" customWidth="1"/>
    <col min="49" max="49" width="10.5" style="177" customWidth="1"/>
    <col min="50" max="52" width="10.5" style="84" customWidth="1"/>
    <col min="53" max="53" width="26.875" style="84" customWidth="1"/>
    <col min="54" max="54" width="38.25" style="84" customWidth="1"/>
    <col min="55" max="55" width="21.125" style="84" customWidth="1"/>
    <col min="56" max="56" width="16" style="177" customWidth="1"/>
    <col min="57" max="57" width="21.375" style="177" customWidth="1"/>
    <col min="58" max="58" width="16.375" style="177" customWidth="1"/>
    <col min="59" max="59" width="11.5" style="177" customWidth="1"/>
    <col min="60" max="60" width="9" style="84"/>
    <col min="61" max="61" width="12.5" style="84" customWidth="1"/>
    <col min="62" max="62" width="9" style="84"/>
    <col min="63" max="63" width="17.75" style="84" customWidth="1"/>
    <col min="64" max="64" width="9" style="84"/>
    <col min="65" max="65" width="13.375" style="84" customWidth="1"/>
    <col min="66" max="66" width="9" style="84"/>
    <col min="67" max="67" width="20" style="84" customWidth="1"/>
    <col min="68" max="68" width="14.25" style="84" customWidth="1"/>
    <col min="69" max="69" width="11.625" style="84" customWidth="1"/>
    <col min="70" max="16384" width="9" style="84"/>
  </cols>
  <sheetData>
    <row r="1" spans="1:69" ht="21.95" customHeight="1">
      <c r="A1" s="715" t="s">
        <v>1051</v>
      </c>
      <c r="B1" s="715"/>
      <c r="C1" s="715"/>
      <c r="D1" s="715"/>
      <c r="E1" s="715"/>
      <c r="F1" s="715"/>
      <c r="G1" s="715"/>
      <c r="H1" s="715"/>
      <c r="I1" s="715"/>
      <c r="J1" s="715"/>
      <c r="K1" s="715"/>
      <c r="L1" s="715"/>
      <c r="M1" s="715"/>
      <c r="N1" s="715"/>
      <c r="O1" s="715"/>
      <c r="P1" s="715"/>
      <c r="Q1" s="715"/>
      <c r="R1" s="715"/>
      <c r="S1" s="715"/>
      <c r="T1" s="715"/>
      <c r="U1" s="715"/>
      <c r="V1" s="715"/>
      <c r="W1" s="715"/>
      <c r="X1" s="715"/>
      <c r="Y1" s="715"/>
      <c r="Z1" s="715"/>
      <c r="AA1" s="715"/>
      <c r="AB1" s="715"/>
      <c r="AC1" s="715"/>
      <c r="AD1" s="715"/>
      <c r="AE1" s="715"/>
      <c r="AF1" s="715"/>
      <c r="AG1" s="715"/>
      <c r="AH1" s="715"/>
      <c r="AI1" s="715"/>
      <c r="AJ1" s="715"/>
      <c r="AK1" s="715"/>
      <c r="AL1" s="715"/>
      <c r="AM1" s="715"/>
      <c r="AN1" s="715"/>
      <c r="AO1" s="715"/>
      <c r="AR1" s="82"/>
      <c r="AS1" s="82"/>
      <c r="AT1" s="82"/>
      <c r="BI1" s="724" t="s">
        <v>996</v>
      </c>
      <c r="BJ1" s="724"/>
      <c r="BK1" s="724"/>
      <c r="BL1" s="724"/>
      <c r="BM1" s="724"/>
      <c r="BN1" s="724"/>
      <c r="BO1" s="724"/>
    </row>
    <row r="2" spans="1:69" s="100" customFormat="1" ht="20.100000000000001" customHeight="1">
      <c r="A2" s="716" t="s">
        <v>36</v>
      </c>
      <c r="B2" s="718"/>
      <c r="C2" s="716"/>
      <c r="D2" s="717"/>
      <c r="E2" s="718"/>
      <c r="F2" s="716" t="s">
        <v>1030</v>
      </c>
      <c r="G2" s="718"/>
      <c r="H2" s="716"/>
      <c r="I2" s="717"/>
      <c r="J2" s="718"/>
      <c r="K2" s="716" t="s">
        <v>446</v>
      </c>
      <c r="L2" s="718"/>
      <c r="M2" s="716" t="s">
        <v>1026</v>
      </c>
      <c r="N2" s="717"/>
      <c r="O2" s="718"/>
      <c r="P2" s="716" t="s">
        <v>448</v>
      </c>
      <c r="Q2" s="718"/>
      <c r="R2" s="716"/>
      <c r="S2" s="717"/>
      <c r="T2" s="718"/>
      <c r="U2" s="716" t="s">
        <v>449</v>
      </c>
      <c r="V2" s="718"/>
      <c r="W2" s="716"/>
      <c r="X2" s="717"/>
      <c r="Y2" s="718"/>
      <c r="Z2" s="716" t="s">
        <v>450</v>
      </c>
      <c r="AA2" s="718"/>
      <c r="AB2" s="719">
        <v>43075</v>
      </c>
      <c r="AC2" s="720"/>
      <c r="AD2" s="721"/>
      <c r="AE2" s="722" t="s">
        <v>451</v>
      </c>
      <c r="AF2" s="723"/>
      <c r="AG2" s="719">
        <v>43076</v>
      </c>
      <c r="AH2" s="720"/>
      <c r="AI2" s="721"/>
      <c r="AJ2" s="104"/>
      <c r="AK2" s="104"/>
      <c r="AL2" s="102"/>
      <c r="AM2" s="102"/>
      <c r="AN2" s="102"/>
      <c r="AO2" s="103"/>
      <c r="AP2" s="97" t="s">
        <v>416</v>
      </c>
      <c r="AQ2" s="138" t="s">
        <v>507</v>
      </c>
      <c r="AR2" s="138" t="str">
        <f>VLOOKUP(AQ2,AW2:AX35,2,0)</f>
        <v>免漆</v>
      </c>
      <c r="AS2" s="138" t="s">
        <v>484</v>
      </c>
      <c r="AT2" s="98"/>
      <c r="AU2" s="98"/>
      <c r="AW2" s="80" t="s">
        <v>251</v>
      </c>
      <c r="AX2" s="93" t="s">
        <v>432</v>
      </c>
      <c r="BD2" s="177"/>
      <c r="BE2" s="177"/>
      <c r="BF2" s="177"/>
      <c r="BG2" s="177"/>
      <c r="BI2" s="267" t="s">
        <v>944</v>
      </c>
      <c r="BJ2" s="268" t="s">
        <v>951</v>
      </c>
      <c r="BK2" s="267" t="s">
        <v>965</v>
      </c>
      <c r="BL2" s="269" t="s">
        <v>972</v>
      </c>
      <c r="BM2" s="267" t="s">
        <v>981</v>
      </c>
      <c r="BN2" s="267" t="s">
        <v>990</v>
      </c>
      <c r="BO2" s="267" t="s">
        <v>991</v>
      </c>
      <c r="BP2" s="267" t="s">
        <v>1007</v>
      </c>
      <c r="BQ2" s="267" t="s">
        <v>1015</v>
      </c>
    </row>
    <row r="3" spans="1:69" ht="20.100000000000001" customHeight="1">
      <c r="A3" s="710" t="s">
        <v>11</v>
      </c>
      <c r="B3" s="711"/>
      <c r="C3" s="711"/>
      <c r="D3" s="711"/>
      <c r="E3" s="712"/>
      <c r="F3" s="710" t="s">
        <v>452</v>
      </c>
      <c r="G3" s="711"/>
      <c r="H3" s="711"/>
      <c r="I3" s="711"/>
      <c r="J3" s="712"/>
      <c r="K3" s="710" t="s">
        <v>21</v>
      </c>
      <c r="L3" s="711"/>
      <c r="M3" s="711"/>
      <c r="N3" s="711"/>
      <c r="O3" s="712"/>
      <c r="P3" s="710" t="s">
        <v>417</v>
      </c>
      <c r="Q3" s="711"/>
      <c r="R3" s="711"/>
      <c r="S3" s="711"/>
      <c r="T3" s="712"/>
      <c r="U3" s="710" t="s">
        <v>418</v>
      </c>
      <c r="V3" s="711"/>
      <c r="W3" s="711"/>
      <c r="X3" s="711"/>
      <c r="Y3" s="712"/>
      <c r="Z3" s="710" t="s">
        <v>419</v>
      </c>
      <c r="AA3" s="711"/>
      <c r="AB3" s="711"/>
      <c r="AC3" s="711"/>
      <c r="AD3" s="712"/>
      <c r="AE3" s="710" t="s">
        <v>420</v>
      </c>
      <c r="AF3" s="711"/>
      <c r="AG3" s="711"/>
      <c r="AH3" s="711"/>
      <c r="AI3" s="712"/>
      <c r="AJ3" s="710" t="s">
        <v>421</v>
      </c>
      <c r="AK3" s="711"/>
      <c r="AL3" s="711"/>
      <c r="AM3" s="711"/>
      <c r="AN3" s="712"/>
      <c r="AO3" s="159" t="s">
        <v>29</v>
      </c>
      <c r="AP3" s="81" t="s">
        <v>422</v>
      </c>
      <c r="AQ3" s="79"/>
      <c r="AR3" s="79" t="s">
        <v>502</v>
      </c>
      <c r="AS3" s="79" t="s">
        <v>423</v>
      </c>
      <c r="AT3" s="79" t="s">
        <v>421</v>
      </c>
      <c r="AU3" s="79" t="s">
        <v>485</v>
      </c>
      <c r="AW3" s="80" t="s">
        <v>434</v>
      </c>
      <c r="AX3" s="93" t="s">
        <v>432</v>
      </c>
      <c r="AZ3" s="179" t="str">
        <f>IF($M$2="","",VLOOKUP($M$2,AZ5:BG15,1,FALSE))</f>
        <v>16厚樱桃木</v>
      </c>
      <c r="BA3" s="179" t="str">
        <f>IF($M$2="","",VLOOKUP($M$2,AZ5:BG15,2,FALSE))</f>
        <v>进口樱桃双贴三聚氰胺E0级刨花板</v>
      </c>
      <c r="BB3" s="179" t="str">
        <f>IF($M$2="","",VLOOKUP($M$2,AZ5:BG15,3,FALSE))</f>
        <v>红樱桃双贴三聚氰胺中密度板(欧-18)3*1220*2440</v>
      </c>
      <c r="BC3" s="179" t="str">
        <f>IF($M$2="","",VLOOKUP($M$2,AZ5:BG15,4,FALSE))</f>
        <v>进口樱桃pvc封边条</v>
      </c>
      <c r="BD3" s="179" t="str">
        <f>IF($M$2="","",VLOOKUP($M$2,AZ5:BG15,5,FALSE))</f>
        <v>吊码片盖（棕色）</v>
      </c>
      <c r="BE3" s="179" t="str">
        <f>IF($M$2="","",VLOOKUP($M$2,AZ5:BG15,6,FALSE))</f>
        <v>偏心件装饰盖（樱桃）</v>
      </c>
      <c r="BF3" s="180" t="str">
        <f>IF($M$2="","",VLOOKUP($M$2,AZ5:BG15,7,FALSE))</f>
        <v>排孔塞（樱桃色）</v>
      </c>
      <c r="BG3" s="180">
        <f>IF($M$2="","",VLOOKUP($M$2,AZ5:BG15,8,FALSE))</f>
        <v>5.7111325404478733E-2</v>
      </c>
      <c r="BI3" s="261" t="s">
        <v>934</v>
      </c>
      <c r="BJ3" s="263" t="s">
        <v>946</v>
      </c>
      <c r="BK3" s="261" t="s">
        <v>952</v>
      </c>
      <c r="BL3" s="263" t="s">
        <v>969</v>
      </c>
      <c r="BM3" s="261" t="s">
        <v>973</v>
      </c>
      <c r="BN3" s="261" t="s">
        <v>986</v>
      </c>
      <c r="BO3" s="64" t="s">
        <v>992</v>
      </c>
      <c r="BP3" s="262" t="s">
        <v>1008</v>
      </c>
      <c r="BQ3" s="262" t="s">
        <v>1016</v>
      </c>
    </row>
    <row r="4" spans="1:69" s="87" customFormat="1" ht="20.100000000000001" customHeight="1">
      <c r="A4" s="164" t="s">
        <v>424</v>
      </c>
      <c r="B4" s="165" t="s">
        <v>27</v>
      </c>
      <c r="C4" s="165" t="s">
        <v>425</v>
      </c>
      <c r="D4" s="165" t="s">
        <v>28</v>
      </c>
      <c r="E4" s="165" t="s">
        <v>426</v>
      </c>
      <c r="F4" s="165" t="s">
        <v>413</v>
      </c>
      <c r="G4" s="165" t="s">
        <v>414</v>
      </c>
      <c r="H4" s="165" t="s">
        <v>27</v>
      </c>
      <c r="I4" s="165" t="s">
        <v>28</v>
      </c>
      <c r="J4" s="165" t="s">
        <v>208</v>
      </c>
      <c r="K4" s="165" t="s">
        <v>413</v>
      </c>
      <c r="L4" s="165" t="s">
        <v>414</v>
      </c>
      <c r="M4" s="165" t="s">
        <v>27</v>
      </c>
      <c r="N4" s="165" t="s">
        <v>28</v>
      </c>
      <c r="O4" s="165" t="s">
        <v>208</v>
      </c>
      <c r="P4" s="165" t="s">
        <v>413</v>
      </c>
      <c r="Q4" s="165" t="s">
        <v>414</v>
      </c>
      <c r="R4" s="165" t="s">
        <v>27</v>
      </c>
      <c r="S4" s="165" t="s">
        <v>425</v>
      </c>
      <c r="T4" s="165" t="s">
        <v>208</v>
      </c>
      <c r="U4" s="165" t="s">
        <v>413</v>
      </c>
      <c r="V4" s="165" t="s">
        <v>414</v>
      </c>
      <c r="W4" s="165" t="s">
        <v>27</v>
      </c>
      <c r="X4" s="165" t="s">
        <v>425</v>
      </c>
      <c r="Y4" s="165" t="s">
        <v>208</v>
      </c>
      <c r="Z4" s="165" t="s">
        <v>301</v>
      </c>
      <c r="AA4" s="165" t="s">
        <v>414</v>
      </c>
      <c r="AB4" s="165" t="s">
        <v>27</v>
      </c>
      <c r="AC4" s="165" t="s">
        <v>28</v>
      </c>
      <c r="AD4" s="165" t="s">
        <v>208</v>
      </c>
      <c r="AE4" s="165" t="s">
        <v>301</v>
      </c>
      <c r="AF4" s="165" t="s">
        <v>414</v>
      </c>
      <c r="AG4" s="165" t="s">
        <v>27</v>
      </c>
      <c r="AH4" s="165" t="s">
        <v>28</v>
      </c>
      <c r="AI4" s="165" t="s">
        <v>208</v>
      </c>
      <c r="AJ4" s="165" t="s">
        <v>413</v>
      </c>
      <c r="AK4" s="165" t="s">
        <v>414</v>
      </c>
      <c r="AL4" s="297" t="s">
        <v>27</v>
      </c>
      <c r="AM4" s="160" t="s">
        <v>28</v>
      </c>
      <c r="AN4" s="160" t="s">
        <v>208</v>
      </c>
      <c r="AO4" s="304" t="s">
        <v>415</v>
      </c>
      <c r="AP4" s="85"/>
      <c r="AQ4" s="79" t="s">
        <v>427</v>
      </c>
      <c r="AR4" s="79"/>
      <c r="AS4" s="79"/>
      <c r="AT4" s="79"/>
      <c r="AU4" s="79"/>
      <c r="AW4" s="80" t="s">
        <v>252</v>
      </c>
      <c r="AX4" s="93" t="s">
        <v>435</v>
      </c>
      <c r="AZ4" s="178" t="s">
        <v>462</v>
      </c>
      <c r="BA4" s="178" t="s">
        <v>508</v>
      </c>
      <c r="BB4" s="178" t="s">
        <v>503</v>
      </c>
      <c r="BC4" s="178" t="s">
        <v>463</v>
      </c>
      <c r="BD4" s="178" t="s">
        <v>209</v>
      </c>
      <c r="BE4" s="178" t="s">
        <v>210</v>
      </c>
      <c r="BF4" s="178" t="s">
        <v>464</v>
      </c>
      <c r="BG4" s="178" t="s">
        <v>465</v>
      </c>
      <c r="BI4" s="261" t="s">
        <v>935</v>
      </c>
      <c r="BJ4" s="264" t="s">
        <v>947</v>
      </c>
      <c r="BK4" s="262" t="s">
        <v>953</v>
      </c>
      <c r="BL4" s="263" t="s">
        <v>970</v>
      </c>
      <c r="BM4" s="261" t="s">
        <v>974</v>
      </c>
      <c r="BN4" s="261" t="s">
        <v>987</v>
      </c>
      <c r="BO4" s="64" t="s">
        <v>993</v>
      </c>
      <c r="BP4" s="262" t="s">
        <v>1009</v>
      </c>
      <c r="BQ4" s="261" t="s">
        <v>1017</v>
      </c>
    </row>
    <row r="5" spans="1:69" ht="20.100000000000001" customHeight="1">
      <c r="A5" s="169">
        <v>1</v>
      </c>
      <c r="B5" s="170">
        <v>1</v>
      </c>
      <c r="C5" s="170">
        <v>2</v>
      </c>
      <c r="D5" s="170">
        <v>3</v>
      </c>
      <c r="E5" s="170">
        <v>1</v>
      </c>
      <c r="F5" s="155" t="s">
        <v>1027</v>
      </c>
      <c r="G5" s="155">
        <v>16</v>
      </c>
      <c r="H5" s="155">
        <f>C5-1</f>
        <v>1</v>
      </c>
      <c r="I5" s="155">
        <f>D5-1</f>
        <v>2</v>
      </c>
      <c r="J5" s="155">
        <f t="shared" ref="J5:J20" si="0">E5*2</f>
        <v>2</v>
      </c>
      <c r="K5" s="155" t="s">
        <v>1041</v>
      </c>
      <c r="L5" s="155">
        <v>1</v>
      </c>
      <c r="M5" s="155">
        <v>2</v>
      </c>
      <c r="N5" s="155">
        <v>2</v>
      </c>
      <c r="O5" s="155">
        <v>1</v>
      </c>
      <c r="P5" s="155" t="s">
        <v>1028</v>
      </c>
      <c r="Q5" s="155">
        <v>16</v>
      </c>
      <c r="R5" s="155">
        <f>B5-34</f>
        <v>-33</v>
      </c>
      <c r="S5" s="155">
        <f>C5-2</f>
        <v>0</v>
      </c>
      <c r="T5" s="155">
        <f t="shared" ref="T5:T20" si="1">E5</f>
        <v>1</v>
      </c>
      <c r="U5" s="155" t="s">
        <v>1029</v>
      </c>
      <c r="V5" s="155">
        <v>16</v>
      </c>
      <c r="W5" s="155">
        <f>B5-33</f>
        <v>-32</v>
      </c>
      <c r="X5" s="155">
        <v>85</v>
      </c>
      <c r="Y5" s="155">
        <f t="shared" ref="Y5:Y20" si="2">E5*2</f>
        <v>2</v>
      </c>
      <c r="Z5" s="155" t="s">
        <v>1031</v>
      </c>
      <c r="AA5" s="155">
        <v>16</v>
      </c>
      <c r="AB5" s="155">
        <f>B5-35</f>
        <v>-34</v>
      </c>
      <c r="AC5" s="155">
        <f>C5-47</f>
        <v>-45</v>
      </c>
      <c r="AD5" s="155">
        <f t="shared" ref="AD5:AD20" si="3">E5</f>
        <v>1</v>
      </c>
      <c r="AE5" s="155" t="s">
        <v>1046</v>
      </c>
      <c r="AF5" s="155">
        <v>16</v>
      </c>
      <c r="AG5" s="155">
        <v>1</v>
      </c>
      <c r="AH5" s="155">
        <v>1</v>
      </c>
      <c r="AI5" s="155">
        <v>1</v>
      </c>
      <c r="AJ5" s="155" t="s">
        <v>1040</v>
      </c>
      <c r="AK5" s="155">
        <v>3</v>
      </c>
      <c r="AL5" s="113">
        <f>B5-22</f>
        <v>-21</v>
      </c>
      <c r="AM5" s="155">
        <f t="shared" ref="AM5:AM11" si="4">D5-12</f>
        <v>-9</v>
      </c>
      <c r="AN5" s="114">
        <f>E5</f>
        <v>1</v>
      </c>
      <c r="AO5" s="155"/>
      <c r="AP5" s="85">
        <f t="shared" ref="AP5:AP10" si="5">IF(B5&lt;&gt;"",IF(B5&lt;950,4,6),0)*E5</f>
        <v>4</v>
      </c>
      <c r="AQ5" s="79">
        <v>1</v>
      </c>
      <c r="AR5" s="79">
        <f>(H5*I5*J5+M5*N5*O5+R5*T5*S5+W5*X5*Y5+AB5*AC5*AD5+AG5*AH5*AI5)/1000000</f>
        <v>-3.901E-3</v>
      </c>
      <c r="AS5" s="79">
        <f>(((H5+I5)*2+240)*J5+((M5+N5)*2+240)*O5+((R5+S5)*2+240)*T5+(W5*2+240)*Y5+((AB5+AC5)*2+240)*AD5+((AG5+AH5)*2+240)*AI5)/1000</f>
        <v>1.5920000000000001</v>
      </c>
      <c r="AT5" s="79">
        <f>AL5*AM5*AN5/1000000/1.22/2.44/0.75</f>
        <v>8.4654662725073908E-5</v>
      </c>
      <c r="AU5" s="79">
        <f t="shared" ref="AU5:AU20" si="6">B5*E5/1000</f>
        <v>1E-3</v>
      </c>
      <c r="AW5" s="80" t="s">
        <v>253</v>
      </c>
      <c r="AX5" s="93" t="s">
        <v>436</v>
      </c>
      <c r="AZ5" s="187"/>
      <c r="BA5" s="187"/>
      <c r="BB5" s="187"/>
      <c r="BC5" s="188"/>
      <c r="BD5" s="190"/>
      <c r="BE5" s="189"/>
      <c r="BF5" s="189"/>
      <c r="BG5" s="189"/>
      <c r="BI5" s="261" t="s">
        <v>936</v>
      </c>
      <c r="BJ5" s="263" t="s">
        <v>948</v>
      </c>
      <c r="BK5" s="261" t="s">
        <v>954</v>
      </c>
      <c r="BL5" s="263" t="s">
        <v>971</v>
      </c>
      <c r="BM5" s="261" t="s">
        <v>975</v>
      </c>
      <c r="BN5" s="261" t="s">
        <v>988</v>
      </c>
      <c r="BO5" s="64" t="s">
        <v>994</v>
      </c>
      <c r="BP5" s="262" t="s">
        <v>1010</v>
      </c>
      <c r="BQ5" s="261" t="s">
        <v>1018</v>
      </c>
    </row>
    <row r="6" spans="1:69" ht="20.100000000000001" customHeight="1">
      <c r="A6" s="169">
        <v>2</v>
      </c>
      <c r="B6" s="170">
        <v>1</v>
      </c>
      <c r="C6" s="170">
        <v>2</v>
      </c>
      <c r="D6" s="170">
        <v>3</v>
      </c>
      <c r="E6" s="170">
        <v>1</v>
      </c>
      <c r="F6" s="155" t="s">
        <v>1027</v>
      </c>
      <c r="G6" s="155">
        <v>16</v>
      </c>
      <c r="H6" s="106">
        <f t="shared" ref="H6:I20" si="7">C6-1</f>
        <v>1</v>
      </c>
      <c r="I6" s="106">
        <f t="shared" si="7"/>
        <v>2</v>
      </c>
      <c r="J6" s="106">
        <f t="shared" si="0"/>
        <v>2</v>
      </c>
      <c r="K6" s="155" t="s">
        <v>1041</v>
      </c>
      <c r="L6" s="106">
        <v>2</v>
      </c>
      <c r="M6" s="106">
        <v>2</v>
      </c>
      <c r="N6" s="106">
        <v>2</v>
      </c>
      <c r="O6" s="106">
        <v>1</v>
      </c>
      <c r="P6" s="155" t="s">
        <v>1028</v>
      </c>
      <c r="Q6" s="155">
        <v>16</v>
      </c>
      <c r="R6" s="106">
        <f t="shared" ref="R6:R20" si="8">B6-34</f>
        <v>-33</v>
      </c>
      <c r="S6" s="106">
        <f t="shared" ref="S6:S20" si="9">C6-2</f>
        <v>0</v>
      </c>
      <c r="T6" s="106">
        <f t="shared" si="1"/>
        <v>1</v>
      </c>
      <c r="U6" s="155" t="s">
        <v>1029</v>
      </c>
      <c r="V6" s="155">
        <v>16</v>
      </c>
      <c r="W6" s="106">
        <f t="shared" ref="W6:W20" si="10">B6-33</f>
        <v>-32</v>
      </c>
      <c r="X6" s="106">
        <v>85</v>
      </c>
      <c r="Y6" s="106">
        <f t="shared" si="2"/>
        <v>2</v>
      </c>
      <c r="Z6" s="155" t="s">
        <v>1031</v>
      </c>
      <c r="AA6" s="155">
        <v>16</v>
      </c>
      <c r="AB6" s="106">
        <f t="shared" ref="AB6:AB20" si="11">B6-35</f>
        <v>-34</v>
      </c>
      <c r="AC6" s="106">
        <f t="shared" ref="AC6:AC20" si="12">C6-47</f>
        <v>-45</v>
      </c>
      <c r="AD6" s="106">
        <f t="shared" si="3"/>
        <v>1</v>
      </c>
      <c r="AE6" s="155" t="s">
        <v>1046</v>
      </c>
      <c r="AF6" s="155">
        <v>16</v>
      </c>
      <c r="AG6" s="106">
        <v>1</v>
      </c>
      <c r="AH6" s="106">
        <v>1</v>
      </c>
      <c r="AI6" s="106">
        <v>1</v>
      </c>
      <c r="AJ6" s="155" t="s">
        <v>1040</v>
      </c>
      <c r="AK6" s="155">
        <v>3</v>
      </c>
      <c r="AL6" s="106">
        <f t="shared" ref="AL6:AL20" si="13">B6-22</f>
        <v>-21</v>
      </c>
      <c r="AM6" s="106">
        <f t="shared" si="4"/>
        <v>-9</v>
      </c>
      <c r="AN6" s="129">
        <f t="shared" ref="AN6:AN20" si="14">E6</f>
        <v>1</v>
      </c>
      <c r="AO6" s="113"/>
      <c r="AP6" s="85">
        <f t="shared" si="5"/>
        <v>4</v>
      </c>
      <c r="AQ6" s="79">
        <v>2</v>
      </c>
      <c r="AR6" s="79">
        <f t="shared" ref="AR6:AR20" si="15">(H6*I6*J6+M6*N6*O6+R6*T6*S6+W6*X6*Y6+AB6*AC6*AD6+AG6*AH6*AI6)/1000000</f>
        <v>-3.901E-3</v>
      </c>
      <c r="AS6" s="79">
        <f t="shared" ref="AS6:AS20" si="16">(((H6+I6)*2+240)*J6+((M6+N6)*2+240)*O6+((R6+S6)*2+240)*T6+(W6*2+240)*Y6+((AB6+AC6)*2+240)*AD6+((AG6+AH6)*2+240)*AI6)/1000</f>
        <v>1.5920000000000001</v>
      </c>
      <c r="AT6" s="79">
        <f t="shared" ref="AT6:AT20" si="17">AL6*AM6*AN6/1000000/1.22/2.44/0.75</f>
        <v>8.4654662725073908E-5</v>
      </c>
      <c r="AU6" s="79">
        <f t="shared" si="6"/>
        <v>1E-3</v>
      </c>
      <c r="AW6" s="80" t="s">
        <v>254</v>
      </c>
      <c r="AX6" s="93" t="s">
        <v>437</v>
      </c>
      <c r="AZ6" s="183" t="s">
        <v>468</v>
      </c>
      <c r="BA6" s="183" t="s">
        <v>509</v>
      </c>
      <c r="BB6" s="183" t="s">
        <v>510</v>
      </c>
      <c r="BC6" s="185" t="s">
        <v>469</v>
      </c>
      <c r="BD6" s="184" t="s">
        <v>663</v>
      </c>
      <c r="BE6" s="184" t="s">
        <v>660</v>
      </c>
      <c r="BF6" s="184" t="s">
        <v>655</v>
      </c>
      <c r="BG6" s="186">
        <f>$AR$47/1.2/2.4/0.91</f>
        <v>8.1352258852258871E-2</v>
      </c>
      <c r="BI6" s="261" t="s">
        <v>937</v>
      </c>
      <c r="BJ6" s="264" t="s">
        <v>949</v>
      </c>
      <c r="BK6" s="261" t="s">
        <v>955</v>
      </c>
      <c r="BM6" s="261" t="s">
        <v>976</v>
      </c>
      <c r="BN6" s="261" t="s">
        <v>989</v>
      </c>
      <c r="BO6" s="265" t="s">
        <v>995</v>
      </c>
      <c r="BP6" s="261" t="s">
        <v>1011</v>
      </c>
      <c r="BQ6" s="261" t="s">
        <v>1019</v>
      </c>
    </row>
    <row r="7" spans="1:69" ht="20.100000000000001" customHeight="1">
      <c r="A7" s="105"/>
      <c r="B7" s="170"/>
      <c r="C7" s="170"/>
      <c r="D7" s="170"/>
      <c r="E7" s="106"/>
      <c r="F7" s="155" t="s">
        <v>1027</v>
      </c>
      <c r="G7" s="155">
        <v>16</v>
      </c>
      <c r="H7" s="106">
        <f t="shared" si="7"/>
        <v>-1</v>
      </c>
      <c r="I7" s="106">
        <f t="shared" si="7"/>
        <v>-1</v>
      </c>
      <c r="J7" s="106">
        <f t="shared" si="0"/>
        <v>0</v>
      </c>
      <c r="K7" s="155"/>
      <c r="L7" s="106"/>
      <c r="M7" s="106"/>
      <c r="N7" s="106"/>
      <c r="O7" s="106"/>
      <c r="P7" s="155" t="s">
        <v>1028</v>
      </c>
      <c r="Q7" s="155">
        <v>16</v>
      </c>
      <c r="R7" s="106">
        <f t="shared" si="8"/>
        <v>-34</v>
      </c>
      <c r="S7" s="106">
        <f t="shared" si="9"/>
        <v>-2</v>
      </c>
      <c r="T7" s="106">
        <f t="shared" si="1"/>
        <v>0</v>
      </c>
      <c r="U7" s="155" t="s">
        <v>1029</v>
      </c>
      <c r="V7" s="155">
        <v>16</v>
      </c>
      <c r="W7" s="106">
        <f t="shared" si="10"/>
        <v>-33</v>
      </c>
      <c r="X7" s="106">
        <v>85</v>
      </c>
      <c r="Y7" s="106">
        <f t="shared" si="2"/>
        <v>0</v>
      </c>
      <c r="Z7" s="155" t="s">
        <v>1031</v>
      </c>
      <c r="AA7" s="155">
        <v>16</v>
      </c>
      <c r="AB7" s="106">
        <f t="shared" si="11"/>
        <v>-35</v>
      </c>
      <c r="AC7" s="106">
        <f t="shared" si="12"/>
        <v>-47</v>
      </c>
      <c r="AD7" s="106">
        <f t="shared" si="3"/>
        <v>0</v>
      </c>
      <c r="AE7" s="155" t="s">
        <v>1046</v>
      </c>
      <c r="AF7" s="155">
        <v>16</v>
      </c>
      <c r="AG7" s="106"/>
      <c r="AH7" s="106"/>
      <c r="AI7" s="106"/>
      <c r="AJ7" s="155" t="s">
        <v>1040</v>
      </c>
      <c r="AK7" s="155">
        <v>3</v>
      </c>
      <c r="AL7" s="106">
        <f t="shared" si="13"/>
        <v>-22</v>
      </c>
      <c r="AM7" s="106">
        <f t="shared" si="4"/>
        <v>-12</v>
      </c>
      <c r="AN7" s="129">
        <f t="shared" si="14"/>
        <v>0</v>
      </c>
      <c r="AO7" s="113"/>
      <c r="AP7" s="85">
        <f t="shared" si="5"/>
        <v>0</v>
      </c>
      <c r="AQ7" s="79">
        <v>3</v>
      </c>
      <c r="AR7" s="79">
        <f t="shared" si="15"/>
        <v>0</v>
      </c>
      <c r="AS7" s="79">
        <f t="shared" si="16"/>
        <v>0</v>
      </c>
      <c r="AT7" s="79">
        <f t="shared" si="17"/>
        <v>0</v>
      </c>
      <c r="AU7" s="79">
        <f t="shared" si="6"/>
        <v>0</v>
      </c>
      <c r="AZ7" s="183"/>
      <c r="BA7" s="183"/>
      <c r="BB7" s="183"/>
      <c r="BC7" s="183"/>
      <c r="BD7" s="184"/>
      <c r="BE7" s="184"/>
      <c r="BF7" s="184"/>
      <c r="BG7" s="184"/>
      <c r="BI7" s="261" t="s">
        <v>938</v>
      </c>
      <c r="BJ7" s="264" t="s">
        <v>950</v>
      </c>
      <c r="BK7" s="261" t="s">
        <v>956</v>
      </c>
      <c r="BM7" s="261" t="s">
        <v>977</v>
      </c>
      <c r="BO7" s="267" t="s">
        <v>997</v>
      </c>
      <c r="BP7" s="262" t="s">
        <v>1012</v>
      </c>
      <c r="BQ7" s="261" t="s">
        <v>1020</v>
      </c>
    </row>
    <row r="8" spans="1:69" ht="20.100000000000001" customHeight="1">
      <c r="A8" s="105"/>
      <c r="B8" s="170"/>
      <c r="C8" s="170"/>
      <c r="D8" s="170"/>
      <c r="E8" s="106"/>
      <c r="F8" s="155" t="s">
        <v>1027</v>
      </c>
      <c r="G8" s="155">
        <v>16</v>
      </c>
      <c r="H8" s="106">
        <f t="shared" si="7"/>
        <v>-1</v>
      </c>
      <c r="I8" s="106">
        <f t="shared" si="7"/>
        <v>-1</v>
      </c>
      <c r="J8" s="106">
        <f t="shared" si="0"/>
        <v>0</v>
      </c>
      <c r="K8" s="155"/>
      <c r="L8" s="106"/>
      <c r="M8" s="106"/>
      <c r="N8" s="106"/>
      <c r="O8" s="106"/>
      <c r="P8" s="155" t="s">
        <v>1028</v>
      </c>
      <c r="Q8" s="155">
        <v>16</v>
      </c>
      <c r="R8" s="106">
        <f t="shared" si="8"/>
        <v>-34</v>
      </c>
      <c r="S8" s="106">
        <f t="shared" si="9"/>
        <v>-2</v>
      </c>
      <c r="T8" s="106">
        <f t="shared" si="1"/>
        <v>0</v>
      </c>
      <c r="U8" s="155" t="s">
        <v>1029</v>
      </c>
      <c r="V8" s="155">
        <v>16</v>
      </c>
      <c r="W8" s="106">
        <f t="shared" si="10"/>
        <v>-33</v>
      </c>
      <c r="X8" s="106">
        <v>85</v>
      </c>
      <c r="Y8" s="106">
        <f t="shared" si="2"/>
        <v>0</v>
      </c>
      <c r="Z8" s="155" t="s">
        <v>1031</v>
      </c>
      <c r="AA8" s="155">
        <v>16</v>
      </c>
      <c r="AB8" s="106">
        <f t="shared" si="11"/>
        <v>-35</v>
      </c>
      <c r="AC8" s="106">
        <f t="shared" si="12"/>
        <v>-47</v>
      </c>
      <c r="AD8" s="106">
        <f t="shared" si="3"/>
        <v>0</v>
      </c>
      <c r="AE8" s="155" t="s">
        <v>1046</v>
      </c>
      <c r="AF8" s="155">
        <v>16</v>
      </c>
      <c r="AG8" s="106"/>
      <c r="AH8" s="106"/>
      <c r="AI8" s="106"/>
      <c r="AJ8" s="155" t="s">
        <v>1040</v>
      </c>
      <c r="AK8" s="155">
        <v>3</v>
      </c>
      <c r="AL8" s="106">
        <f t="shared" si="13"/>
        <v>-22</v>
      </c>
      <c r="AM8" s="106">
        <f t="shared" si="4"/>
        <v>-12</v>
      </c>
      <c r="AN8" s="129">
        <f t="shared" si="14"/>
        <v>0</v>
      </c>
      <c r="AO8" s="113"/>
      <c r="AP8" s="85">
        <f t="shared" si="5"/>
        <v>0</v>
      </c>
      <c r="AQ8" s="79">
        <v>4</v>
      </c>
      <c r="AR8" s="79">
        <f t="shared" si="15"/>
        <v>0</v>
      </c>
      <c r="AS8" s="79">
        <f t="shared" si="16"/>
        <v>0</v>
      </c>
      <c r="AT8" s="79">
        <f t="shared" si="17"/>
        <v>0</v>
      </c>
      <c r="AU8" s="79">
        <f t="shared" si="6"/>
        <v>0</v>
      </c>
      <c r="AW8" s="80" t="s">
        <v>255</v>
      </c>
      <c r="AX8" s="94" t="s">
        <v>438</v>
      </c>
      <c r="AZ8" s="183" t="s">
        <v>474</v>
      </c>
      <c r="BA8" s="183" t="s">
        <v>1023</v>
      </c>
      <c r="BB8" s="183" t="s">
        <v>511</v>
      </c>
      <c r="BC8" s="185" t="s">
        <v>475</v>
      </c>
      <c r="BD8" s="184" t="s">
        <v>664</v>
      </c>
      <c r="BE8" s="184" t="s">
        <v>662</v>
      </c>
      <c r="BF8" s="184" t="s">
        <v>656</v>
      </c>
      <c r="BG8" s="186">
        <f>$AR$47/1.2/2.4/0.85</f>
        <v>8.7094771241830085E-2</v>
      </c>
      <c r="BI8" s="261" t="s">
        <v>939</v>
      </c>
      <c r="BK8" s="262" t="s">
        <v>957</v>
      </c>
      <c r="BM8" s="261" t="s">
        <v>978</v>
      </c>
      <c r="BO8" s="64" t="s">
        <v>998</v>
      </c>
      <c r="BP8" s="262" t="s">
        <v>1013</v>
      </c>
    </row>
    <row r="9" spans="1:69" ht="20.100000000000001" customHeight="1">
      <c r="A9" s="105"/>
      <c r="B9" s="170"/>
      <c r="C9" s="170"/>
      <c r="D9" s="170"/>
      <c r="E9" s="106"/>
      <c r="F9" s="155" t="s">
        <v>1027</v>
      </c>
      <c r="G9" s="155">
        <v>16</v>
      </c>
      <c r="H9" s="106">
        <f t="shared" si="7"/>
        <v>-1</v>
      </c>
      <c r="I9" s="106">
        <f t="shared" si="7"/>
        <v>-1</v>
      </c>
      <c r="J9" s="106">
        <f t="shared" si="0"/>
        <v>0</v>
      </c>
      <c r="K9" s="155"/>
      <c r="L9" s="106"/>
      <c r="M9" s="106"/>
      <c r="N9" s="106"/>
      <c r="O9" s="106"/>
      <c r="P9" s="155" t="s">
        <v>1028</v>
      </c>
      <c r="Q9" s="155">
        <v>16</v>
      </c>
      <c r="R9" s="106">
        <f t="shared" si="8"/>
        <v>-34</v>
      </c>
      <c r="S9" s="106">
        <f t="shared" si="9"/>
        <v>-2</v>
      </c>
      <c r="T9" s="106">
        <f t="shared" si="1"/>
        <v>0</v>
      </c>
      <c r="U9" s="155" t="s">
        <v>1029</v>
      </c>
      <c r="V9" s="155">
        <v>16</v>
      </c>
      <c r="W9" s="106">
        <f t="shared" si="10"/>
        <v>-33</v>
      </c>
      <c r="X9" s="106">
        <v>85</v>
      </c>
      <c r="Y9" s="106">
        <f t="shared" si="2"/>
        <v>0</v>
      </c>
      <c r="Z9" s="155" t="s">
        <v>1031</v>
      </c>
      <c r="AA9" s="155">
        <v>16</v>
      </c>
      <c r="AB9" s="106">
        <f t="shared" si="11"/>
        <v>-35</v>
      </c>
      <c r="AC9" s="106">
        <f t="shared" si="12"/>
        <v>-47</v>
      </c>
      <c r="AD9" s="106">
        <f t="shared" si="3"/>
        <v>0</v>
      </c>
      <c r="AE9" s="155" t="s">
        <v>1046</v>
      </c>
      <c r="AF9" s="155">
        <v>16</v>
      </c>
      <c r="AG9" s="106"/>
      <c r="AH9" s="106"/>
      <c r="AI9" s="106"/>
      <c r="AJ9" s="155" t="s">
        <v>1040</v>
      </c>
      <c r="AK9" s="155">
        <v>3</v>
      </c>
      <c r="AL9" s="106">
        <f t="shared" si="13"/>
        <v>-22</v>
      </c>
      <c r="AM9" s="106">
        <f t="shared" si="4"/>
        <v>-12</v>
      </c>
      <c r="AN9" s="129">
        <f t="shared" si="14"/>
        <v>0</v>
      </c>
      <c r="AO9" s="113"/>
      <c r="AP9" s="85">
        <f t="shared" si="5"/>
        <v>0</v>
      </c>
      <c r="AQ9" s="79">
        <v>5</v>
      </c>
      <c r="AR9" s="79">
        <f t="shared" si="15"/>
        <v>0</v>
      </c>
      <c r="AS9" s="79">
        <f t="shared" si="16"/>
        <v>0</v>
      </c>
      <c r="AT9" s="79">
        <f t="shared" si="17"/>
        <v>0</v>
      </c>
      <c r="AU9" s="79">
        <f t="shared" si="6"/>
        <v>0</v>
      </c>
      <c r="AW9" s="80" t="s">
        <v>504</v>
      </c>
      <c r="AX9" s="94" t="s">
        <v>438</v>
      </c>
      <c r="AZ9" s="183"/>
      <c r="BA9" s="183"/>
      <c r="BB9" s="183"/>
      <c r="BC9" s="183"/>
      <c r="BD9" s="184"/>
      <c r="BE9" s="184"/>
      <c r="BF9" s="184"/>
      <c r="BG9" s="186"/>
      <c r="BI9" s="262" t="s">
        <v>940</v>
      </c>
      <c r="BK9" s="261" t="s">
        <v>958</v>
      </c>
      <c r="BM9" s="261" t="s">
        <v>979</v>
      </c>
      <c r="BO9" s="64" t="s">
        <v>999</v>
      </c>
      <c r="BP9" s="266" t="s">
        <v>1014</v>
      </c>
    </row>
    <row r="10" spans="1:69" ht="20.100000000000001" customHeight="1">
      <c r="A10" s="105"/>
      <c r="B10" s="170"/>
      <c r="C10" s="170"/>
      <c r="D10" s="170"/>
      <c r="E10" s="106"/>
      <c r="F10" s="155" t="s">
        <v>1027</v>
      </c>
      <c r="G10" s="155">
        <v>16</v>
      </c>
      <c r="H10" s="106">
        <f t="shared" si="7"/>
        <v>-1</v>
      </c>
      <c r="I10" s="106">
        <f t="shared" si="7"/>
        <v>-1</v>
      </c>
      <c r="J10" s="106">
        <f t="shared" si="0"/>
        <v>0</v>
      </c>
      <c r="K10" s="155"/>
      <c r="L10" s="106"/>
      <c r="M10" s="106"/>
      <c r="N10" s="106"/>
      <c r="O10" s="106"/>
      <c r="P10" s="155" t="s">
        <v>1028</v>
      </c>
      <c r="Q10" s="155">
        <v>16</v>
      </c>
      <c r="R10" s="106">
        <f t="shared" si="8"/>
        <v>-34</v>
      </c>
      <c r="S10" s="106">
        <f t="shared" si="9"/>
        <v>-2</v>
      </c>
      <c r="T10" s="106">
        <f t="shared" si="1"/>
        <v>0</v>
      </c>
      <c r="U10" s="155" t="s">
        <v>1029</v>
      </c>
      <c r="V10" s="155">
        <v>16</v>
      </c>
      <c r="W10" s="106">
        <f t="shared" si="10"/>
        <v>-33</v>
      </c>
      <c r="X10" s="106">
        <v>85</v>
      </c>
      <c r="Y10" s="106">
        <f t="shared" si="2"/>
        <v>0</v>
      </c>
      <c r="Z10" s="155" t="s">
        <v>1031</v>
      </c>
      <c r="AA10" s="155">
        <v>16</v>
      </c>
      <c r="AB10" s="106">
        <f t="shared" si="11"/>
        <v>-35</v>
      </c>
      <c r="AC10" s="106">
        <f t="shared" si="12"/>
        <v>-47</v>
      </c>
      <c r="AD10" s="106">
        <f t="shared" si="3"/>
        <v>0</v>
      </c>
      <c r="AE10" s="155" t="s">
        <v>1046</v>
      </c>
      <c r="AF10" s="155">
        <v>16</v>
      </c>
      <c r="AG10" s="106"/>
      <c r="AH10" s="106"/>
      <c r="AI10" s="106"/>
      <c r="AJ10" s="155" t="s">
        <v>1040</v>
      </c>
      <c r="AK10" s="155">
        <v>3</v>
      </c>
      <c r="AL10" s="106">
        <f t="shared" si="13"/>
        <v>-22</v>
      </c>
      <c r="AM10" s="106">
        <f t="shared" si="4"/>
        <v>-12</v>
      </c>
      <c r="AN10" s="129">
        <f t="shared" si="14"/>
        <v>0</v>
      </c>
      <c r="AO10" s="113"/>
      <c r="AP10" s="85">
        <f t="shared" si="5"/>
        <v>0</v>
      </c>
      <c r="AQ10" s="79">
        <v>6</v>
      </c>
      <c r="AR10" s="79">
        <f t="shared" si="15"/>
        <v>0</v>
      </c>
      <c r="AS10" s="79">
        <f t="shared" si="16"/>
        <v>0</v>
      </c>
      <c r="AT10" s="79">
        <f t="shared" si="17"/>
        <v>0</v>
      </c>
      <c r="AU10" s="79">
        <f t="shared" si="6"/>
        <v>0</v>
      </c>
      <c r="AZ10" s="183" t="s">
        <v>479</v>
      </c>
      <c r="BA10" s="183" t="s">
        <v>515</v>
      </c>
      <c r="BB10" s="183" t="s">
        <v>512</v>
      </c>
      <c r="BC10" s="185" t="s">
        <v>1025</v>
      </c>
      <c r="BD10" s="184" t="s">
        <v>663</v>
      </c>
      <c r="BE10" s="184" t="s">
        <v>661</v>
      </c>
      <c r="BF10" s="184" t="s">
        <v>657</v>
      </c>
      <c r="BG10" s="186">
        <f>$AR$47/1.2/2.4/0.91</f>
        <v>8.1352258852258871E-2</v>
      </c>
      <c r="BI10" s="262" t="s">
        <v>941</v>
      </c>
      <c r="BK10" s="262" t="s">
        <v>959</v>
      </c>
      <c r="BM10" s="261" t="s">
        <v>980</v>
      </c>
      <c r="BO10" s="64" t="s">
        <v>1000</v>
      </c>
    </row>
    <row r="11" spans="1:69" ht="20.100000000000001" customHeight="1">
      <c r="A11" s="105"/>
      <c r="B11" s="170"/>
      <c r="C11" s="170"/>
      <c r="D11" s="170"/>
      <c r="E11" s="106"/>
      <c r="F11" s="155" t="s">
        <v>1027</v>
      </c>
      <c r="G11" s="155">
        <v>16</v>
      </c>
      <c r="H11" s="106">
        <f t="shared" si="7"/>
        <v>-1</v>
      </c>
      <c r="I11" s="106">
        <f t="shared" si="7"/>
        <v>-1</v>
      </c>
      <c r="J11" s="106">
        <f t="shared" si="0"/>
        <v>0</v>
      </c>
      <c r="K11" s="155"/>
      <c r="L11" s="106"/>
      <c r="M11" s="106"/>
      <c r="N11" s="106"/>
      <c r="O11" s="106"/>
      <c r="P11" s="155" t="s">
        <v>1028</v>
      </c>
      <c r="Q11" s="155">
        <v>16</v>
      </c>
      <c r="R11" s="106">
        <f t="shared" si="8"/>
        <v>-34</v>
      </c>
      <c r="S11" s="106">
        <f t="shared" si="9"/>
        <v>-2</v>
      </c>
      <c r="T11" s="106">
        <f t="shared" si="1"/>
        <v>0</v>
      </c>
      <c r="U11" s="155" t="s">
        <v>1029</v>
      </c>
      <c r="V11" s="155">
        <v>16</v>
      </c>
      <c r="W11" s="106">
        <f t="shared" si="10"/>
        <v>-33</v>
      </c>
      <c r="X11" s="106">
        <v>85</v>
      </c>
      <c r="Y11" s="106">
        <f t="shared" si="2"/>
        <v>0</v>
      </c>
      <c r="Z11" s="155" t="s">
        <v>1031</v>
      </c>
      <c r="AA11" s="155">
        <v>16</v>
      </c>
      <c r="AB11" s="106">
        <f t="shared" si="11"/>
        <v>-35</v>
      </c>
      <c r="AC11" s="106">
        <f t="shared" si="12"/>
        <v>-47</v>
      </c>
      <c r="AD11" s="106">
        <f t="shared" si="3"/>
        <v>0</v>
      </c>
      <c r="AE11" s="155" t="s">
        <v>1046</v>
      </c>
      <c r="AF11" s="155">
        <v>16</v>
      </c>
      <c r="AG11" s="106"/>
      <c r="AH11" s="106"/>
      <c r="AI11" s="106"/>
      <c r="AJ11" s="155" t="s">
        <v>1040</v>
      </c>
      <c r="AK11" s="155">
        <v>3</v>
      </c>
      <c r="AL11" s="106">
        <f t="shared" si="13"/>
        <v>-22</v>
      </c>
      <c r="AM11" s="106">
        <f t="shared" si="4"/>
        <v>-12</v>
      </c>
      <c r="AN11" s="129">
        <f t="shared" si="14"/>
        <v>0</v>
      </c>
      <c r="AO11" s="113"/>
      <c r="AP11" s="85">
        <f t="shared" ref="AP11:AP19" si="18">IF(B11&lt;&gt;"",IF(B11&lt;950,4,6),0)*E11</f>
        <v>0</v>
      </c>
      <c r="AQ11" s="79">
        <v>7</v>
      </c>
      <c r="AR11" s="79">
        <f t="shared" si="15"/>
        <v>0</v>
      </c>
      <c r="AS11" s="79">
        <f t="shared" si="16"/>
        <v>0</v>
      </c>
      <c r="AT11" s="79">
        <f t="shared" si="17"/>
        <v>0</v>
      </c>
      <c r="AU11" s="79">
        <f t="shared" si="6"/>
        <v>0</v>
      </c>
      <c r="AW11" s="80" t="s">
        <v>259</v>
      </c>
      <c r="AX11" s="94" t="s">
        <v>439</v>
      </c>
      <c r="AZ11" s="183"/>
      <c r="BA11" s="183"/>
      <c r="BB11" s="183"/>
      <c r="BC11" s="183"/>
      <c r="BD11" s="184"/>
      <c r="BE11" s="184"/>
      <c r="BF11" s="184"/>
      <c r="BG11" s="186"/>
      <c r="BK11" s="261" t="s">
        <v>960</v>
      </c>
      <c r="BM11" s="261" t="s">
        <v>982</v>
      </c>
      <c r="BO11" s="265" t="s">
        <v>1001</v>
      </c>
    </row>
    <row r="12" spans="1:69" ht="20.100000000000001" customHeight="1">
      <c r="A12" s="105"/>
      <c r="B12" s="170"/>
      <c r="C12" s="170"/>
      <c r="D12" s="170"/>
      <c r="E12" s="106"/>
      <c r="F12" s="155" t="s">
        <v>1027</v>
      </c>
      <c r="G12" s="155">
        <v>16</v>
      </c>
      <c r="H12" s="106">
        <f t="shared" si="7"/>
        <v>-1</v>
      </c>
      <c r="I12" s="106">
        <f t="shared" si="7"/>
        <v>-1</v>
      </c>
      <c r="J12" s="106">
        <f t="shared" si="0"/>
        <v>0</v>
      </c>
      <c r="K12" s="155"/>
      <c r="L12" s="106"/>
      <c r="M12" s="106"/>
      <c r="N12" s="106"/>
      <c r="O12" s="106"/>
      <c r="P12" s="155" t="s">
        <v>1028</v>
      </c>
      <c r="Q12" s="155">
        <v>16</v>
      </c>
      <c r="R12" s="106">
        <f t="shared" si="8"/>
        <v>-34</v>
      </c>
      <c r="S12" s="106">
        <f t="shared" si="9"/>
        <v>-2</v>
      </c>
      <c r="T12" s="106">
        <f t="shared" si="1"/>
        <v>0</v>
      </c>
      <c r="U12" s="155" t="s">
        <v>1029</v>
      </c>
      <c r="V12" s="155">
        <v>16</v>
      </c>
      <c r="W12" s="106">
        <f t="shared" si="10"/>
        <v>-33</v>
      </c>
      <c r="X12" s="106">
        <v>85</v>
      </c>
      <c r="Y12" s="106">
        <f t="shared" si="2"/>
        <v>0</v>
      </c>
      <c r="Z12" s="155" t="s">
        <v>1031</v>
      </c>
      <c r="AA12" s="155">
        <v>16</v>
      </c>
      <c r="AB12" s="106">
        <f t="shared" si="11"/>
        <v>-35</v>
      </c>
      <c r="AC12" s="106">
        <f t="shared" si="12"/>
        <v>-47</v>
      </c>
      <c r="AD12" s="106">
        <f t="shared" si="3"/>
        <v>0</v>
      </c>
      <c r="AE12" s="155" t="s">
        <v>1046</v>
      </c>
      <c r="AF12" s="155">
        <v>16</v>
      </c>
      <c r="AG12" s="106"/>
      <c r="AH12" s="106"/>
      <c r="AI12" s="106"/>
      <c r="AJ12" s="155" t="s">
        <v>1040</v>
      </c>
      <c r="AK12" s="155">
        <v>3</v>
      </c>
      <c r="AL12" s="106">
        <f t="shared" si="13"/>
        <v>-22</v>
      </c>
      <c r="AM12" s="106">
        <f t="shared" ref="AM12:AM20" si="19">D12-12</f>
        <v>-12</v>
      </c>
      <c r="AN12" s="129">
        <f>E12</f>
        <v>0</v>
      </c>
      <c r="AO12" s="113"/>
      <c r="AP12" s="85">
        <f t="shared" si="18"/>
        <v>0</v>
      </c>
      <c r="AQ12" s="79">
        <v>8</v>
      </c>
      <c r="AR12" s="79">
        <f t="shared" si="15"/>
        <v>0</v>
      </c>
      <c r="AS12" s="79">
        <f t="shared" si="16"/>
        <v>0</v>
      </c>
      <c r="AT12" s="79">
        <f t="shared" si="17"/>
        <v>0</v>
      </c>
      <c r="AU12" s="79">
        <f t="shared" si="6"/>
        <v>0</v>
      </c>
      <c r="AZ12" s="183" t="s">
        <v>480</v>
      </c>
      <c r="BA12" s="183" t="s">
        <v>518</v>
      </c>
      <c r="BB12" s="183" t="s">
        <v>513</v>
      </c>
      <c r="BC12" s="185" t="s">
        <v>481</v>
      </c>
      <c r="BD12" s="184" t="s">
        <v>664</v>
      </c>
      <c r="BE12" s="184" t="s">
        <v>662</v>
      </c>
      <c r="BF12" s="184" t="s">
        <v>656</v>
      </c>
      <c r="BG12" s="186">
        <f>$AR$47/1.83/2.4/0.85</f>
        <v>5.7111325404478733E-2</v>
      </c>
      <c r="BK12" s="262" t="s">
        <v>961</v>
      </c>
      <c r="BM12" s="267" t="s">
        <v>985</v>
      </c>
      <c r="BO12" s="265" t="s">
        <v>1002</v>
      </c>
    </row>
    <row r="13" spans="1:69" ht="20.100000000000001" customHeight="1">
      <c r="A13" s="105"/>
      <c r="B13" s="170"/>
      <c r="C13" s="170"/>
      <c r="D13" s="170"/>
      <c r="E13" s="106"/>
      <c r="F13" s="155" t="s">
        <v>1027</v>
      </c>
      <c r="G13" s="155">
        <v>16</v>
      </c>
      <c r="H13" s="106">
        <f t="shared" si="7"/>
        <v>-1</v>
      </c>
      <c r="I13" s="106">
        <f t="shared" si="7"/>
        <v>-1</v>
      </c>
      <c r="J13" s="106">
        <f t="shared" si="0"/>
        <v>0</v>
      </c>
      <c r="K13" s="155"/>
      <c r="L13" s="106"/>
      <c r="M13" s="106"/>
      <c r="N13" s="106"/>
      <c r="O13" s="106"/>
      <c r="P13" s="155" t="s">
        <v>1028</v>
      </c>
      <c r="Q13" s="155">
        <v>16</v>
      </c>
      <c r="R13" s="106">
        <f t="shared" si="8"/>
        <v>-34</v>
      </c>
      <c r="S13" s="106">
        <f t="shared" si="9"/>
        <v>-2</v>
      </c>
      <c r="T13" s="106">
        <f t="shared" si="1"/>
        <v>0</v>
      </c>
      <c r="U13" s="155" t="s">
        <v>1029</v>
      </c>
      <c r="V13" s="155">
        <v>16</v>
      </c>
      <c r="W13" s="106">
        <f t="shared" si="10"/>
        <v>-33</v>
      </c>
      <c r="X13" s="106">
        <v>85</v>
      </c>
      <c r="Y13" s="106">
        <f t="shared" si="2"/>
        <v>0</v>
      </c>
      <c r="Z13" s="155" t="s">
        <v>1031</v>
      </c>
      <c r="AA13" s="155">
        <v>16</v>
      </c>
      <c r="AB13" s="106">
        <f t="shared" si="11"/>
        <v>-35</v>
      </c>
      <c r="AC13" s="106">
        <f t="shared" si="12"/>
        <v>-47</v>
      </c>
      <c r="AD13" s="106">
        <f t="shared" si="3"/>
        <v>0</v>
      </c>
      <c r="AE13" s="155" t="s">
        <v>1046</v>
      </c>
      <c r="AF13" s="155">
        <v>16</v>
      </c>
      <c r="AG13" s="106"/>
      <c r="AH13" s="106"/>
      <c r="AI13" s="106"/>
      <c r="AJ13" s="155" t="s">
        <v>1040</v>
      </c>
      <c r="AK13" s="155">
        <v>3</v>
      </c>
      <c r="AL13" s="106">
        <f t="shared" si="13"/>
        <v>-22</v>
      </c>
      <c r="AM13" s="106">
        <f t="shared" si="19"/>
        <v>-12</v>
      </c>
      <c r="AN13" s="129">
        <f t="shared" si="14"/>
        <v>0</v>
      </c>
      <c r="AO13" s="113"/>
      <c r="AP13" s="85">
        <f t="shared" si="18"/>
        <v>0</v>
      </c>
      <c r="AQ13" s="79">
        <v>9</v>
      </c>
      <c r="AR13" s="79">
        <f t="shared" si="15"/>
        <v>0</v>
      </c>
      <c r="AS13" s="79">
        <f t="shared" si="16"/>
        <v>0</v>
      </c>
      <c r="AT13" s="79">
        <f t="shared" si="17"/>
        <v>0</v>
      </c>
      <c r="AU13" s="79">
        <f t="shared" si="6"/>
        <v>0</v>
      </c>
      <c r="AW13" s="182" t="s">
        <v>505</v>
      </c>
      <c r="AX13" s="94" t="s">
        <v>439</v>
      </c>
      <c r="AZ13" s="183"/>
      <c r="BA13" s="183"/>
      <c r="BB13" s="183"/>
      <c r="BC13" s="183"/>
      <c r="BD13" s="184"/>
      <c r="BE13" s="184"/>
      <c r="BF13" s="184"/>
      <c r="BG13" s="186"/>
      <c r="BK13" s="261" t="s">
        <v>962</v>
      </c>
      <c r="BM13" s="261" t="s">
        <v>983</v>
      </c>
      <c r="BO13" s="64" t="s">
        <v>1003</v>
      </c>
    </row>
    <row r="14" spans="1:69" ht="20.100000000000001" customHeight="1">
      <c r="A14" s="105"/>
      <c r="B14" s="170"/>
      <c r="C14" s="170"/>
      <c r="D14" s="170"/>
      <c r="E14" s="106"/>
      <c r="F14" s="155" t="s">
        <v>1027</v>
      </c>
      <c r="G14" s="155">
        <v>16</v>
      </c>
      <c r="H14" s="106">
        <f t="shared" si="7"/>
        <v>-1</v>
      </c>
      <c r="I14" s="106">
        <f t="shared" si="7"/>
        <v>-1</v>
      </c>
      <c r="J14" s="106">
        <f t="shared" si="0"/>
        <v>0</v>
      </c>
      <c r="K14" s="155"/>
      <c r="L14" s="106"/>
      <c r="M14" s="106"/>
      <c r="N14" s="106"/>
      <c r="O14" s="106"/>
      <c r="P14" s="155" t="s">
        <v>1028</v>
      </c>
      <c r="Q14" s="155">
        <v>16</v>
      </c>
      <c r="R14" s="106">
        <f t="shared" si="8"/>
        <v>-34</v>
      </c>
      <c r="S14" s="106">
        <f t="shared" si="9"/>
        <v>-2</v>
      </c>
      <c r="T14" s="106">
        <f t="shared" si="1"/>
        <v>0</v>
      </c>
      <c r="U14" s="155" t="s">
        <v>1029</v>
      </c>
      <c r="V14" s="155">
        <v>16</v>
      </c>
      <c r="W14" s="106">
        <f t="shared" si="10"/>
        <v>-33</v>
      </c>
      <c r="X14" s="106">
        <v>85</v>
      </c>
      <c r="Y14" s="106">
        <f t="shared" si="2"/>
        <v>0</v>
      </c>
      <c r="Z14" s="155" t="s">
        <v>1031</v>
      </c>
      <c r="AA14" s="155">
        <v>16</v>
      </c>
      <c r="AB14" s="106">
        <f t="shared" si="11"/>
        <v>-35</v>
      </c>
      <c r="AC14" s="106">
        <f t="shared" si="12"/>
        <v>-47</v>
      </c>
      <c r="AD14" s="106">
        <f t="shared" si="3"/>
        <v>0</v>
      </c>
      <c r="AE14" s="155" t="s">
        <v>1046</v>
      </c>
      <c r="AF14" s="155">
        <v>16</v>
      </c>
      <c r="AG14" s="106"/>
      <c r="AH14" s="106"/>
      <c r="AI14" s="106"/>
      <c r="AJ14" s="155" t="s">
        <v>1040</v>
      </c>
      <c r="AK14" s="155">
        <v>3</v>
      </c>
      <c r="AL14" s="106">
        <f t="shared" si="13"/>
        <v>-22</v>
      </c>
      <c r="AM14" s="106">
        <f t="shared" si="19"/>
        <v>-12</v>
      </c>
      <c r="AN14" s="129">
        <f t="shared" si="14"/>
        <v>0</v>
      </c>
      <c r="AO14" s="113"/>
      <c r="AP14" s="85">
        <f t="shared" si="18"/>
        <v>0</v>
      </c>
      <c r="AQ14" s="79">
        <v>10</v>
      </c>
      <c r="AR14" s="79">
        <f t="shared" si="15"/>
        <v>0</v>
      </c>
      <c r="AS14" s="79">
        <f t="shared" si="16"/>
        <v>0</v>
      </c>
      <c r="AT14" s="79">
        <f t="shared" si="17"/>
        <v>0</v>
      </c>
      <c r="AU14" s="79">
        <f t="shared" si="6"/>
        <v>0</v>
      </c>
      <c r="AW14" s="80" t="s">
        <v>260</v>
      </c>
      <c r="AX14" s="94" t="s">
        <v>440</v>
      </c>
      <c r="AZ14" s="183" t="s">
        <v>482</v>
      </c>
      <c r="BA14" s="183" t="s">
        <v>1024</v>
      </c>
      <c r="BB14" s="183" t="s">
        <v>514</v>
      </c>
      <c r="BC14" s="185" t="s">
        <v>483</v>
      </c>
      <c r="BD14" s="184" t="s">
        <v>663</v>
      </c>
      <c r="BE14" s="184" t="s">
        <v>659</v>
      </c>
      <c r="BF14" s="184" t="s">
        <v>658</v>
      </c>
      <c r="BG14" s="186">
        <f>$AR$47/1.2/2.4/0.85</f>
        <v>8.7094771241830085E-2</v>
      </c>
      <c r="BK14" s="262" t="s">
        <v>963</v>
      </c>
      <c r="BM14" s="261" t="s">
        <v>984</v>
      </c>
      <c r="BO14" s="267" t="s">
        <v>1004</v>
      </c>
    </row>
    <row r="15" spans="1:69" ht="20.100000000000001" customHeight="1">
      <c r="A15" s="105"/>
      <c r="B15" s="170"/>
      <c r="C15" s="170"/>
      <c r="D15" s="170"/>
      <c r="E15" s="106"/>
      <c r="F15" s="155" t="s">
        <v>1027</v>
      </c>
      <c r="G15" s="155">
        <v>16</v>
      </c>
      <c r="H15" s="106">
        <f t="shared" si="7"/>
        <v>-1</v>
      </c>
      <c r="I15" s="106">
        <f t="shared" si="7"/>
        <v>-1</v>
      </c>
      <c r="J15" s="106">
        <f t="shared" si="0"/>
        <v>0</v>
      </c>
      <c r="K15" s="155"/>
      <c r="L15" s="106"/>
      <c r="M15" s="106"/>
      <c r="N15" s="106"/>
      <c r="O15" s="106"/>
      <c r="P15" s="155" t="s">
        <v>1028</v>
      </c>
      <c r="Q15" s="155">
        <v>16</v>
      </c>
      <c r="R15" s="106">
        <f t="shared" si="8"/>
        <v>-34</v>
      </c>
      <c r="S15" s="106">
        <f t="shared" si="9"/>
        <v>-2</v>
      </c>
      <c r="T15" s="106">
        <f t="shared" si="1"/>
        <v>0</v>
      </c>
      <c r="U15" s="155" t="s">
        <v>1029</v>
      </c>
      <c r="V15" s="155">
        <v>16</v>
      </c>
      <c r="W15" s="106">
        <f t="shared" si="10"/>
        <v>-33</v>
      </c>
      <c r="X15" s="106">
        <v>85</v>
      </c>
      <c r="Y15" s="106">
        <f t="shared" si="2"/>
        <v>0</v>
      </c>
      <c r="Z15" s="155" t="s">
        <v>1031</v>
      </c>
      <c r="AA15" s="155">
        <v>16</v>
      </c>
      <c r="AB15" s="106">
        <f t="shared" si="11"/>
        <v>-35</v>
      </c>
      <c r="AC15" s="106">
        <f t="shared" si="12"/>
        <v>-47</v>
      </c>
      <c r="AD15" s="106">
        <f t="shared" si="3"/>
        <v>0</v>
      </c>
      <c r="AE15" s="155" t="s">
        <v>1046</v>
      </c>
      <c r="AF15" s="155">
        <v>16</v>
      </c>
      <c r="AG15" s="106"/>
      <c r="AH15" s="106"/>
      <c r="AI15" s="106"/>
      <c r="AJ15" s="155" t="s">
        <v>1040</v>
      </c>
      <c r="AK15" s="155">
        <v>3</v>
      </c>
      <c r="AL15" s="106">
        <f t="shared" si="13"/>
        <v>-22</v>
      </c>
      <c r="AM15" s="106">
        <f t="shared" si="19"/>
        <v>-12</v>
      </c>
      <c r="AN15" s="129">
        <f t="shared" si="14"/>
        <v>0</v>
      </c>
      <c r="AO15" s="113"/>
      <c r="AP15" s="85">
        <f t="shared" si="18"/>
        <v>0</v>
      </c>
      <c r="AQ15" s="79">
        <v>11</v>
      </c>
      <c r="AR15" s="79">
        <f t="shared" si="15"/>
        <v>0</v>
      </c>
      <c r="AS15" s="79">
        <f t="shared" si="16"/>
        <v>0</v>
      </c>
      <c r="AT15" s="79">
        <f t="shared" si="17"/>
        <v>0</v>
      </c>
      <c r="AU15" s="79">
        <f t="shared" si="6"/>
        <v>0</v>
      </c>
      <c r="AW15" s="80" t="s">
        <v>261</v>
      </c>
      <c r="AX15" s="94" t="s">
        <v>440</v>
      </c>
      <c r="AZ15" s="183"/>
      <c r="BA15" s="183"/>
      <c r="BB15" s="183"/>
      <c r="BC15" s="183"/>
      <c r="BD15" s="184"/>
      <c r="BE15" s="184"/>
      <c r="BF15" s="184"/>
      <c r="BG15" s="186"/>
      <c r="BK15" s="261" t="s">
        <v>964</v>
      </c>
      <c r="BM15" s="267" t="s">
        <v>943</v>
      </c>
      <c r="BO15" s="261" t="s">
        <v>1005</v>
      </c>
    </row>
    <row r="16" spans="1:69" ht="20.100000000000001" customHeight="1">
      <c r="A16" s="105"/>
      <c r="B16" s="170"/>
      <c r="C16" s="170"/>
      <c r="D16" s="170"/>
      <c r="E16" s="106"/>
      <c r="F16" s="155" t="s">
        <v>1027</v>
      </c>
      <c r="G16" s="155">
        <v>16</v>
      </c>
      <c r="H16" s="106">
        <f t="shared" si="7"/>
        <v>-1</v>
      </c>
      <c r="I16" s="106">
        <f t="shared" si="7"/>
        <v>-1</v>
      </c>
      <c r="J16" s="106">
        <f t="shared" si="0"/>
        <v>0</v>
      </c>
      <c r="K16" s="155"/>
      <c r="L16" s="106"/>
      <c r="M16" s="106"/>
      <c r="N16" s="106"/>
      <c r="O16" s="106"/>
      <c r="P16" s="155" t="s">
        <v>1028</v>
      </c>
      <c r="Q16" s="155">
        <v>16</v>
      </c>
      <c r="R16" s="106">
        <f t="shared" si="8"/>
        <v>-34</v>
      </c>
      <c r="S16" s="106">
        <f t="shared" si="9"/>
        <v>-2</v>
      </c>
      <c r="T16" s="106">
        <f t="shared" si="1"/>
        <v>0</v>
      </c>
      <c r="U16" s="155" t="s">
        <v>1029</v>
      </c>
      <c r="V16" s="155">
        <v>16</v>
      </c>
      <c r="W16" s="106">
        <f t="shared" si="10"/>
        <v>-33</v>
      </c>
      <c r="X16" s="106">
        <v>85</v>
      </c>
      <c r="Y16" s="106">
        <f t="shared" si="2"/>
        <v>0</v>
      </c>
      <c r="Z16" s="155" t="s">
        <v>1031</v>
      </c>
      <c r="AA16" s="155">
        <v>16</v>
      </c>
      <c r="AB16" s="106">
        <f t="shared" si="11"/>
        <v>-35</v>
      </c>
      <c r="AC16" s="106">
        <f t="shared" si="12"/>
        <v>-47</v>
      </c>
      <c r="AD16" s="106">
        <f t="shared" si="3"/>
        <v>0</v>
      </c>
      <c r="AE16" s="155" t="s">
        <v>1046</v>
      </c>
      <c r="AF16" s="155">
        <v>16</v>
      </c>
      <c r="AG16" s="106"/>
      <c r="AH16" s="106"/>
      <c r="AI16" s="106"/>
      <c r="AJ16" s="155" t="s">
        <v>1040</v>
      </c>
      <c r="AK16" s="155">
        <v>3</v>
      </c>
      <c r="AL16" s="106">
        <f t="shared" si="13"/>
        <v>-22</v>
      </c>
      <c r="AM16" s="106">
        <f t="shared" si="19"/>
        <v>-12</v>
      </c>
      <c r="AN16" s="129">
        <f t="shared" si="14"/>
        <v>0</v>
      </c>
      <c r="AO16" s="113"/>
      <c r="AP16" s="85">
        <f t="shared" si="18"/>
        <v>0</v>
      </c>
      <c r="AQ16" s="79">
        <v>12</v>
      </c>
      <c r="AR16" s="79">
        <f t="shared" si="15"/>
        <v>0</v>
      </c>
      <c r="AS16" s="79">
        <f t="shared" si="16"/>
        <v>0</v>
      </c>
      <c r="AT16" s="79">
        <f t="shared" si="17"/>
        <v>0</v>
      </c>
      <c r="AU16" s="79">
        <f t="shared" si="6"/>
        <v>0</v>
      </c>
      <c r="AW16" s="80" t="s">
        <v>258</v>
      </c>
      <c r="AX16" s="94" t="s">
        <v>439</v>
      </c>
      <c r="BK16" s="262" t="s">
        <v>966</v>
      </c>
      <c r="BM16" s="261" t="s">
        <v>942</v>
      </c>
      <c r="BO16" s="261" t="s">
        <v>1006</v>
      </c>
    </row>
    <row r="17" spans="1:67" ht="20.100000000000001" customHeight="1">
      <c r="A17" s="105"/>
      <c r="B17" s="170"/>
      <c r="C17" s="170"/>
      <c r="D17" s="170"/>
      <c r="E17" s="106"/>
      <c r="F17" s="155" t="s">
        <v>1027</v>
      </c>
      <c r="G17" s="155">
        <v>16</v>
      </c>
      <c r="H17" s="106">
        <f t="shared" si="7"/>
        <v>-1</v>
      </c>
      <c r="I17" s="106">
        <f t="shared" si="7"/>
        <v>-1</v>
      </c>
      <c r="J17" s="106">
        <f t="shared" si="0"/>
        <v>0</v>
      </c>
      <c r="K17" s="155"/>
      <c r="L17" s="106"/>
      <c r="M17" s="106"/>
      <c r="N17" s="106"/>
      <c r="O17" s="106"/>
      <c r="P17" s="155" t="s">
        <v>1028</v>
      </c>
      <c r="Q17" s="155">
        <v>16</v>
      </c>
      <c r="R17" s="106">
        <f t="shared" si="8"/>
        <v>-34</v>
      </c>
      <c r="S17" s="106">
        <f t="shared" si="9"/>
        <v>-2</v>
      </c>
      <c r="T17" s="106">
        <f t="shared" si="1"/>
        <v>0</v>
      </c>
      <c r="U17" s="155" t="s">
        <v>1029</v>
      </c>
      <c r="V17" s="155">
        <v>16</v>
      </c>
      <c r="W17" s="106">
        <f t="shared" si="10"/>
        <v>-33</v>
      </c>
      <c r="X17" s="106">
        <v>85</v>
      </c>
      <c r="Y17" s="106">
        <f t="shared" si="2"/>
        <v>0</v>
      </c>
      <c r="Z17" s="155" t="s">
        <v>1031</v>
      </c>
      <c r="AA17" s="155">
        <v>16</v>
      </c>
      <c r="AB17" s="106">
        <f t="shared" si="11"/>
        <v>-35</v>
      </c>
      <c r="AC17" s="106">
        <f t="shared" si="12"/>
        <v>-47</v>
      </c>
      <c r="AD17" s="106">
        <f t="shared" si="3"/>
        <v>0</v>
      </c>
      <c r="AE17" s="155" t="s">
        <v>1046</v>
      </c>
      <c r="AF17" s="155">
        <v>16</v>
      </c>
      <c r="AG17" s="106"/>
      <c r="AH17" s="106"/>
      <c r="AI17" s="106"/>
      <c r="AJ17" s="155" t="s">
        <v>1040</v>
      </c>
      <c r="AK17" s="155">
        <v>3</v>
      </c>
      <c r="AL17" s="106">
        <f t="shared" si="13"/>
        <v>-22</v>
      </c>
      <c r="AM17" s="106">
        <f t="shared" si="19"/>
        <v>-12</v>
      </c>
      <c r="AN17" s="129">
        <f t="shared" si="14"/>
        <v>0</v>
      </c>
      <c r="AO17" s="113"/>
      <c r="AP17" s="85">
        <f t="shared" si="18"/>
        <v>0</v>
      </c>
      <c r="AQ17" s="79">
        <v>13</v>
      </c>
      <c r="AR17" s="79">
        <f t="shared" si="15"/>
        <v>0</v>
      </c>
      <c r="AS17" s="79">
        <f t="shared" si="16"/>
        <v>0</v>
      </c>
      <c r="AT17" s="79">
        <f t="shared" si="17"/>
        <v>0</v>
      </c>
      <c r="AU17" s="79">
        <f t="shared" si="6"/>
        <v>0</v>
      </c>
      <c r="AW17" s="80" t="s">
        <v>257</v>
      </c>
      <c r="AX17" s="94" t="s">
        <v>439</v>
      </c>
      <c r="BK17" s="261" t="s">
        <v>967</v>
      </c>
      <c r="BM17" s="262" t="s">
        <v>945</v>
      </c>
    </row>
    <row r="18" spans="1:67" ht="20.100000000000001" customHeight="1">
      <c r="A18" s="105"/>
      <c r="B18" s="170"/>
      <c r="C18" s="170"/>
      <c r="D18" s="170"/>
      <c r="E18" s="106"/>
      <c r="F18" s="155" t="s">
        <v>1027</v>
      </c>
      <c r="G18" s="155">
        <v>16</v>
      </c>
      <c r="H18" s="106">
        <f t="shared" si="7"/>
        <v>-1</v>
      </c>
      <c r="I18" s="106">
        <f t="shared" si="7"/>
        <v>-1</v>
      </c>
      <c r="J18" s="106">
        <f t="shared" si="0"/>
        <v>0</v>
      </c>
      <c r="K18" s="155"/>
      <c r="L18" s="106"/>
      <c r="M18" s="106"/>
      <c r="N18" s="106"/>
      <c r="O18" s="106"/>
      <c r="P18" s="155" t="s">
        <v>1028</v>
      </c>
      <c r="Q18" s="155">
        <v>16</v>
      </c>
      <c r="R18" s="106">
        <f t="shared" si="8"/>
        <v>-34</v>
      </c>
      <c r="S18" s="106">
        <f t="shared" si="9"/>
        <v>-2</v>
      </c>
      <c r="T18" s="106">
        <f t="shared" si="1"/>
        <v>0</v>
      </c>
      <c r="U18" s="155" t="s">
        <v>1029</v>
      </c>
      <c r="V18" s="155">
        <v>16</v>
      </c>
      <c r="W18" s="106">
        <f t="shared" si="10"/>
        <v>-33</v>
      </c>
      <c r="X18" s="106">
        <v>85</v>
      </c>
      <c r="Y18" s="106">
        <f t="shared" si="2"/>
        <v>0</v>
      </c>
      <c r="Z18" s="155" t="s">
        <v>1031</v>
      </c>
      <c r="AA18" s="155">
        <v>16</v>
      </c>
      <c r="AB18" s="106">
        <f t="shared" si="11"/>
        <v>-35</v>
      </c>
      <c r="AC18" s="106">
        <f t="shared" si="12"/>
        <v>-47</v>
      </c>
      <c r="AD18" s="106">
        <f t="shared" si="3"/>
        <v>0</v>
      </c>
      <c r="AE18" s="155" t="s">
        <v>1046</v>
      </c>
      <c r="AF18" s="155">
        <v>16</v>
      </c>
      <c r="AG18" s="106"/>
      <c r="AH18" s="106"/>
      <c r="AI18" s="106"/>
      <c r="AJ18" s="155" t="s">
        <v>1040</v>
      </c>
      <c r="AK18" s="155">
        <v>3</v>
      </c>
      <c r="AL18" s="106">
        <f t="shared" si="13"/>
        <v>-22</v>
      </c>
      <c r="AM18" s="106">
        <f t="shared" si="19"/>
        <v>-12</v>
      </c>
      <c r="AN18" s="129">
        <f t="shared" si="14"/>
        <v>0</v>
      </c>
      <c r="AO18" s="113"/>
      <c r="AP18" s="85">
        <f t="shared" si="18"/>
        <v>0</v>
      </c>
      <c r="AQ18" s="79">
        <v>14</v>
      </c>
      <c r="AR18" s="79">
        <f t="shared" si="15"/>
        <v>0</v>
      </c>
      <c r="AS18" s="79">
        <f t="shared" si="16"/>
        <v>0</v>
      </c>
      <c r="AT18" s="79">
        <f t="shared" si="17"/>
        <v>0</v>
      </c>
      <c r="AU18" s="79">
        <f t="shared" si="6"/>
        <v>0</v>
      </c>
      <c r="AW18" s="80" t="s">
        <v>263</v>
      </c>
      <c r="AX18" s="94" t="s">
        <v>440</v>
      </c>
      <c r="BK18" s="261" t="s">
        <v>968</v>
      </c>
    </row>
    <row r="19" spans="1:67" ht="20.100000000000001" customHeight="1">
      <c r="A19" s="107"/>
      <c r="B19" s="170"/>
      <c r="C19" s="170"/>
      <c r="D19" s="170"/>
      <c r="E19" s="106"/>
      <c r="F19" s="155" t="s">
        <v>1027</v>
      </c>
      <c r="G19" s="155">
        <v>16</v>
      </c>
      <c r="H19" s="106">
        <f t="shared" si="7"/>
        <v>-1</v>
      </c>
      <c r="I19" s="106">
        <f t="shared" si="7"/>
        <v>-1</v>
      </c>
      <c r="J19" s="106">
        <f t="shared" si="0"/>
        <v>0</v>
      </c>
      <c r="K19" s="155"/>
      <c r="L19" s="106"/>
      <c r="M19" s="106"/>
      <c r="N19" s="106"/>
      <c r="O19" s="106"/>
      <c r="P19" s="155" t="s">
        <v>1028</v>
      </c>
      <c r="Q19" s="155">
        <v>16</v>
      </c>
      <c r="R19" s="106">
        <f t="shared" si="8"/>
        <v>-34</v>
      </c>
      <c r="S19" s="106">
        <f t="shared" si="9"/>
        <v>-2</v>
      </c>
      <c r="T19" s="106">
        <f t="shared" si="1"/>
        <v>0</v>
      </c>
      <c r="U19" s="155" t="s">
        <v>1029</v>
      </c>
      <c r="V19" s="155">
        <v>16</v>
      </c>
      <c r="W19" s="106">
        <f t="shared" si="10"/>
        <v>-33</v>
      </c>
      <c r="X19" s="106">
        <v>85</v>
      </c>
      <c r="Y19" s="106">
        <f t="shared" si="2"/>
        <v>0</v>
      </c>
      <c r="Z19" s="155" t="s">
        <v>1031</v>
      </c>
      <c r="AA19" s="155">
        <v>16</v>
      </c>
      <c r="AB19" s="106">
        <f t="shared" si="11"/>
        <v>-35</v>
      </c>
      <c r="AC19" s="106">
        <f t="shared" si="12"/>
        <v>-47</v>
      </c>
      <c r="AD19" s="106">
        <f t="shared" si="3"/>
        <v>0</v>
      </c>
      <c r="AE19" s="155" t="s">
        <v>1046</v>
      </c>
      <c r="AF19" s="155">
        <v>16</v>
      </c>
      <c r="AG19" s="106"/>
      <c r="AH19" s="106"/>
      <c r="AI19" s="106"/>
      <c r="AJ19" s="155" t="s">
        <v>1040</v>
      </c>
      <c r="AK19" s="155">
        <v>3</v>
      </c>
      <c r="AL19" s="106">
        <f t="shared" si="13"/>
        <v>-22</v>
      </c>
      <c r="AM19" s="106">
        <f t="shared" si="19"/>
        <v>-12</v>
      </c>
      <c r="AN19" s="129">
        <f t="shared" si="14"/>
        <v>0</v>
      </c>
      <c r="AO19" s="113"/>
      <c r="AP19" s="85">
        <f t="shared" si="18"/>
        <v>0</v>
      </c>
      <c r="AQ19" s="79">
        <v>15</v>
      </c>
      <c r="AR19" s="79">
        <f t="shared" si="15"/>
        <v>0</v>
      </c>
      <c r="AS19" s="79">
        <f t="shared" si="16"/>
        <v>0</v>
      </c>
      <c r="AT19" s="79">
        <f t="shared" si="17"/>
        <v>0</v>
      </c>
      <c r="AU19" s="79">
        <f t="shared" si="6"/>
        <v>0</v>
      </c>
      <c r="AW19" s="181" t="s">
        <v>506</v>
      </c>
      <c r="AX19" s="94" t="s">
        <v>439</v>
      </c>
      <c r="BO19" s="88"/>
    </row>
    <row r="20" spans="1:67" s="88" customFormat="1" ht="20.100000000000001" customHeight="1">
      <c r="A20" s="110"/>
      <c r="B20" s="170"/>
      <c r="C20" s="170"/>
      <c r="D20" s="170"/>
      <c r="E20" s="75"/>
      <c r="F20" s="155" t="s">
        <v>1027</v>
      </c>
      <c r="G20" s="155">
        <v>16</v>
      </c>
      <c r="H20" s="75">
        <f t="shared" si="7"/>
        <v>-1</v>
      </c>
      <c r="I20" s="75">
        <f t="shared" si="7"/>
        <v>-1</v>
      </c>
      <c r="J20" s="75">
        <f t="shared" si="0"/>
        <v>0</v>
      </c>
      <c r="K20" s="155"/>
      <c r="L20" s="75"/>
      <c r="M20" s="75"/>
      <c r="N20" s="75"/>
      <c r="O20" s="75"/>
      <c r="P20" s="155" t="s">
        <v>1028</v>
      </c>
      <c r="Q20" s="155">
        <v>16</v>
      </c>
      <c r="R20" s="75">
        <f t="shared" si="8"/>
        <v>-34</v>
      </c>
      <c r="S20" s="75">
        <f t="shared" si="9"/>
        <v>-2</v>
      </c>
      <c r="T20" s="75">
        <f t="shared" si="1"/>
        <v>0</v>
      </c>
      <c r="U20" s="155" t="s">
        <v>1029</v>
      </c>
      <c r="V20" s="155">
        <v>16</v>
      </c>
      <c r="W20" s="75">
        <f t="shared" si="10"/>
        <v>-33</v>
      </c>
      <c r="X20" s="75">
        <v>85</v>
      </c>
      <c r="Y20" s="75">
        <f t="shared" si="2"/>
        <v>0</v>
      </c>
      <c r="Z20" s="155" t="s">
        <v>1031</v>
      </c>
      <c r="AA20" s="155">
        <v>16</v>
      </c>
      <c r="AB20" s="75">
        <f t="shared" si="11"/>
        <v>-35</v>
      </c>
      <c r="AC20" s="75">
        <f t="shared" si="12"/>
        <v>-47</v>
      </c>
      <c r="AD20" s="75">
        <f t="shared" si="3"/>
        <v>0</v>
      </c>
      <c r="AE20" s="155"/>
      <c r="AF20" s="155"/>
      <c r="AG20" s="75">
        <f>R20</f>
        <v>-34</v>
      </c>
      <c r="AH20" s="75">
        <f>C20-25</f>
        <v>-25</v>
      </c>
      <c r="AI20" s="75"/>
      <c r="AJ20" s="155" t="s">
        <v>1040</v>
      </c>
      <c r="AK20" s="155">
        <v>3</v>
      </c>
      <c r="AL20" s="75">
        <f t="shared" si="13"/>
        <v>-22</v>
      </c>
      <c r="AM20" s="75">
        <f t="shared" si="19"/>
        <v>-12</v>
      </c>
      <c r="AN20" s="130">
        <f t="shared" si="14"/>
        <v>0</v>
      </c>
      <c r="AO20" s="75"/>
      <c r="AP20" s="85">
        <f>IF(B20&lt;&gt;"",IF(B20&lt;950,4,6),0)*E20</f>
        <v>0</v>
      </c>
      <c r="AQ20" s="79">
        <v>16</v>
      </c>
      <c r="AR20" s="79">
        <f t="shared" si="15"/>
        <v>0</v>
      </c>
      <c r="AS20" s="79">
        <f t="shared" si="16"/>
        <v>0</v>
      </c>
      <c r="AT20" s="79">
        <f t="shared" si="17"/>
        <v>0</v>
      </c>
      <c r="AU20" s="79">
        <f t="shared" si="6"/>
        <v>0</v>
      </c>
      <c r="BD20" s="93"/>
      <c r="BE20" s="93"/>
      <c r="BF20" s="93"/>
      <c r="BG20" s="93"/>
      <c r="BO20" s="84"/>
    </row>
    <row r="21" spans="1:67" ht="20.100000000000001" customHeight="1">
      <c r="A21" s="161" t="s">
        <v>428</v>
      </c>
      <c r="B21" s="161"/>
      <c r="C21" s="161"/>
      <c r="D21" s="161"/>
      <c r="E21" s="161">
        <f>SUM(E4:E20)</f>
        <v>2</v>
      </c>
      <c r="F21" s="161"/>
      <c r="G21" s="161"/>
      <c r="H21" s="161"/>
      <c r="I21" s="161"/>
      <c r="J21" s="161">
        <f>SUM(J5:J20)</f>
        <v>4</v>
      </c>
      <c r="K21" s="161"/>
      <c r="L21" s="161"/>
      <c r="M21" s="161"/>
      <c r="N21" s="161"/>
      <c r="O21" s="161">
        <f>SUM(O5:O20)</f>
        <v>2</v>
      </c>
      <c r="P21" s="161"/>
      <c r="Q21" s="161"/>
      <c r="R21" s="161"/>
      <c r="S21" s="161"/>
      <c r="T21" s="161">
        <f>SUM(T5:T20)</f>
        <v>2</v>
      </c>
      <c r="U21" s="161"/>
      <c r="V21" s="161"/>
      <c r="W21" s="161"/>
      <c r="X21" s="161"/>
      <c r="Y21" s="161">
        <f>SUM(Y5:Y20)</f>
        <v>4</v>
      </c>
      <c r="Z21" s="161"/>
      <c r="AA21" s="161"/>
      <c r="AB21" s="161"/>
      <c r="AC21" s="161"/>
      <c r="AD21" s="161">
        <f>SUM(AD5:AD20)</f>
        <v>2</v>
      </c>
      <c r="AE21" s="161"/>
      <c r="AF21" s="161"/>
      <c r="AG21" s="161"/>
      <c r="AH21" s="161"/>
      <c r="AI21" s="161">
        <f>SUM(AI5:AI20)</f>
        <v>2</v>
      </c>
      <c r="AJ21" s="161"/>
      <c r="AK21" s="161"/>
      <c r="AL21" s="161"/>
      <c r="AM21" s="161"/>
      <c r="AN21" s="161">
        <f>SUM(AN5:AN20)</f>
        <v>2</v>
      </c>
      <c r="AO21" s="161"/>
      <c r="AP21" s="85"/>
      <c r="AQ21" s="139" t="s">
        <v>486</v>
      </c>
      <c r="AR21" s="139">
        <f>SUM(AR5:AR20)</f>
        <v>-7.8019999999999999E-3</v>
      </c>
      <c r="AS21" s="139">
        <f>SUM(AS5:AS20)</f>
        <v>3.1840000000000002</v>
      </c>
      <c r="AT21" s="139">
        <f>SUM(AT5:AT20)</f>
        <v>1.6930932545014782E-4</v>
      </c>
      <c r="AU21" s="139">
        <f>SUM(AU5:AU20)</f>
        <v>2E-3</v>
      </c>
      <c r="AW21" s="80" t="s">
        <v>256</v>
      </c>
      <c r="AX21" s="94" t="s">
        <v>438</v>
      </c>
      <c r="BO21" s="87"/>
    </row>
    <row r="22" spans="1:67" s="87" customFormat="1" ht="20.100000000000001" customHeight="1">
      <c r="A22" s="163" t="s">
        <v>22</v>
      </c>
      <c r="B22" s="161" t="s">
        <v>27</v>
      </c>
      <c r="C22" s="161" t="s">
        <v>425</v>
      </c>
      <c r="D22" s="161" t="s">
        <v>28</v>
      </c>
      <c r="E22" s="161" t="s">
        <v>426</v>
      </c>
      <c r="F22" s="160" t="s">
        <v>301</v>
      </c>
      <c r="G22" s="160" t="s">
        <v>414</v>
      </c>
      <c r="H22" s="161" t="s">
        <v>27</v>
      </c>
      <c r="I22" s="161" t="s">
        <v>28</v>
      </c>
      <c r="J22" s="161" t="s">
        <v>208</v>
      </c>
      <c r="K22" s="160" t="s">
        <v>301</v>
      </c>
      <c r="L22" s="160" t="s">
        <v>414</v>
      </c>
      <c r="M22" s="160" t="s">
        <v>27</v>
      </c>
      <c r="N22" s="160" t="s">
        <v>425</v>
      </c>
      <c r="O22" s="160" t="s">
        <v>208</v>
      </c>
      <c r="P22" s="160" t="s">
        <v>301</v>
      </c>
      <c r="Q22" s="160" t="s">
        <v>414</v>
      </c>
      <c r="R22" s="161" t="s">
        <v>27</v>
      </c>
      <c r="S22" s="161" t="s">
        <v>425</v>
      </c>
      <c r="T22" s="161" t="s">
        <v>208</v>
      </c>
      <c r="U22" s="160" t="s">
        <v>301</v>
      </c>
      <c r="V22" s="160" t="s">
        <v>414</v>
      </c>
      <c r="W22" s="161" t="s">
        <v>27</v>
      </c>
      <c r="X22" s="161" t="s">
        <v>425</v>
      </c>
      <c r="Y22" s="161" t="s">
        <v>208</v>
      </c>
      <c r="Z22" s="160" t="s">
        <v>301</v>
      </c>
      <c r="AA22" s="160" t="s">
        <v>414</v>
      </c>
      <c r="AB22" s="160" t="s">
        <v>27</v>
      </c>
      <c r="AC22" s="160" t="s">
        <v>28</v>
      </c>
      <c r="AD22" s="160" t="s">
        <v>208</v>
      </c>
      <c r="AE22" s="160" t="s">
        <v>301</v>
      </c>
      <c r="AF22" s="160" t="s">
        <v>414</v>
      </c>
      <c r="AG22" s="160" t="s">
        <v>27</v>
      </c>
      <c r="AH22" s="160" t="s">
        <v>28</v>
      </c>
      <c r="AI22" s="160" t="s">
        <v>208</v>
      </c>
      <c r="AJ22" s="160" t="s">
        <v>301</v>
      </c>
      <c r="AK22" s="160" t="s">
        <v>414</v>
      </c>
      <c r="AL22" s="161" t="s">
        <v>27</v>
      </c>
      <c r="AM22" s="161" t="s">
        <v>28</v>
      </c>
      <c r="AN22" s="161" t="s">
        <v>208</v>
      </c>
      <c r="AO22" s="161"/>
      <c r="AP22" s="85"/>
      <c r="AQ22" s="89"/>
      <c r="AR22" s="89"/>
      <c r="AS22" s="89"/>
      <c r="AT22" s="89"/>
      <c r="AU22" s="89"/>
      <c r="AW22" s="177"/>
      <c r="AX22" s="84"/>
      <c r="BD22" s="177"/>
      <c r="BE22" s="177"/>
      <c r="BF22" s="177"/>
      <c r="BG22" s="177"/>
      <c r="BO22" s="84"/>
    </row>
    <row r="23" spans="1:67" ht="20.100000000000001" customHeight="1">
      <c r="A23" s="169">
        <v>1</v>
      </c>
      <c r="B23" s="170">
        <v>2</v>
      </c>
      <c r="C23" s="170">
        <v>3</v>
      </c>
      <c r="D23" s="170">
        <v>4</v>
      </c>
      <c r="E23" s="170">
        <v>4</v>
      </c>
      <c r="F23" s="155" t="s">
        <v>1027</v>
      </c>
      <c r="G23" s="155">
        <v>16</v>
      </c>
      <c r="H23" s="155">
        <f t="shared" ref="H23:I32" si="20">C23-1</f>
        <v>2</v>
      </c>
      <c r="I23" s="155">
        <f t="shared" si="20"/>
        <v>3</v>
      </c>
      <c r="J23" s="155">
        <f t="shared" ref="J23:J32" si="21">E23*2</f>
        <v>8</v>
      </c>
      <c r="K23" s="155" t="s">
        <v>1041</v>
      </c>
      <c r="L23" s="155">
        <v>16</v>
      </c>
      <c r="M23" s="155">
        <f>B23-34</f>
        <v>-32</v>
      </c>
      <c r="N23" s="162">
        <f>C23-25</f>
        <v>-22</v>
      </c>
      <c r="O23" s="155">
        <f t="shared" ref="O23:O32" si="22">E23</f>
        <v>4</v>
      </c>
      <c r="P23" s="155" t="s">
        <v>1028</v>
      </c>
      <c r="Q23" s="155">
        <v>16</v>
      </c>
      <c r="R23" s="155">
        <f>B23-34</f>
        <v>-32</v>
      </c>
      <c r="S23" s="162">
        <f>C23-2</f>
        <v>1</v>
      </c>
      <c r="T23" s="155">
        <f t="shared" ref="T23:T32" si="23">E23</f>
        <v>4</v>
      </c>
      <c r="U23" s="155" t="s">
        <v>1029</v>
      </c>
      <c r="V23" s="155">
        <v>16</v>
      </c>
      <c r="W23" s="155">
        <f t="shared" ref="W23:W32" si="24">B23-33</f>
        <v>-31</v>
      </c>
      <c r="X23" s="155">
        <v>85</v>
      </c>
      <c r="Y23" s="155">
        <f t="shared" ref="Y23:Y32" si="25">E23*1</f>
        <v>4</v>
      </c>
      <c r="Z23" s="155" t="s">
        <v>1031</v>
      </c>
      <c r="AA23" s="155">
        <v>16</v>
      </c>
      <c r="AB23" s="155">
        <f>B23-35</f>
        <v>-33</v>
      </c>
      <c r="AC23" s="155">
        <f>C23-47</f>
        <v>-44</v>
      </c>
      <c r="AD23" s="155">
        <f t="shared" ref="AD23:AD32" si="26">E23</f>
        <v>4</v>
      </c>
      <c r="AE23" s="155" t="s">
        <v>1585</v>
      </c>
      <c r="AF23" s="155">
        <v>1</v>
      </c>
      <c r="AG23" s="155">
        <v>1</v>
      </c>
      <c r="AH23" s="155">
        <v>1</v>
      </c>
      <c r="AI23" s="155">
        <v>1</v>
      </c>
      <c r="AJ23" s="155" t="s">
        <v>1040</v>
      </c>
      <c r="AK23" s="155">
        <v>3</v>
      </c>
      <c r="AL23" s="155">
        <f t="shared" ref="AL23:AL32" si="27">B23-22</f>
        <v>-20</v>
      </c>
      <c r="AM23" s="155">
        <f t="shared" ref="AM23:AM32" si="28">D23-12</f>
        <v>-8</v>
      </c>
      <c r="AN23" s="114">
        <f t="shared" ref="AN23:AN32" si="29">E23</f>
        <v>4</v>
      </c>
      <c r="AO23" s="155"/>
      <c r="AP23" s="85">
        <f t="shared" ref="AP23:AP32" si="30">IF(AND(D23&lt;&gt;"",D23&gt;=1440),IF(B23&lt;950,4,6),0)*E23</f>
        <v>0</v>
      </c>
      <c r="AQ23" s="79">
        <v>1</v>
      </c>
      <c r="AR23" s="79">
        <f t="shared" ref="AR23:AR32" si="31">(H23*I23*J23+M23*N23*O23+R23*T23*S23+W23*X23*Y23+AB23*AC23*AD23+AG23*AH23*AI23)/1000000</f>
        <v>-1.9949999999999998E-3</v>
      </c>
      <c r="AS23" s="79">
        <f t="shared" ref="AS23:AS32" si="32">(((H23+I23)*2+240)*J23+((M23+N23)*2+240)*O23+((R23+S23)*2+240)*T23+(W23*2+240)*Y23+((AB23+AC23)*2+240)*AD23+((AG23+AH23)*2+240)*AI23)/1000</f>
        <v>4.54</v>
      </c>
      <c r="AT23" s="79">
        <f t="shared" ref="AT23:AT32" si="33">AL23*AM23*AN23/1000000/1.22/2.44/0.75</f>
        <v>2.8666129176744604E-4</v>
      </c>
      <c r="AU23" s="79">
        <f t="shared" ref="AU23:AU32" si="34">B23*E23/1000</f>
        <v>8.0000000000000002E-3</v>
      </c>
      <c r="AW23" s="80" t="s">
        <v>262</v>
      </c>
      <c r="AX23" s="94" t="s">
        <v>440</v>
      </c>
    </row>
    <row r="24" spans="1:67" ht="20.100000000000001" customHeight="1">
      <c r="A24" s="169">
        <v>1</v>
      </c>
      <c r="B24" s="170">
        <v>2</v>
      </c>
      <c r="C24" s="170">
        <v>3</v>
      </c>
      <c r="D24" s="170">
        <v>4</v>
      </c>
      <c r="E24" s="170">
        <v>4</v>
      </c>
      <c r="F24" s="155" t="s">
        <v>1027</v>
      </c>
      <c r="G24" s="155">
        <v>16</v>
      </c>
      <c r="H24" s="106">
        <f t="shared" si="20"/>
        <v>2</v>
      </c>
      <c r="I24" s="106">
        <f t="shared" si="20"/>
        <v>3</v>
      </c>
      <c r="J24" s="106">
        <f t="shared" si="21"/>
        <v>8</v>
      </c>
      <c r="K24" s="155" t="s">
        <v>1041</v>
      </c>
      <c r="L24" s="155">
        <v>16</v>
      </c>
      <c r="M24" s="106">
        <f t="shared" ref="M24:M32" si="35">B24-34</f>
        <v>-32</v>
      </c>
      <c r="N24" s="108">
        <f t="shared" ref="N24:N32" si="36">C24-25</f>
        <v>-22</v>
      </c>
      <c r="O24" s="106">
        <f t="shared" si="22"/>
        <v>4</v>
      </c>
      <c r="P24" s="155" t="s">
        <v>1028</v>
      </c>
      <c r="Q24" s="155">
        <v>16</v>
      </c>
      <c r="R24" s="106">
        <f t="shared" ref="R24:R32" si="37">B24-34</f>
        <v>-32</v>
      </c>
      <c r="S24" s="108">
        <f t="shared" ref="S24:S32" si="38">C24-2</f>
        <v>1</v>
      </c>
      <c r="T24" s="106">
        <f t="shared" si="23"/>
        <v>4</v>
      </c>
      <c r="U24" s="155" t="s">
        <v>1029</v>
      </c>
      <c r="V24" s="155">
        <v>16</v>
      </c>
      <c r="W24" s="106">
        <f t="shared" si="24"/>
        <v>-31</v>
      </c>
      <c r="X24" s="106">
        <v>85</v>
      </c>
      <c r="Y24" s="106">
        <f t="shared" si="25"/>
        <v>4</v>
      </c>
      <c r="Z24" s="155" t="s">
        <v>1031</v>
      </c>
      <c r="AA24" s="155">
        <v>16</v>
      </c>
      <c r="AB24" s="106">
        <f t="shared" ref="AB24:AB32" si="39">B24-35</f>
        <v>-33</v>
      </c>
      <c r="AC24" s="106">
        <f t="shared" ref="AC24:AC32" si="40">C24-47</f>
        <v>-44</v>
      </c>
      <c r="AD24" s="106">
        <f t="shared" si="26"/>
        <v>4</v>
      </c>
      <c r="AE24" s="155" t="s">
        <v>1585</v>
      </c>
      <c r="AF24" s="155">
        <v>1</v>
      </c>
      <c r="AG24" s="106">
        <v>1</v>
      </c>
      <c r="AH24" s="106">
        <v>1</v>
      </c>
      <c r="AI24" s="106">
        <v>1</v>
      </c>
      <c r="AJ24" s="155" t="s">
        <v>1040</v>
      </c>
      <c r="AK24" s="155">
        <v>3</v>
      </c>
      <c r="AL24" s="106">
        <f t="shared" si="27"/>
        <v>-20</v>
      </c>
      <c r="AM24" s="106">
        <f t="shared" si="28"/>
        <v>-8</v>
      </c>
      <c r="AN24" s="129">
        <f t="shared" si="29"/>
        <v>4</v>
      </c>
      <c r="AO24" s="106"/>
      <c r="AP24" s="85">
        <f t="shared" si="30"/>
        <v>0</v>
      </c>
      <c r="AQ24" s="79">
        <v>2</v>
      </c>
      <c r="AR24" s="79">
        <f t="shared" si="31"/>
        <v>-1.9949999999999998E-3</v>
      </c>
      <c r="AS24" s="79">
        <f t="shared" si="32"/>
        <v>4.54</v>
      </c>
      <c r="AT24" s="79">
        <f t="shared" si="33"/>
        <v>2.8666129176744604E-4</v>
      </c>
      <c r="AU24" s="79">
        <f t="shared" si="34"/>
        <v>8.0000000000000002E-3</v>
      </c>
      <c r="AW24" s="80" t="s">
        <v>264</v>
      </c>
      <c r="AX24" s="94" t="s">
        <v>441</v>
      </c>
    </row>
    <row r="25" spans="1:67" ht="20.100000000000001" customHeight="1">
      <c r="A25" s="169"/>
      <c r="B25" s="170"/>
      <c r="C25" s="170"/>
      <c r="D25" s="170"/>
      <c r="E25" s="170"/>
      <c r="F25" s="155" t="s">
        <v>1027</v>
      </c>
      <c r="G25" s="155">
        <v>16</v>
      </c>
      <c r="H25" s="106">
        <f t="shared" si="20"/>
        <v>-1</v>
      </c>
      <c r="I25" s="106">
        <f t="shared" si="20"/>
        <v>-1</v>
      </c>
      <c r="J25" s="106">
        <f t="shared" si="21"/>
        <v>0</v>
      </c>
      <c r="K25" s="155" t="s">
        <v>1041</v>
      </c>
      <c r="L25" s="155">
        <v>16</v>
      </c>
      <c r="M25" s="106">
        <f t="shared" si="35"/>
        <v>-34</v>
      </c>
      <c r="N25" s="108">
        <f t="shared" si="36"/>
        <v>-25</v>
      </c>
      <c r="O25" s="106">
        <f t="shared" si="22"/>
        <v>0</v>
      </c>
      <c r="P25" s="155" t="s">
        <v>1028</v>
      </c>
      <c r="Q25" s="155">
        <v>16</v>
      </c>
      <c r="R25" s="106">
        <f t="shared" si="37"/>
        <v>-34</v>
      </c>
      <c r="S25" s="108">
        <f t="shared" si="38"/>
        <v>-2</v>
      </c>
      <c r="T25" s="106">
        <f t="shared" si="23"/>
        <v>0</v>
      </c>
      <c r="U25" s="155" t="s">
        <v>1029</v>
      </c>
      <c r="V25" s="155">
        <v>16</v>
      </c>
      <c r="W25" s="106">
        <f t="shared" si="24"/>
        <v>-33</v>
      </c>
      <c r="X25" s="106">
        <v>85</v>
      </c>
      <c r="Y25" s="106">
        <f t="shared" si="25"/>
        <v>0</v>
      </c>
      <c r="Z25" s="155" t="s">
        <v>1031</v>
      </c>
      <c r="AA25" s="155">
        <v>16</v>
      </c>
      <c r="AB25" s="106">
        <f t="shared" si="39"/>
        <v>-35</v>
      </c>
      <c r="AC25" s="106">
        <f t="shared" si="40"/>
        <v>-47</v>
      </c>
      <c r="AD25" s="106">
        <f t="shared" si="26"/>
        <v>0</v>
      </c>
      <c r="AE25" s="155"/>
      <c r="AF25" s="155"/>
      <c r="AG25" s="106"/>
      <c r="AH25" s="106"/>
      <c r="AI25" s="106"/>
      <c r="AJ25" s="155" t="s">
        <v>1040</v>
      </c>
      <c r="AK25" s="155">
        <v>3</v>
      </c>
      <c r="AL25" s="106">
        <f t="shared" si="27"/>
        <v>-22</v>
      </c>
      <c r="AM25" s="106">
        <f t="shared" si="28"/>
        <v>-12</v>
      </c>
      <c r="AN25" s="129">
        <f t="shared" si="29"/>
        <v>0</v>
      </c>
      <c r="AO25" s="106"/>
      <c r="AP25" s="85">
        <f t="shared" si="30"/>
        <v>0</v>
      </c>
      <c r="AQ25" s="79">
        <v>3</v>
      </c>
      <c r="AR25" s="79">
        <f t="shared" si="31"/>
        <v>0</v>
      </c>
      <c r="AS25" s="79">
        <f t="shared" si="32"/>
        <v>0</v>
      </c>
      <c r="AT25" s="79">
        <f t="shared" si="33"/>
        <v>0</v>
      </c>
      <c r="AU25" s="79">
        <f t="shared" si="34"/>
        <v>0</v>
      </c>
      <c r="AW25" s="80" t="s">
        <v>265</v>
      </c>
      <c r="AX25" s="94" t="s">
        <v>441</v>
      </c>
    </row>
    <row r="26" spans="1:67" ht="20.100000000000001" customHeight="1">
      <c r="A26" s="105"/>
      <c r="B26" s="170"/>
      <c r="C26" s="170"/>
      <c r="D26" s="170"/>
      <c r="E26" s="106"/>
      <c r="F26" s="155" t="s">
        <v>1027</v>
      </c>
      <c r="G26" s="155">
        <v>16</v>
      </c>
      <c r="H26" s="106">
        <f t="shared" si="20"/>
        <v>-1</v>
      </c>
      <c r="I26" s="106">
        <f t="shared" si="20"/>
        <v>-1</v>
      </c>
      <c r="J26" s="106">
        <f t="shared" si="21"/>
        <v>0</v>
      </c>
      <c r="K26" s="155" t="s">
        <v>1041</v>
      </c>
      <c r="L26" s="155">
        <v>16</v>
      </c>
      <c r="M26" s="106">
        <f t="shared" si="35"/>
        <v>-34</v>
      </c>
      <c r="N26" s="108">
        <f t="shared" si="36"/>
        <v>-25</v>
      </c>
      <c r="O26" s="106">
        <f t="shared" si="22"/>
        <v>0</v>
      </c>
      <c r="P26" s="155" t="s">
        <v>1028</v>
      </c>
      <c r="Q26" s="155">
        <v>16</v>
      </c>
      <c r="R26" s="106">
        <f t="shared" si="37"/>
        <v>-34</v>
      </c>
      <c r="S26" s="108">
        <f t="shared" si="38"/>
        <v>-2</v>
      </c>
      <c r="T26" s="106">
        <f t="shared" si="23"/>
        <v>0</v>
      </c>
      <c r="U26" s="155" t="s">
        <v>1029</v>
      </c>
      <c r="V26" s="155">
        <v>16</v>
      </c>
      <c r="W26" s="106">
        <f t="shared" si="24"/>
        <v>-33</v>
      </c>
      <c r="X26" s="106">
        <v>85</v>
      </c>
      <c r="Y26" s="106">
        <f t="shared" si="25"/>
        <v>0</v>
      </c>
      <c r="Z26" s="155" t="s">
        <v>1031</v>
      </c>
      <c r="AA26" s="155">
        <v>16</v>
      </c>
      <c r="AB26" s="106">
        <f t="shared" si="39"/>
        <v>-35</v>
      </c>
      <c r="AC26" s="106">
        <f t="shared" si="40"/>
        <v>-47</v>
      </c>
      <c r="AD26" s="106">
        <f t="shared" si="26"/>
        <v>0</v>
      </c>
      <c r="AE26" s="155"/>
      <c r="AF26" s="155"/>
      <c r="AG26" s="106"/>
      <c r="AH26" s="106"/>
      <c r="AI26" s="106"/>
      <c r="AJ26" s="155" t="s">
        <v>1040</v>
      </c>
      <c r="AK26" s="155">
        <v>3</v>
      </c>
      <c r="AL26" s="106">
        <f t="shared" si="27"/>
        <v>-22</v>
      </c>
      <c r="AM26" s="106">
        <f t="shared" si="28"/>
        <v>-12</v>
      </c>
      <c r="AN26" s="129">
        <f t="shared" si="29"/>
        <v>0</v>
      </c>
      <c r="AO26" s="106"/>
      <c r="AP26" s="85">
        <f t="shared" si="30"/>
        <v>0</v>
      </c>
      <c r="AQ26" s="79">
        <v>4</v>
      </c>
      <c r="AR26" s="79">
        <f t="shared" si="31"/>
        <v>0</v>
      </c>
      <c r="AS26" s="79">
        <f t="shared" si="32"/>
        <v>0</v>
      </c>
      <c r="AT26" s="79">
        <f t="shared" si="33"/>
        <v>0</v>
      </c>
      <c r="AU26" s="79">
        <f t="shared" si="34"/>
        <v>0</v>
      </c>
      <c r="BO26" s="88"/>
    </row>
    <row r="27" spans="1:67" s="88" customFormat="1" ht="20.100000000000001" customHeight="1">
      <c r="A27" s="107"/>
      <c r="B27" s="170"/>
      <c r="C27" s="170"/>
      <c r="D27" s="170"/>
      <c r="E27" s="42"/>
      <c r="F27" s="155" t="s">
        <v>1027</v>
      </c>
      <c r="G27" s="155">
        <v>16</v>
      </c>
      <c r="H27" s="42">
        <f t="shared" si="20"/>
        <v>-1</v>
      </c>
      <c r="I27" s="42">
        <f t="shared" si="20"/>
        <v>-1</v>
      </c>
      <c r="J27" s="42">
        <f t="shared" si="21"/>
        <v>0</v>
      </c>
      <c r="K27" s="155" t="s">
        <v>1041</v>
      </c>
      <c r="L27" s="155">
        <v>16</v>
      </c>
      <c r="M27" s="42">
        <f t="shared" si="35"/>
        <v>-34</v>
      </c>
      <c r="N27" s="109">
        <f t="shared" si="36"/>
        <v>-25</v>
      </c>
      <c r="O27" s="42">
        <f t="shared" si="22"/>
        <v>0</v>
      </c>
      <c r="P27" s="155" t="s">
        <v>1028</v>
      </c>
      <c r="Q27" s="155">
        <v>16</v>
      </c>
      <c r="R27" s="42">
        <f t="shared" si="37"/>
        <v>-34</v>
      </c>
      <c r="S27" s="109">
        <f t="shared" si="38"/>
        <v>-2</v>
      </c>
      <c r="T27" s="42">
        <f t="shared" si="23"/>
        <v>0</v>
      </c>
      <c r="U27" s="155" t="s">
        <v>1029</v>
      </c>
      <c r="V27" s="155">
        <v>16</v>
      </c>
      <c r="W27" s="42">
        <f t="shared" si="24"/>
        <v>-33</v>
      </c>
      <c r="X27" s="42">
        <v>85</v>
      </c>
      <c r="Y27" s="42">
        <f t="shared" si="25"/>
        <v>0</v>
      </c>
      <c r="Z27" s="155" t="s">
        <v>1031</v>
      </c>
      <c r="AA27" s="155">
        <v>16</v>
      </c>
      <c r="AB27" s="42">
        <f t="shared" si="39"/>
        <v>-35</v>
      </c>
      <c r="AC27" s="42">
        <f t="shared" si="40"/>
        <v>-47</v>
      </c>
      <c r="AD27" s="42">
        <f t="shared" si="26"/>
        <v>0</v>
      </c>
      <c r="AE27" s="155"/>
      <c r="AF27" s="155"/>
      <c r="AG27" s="42"/>
      <c r="AH27" s="42"/>
      <c r="AI27" s="42"/>
      <c r="AJ27" s="155" t="s">
        <v>1040</v>
      </c>
      <c r="AK27" s="155">
        <v>3</v>
      </c>
      <c r="AL27" s="42">
        <f t="shared" si="27"/>
        <v>-22</v>
      </c>
      <c r="AM27" s="42">
        <f t="shared" si="28"/>
        <v>-12</v>
      </c>
      <c r="AN27" s="120">
        <f t="shared" si="29"/>
        <v>0</v>
      </c>
      <c r="AO27" s="42"/>
      <c r="AP27" s="85">
        <f t="shared" si="30"/>
        <v>0</v>
      </c>
      <c r="AQ27" s="79">
        <v>5</v>
      </c>
      <c r="AR27" s="79">
        <f t="shared" si="31"/>
        <v>0</v>
      </c>
      <c r="AS27" s="79">
        <f t="shared" si="32"/>
        <v>0</v>
      </c>
      <c r="AT27" s="79">
        <f t="shared" si="33"/>
        <v>0</v>
      </c>
      <c r="AU27" s="79">
        <f t="shared" si="34"/>
        <v>0</v>
      </c>
      <c r="BD27" s="93"/>
      <c r="BE27" s="93"/>
      <c r="BF27" s="93"/>
      <c r="BG27" s="93"/>
      <c r="BO27" s="84"/>
    </row>
    <row r="28" spans="1:67" ht="20.100000000000001" customHeight="1">
      <c r="A28" s="105"/>
      <c r="B28" s="170"/>
      <c r="C28" s="170"/>
      <c r="D28" s="170"/>
      <c r="E28" s="106"/>
      <c r="F28" s="155" t="s">
        <v>1027</v>
      </c>
      <c r="G28" s="155">
        <v>16</v>
      </c>
      <c r="H28" s="106">
        <f t="shared" si="20"/>
        <v>-1</v>
      </c>
      <c r="I28" s="106">
        <f t="shared" si="20"/>
        <v>-1</v>
      </c>
      <c r="J28" s="106">
        <f t="shared" si="21"/>
        <v>0</v>
      </c>
      <c r="K28" s="155" t="s">
        <v>1041</v>
      </c>
      <c r="L28" s="155">
        <v>16</v>
      </c>
      <c r="M28" s="106">
        <f t="shared" si="35"/>
        <v>-34</v>
      </c>
      <c r="N28" s="108">
        <f t="shared" si="36"/>
        <v>-25</v>
      </c>
      <c r="O28" s="106">
        <f t="shared" si="22"/>
        <v>0</v>
      </c>
      <c r="P28" s="155" t="s">
        <v>1028</v>
      </c>
      <c r="Q28" s="155">
        <v>16</v>
      </c>
      <c r="R28" s="106">
        <f t="shared" si="37"/>
        <v>-34</v>
      </c>
      <c r="S28" s="108">
        <f t="shared" si="38"/>
        <v>-2</v>
      </c>
      <c r="T28" s="106">
        <f t="shared" si="23"/>
        <v>0</v>
      </c>
      <c r="U28" s="155" t="s">
        <v>1029</v>
      </c>
      <c r="V28" s="155">
        <v>16</v>
      </c>
      <c r="W28" s="106">
        <f t="shared" si="24"/>
        <v>-33</v>
      </c>
      <c r="X28" s="106">
        <v>85</v>
      </c>
      <c r="Y28" s="106">
        <f t="shared" si="25"/>
        <v>0</v>
      </c>
      <c r="Z28" s="155" t="s">
        <v>1031</v>
      </c>
      <c r="AA28" s="155">
        <v>16</v>
      </c>
      <c r="AB28" s="106">
        <f t="shared" si="39"/>
        <v>-35</v>
      </c>
      <c r="AC28" s="106">
        <f t="shared" si="40"/>
        <v>-47</v>
      </c>
      <c r="AD28" s="106">
        <f t="shared" si="26"/>
        <v>0</v>
      </c>
      <c r="AE28" s="155"/>
      <c r="AF28" s="155"/>
      <c r="AG28" s="106"/>
      <c r="AH28" s="106"/>
      <c r="AI28" s="106"/>
      <c r="AJ28" s="155" t="s">
        <v>1040</v>
      </c>
      <c r="AK28" s="155">
        <v>3</v>
      </c>
      <c r="AL28" s="106">
        <f t="shared" si="27"/>
        <v>-22</v>
      </c>
      <c r="AM28" s="106">
        <f t="shared" si="28"/>
        <v>-12</v>
      </c>
      <c r="AN28" s="129">
        <f t="shared" si="29"/>
        <v>0</v>
      </c>
      <c r="AO28" s="106"/>
      <c r="AP28" s="85">
        <f t="shared" si="30"/>
        <v>0</v>
      </c>
      <c r="AQ28" s="79">
        <v>6</v>
      </c>
      <c r="AR28" s="79">
        <f t="shared" si="31"/>
        <v>0</v>
      </c>
      <c r="AS28" s="79">
        <f t="shared" si="32"/>
        <v>0</v>
      </c>
      <c r="AT28" s="79">
        <f t="shared" si="33"/>
        <v>0</v>
      </c>
      <c r="AU28" s="79">
        <f t="shared" si="34"/>
        <v>0</v>
      </c>
      <c r="AX28" s="93"/>
    </row>
    <row r="29" spans="1:67" ht="20.100000000000001" customHeight="1">
      <c r="A29" s="105"/>
      <c r="B29" s="170"/>
      <c r="C29" s="170"/>
      <c r="D29" s="170"/>
      <c r="E29" s="106"/>
      <c r="F29" s="155" t="s">
        <v>1027</v>
      </c>
      <c r="G29" s="155">
        <v>16</v>
      </c>
      <c r="H29" s="106">
        <f t="shared" si="20"/>
        <v>-1</v>
      </c>
      <c r="I29" s="106">
        <f t="shared" si="20"/>
        <v>-1</v>
      </c>
      <c r="J29" s="106">
        <f t="shared" si="21"/>
        <v>0</v>
      </c>
      <c r="K29" s="155" t="s">
        <v>1041</v>
      </c>
      <c r="L29" s="155">
        <v>16</v>
      </c>
      <c r="M29" s="106">
        <f t="shared" si="35"/>
        <v>-34</v>
      </c>
      <c r="N29" s="108">
        <f t="shared" si="36"/>
        <v>-25</v>
      </c>
      <c r="O29" s="106">
        <f t="shared" si="22"/>
        <v>0</v>
      </c>
      <c r="P29" s="155" t="s">
        <v>1028</v>
      </c>
      <c r="Q29" s="155">
        <v>16</v>
      </c>
      <c r="R29" s="106">
        <f t="shared" si="37"/>
        <v>-34</v>
      </c>
      <c r="S29" s="108">
        <f t="shared" si="38"/>
        <v>-2</v>
      </c>
      <c r="T29" s="106">
        <f t="shared" si="23"/>
        <v>0</v>
      </c>
      <c r="U29" s="155" t="s">
        <v>1029</v>
      </c>
      <c r="V29" s="155">
        <v>16</v>
      </c>
      <c r="W29" s="106">
        <f t="shared" si="24"/>
        <v>-33</v>
      </c>
      <c r="X29" s="106">
        <v>85</v>
      </c>
      <c r="Y29" s="106">
        <f t="shared" si="25"/>
        <v>0</v>
      </c>
      <c r="Z29" s="155" t="s">
        <v>1031</v>
      </c>
      <c r="AA29" s="155">
        <v>16</v>
      </c>
      <c r="AB29" s="106">
        <f t="shared" si="39"/>
        <v>-35</v>
      </c>
      <c r="AC29" s="106">
        <f t="shared" si="40"/>
        <v>-47</v>
      </c>
      <c r="AD29" s="106">
        <f t="shared" si="26"/>
        <v>0</v>
      </c>
      <c r="AE29" s="155"/>
      <c r="AF29" s="155"/>
      <c r="AG29" s="106"/>
      <c r="AH29" s="106"/>
      <c r="AI29" s="106"/>
      <c r="AJ29" s="155" t="s">
        <v>1040</v>
      </c>
      <c r="AK29" s="155">
        <v>3</v>
      </c>
      <c r="AL29" s="106">
        <f t="shared" si="27"/>
        <v>-22</v>
      </c>
      <c r="AM29" s="106">
        <f t="shared" si="28"/>
        <v>-12</v>
      </c>
      <c r="AN29" s="129">
        <f t="shared" si="29"/>
        <v>0</v>
      </c>
      <c r="AO29" s="106"/>
      <c r="AP29" s="85">
        <f t="shared" si="30"/>
        <v>0</v>
      </c>
      <c r="AQ29" s="79">
        <v>7</v>
      </c>
      <c r="AR29" s="79">
        <f t="shared" si="31"/>
        <v>0</v>
      </c>
      <c r="AS29" s="79">
        <f t="shared" si="32"/>
        <v>0</v>
      </c>
      <c r="AT29" s="79">
        <f t="shared" si="33"/>
        <v>0</v>
      </c>
      <c r="AU29" s="79">
        <f t="shared" si="34"/>
        <v>0</v>
      </c>
      <c r="AX29" s="94"/>
    </row>
    <row r="30" spans="1:67" ht="20.100000000000001" customHeight="1">
      <c r="A30" s="105"/>
      <c r="B30" s="170"/>
      <c r="C30" s="170"/>
      <c r="D30" s="170"/>
      <c r="E30" s="106"/>
      <c r="F30" s="155" t="s">
        <v>1027</v>
      </c>
      <c r="G30" s="155">
        <v>16</v>
      </c>
      <c r="H30" s="106">
        <f t="shared" si="20"/>
        <v>-1</v>
      </c>
      <c r="I30" s="106">
        <f t="shared" si="20"/>
        <v>-1</v>
      </c>
      <c r="J30" s="106">
        <f t="shared" si="21"/>
        <v>0</v>
      </c>
      <c r="K30" s="155" t="s">
        <v>1041</v>
      </c>
      <c r="L30" s="155">
        <v>16</v>
      </c>
      <c r="M30" s="106">
        <f t="shared" si="35"/>
        <v>-34</v>
      </c>
      <c r="N30" s="108">
        <f t="shared" si="36"/>
        <v>-25</v>
      </c>
      <c r="O30" s="106">
        <f t="shared" si="22"/>
        <v>0</v>
      </c>
      <c r="P30" s="155" t="s">
        <v>1028</v>
      </c>
      <c r="Q30" s="155">
        <v>16</v>
      </c>
      <c r="R30" s="106">
        <f t="shared" si="37"/>
        <v>-34</v>
      </c>
      <c r="S30" s="108">
        <f t="shared" si="38"/>
        <v>-2</v>
      </c>
      <c r="T30" s="106">
        <f t="shared" si="23"/>
        <v>0</v>
      </c>
      <c r="U30" s="155" t="s">
        <v>1029</v>
      </c>
      <c r="V30" s="155">
        <v>16</v>
      </c>
      <c r="W30" s="106">
        <f t="shared" si="24"/>
        <v>-33</v>
      </c>
      <c r="X30" s="106">
        <v>85</v>
      </c>
      <c r="Y30" s="106">
        <f t="shared" si="25"/>
        <v>0</v>
      </c>
      <c r="Z30" s="155" t="s">
        <v>1031</v>
      </c>
      <c r="AA30" s="155">
        <v>16</v>
      </c>
      <c r="AB30" s="106">
        <f t="shared" si="39"/>
        <v>-35</v>
      </c>
      <c r="AC30" s="106">
        <f t="shared" si="40"/>
        <v>-47</v>
      </c>
      <c r="AD30" s="106">
        <f t="shared" si="26"/>
        <v>0</v>
      </c>
      <c r="AE30" s="155"/>
      <c r="AF30" s="155"/>
      <c r="AG30" s="106"/>
      <c r="AH30" s="106"/>
      <c r="AI30" s="106"/>
      <c r="AJ30" s="155" t="s">
        <v>1040</v>
      </c>
      <c r="AK30" s="155">
        <v>3</v>
      </c>
      <c r="AL30" s="106">
        <f t="shared" si="27"/>
        <v>-22</v>
      </c>
      <c r="AM30" s="106">
        <f t="shared" si="28"/>
        <v>-12</v>
      </c>
      <c r="AN30" s="129">
        <f t="shared" si="29"/>
        <v>0</v>
      </c>
      <c r="AO30" s="106"/>
      <c r="AP30" s="85">
        <f t="shared" si="30"/>
        <v>0</v>
      </c>
      <c r="AQ30" s="79">
        <v>8</v>
      </c>
      <c r="AR30" s="79">
        <f t="shared" si="31"/>
        <v>0</v>
      </c>
      <c r="AS30" s="79">
        <f t="shared" si="32"/>
        <v>0</v>
      </c>
      <c r="AT30" s="79">
        <f t="shared" si="33"/>
        <v>0</v>
      </c>
      <c r="AU30" s="79">
        <f t="shared" si="34"/>
        <v>0</v>
      </c>
      <c r="AX30" s="93"/>
    </row>
    <row r="31" spans="1:67" ht="20.100000000000001" customHeight="1">
      <c r="A31" s="105"/>
      <c r="B31" s="170"/>
      <c r="C31" s="170"/>
      <c r="D31" s="170"/>
      <c r="E31" s="106"/>
      <c r="F31" s="155" t="s">
        <v>1027</v>
      </c>
      <c r="G31" s="155">
        <v>16</v>
      </c>
      <c r="H31" s="106">
        <f t="shared" si="20"/>
        <v>-1</v>
      </c>
      <c r="I31" s="106">
        <f t="shared" si="20"/>
        <v>-1</v>
      </c>
      <c r="J31" s="106">
        <f>E31*2</f>
        <v>0</v>
      </c>
      <c r="K31" s="155" t="s">
        <v>1041</v>
      </c>
      <c r="L31" s="155">
        <v>16</v>
      </c>
      <c r="M31" s="106">
        <f t="shared" si="35"/>
        <v>-34</v>
      </c>
      <c r="N31" s="108">
        <f t="shared" si="36"/>
        <v>-25</v>
      </c>
      <c r="O31" s="106">
        <f t="shared" si="22"/>
        <v>0</v>
      </c>
      <c r="P31" s="155" t="s">
        <v>1028</v>
      </c>
      <c r="Q31" s="155">
        <v>16</v>
      </c>
      <c r="R31" s="106">
        <f t="shared" si="37"/>
        <v>-34</v>
      </c>
      <c r="S31" s="108">
        <f t="shared" si="38"/>
        <v>-2</v>
      </c>
      <c r="T31" s="106">
        <f t="shared" si="23"/>
        <v>0</v>
      </c>
      <c r="U31" s="155" t="s">
        <v>1029</v>
      </c>
      <c r="V31" s="155">
        <v>16</v>
      </c>
      <c r="W31" s="106">
        <f t="shared" si="24"/>
        <v>-33</v>
      </c>
      <c r="X31" s="106">
        <v>85</v>
      </c>
      <c r="Y31" s="106">
        <f t="shared" si="25"/>
        <v>0</v>
      </c>
      <c r="Z31" s="155" t="s">
        <v>1031</v>
      </c>
      <c r="AA31" s="155">
        <v>16</v>
      </c>
      <c r="AB31" s="106">
        <f t="shared" si="39"/>
        <v>-35</v>
      </c>
      <c r="AC31" s="106">
        <f t="shared" si="40"/>
        <v>-47</v>
      </c>
      <c r="AD31" s="106">
        <f>E31</f>
        <v>0</v>
      </c>
      <c r="AE31" s="155"/>
      <c r="AF31" s="155"/>
      <c r="AG31" s="106"/>
      <c r="AH31" s="106"/>
      <c r="AI31" s="106"/>
      <c r="AJ31" s="155" t="s">
        <v>1040</v>
      </c>
      <c r="AK31" s="155">
        <v>3</v>
      </c>
      <c r="AL31" s="106">
        <f t="shared" si="27"/>
        <v>-22</v>
      </c>
      <c r="AM31" s="106">
        <f t="shared" si="28"/>
        <v>-12</v>
      </c>
      <c r="AN31" s="129">
        <f>E31</f>
        <v>0</v>
      </c>
      <c r="AO31" s="106"/>
      <c r="AP31" s="85">
        <f t="shared" si="30"/>
        <v>0</v>
      </c>
      <c r="AQ31" s="79">
        <v>9</v>
      </c>
      <c r="AR31" s="79">
        <f t="shared" si="31"/>
        <v>0</v>
      </c>
      <c r="AS31" s="79">
        <f t="shared" si="32"/>
        <v>0</v>
      </c>
      <c r="AT31" s="79">
        <f t="shared" si="33"/>
        <v>0</v>
      </c>
      <c r="AU31" s="79">
        <f t="shared" si="34"/>
        <v>0</v>
      </c>
      <c r="AX31" s="93"/>
    </row>
    <row r="32" spans="1:67" ht="20.100000000000001" customHeight="1">
      <c r="A32" s="171"/>
      <c r="B32" s="172"/>
      <c r="C32" s="172"/>
      <c r="D32" s="172"/>
      <c r="E32" s="173"/>
      <c r="F32" s="155" t="s">
        <v>1027</v>
      </c>
      <c r="G32" s="155">
        <v>16</v>
      </c>
      <c r="H32" s="173">
        <f t="shared" si="20"/>
        <v>-1</v>
      </c>
      <c r="I32" s="173">
        <f t="shared" si="20"/>
        <v>-1</v>
      </c>
      <c r="J32" s="173">
        <f t="shared" si="21"/>
        <v>0</v>
      </c>
      <c r="K32" s="155" t="s">
        <v>1041</v>
      </c>
      <c r="L32" s="155">
        <v>16</v>
      </c>
      <c r="M32" s="173">
        <f t="shared" si="35"/>
        <v>-34</v>
      </c>
      <c r="N32" s="174">
        <f t="shared" si="36"/>
        <v>-25</v>
      </c>
      <c r="O32" s="173">
        <f t="shared" si="22"/>
        <v>0</v>
      </c>
      <c r="P32" s="149" t="s">
        <v>1028</v>
      </c>
      <c r="Q32" s="155">
        <v>16</v>
      </c>
      <c r="R32" s="173">
        <f t="shared" si="37"/>
        <v>-34</v>
      </c>
      <c r="S32" s="174">
        <f t="shared" si="38"/>
        <v>-2</v>
      </c>
      <c r="T32" s="173">
        <f t="shared" si="23"/>
        <v>0</v>
      </c>
      <c r="U32" s="155" t="s">
        <v>1029</v>
      </c>
      <c r="V32" s="155">
        <v>16</v>
      </c>
      <c r="W32" s="173">
        <f t="shared" si="24"/>
        <v>-33</v>
      </c>
      <c r="X32" s="173">
        <v>85</v>
      </c>
      <c r="Y32" s="173">
        <f t="shared" si="25"/>
        <v>0</v>
      </c>
      <c r="Z32" s="155" t="s">
        <v>1031</v>
      </c>
      <c r="AA32" s="155">
        <v>16</v>
      </c>
      <c r="AB32" s="173">
        <f t="shared" si="39"/>
        <v>-35</v>
      </c>
      <c r="AC32" s="173">
        <f t="shared" si="40"/>
        <v>-47</v>
      </c>
      <c r="AD32" s="173">
        <f t="shared" si="26"/>
        <v>0</v>
      </c>
      <c r="AE32" s="155"/>
      <c r="AF32" s="155"/>
      <c r="AG32" s="173">
        <f>R32</f>
        <v>-34</v>
      </c>
      <c r="AH32" s="173">
        <f>C32-25</f>
        <v>-25</v>
      </c>
      <c r="AI32" s="173"/>
      <c r="AJ32" s="155" t="s">
        <v>1040</v>
      </c>
      <c r="AK32" s="155">
        <v>3</v>
      </c>
      <c r="AL32" s="173">
        <f t="shared" si="27"/>
        <v>-22</v>
      </c>
      <c r="AM32" s="173">
        <f t="shared" si="28"/>
        <v>-12</v>
      </c>
      <c r="AN32" s="175">
        <f t="shared" si="29"/>
        <v>0</v>
      </c>
      <c r="AO32" s="173"/>
      <c r="AP32" s="85">
        <f t="shared" si="30"/>
        <v>0</v>
      </c>
      <c r="AQ32" s="79">
        <v>10</v>
      </c>
      <c r="AR32" s="79">
        <f t="shared" si="31"/>
        <v>0</v>
      </c>
      <c r="AS32" s="79">
        <f t="shared" si="32"/>
        <v>0</v>
      </c>
      <c r="AT32" s="79">
        <f t="shared" si="33"/>
        <v>0</v>
      </c>
      <c r="AU32" s="79">
        <f t="shared" si="34"/>
        <v>0</v>
      </c>
      <c r="AX32" s="93"/>
      <c r="BO32" s="88"/>
    </row>
    <row r="33" spans="1:67" s="88" customFormat="1" ht="20.100000000000001" customHeight="1">
      <c r="A33" s="161" t="s">
        <v>428</v>
      </c>
      <c r="B33" s="161"/>
      <c r="C33" s="161"/>
      <c r="D33" s="161"/>
      <c r="E33" s="161">
        <f>SUM(E23:E32)</f>
        <v>8</v>
      </c>
      <c r="F33" s="161"/>
      <c r="G33" s="161"/>
      <c r="H33" s="161"/>
      <c r="I33" s="161"/>
      <c r="J33" s="161">
        <f>SUM(J23:J32)</f>
        <v>16</v>
      </c>
      <c r="K33" s="161"/>
      <c r="L33" s="275"/>
      <c r="M33" s="161"/>
      <c r="N33" s="161"/>
      <c r="O33" s="161">
        <f>SUM(O23:O32)</f>
        <v>8</v>
      </c>
      <c r="P33" s="161"/>
      <c r="Q33" s="278"/>
      <c r="R33" s="161"/>
      <c r="S33" s="161"/>
      <c r="T33" s="161">
        <f>SUM(T23:T32)</f>
        <v>8</v>
      </c>
      <c r="U33" s="161"/>
      <c r="V33" s="161"/>
      <c r="W33" s="161"/>
      <c r="X33" s="161"/>
      <c r="Y33" s="161">
        <f>SUM(Y23:Y32)</f>
        <v>8</v>
      </c>
      <c r="Z33" s="161"/>
      <c r="AA33" s="161"/>
      <c r="AB33" s="161"/>
      <c r="AC33" s="161"/>
      <c r="AD33" s="161">
        <f>SUM(AD23:AD32)</f>
        <v>8</v>
      </c>
      <c r="AE33" s="161"/>
      <c r="AF33" s="161"/>
      <c r="AG33" s="161"/>
      <c r="AH33" s="161"/>
      <c r="AI33" s="161">
        <f>SUM(AI23:AI32)</f>
        <v>2</v>
      </c>
      <c r="AJ33" s="161"/>
      <c r="AK33" s="161"/>
      <c r="AL33" s="161"/>
      <c r="AM33" s="161"/>
      <c r="AN33" s="161">
        <f>SUM(AN23:AN32)</f>
        <v>8</v>
      </c>
      <c r="AO33" s="161"/>
      <c r="AP33" s="85"/>
      <c r="AQ33" s="140" t="s">
        <v>486</v>
      </c>
      <c r="AR33" s="140">
        <f>SUM(AR23:AR32)</f>
        <v>-3.9899999999999996E-3</v>
      </c>
      <c r="AS33" s="140">
        <f>SUM(AS23:AS32)</f>
        <v>9.08</v>
      </c>
      <c r="AT33" s="140">
        <f>SUM(AT23:AT32)</f>
        <v>5.7332258353489209E-4</v>
      </c>
      <c r="AU33" s="140">
        <f>SUM(AU23:AU32)</f>
        <v>1.6E-2</v>
      </c>
      <c r="AW33" s="177"/>
      <c r="AX33" s="94"/>
      <c r="BD33" s="93"/>
      <c r="BE33" s="93"/>
      <c r="BF33" s="93"/>
      <c r="BG33" s="93"/>
      <c r="BO33" s="84"/>
    </row>
    <row r="34" spans="1:67" ht="20.100000000000001" customHeight="1">
      <c r="A34" s="158" t="s">
        <v>490</v>
      </c>
      <c r="B34" s="158"/>
      <c r="C34" s="158"/>
      <c r="D34" s="159"/>
      <c r="E34" s="159"/>
      <c r="F34" s="160" t="s">
        <v>301</v>
      </c>
      <c r="G34" s="160" t="s">
        <v>414</v>
      </c>
      <c r="H34" s="161" t="s">
        <v>27</v>
      </c>
      <c r="I34" s="161" t="s">
        <v>28</v>
      </c>
      <c r="J34" s="161" t="s">
        <v>208</v>
      </c>
      <c r="K34" s="160" t="s">
        <v>301</v>
      </c>
      <c r="L34" s="277" t="s">
        <v>414</v>
      </c>
      <c r="M34" s="160" t="s">
        <v>27</v>
      </c>
      <c r="N34" s="160" t="s">
        <v>425</v>
      </c>
      <c r="O34" s="160" t="s">
        <v>208</v>
      </c>
      <c r="P34" s="160" t="s">
        <v>301</v>
      </c>
      <c r="Q34" s="279" t="s">
        <v>414</v>
      </c>
      <c r="R34" s="161" t="s">
        <v>27</v>
      </c>
      <c r="S34" s="161" t="s">
        <v>425</v>
      </c>
      <c r="T34" s="161" t="s">
        <v>208</v>
      </c>
      <c r="U34" s="160" t="s">
        <v>301</v>
      </c>
      <c r="V34" s="160" t="s">
        <v>414</v>
      </c>
      <c r="W34" s="161" t="s">
        <v>27</v>
      </c>
      <c r="X34" s="161" t="s">
        <v>425</v>
      </c>
      <c r="Y34" s="161" t="s">
        <v>208</v>
      </c>
      <c r="Z34" s="160" t="s">
        <v>301</v>
      </c>
      <c r="AA34" s="160" t="s">
        <v>414</v>
      </c>
      <c r="AB34" s="160" t="s">
        <v>27</v>
      </c>
      <c r="AC34" s="160" t="s">
        <v>28</v>
      </c>
      <c r="AD34" s="160" t="s">
        <v>208</v>
      </c>
      <c r="AE34" s="160" t="s">
        <v>301</v>
      </c>
      <c r="AF34" s="160" t="s">
        <v>414</v>
      </c>
      <c r="AG34" s="160" t="s">
        <v>27</v>
      </c>
      <c r="AH34" s="160" t="s">
        <v>28</v>
      </c>
      <c r="AI34" s="160" t="s">
        <v>208</v>
      </c>
      <c r="AJ34" s="160" t="s">
        <v>301</v>
      </c>
      <c r="AK34" s="160" t="s">
        <v>414</v>
      </c>
      <c r="AL34" s="161" t="s">
        <v>27</v>
      </c>
      <c r="AM34" s="161" t="s">
        <v>28</v>
      </c>
      <c r="AN34" s="161" t="s">
        <v>208</v>
      </c>
      <c r="AO34" s="161"/>
      <c r="AP34" s="95"/>
      <c r="AR34" s="243" t="s">
        <v>709</v>
      </c>
      <c r="AS34" s="243" t="s">
        <v>710</v>
      </c>
      <c r="AT34" s="243" t="s">
        <v>693</v>
      </c>
      <c r="AU34" s="243" t="s">
        <v>694</v>
      </c>
      <c r="AV34" s="243" t="s">
        <v>711</v>
      </c>
      <c r="AW34" s="243" t="s">
        <v>695</v>
      </c>
      <c r="AX34" s="243" t="s">
        <v>696</v>
      </c>
      <c r="AY34" s="243" t="s">
        <v>712</v>
      </c>
      <c r="AZ34" s="243" t="s">
        <v>1044</v>
      </c>
      <c r="BA34" s="82"/>
    </row>
    <row r="35" spans="1:67" ht="20.100000000000001" customHeight="1">
      <c r="A35" s="154"/>
      <c r="B35" s="154"/>
      <c r="C35" s="154"/>
      <c r="D35" s="155"/>
      <c r="E35" s="155"/>
      <c r="F35" s="155" t="s">
        <v>488</v>
      </c>
      <c r="G35" s="155">
        <v>16</v>
      </c>
      <c r="H35" s="155">
        <v>450</v>
      </c>
      <c r="I35" s="156">
        <v>500</v>
      </c>
      <c r="J35" s="157">
        <v>1</v>
      </c>
      <c r="K35" s="155" t="s">
        <v>488</v>
      </c>
      <c r="L35" s="155">
        <v>16</v>
      </c>
      <c r="M35" s="77"/>
      <c r="N35" s="77"/>
      <c r="O35" s="156"/>
      <c r="P35" s="155" t="s">
        <v>488</v>
      </c>
      <c r="Q35" s="77">
        <v>16</v>
      </c>
      <c r="R35" s="274"/>
      <c r="S35" s="148"/>
      <c r="T35" s="148"/>
      <c r="U35" s="155" t="s">
        <v>433</v>
      </c>
      <c r="V35" s="77">
        <v>12</v>
      </c>
      <c r="W35" s="78"/>
      <c r="X35" s="77"/>
      <c r="Y35" s="77"/>
      <c r="Z35" s="155" t="s">
        <v>433</v>
      </c>
      <c r="AA35" s="77">
        <v>18</v>
      </c>
      <c r="AB35" s="77"/>
      <c r="AC35" s="77"/>
      <c r="AD35" s="78"/>
      <c r="AE35" s="113" t="s">
        <v>433</v>
      </c>
      <c r="AF35" s="78">
        <v>25</v>
      </c>
      <c r="AG35" s="299"/>
      <c r="AH35" s="299"/>
      <c r="AI35" s="301"/>
      <c r="AJ35" s="209" t="s">
        <v>691</v>
      </c>
      <c r="AK35" s="78">
        <v>15</v>
      </c>
      <c r="AL35" s="299"/>
      <c r="AM35" s="299"/>
      <c r="AN35" s="301"/>
      <c r="AO35" s="77"/>
      <c r="AQ35" s="79"/>
      <c r="AR35" s="79">
        <f>(H35*I35*J35+M35*N35*O35+R35*S35*T35)/1000000</f>
        <v>0.22500000000000001</v>
      </c>
      <c r="AS35" s="79">
        <f>(((H35+I35)*2+240)*J35+((M35+N35)*2+240)*O35+((R35+S35)*2+240)*T35)/1000</f>
        <v>2.14</v>
      </c>
      <c r="AT35" s="79">
        <f>(W35*X35*Y35)/1000000</f>
        <v>0</v>
      </c>
      <c r="AU35" s="79">
        <f>(((W35+X35)*2+240)*Y35)/1000</f>
        <v>0</v>
      </c>
      <c r="AV35" s="79">
        <f>(AB35*AC35*AD35)/1000000</f>
        <v>0</v>
      </c>
      <c r="AW35" s="79">
        <f>(((AB35+AC35)*2+240)*AD35)/1000</f>
        <v>0</v>
      </c>
      <c r="AX35" s="79">
        <f>(AG35*AH35*AI35)/1000000</f>
        <v>0</v>
      </c>
      <c r="AY35" s="79">
        <f>(((AG35+AH35)*2+240)*AI35)/1000</f>
        <v>0</v>
      </c>
      <c r="AZ35" s="140">
        <f>(AL35*AM35*AN35)/1000000</f>
        <v>0</v>
      </c>
    </row>
    <row r="36" spans="1:67" ht="20.100000000000001" customHeight="1">
      <c r="A36" s="144"/>
      <c r="B36" s="144"/>
      <c r="C36" s="144"/>
      <c r="D36" s="113"/>
      <c r="E36" s="113"/>
      <c r="F36" s="113" t="s">
        <v>489</v>
      </c>
      <c r="G36" s="155">
        <v>16</v>
      </c>
      <c r="H36" s="113"/>
      <c r="I36" s="145"/>
      <c r="J36" s="116"/>
      <c r="K36" s="113" t="s">
        <v>489</v>
      </c>
      <c r="L36" s="155">
        <v>16</v>
      </c>
      <c r="M36" s="115"/>
      <c r="N36" s="115"/>
      <c r="O36" s="145"/>
      <c r="P36" s="113" t="s">
        <v>489</v>
      </c>
      <c r="Q36" s="295">
        <v>16</v>
      </c>
      <c r="R36" s="115"/>
      <c r="S36" s="144"/>
      <c r="T36" s="144"/>
      <c r="U36" s="276" t="s">
        <v>433</v>
      </c>
      <c r="V36" s="207">
        <v>12</v>
      </c>
      <c r="W36" s="119"/>
      <c r="X36" s="115"/>
      <c r="Y36" s="115"/>
      <c r="Z36" s="113" t="s">
        <v>433</v>
      </c>
      <c r="AA36" s="207">
        <v>18</v>
      </c>
      <c r="AB36" s="299"/>
      <c r="AC36" s="299"/>
      <c r="AD36" s="301"/>
      <c r="AE36" s="113" t="s">
        <v>433</v>
      </c>
      <c r="AF36" s="209">
        <v>25</v>
      </c>
      <c r="AG36" s="299"/>
      <c r="AH36" s="299"/>
      <c r="AI36" s="301"/>
      <c r="AJ36" s="209" t="s">
        <v>691</v>
      </c>
      <c r="AK36" s="209">
        <v>15</v>
      </c>
      <c r="AL36" s="115"/>
      <c r="AM36" s="115"/>
      <c r="AN36" s="120"/>
      <c r="AO36" s="115"/>
      <c r="AQ36" s="79"/>
      <c r="AR36" s="79">
        <f t="shared" ref="AR36:AR45" si="41">(H36*I36*J36+M36*N36*O36+R36*S36*T36)/1000000</f>
        <v>0</v>
      </c>
      <c r="AS36" s="79">
        <f t="shared" ref="AS36:AS45" si="42">(((H36+I36)*2+240)*J36+((M36+N36)*2+240)*O36+((R36+S36)*2+240)*T36)/1000</f>
        <v>0</v>
      </c>
      <c r="AT36" s="79">
        <f t="shared" ref="AT36:AT45" si="43">(W36*X36*Y36)/1000000</f>
        <v>0</v>
      </c>
      <c r="AU36" s="79">
        <f t="shared" ref="AU36:AU45" si="44">(((W36+X36)*2+240)*Y36)/1000</f>
        <v>0</v>
      </c>
      <c r="AV36" s="79">
        <f t="shared" ref="AV36:AV45" si="45">(AB36*AC36*AD36)/1000000</f>
        <v>0</v>
      </c>
      <c r="AW36" s="79">
        <f t="shared" ref="AW36:AW45" si="46">(((AB36+AC36)*2+240)*AD36)/1000</f>
        <v>0</v>
      </c>
      <c r="AX36" s="79">
        <f t="shared" ref="AX36:AX45" si="47">(AG36*AH36*AI36)/1000000</f>
        <v>0</v>
      </c>
      <c r="AY36" s="79">
        <f t="shared" ref="AY36:AY45" si="48">(((AG36+AH36)*2+240)*AI36)/1000</f>
        <v>0</v>
      </c>
      <c r="AZ36" s="140">
        <f t="shared" ref="AZ36:AZ45" si="49">(AL36*AM36*AN36)/1000000</f>
        <v>0</v>
      </c>
    </row>
    <row r="37" spans="1:67" ht="20.100000000000001" customHeight="1">
      <c r="A37" s="144"/>
      <c r="B37" s="144"/>
      <c r="C37" s="144"/>
      <c r="D37" s="113"/>
      <c r="E37" s="113"/>
      <c r="F37" s="113" t="s">
        <v>489</v>
      </c>
      <c r="G37" s="155">
        <v>16</v>
      </c>
      <c r="H37" s="113"/>
      <c r="I37" s="116"/>
      <c r="J37" s="116"/>
      <c r="K37" s="113" t="s">
        <v>489</v>
      </c>
      <c r="L37" s="155">
        <v>16</v>
      </c>
      <c r="M37" s="116"/>
      <c r="N37" s="115"/>
      <c r="O37" s="115"/>
      <c r="P37" s="113" t="s">
        <v>489</v>
      </c>
      <c r="Q37" s="295">
        <v>16</v>
      </c>
      <c r="R37" s="115"/>
      <c r="S37" s="145"/>
      <c r="T37" s="144"/>
      <c r="U37" s="276" t="s">
        <v>433</v>
      </c>
      <c r="V37" s="207">
        <v>12</v>
      </c>
      <c r="W37" s="119"/>
      <c r="X37" s="115"/>
      <c r="Y37" s="115"/>
      <c r="Z37" s="113" t="s">
        <v>433</v>
      </c>
      <c r="AA37" s="207">
        <v>18</v>
      </c>
      <c r="AB37" s="299"/>
      <c r="AC37" s="299"/>
      <c r="AD37" s="301"/>
      <c r="AE37" s="113" t="s">
        <v>433</v>
      </c>
      <c r="AF37" s="209">
        <v>25</v>
      </c>
      <c r="AG37" s="299"/>
      <c r="AH37" s="299"/>
      <c r="AI37" s="301"/>
      <c r="AJ37" s="294" t="s">
        <v>491</v>
      </c>
      <c r="AK37" s="209">
        <v>16</v>
      </c>
      <c r="AL37" s="115"/>
      <c r="AM37" s="115"/>
      <c r="AN37" s="120"/>
      <c r="AO37" s="115"/>
      <c r="AQ37" s="79"/>
      <c r="AR37" s="79">
        <f t="shared" si="41"/>
        <v>0</v>
      </c>
      <c r="AS37" s="79">
        <f t="shared" si="42"/>
        <v>0</v>
      </c>
      <c r="AT37" s="79">
        <f t="shared" si="43"/>
        <v>0</v>
      </c>
      <c r="AU37" s="79">
        <f t="shared" si="44"/>
        <v>0</v>
      </c>
      <c r="AV37" s="79">
        <f t="shared" si="45"/>
        <v>0</v>
      </c>
      <c r="AW37" s="79">
        <f t="shared" si="46"/>
        <v>0</v>
      </c>
      <c r="AX37" s="79">
        <f t="shared" si="47"/>
        <v>0</v>
      </c>
      <c r="AY37" s="79">
        <f t="shared" si="48"/>
        <v>0</v>
      </c>
      <c r="AZ37" s="302">
        <f t="shared" si="49"/>
        <v>0</v>
      </c>
    </row>
    <row r="38" spans="1:67" ht="20.100000000000001" customHeight="1">
      <c r="A38" s="144"/>
      <c r="B38" s="144"/>
      <c r="C38" s="144"/>
      <c r="D38" s="113"/>
      <c r="E38" s="113"/>
      <c r="F38" s="113" t="s">
        <v>489</v>
      </c>
      <c r="G38" s="155">
        <v>16</v>
      </c>
      <c r="H38" s="113"/>
      <c r="I38" s="116"/>
      <c r="J38" s="116"/>
      <c r="K38" s="113" t="s">
        <v>489</v>
      </c>
      <c r="L38" s="155">
        <v>16</v>
      </c>
      <c r="M38" s="116"/>
      <c r="N38" s="115"/>
      <c r="O38" s="115"/>
      <c r="P38" s="113" t="s">
        <v>489</v>
      </c>
      <c r="Q38" s="295">
        <v>16</v>
      </c>
      <c r="R38" s="115"/>
      <c r="S38" s="145"/>
      <c r="T38" s="144"/>
      <c r="U38" s="276" t="s">
        <v>433</v>
      </c>
      <c r="V38" s="207">
        <v>12</v>
      </c>
      <c r="W38" s="119"/>
      <c r="X38" s="113"/>
      <c r="Y38" s="113"/>
      <c r="Z38" s="113" t="s">
        <v>433</v>
      </c>
      <c r="AA38" s="207">
        <v>18</v>
      </c>
      <c r="AB38" s="299"/>
      <c r="AC38" s="299"/>
      <c r="AD38" s="301"/>
      <c r="AE38" s="113" t="s">
        <v>433</v>
      </c>
      <c r="AF38" s="209">
        <v>25</v>
      </c>
      <c r="AG38" s="299"/>
      <c r="AH38" s="299"/>
      <c r="AI38" s="301"/>
      <c r="AJ38" s="294" t="s">
        <v>491</v>
      </c>
      <c r="AK38" s="294">
        <v>16</v>
      </c>
      <c r="AL38" s="75"/>
      <c r="AM38" s="75"/>
      <c r="AN38" s="130"/>
      <c r="AO38" s="115"/>
      <c r="AQ38" s="79"/>
      <c r="AR38" s="79">
        <f t="shared" si="41"/>
        <v>0</v>
      </c>
      <c r="AS38" s="79">
        <f t="shared" si="42"/>
        <v>0</v>
      </c>
      <c r="AT38" s="79">
        <f t="shared" si="43"/>
        <v>0</v>
      </c>
      <c r="AU38" s="79">
        <f t="shared" si="44"/>
        <v>0</v>
      </c>
      <c r="AV38" s="79">
        <f t="shared" si="45"/>
        <v>0</v>
      </c>
      <c r="AW38" s="79">
        <f t="shared" si="46"/>
        <v>0</v>
      </c>
      <c r="AX38" s="79">
        <f t="shared" si="47"/>
        <v>0</v>
      </c>
      <c r="AY38" s="79">
        <f t="shared" si="48"/>
        <v>0</v>
      </c>
      <c r="AZ38" s="302">
        <f t="shared" si="49"/>
        <v>0</v>
      </c>
    </row>
    <row r="39" spans="1:67" ht="20.100000000000001" customHeight="1">
      <c r="A39" s="113"/>
      <c r="B39" s="113"/>
      <c r="C39" s="113"/>
      <c r="D39" s="113"/>
      <c r="E39" s="113"/>
      <c r="F39" s="113" t="s">
        <v>690</v>
      </c>
      <c r="G39" s="155">
        <v>16</v>
      </c>
      <c r="H39" s="113"/>
      <c r="I39" s="115"/>
      <c r="J39" s="115"/>
      <c r="K39" s="113" t="s">
        <v>492</v>
      </c>
      <c r="L39" s="155">
        <v>16</v>
      </c>
      <c r="M39" s="116"/>
      <c r="N39" s="115"/>
      <c r="O39" s="115"/>
      <c r="P39" s="113" t="s">
        <v>492</v>
      </c>
      <c r="Q39" s="295">
        <v>16</v>
      </c>
      <c r="R39" s="272"/>
      <c r="S39" s="154"/>
      <c r="T39" s="154"/>
      <c r="U39" s="113" t="s">
        <v>492</v>
      </c>
      <c r="V39" s="207">
        <v>12</v>
      </c>
      <c r="W39" s="119"/>
      <c r="X39" s="113"/>
      <c r="Y39" s="113"/>
      <c r="Z39" s="113" t="s">
        <v>492</v>
      </c>
      <c r="AA39" s="207">
        <v>18</v>
      </c>
      <c r="AB39" s="299"/>
      <c r="AC39" s="299"/>
      <c r="AD39" s="301"/>
      <c r="AE39" s="113" t="s">
        <v>492</v>
      </c>
      <c r="AF39" s="209">
        <v>25</v>
      </c>
      <c r="AG39" s="299"/>
      <c r="AH39" s="299"/>
      <c r="AI39" s="301"/>
      <c r="AJ39" s="294" t="s">
        <v>491</v>
      </c>
      <c r="AK39" s="294">
        <v>16</v>
      </c>
      <c r="AL39" s="75"/>
      <c r="AM39" s="75"/>
      <c r="AN39" s="130"/>
      <c r="AO39" s="115"/>
      <c r="AQ39" s="79"/>
      <c r="AR39" s="79">
        <f t="shared" si="41"/>
        <v>0</v>
      </c>
      <c r="AS39" s="79">
        <f t="shared" si="42"/>
        <v>0</v>
      </c>
      <c r="AT39" s="79">
        <f t="shared" si="43"/>
        <v>0</v>
      </c>
      <c r="AU39" s="79">
        <f t="shared" si="44"/>
        <v>0</v>
      </c>
      <c r="AV39" s="79">
        <f t="shared" si="45"/>
        <v>0</v>
      </c>
      <c r="AW39" s="79">
        <f t="shared" si="46"/>
        <v>0</v>
      </c>
      <c r="AX39" s="79">
        <f t="shared" si="47"/>
        <v>0</v>
      </c>
      <c r="AY39" s="79">
        <f t="shared" si="48"/>
        <v>0</v>
      </c>
      <c r="AZ39" s="302">
        <f t="shared" si="49"/>
        <v>0</v>
      </c>
    </row>
    <row r="40" spans="1:67" ht="20.100000000000001" customHeight="1">
      <c r="A40" s="113"/>
      <c r="B40" s="113"/>
      <c r="C40" s="113"/>
      <c r="D40" s="113"/>
      <c r="E40" s="113"/>
      <c r="F40" s="113" t="s">
        <v>690</v>
      </c>
      <c r="G40" s="155">
        <v>16</v>
      </c>
      <c r="H40" s="113"/>
      <c r="I40" s="115"/>
      <c r="J40" s="115"/>
      <c r="K40" s="113" t="s">
        <v>492</v>
      </c>
      <c r="L40" s="155">
        <v>16</v>
      </c>
      <c r="M40" s="116"/>
      <c r="N40" s="115"/>
      <c r="O40" s="115"/>
      <c r="P40" s="113" t="s">
        <v>492</v>
      </c>
      <c r="Q40" s="295">
        <v>16</v>
      </c>
      <c r="R40" s="115"/>
      <c r="S40" s="144"/>
      <c r="T40" s="144"/>
      <c r="U40" s="113" t="s">
        <v>492</v>
      </c>
      <c r="V40" s="207">
        <v>12</v>
      </c>
      <c r="W40" s="119"/>
      <c r="X40" s="113"/>
      <c r="Y40" s="113"/>
      <c r="Z40" s="113" t="s">
        <v>492</v>
      </c>
      <c r="AA40" s="207">
        <v>18</v>
      </c>
      <c r="AB40" s="113"/>
      <c r="AC40" s="115"/>
      <c r="AD40" s="119"/>
      <c r="AE40" s="113" t="s">
        <v>492</v>
      </c>
      <c r="AF40" s="209">
        <v>25</v>
      </c>
      <c r="AG40" s="113"/>
      <c r="AH40" s="113"/>
      <c r="AI40" s="113"/>
      <c r="AJ40" s="294" t="s">
        <v>491</v>
      </c>
      <c r="AK40" s="294">
        <v>16</v>
      </c>
      <c r="AL40" s="75"/>
      <c r="AM40" s="75"/>
      <c r="AN40" s="130"/>
      <c r="AO40" s="115"/>
      <c r="AP40" s="95"/>
      <c r="AQ40" s="79"/>
      <c r="AR40" s="79">
        <f t="shared" si="41"/>
        <v>0</v>
      </c>
      <c r="AS40" s="79">
        <f t="shared" si="42"/>
        <v>0</v>
      </c>
      <c r="AT40" s="79">
        <f t="shared" si="43"/>
        <v>0</v>
      </c>
      <c r="AU40" s="79">
        <f t="shared" si="44"/>
        <v>0</v>
      </c>
      <c r="AV40" s="79">
        <f t="shared" si="45"/>
        <v>0</v>
      </c>
      <c r="AW40" s="79">
        <f t="shared" si="46"/>
        <v>0</v>
      </c>
      <c r="AX40" s="79">
        <f t="shared" si="47"/>
        <v>0</v>
      </c>
      <c r="AY40" s="79">
        <f t="shared" si="48"/>
        <v>0</v>
      </c>
      <c r="AZ40" s="302">
        <f t="shared" si="49"/>
        <v>0</v>
      </c>
    </row>
    <row r="41" spans="1:67" ht="20.100000000000001" customHeight="1">
      <c r="A41" s="113"/>
      <c r="B41" s="113"/>
      <c r="C41" s="113"/>
      <c r="D41" s="113"/>
      <c r="E41" s="113"/>
      <c r="F41" s="113" t="s">
        <v>433</v>
      </c>
      <c r="G41" s="155">
        <v>16</v>
      </c>
      <c r="H41" s="113"/>
      <c r="I41" s="115"/>
      <c r="J41" s="115"/>
      <c r="K41" s="113" t="s">
        <v>492</v>
      </c>
      <c r="L41" s="155">
        <v>16</v>
      </c>
      <c r="M41" s="116"/>
      <c r="N41" s="115"/>
      <c r="O41" s="115"/>
      <c r="P41" s="113" t="s">
        <v>492</v>
      </c>
      <c r="Q41" s="295">
        <v>16</v>
      </c>
      <c r="R41" s="115"/>
      <c r="S41" s="144"/>
      <c r="T41" s="144"/>
      <c r="U41" s="113" t="s">
        <v>492</v>
      </c>
      <c r="V41" s="207">
        <v>12</v>
      </c>
      <c r="W41" s="119"/>
      <c r="X41" s="113"/>
      <c r="Y41" s="113"/>
      <c r="Z41" s="113" t="s">
        <v>492</v>
      </c>
      <c r="AA41" s="207">
        <v>18</v>
      </c>
      <c r="AB41" s="113"/>
      <c r="AC41" s="115"/>
      <c r="AD41" s="119"/>
      <c r="AE41" s="113" t="s">
        <v>492</v>
      </c>
      <c r="AF41" s="209">
        <v>25</v>
      </c>
      <c r="AG41" s="113"/>
      <c r="AH41" s="113"/>
      <c r="AI41" s="113"/>
      <c r="AJ41" s="294" t="s">
        <v>491</v>
      </c>
      <c r="AK41" s="294">
        <v>16</v>
      </c>
      <c r="AL41" s="75"/>
      <c r="AM41" s="75"/>
      <c r="AN41" s="130"/>
      <c r="AO41" s="115"/>
      <c r="AP41" s="95"/>
      <c r="AQ41" s="79"/>
      <c r="AR41" s="79">
        <f t="shared" si="41"/>
        <v>0</v>
      </c>
      <c r="AS41" s="79">
        <f t="shared" si="42"/>
        <v>0</v>
      </c>
      <c r="AT41" s="79">
        <f t="shared" si="43"/>
        <v>0</v>
      </c>
      <c r="AU41" s="79">
        <f t="shared" si="44"/>
        <v>0</v>
      </c>
      <c r="AV41" s="79">
        <f t="shared" si="45"/>
        <v>0</v>
      </c>
      <c r="AW41" s="79">
        <f t="shared" si="46"/>
        <v>0</v>
      </c>
      <c r="AX41" s="79">
        <f t="shared" si="47"/>
        <v>0</v>
      </c>
      <c r="AY41" s="79">
        <f t="shared" si="48"/>
        <v>0</v>
      </c>
      <c r="AZ41" s="302">
        <f t="shared" si="49"/>
        <v>0</v>
      </c>
    </row>
    <row r="42" spans="1:67" ht="20.100000000000001" customHeight="1">
      <c r="A42" s="113"/>
      <c r="B42" s="113"/>
      <c r="C42" s="113"/>
      <c r="D42" s="113"/>
      <c r="E42" s="113"/>
      <c r="F42" s="113" t="s">
        <v>433</v>
      </c>
      <c r="G42" s="155">
        <v>16</v>
      </c>
      <c r="H42" s="113"/>
      <c r="I42" s="115"/>
      <c r="J42" s="115"/>
      <c r="K42" s="113" t="s">
        <v>492</v>
      </c>
      <c r="L42" s="155">
        <v>16</v>
      </c>
      <c r="M42" s="116"/>
      <c r="N42" s="115"/>
      <c r="O42" s="115"/>
      <c r="P42" s="113" t="s">
        <v>492</v>
      </c>
      <c r="Q42" s="295">
        <v>16</v>
      </c>
      <c r="R42" s="115"/>
      <c r="S42" s="144"/>
      <c r="T42" s="144"/>
      <c r="U42" s="113" t="s">
        <v>492</v>
      </c>
      <c r="V42" s="207">
        <v>12</v>
      </c>
      <c r="W42" s="119"/>
      <c r="X42" s="113"/>
      <c r="Y42" s="113"/>
      <c r="Z42" s="113" t="s">
        <v>492</v>
      </c>
      <c r="AA42" s="207">
        <v>18</v>
      </c>
      <c r="AB42" s="113"/>
      <c r="AC42" s="115"/>
      <c r="AD42" s="119"/>
      <c r="AE42" s="113" t="s">
        <v>492</v>
      </c>
      <c r="AF42" s="209">
        <v>25</v>
      </c>
      <c r="AG42" s="113"/>
      <c r="AH42" s="113"/>
      <c r="AI42" s="113"/>
      <c r="AJ42" s="294" t="s">
        <v>491</v>
      </c>
      <c r="AK42" s="294">
        <v>16</v>
      </c>
      <c r="AL42" s="75"/>
      <c r="AM42" s="75"/>
      <c r="AN42" s="130"/>
      <c r="AO42" s="115"/>
      <c r="AP42" s="95"/>
      <c r="AQ42" s="79"/>
      <c r="AR42" s="79">
        <f t="shared" si="41"/>
        <v>0</v>
      </c>
      <c r="AS42" s="79">
        <f t="shared" si="42"/>
        <v>0</v>
      </c>
      <c r="AT42" s="79">
        <f t="shared" si="43"/>
        <v>0</v>
      </c>
      <c r="AU42" s="79">
        <f t="shared" si="44"/>
        <v>0</v>
      </c>
      <c r="AV42" s="79">
        <f t="shared" si="45"/>
        <v>0</v>
      </c>
      <c r="AW42" s="79">
        <f t="shared" si="46"/>
        <v>0</v>
      </c>
      <c r="AX42" s="79">
        <f t="shared" si="47"/>
        <v>0</v>
      </c>
      <c r="AY42" s="79">
        <f t="shared" si="48"/>
        <v>0</v>
      </c>
      <c r="AZ42" s="302">
        <f t="shared" si="49"/>
        <v>0</v>
      </c>
    </row>
    <row r="43" spans="1:67" ht="20.100000000000001" customHeight="1">
      <c r="A43" s="144"/>
      <c r="B43" s="144"/>
      <c r="C43" s="144"/>
      <c r="D43" s="113"/>
      <c r="E43" s="113"/>
      <c r="F43" s="113" t="s">
        <v>433</v>
      </c>
      <c r="G43" s="155">
        <v>16</v>
      </c>
      <c r="H43" s="113"/>
      <c r="I43" s="116"/>
      <c r="J43" s="116"/>
      <c r="K43" s="113" t="s">
        <v>492</v>
      </c>
      <c r="L43" s="155">
        <v>16</v>
      </c>
      <c r="M43" s="116"/>
      <c r="N43" s="115"/>
      <c r="O43" s="115"/>
      <c r="P43" s="113" t="s">
        <v>492</v>
      </c>
      <c r="Q43" s="295">
        <v>16</v>
      </c>
      <c r="R43" s="115"/>
      <c r="S43" s="144"/>
      <c r="T43" s="144"/>
      <c r="U43" s="113" t="s">
        <v>492</v>
      </c>
      <c r="V43" s="207">
        <v>12</v>
      </c>
      <c r="W43" s="119"/>
      <c r="X43" s="113"/>
      <c r="Y43" s="113"/>
      <c r="Z43" s="113" t="s">
        <v>492</v>
      </c>
      <c r="AA43" s="207">
        <v>18</v>
      </c>
      <c r="AB43" s="113"/>
      <c r="AC43" s="115"/>
      <c r="AD43" s="119"/>
      <c r="AE43" s="113" t="s">
        <v>492</v>
      </c>
      <c r="AF43" s="209">
        <v>25</v>
      </c>
      <c r="AG43" s="113"/>
      <c r="AH43" s="113"/>
      <c r="AI43" s="113"/>
      <c r="AJ43" s="294" t="s">
        <v>491</v>
      </c>
      <c r="AK43" s="294">
        <v>16</v>
      </c>
      <c r="AL43" s="75"/>
      <c r="AM43" s="75"/>
      <c r="AN43" s="130"/>
      <c r="AO43" s="115"/>
      <c r="AQ43" s="79"/>
      <c r="AR43" s="79">
        <f t="shared" si="41"/>
        <v>0</v>
      </c>
      <c r="AS43" s="79">
        <f t="shared" si="42"/>
        <v>0</v>
      </c>
      <c r="AT43" s="79">
        <f t="shared" si="43"/>
        <v>0</v>
      </c>
      <c r="AU43" s="79">
        <f t="shared" si="44"/>
        <v>0</v>
      </c>
      <c r="AV43" s="79">
        <f t="shared" si="45"/>
        <v>0</v>
      </c>
      <c r="AW43" s="79">
        <f t="shared" si="46"/>
        <v>0</v>
      </c>
      <c r="AX43" s="79">
        <f t="shared" si="47"/>
        <v>0</v>
      </c>
      <c r="AY43" s="79">
        <f t="shared" si="48"/>
        <v>0</v>
      </c>
      <c r="AZ43" s="302">
        <f t="shared" si="49"/>
        <v>0</v>
      </c>
    </row>
    <row r="44" spans="1:67" ht="20.100000000000001" customHeight="1">
      <c r="A44" s="144"/>
      <c r="B44" s="144"/>
      <c r="C44" s="144"/>
      <c r="D44" s="113"/>
      <c r="E44" s="113"/>
      <c r="F44" s="113" t="s">
        <v>433</v>
      </c>
      <c r="G44" s="155">
        <v>16</v>
      </c>
      <c r="H44" s="113"/>
      <c r="I44" s="146"/>
      <c r="J44" s="146"/>
      <c r="K44" s="113" t="s">
        <v>492</v>
      </c>
      <c r="L44" s="155">
        <v>16</v>
      </c>
      <c r="M44" s="146"/>
      <c r="N44" s="143"/>
      <c r="O44" s="143"/>
      <c r="P44" s="113" t="s">
        <v>492</v>
      </c>
      <c r="Q44" s="295">
        <v>16</v>
      </c>
      <c r="R44" s="143"/>
      <c r="S44" s="116"/>
      <c r="T44" s="116"/>
      <c r="U44" s="113" t="s">
        <v>492</v>
      </c>
      <c r="V44" s="207">
        <v>12</v>
      </c>
      <c r="W44" s="115"/>
      <c r="X44" s="115"/>
      <c r="Y44" s="115"/>
      <c r="Z44" s="113" t="s">
        <v>492</v>
      </c>
      <c r="AA44" s="207">
        <v>18</v>
      </c>
      <c r="AB44" s="115"/>
      <c r="AC44" s="115"/>
      <c r="AD44" s="115"/>
      <c r="AE44" s="113" t="s">
        <v>492</v>
      </c>
      <c r="AF44" s="209">
        <v>25</v>
      </c>
      <c r="AG44" s="115"/>
      <c r="AH44" s="113"/>
      <c r="AI44" s="113"/>
      <c r="AJ44" s="294" t="s">
        <v>491</v>
      </c>
      <c r="AK44" s="294">
        <v>16</v>
      </c>
      <c r="AL44" s="115"/>
      <c r="AM44" s="115"/>
      <c r="AN44" s="120"/>
      <c r="AO44" s="115"/>
      <c r="AQ44" s="79"/>
      <c r="AR44" s="79">
        <f t="shared" si="41"/>
        <v>0</v>
      </c>
      <c r="AS44" s="79">
        <f t="shared" si="42"/>
        <v>0</v>
      </c>
      <c r="AT44" s="79">
        <f t="shared" si="43"/>
        <v>0</v>
      </c>
      <c r="AU44" s="79">
        <f t="shared" si="44"/>
        <v>0</v>
      </c>
      <c r="AV44" s="79">
        <f t="shared" si="45"/>
        <v>0</v>
      </c>
      <c r="AW44" s="79">
        <f t="shared" si="46"/>
        <v>0</v>
      </c>
      <c r="AX44" s="79">
        <f t="shared" si="47"/>
        <v>0</v>
      </c>
      <c r="AY44" s="79">
        <f t="shared" si="48"/>
        <v>0</v>
      </c>
      <c r="AZ44" s="302">
        <f t="shared" si="49"/>
        <v>0</v>
      </c>
    </row>
    <row r="45" spans="1:67" ht="20.100000000000001" customHeight="1">
      <c r="A45" s="144"/>
      <c r="B45" s="144"/>
      <c r="C45" s="144"/>
      <c r="D45" s="113"/>
      <c r="E45" s="113"/>
      <c r="F45" s="113" t="s">
        <v>433</v>
      </c>
      <c r="G45" s="155">
        <v>16</v>
      </c>
      <c r="H45" s="113"/>
      <c r="I45" s="116"/>
      <c r="J45" s="116"/>
      <c r="K45" s="113" t="s">
        <v>492</v>
      </c>
      <c r="L45" s="155">
        <v>16</v>
      </c>
      <c r="M45" s="115"/>
      <c r="N45" s="115"/>
      <c r="O45" s="115"/>
      <c r="P45" s="113" t="s">
        <v>492</v>
      </c>
      <c r="Q45" s="295">
        <v>16</v>
      </c>
      <c r="R45" s="115"/>
      <c r="S45" s="116"/>
      <c r="T45" s="116"/>
      <c r="U45" s="113" t="s">
        <v>492</v>
      </c>
      <c r="V45" s="207">
        <v>12</v>
      </c>
      <c r="W45" s="115"/>
      <c r="X45" s="115"/>
      <c r="Y45" s="115"/>
      <c r="Z45" s="113" t="s">
        <v>492</v>
      </c>
      <c r="AA45" s="207">
        <v>18</v>
      </c>
      <c r="AB45" s="115"/>
      <c r="AC45" s="115"/>
      <c r="AD45" s="115"/>
      <c r="AE45" s="113" t="s">
        <v>492</v>
      </c>
      <c r="AF45" s="209">
        <v>25</v>
      </c>
      <c r="AG45" s="115"/>
      <c r="AH45" s="113"/>
      <c r="AI45" s="113"/>
      <c r="AJ45" s="294" t="s">
        <v>491</v>
      </c>
      <c r="AK45" s="294">
        <v>16</v>
      </c>
      <c r="AL45" s="115"/>
      <c r="AM45" s="115"/>
      <c r="AN45" s="120"/>
      <c r="AO45" s="115"/>
      <c r="AQ45" s="224"/>
      <c r="AR45" s="79">
        <f t="shared" si="41"/>
        <v>0</v>
      </c>
      <c r="AS45" s="79">
        <f t="shared" si="42"/>
        <v>0</v>
      </c>
      <c r="AT45" s="79">
        <f t="shared" si="43"/>
        <v>0</v>
      </c>
      <c r="AU45" s="79">
        <f t="shared" si="44"/>
        <v>0</v>
      </c>
      <c r="AV45" s="79">
        <f t="shared" si="45"/>
        <v>0</v>
      </c>
      <c r="AW45" s="79">
        <f t="shared" si="46"/>
        <v>0</v>
      </c>
      <c r="AX45" s="79">
        <f t="shared" si="47"/>
        <v>0</v>
      </c>
      <c r="AY45" s="79">
        <f t="shared" si="48"/>
        <v>0</v>
      </c>
      <c r="AZ45" s="302">
        <f t="shared" si="49"/>
        <v>0</v>
      </c>
    </row>
    <row r="46" spans="1:67" ht="20.100000000000001" customHeight="1">
      <c r="A46" s="147" t="s">
        <v>494</v>
      </c>
      <c r="B46" s="148"/>
      <c r="C46" s="148"/>
      <c r="D46" s="149"/>
      <c r="E46" s="75">
        <f>SUM(E35:E45)</f>
        <v>0</v>
      </c>
      <c r="F46" s="149"/>
      <c r="G46" s="149"/>
      <c r="H46" s="149"/>
      <c r="I46" s="150"/>
      <c r="J46" s="75">
        <f>SUM(J35:J45)</f>
        <v>1</v>
      </c>
      <c r="K46" s="149"/>
      <c r="L46" s="149"/>
      <c r="M46" s="76"/>
      <c r="N46" s="76"/>
      <c r="O46" s="75">
        <f>SUM(O35:O45)</f>
        <v>0</v>
      </c>
      <c r="P46" s="149"/>
      <c r="Q46" s="149"/>
      <c r="R46" s="76"/>
      <c r="S46" s="150"/>
      <c r="T46" s="75">
        <f>SUM(T35:T45)</f>
        <v>0</v>
      </c>
      <c r="U46" s="149"/>
      <c r="V46" s="149"/>
      <c r="W46" s="76"/>
      <c r="X46" s="76"/>
      <c r="Y46" s="75">
        <f>SUM(Y35:Y45)</f>
        <v>0</v>
      </c>
      <c r="Z46" s="149"/>
      <c r="AA46" s="149"/>
      <c r="AB46" s="76"/>
      <c r="AC46" s="76"/>
      <c r="AD46" s="75">
        <f>SUM(AD35:AD45)</f>
        <v>0</v>
      </c>
      <c r="AE46" s="149"/>
      <c r="AF46" s="149"/>
      <c r="AG46" s="76"/>
      <c r="AH46" s="149"/>
      <c r="AI46" s="75">
        <f>SUM(AI35:AI45)</f>
        <v>0</v>
      </c>
      <c r="AJ46" s="149"/>
      <c r="AK46" s="149"/>
      <c r="AL46" s="76"/>
      <c r="AM46" s="76"/>
      <c r="AN46" s="151"/>
      <c r="AO46" s="115"/>
      <c r="AP46" s="95"/>
      <c r="AQ46" s="222" t="s">
        <v>486</v>
      </c>
      <c r="AR46" s="140">
        <f>SUM(AR35:AR45)</f>
        <v>0.22500000000000001</v>
      </c>
      <c r="AS46" s="140">
        <f t="shared" ref="AS46" si="50">SUM(AS35:AS45)</f>
        <v>2.14</v>
      </c>
      <c r="AT46" s="140">
        <f t="shared" ref="AT46" si="51">SUM(AT35:AT45)</f>
        <v>0</v>
      </c>
      <c r="AU46" s="140">
        <f t="shared" ref="AU46" si="52">SUM(AU35:AU45)</f>
        <v>0</v>
      </c>
      <c r="AV46" s="140">
        <f>SUM(AV35:AV45)/1.22/2.44/0.91</f>
        <v>0</v>
      </c>
      <c r="AW46" s="140">
        <f t="shared" ref="AW46" si="53">SUM(AW35:AW45)</f>
        <v>0</v>
      </c>
      <c r="AX46" s="140">
        <f>SUM(AX35:AX45)/1.22/2.44/0.91</f>
        <v>0</v>
      </c>
      <c r="AY46" s="140">
        <f t="shared" ref="AY46" si="54">SUM(AY35:AY45)</f>
        <v>0</v>
      </c>
      <c r="AZ46" s="140">
        <f>SUM(AZ35:AZ36)/1.22/2.44/0.91</f>
        <v>0</v>
      </c>
    </row>
    <row r="47" spans="1:67" ht="20.100000000000001" customHeight="1">
      <c r="A47" s="142" t="s">
        <v>429</v>
      </c>
      <c r="B47" s="111"/>
      <c r="C47" s="111"/>
      <c r="D47" s="111"/>
      <c r="E47" s="111">
        <f>E21+E33+E46</f>
        <v>10</v>
      </c>
      <c r="F47" s="111" t="s">
        <v>493</v>
      </c>
      <c r="G47" s="111"/>
      <c r="H47" s="111"/>
      <c r="I47" s="111"/>
      <c r="J47" s="111">
        <f>J21+J33+J46</f>
        <v>21</v>
      </c>
      <c r="K47" s="111" t="s">
        <v>430</v>
      </c>
      <c r="L47" s="111"/>
      <c r="M47" s="111"/>
      <c r="N47" s="111"/>
      <c r="O47" s="111">
        <f>O21+O33+O46</f>
        <v>10</v>
      </c>
      <c r="P47" s="111" t="s">
        <v>430</v>
      </c>
      <c r="Q47" s="111"/>
      <c r="R47" s="111"/>
      <c r="S47" s="111"/>
      <c r="T47" s="111">
        <f>T21+T33+T46</f>
        <v>10</v>
      </c>
      <c r="U47" s="111" t="s">
        <v>430</v>
      </c>
      <c r="V47" s="111"/>
      <c r="W47" s="111"/>
      <c r="X47" s="111"/>
      <c r="Y47" s="111">
        <f>Y21+Y33+Y46</f>
        <v>12</v>
      </c>
      <c r="Z47" s="111" t="s">
        <v>430</v>
      </c>
      <c r="AA47" s="111"/>
      <c r="AB47" s="111"/>
      <c r="AC47" s="111"/>
      <c r="AD47" s="111">
        <f>AD21+AD33+AD46</f>
        <v>10</v>
      </c>
      <c r="AE47" s="111" t="s">
        <v>430</v>
      </c>
      <c r="AF47" s="111"/>
      <c r="AG47" s="111"/>
      <c r="AH47" s="111"/>
      <c r="AI47" s="111">
        <f>AI21+AI33+AI46</f>
        <v>4</v>
      </c>
      <c r="AJ47" s="111" t="s">
        <v>430</v>
      </c>
      <c r="AK47" s="111"/>
      <c r="AL47" s="111"/>
      <c r="AM47" s="111"/>
      <c r="AN47" s="131">
        <f>AN21+AN33</f>
        <v>10</v>
      </c>
      <c r="AO47" s="111" t="s">
        <v>430</v>
      </c>
      <c r="AP47" s="90">
        <f>SUM(AP5:AP33)</f>
        <v>8</v>
      </c>
      <c r="AQ47" s="141" t="s">
        <v>487</v>
      </c>
      <c r="AR47" s="223">
        <f>AR21+AR33+AR46+AZ47</f>
        <v>0.21320800000000001</v>
      </c>
      <c r="AS47" s="223">
        <f>AS21+AS33+AS46</f>
        <v>14.404</v>
      </c>
      <c r="AT47" s="223">
        <f>AT21+AT33+AT46</f>
        <v>7.4263190898503991E-4</v>
      </c>
      <c r="AU47" s="223">
        <f>AU21+AU33+AU46</f>
        <v>1.8000000000000002E-2</v>
      </c>
      <c r="AX47" s="94"/>
      <c r="AZ47" s="303">
        <f>SUM(AZ37:AZ45)</f>
        <v>0</v>
      </c>
    </row>
    <row r="48" spans="1:67" ht="20.100000000000001" customHeight="1">
      <c r="A48" s="142" t="s">
        <v>25</v>
      </c>
      <c r="B48" s="111"/>
      <c r="C48" s="112">
        <f>+AU21+AU33</f>
        <v>1.8000000000000002E-2</v>
      </c>
      <c r="D48" s="111"/>
      <c r="E48" s="111" t="s">
        <v>495</v>
      </c>
      <c r="F48" s="111">
        <f>J47+O47+T47+Y47+AD47+AI47+AN47</f>
        <v>77</v>
      </c>
      <c r="G48" s="111"/>
      <c r="H48" s="111" t="s">
        <v>496</v>
      </c>
      <c r="I48" s="111">
        <f>F48-AN47</f>
        <v>67</v>
      </c>
      <c r="J48" s="111"/>
      <c r="K48" s="111" t="s">
        <v>497</v>
      </c>
      <c r="L48" s="111">
        <f>J47+O47</f>
        <v>31</v>
      </c>
      <c r="M48" s="111"/>
      <c r="N48" s="111"/>
      <c r="O48" s="111"/>
      <c r="P48" s="111"/>
      <c r="Q48" s="111"/>
      <c r="R48" s="111"/>
      <c r="S48" s="111"/>
      <c r="T48" s="111"/>
      <c r="U48" s="111"/>
      <c r="V48" s="111"/>
      <c r="W48" s="111"/>
      <c r="X48" s="111"/>
      <c r="Y48" s="111"/>
      <c r="Z48" s="111"/>
      <c r="AA48" s="111"/>
      <c r="AB48" s="111"/>
      <c r="AC48" s="111"/>
      <c r="AD48" s="111"/>
      <c r="AE48" s="111"/>
      <c r="AF48" s="111"/>
      <c r="AG48" s="111"/>
      <c r="AH48" s="111"/>
      <c r="AI48" s="111"/>
      <c r="AJ48" s="111"/>
      <c r="AK48" s="111"/>
      <c r="AL48" s="111"/>
      <c r="AM48" s="111"/>
      <c r="AN48" s="131"/>
      <c r="AO48" s="117"/>
      <c r="AP48" s="91"/>
      <c r="AQ48" s="92"/>
      <c r="AR48" s="82"/>
      <c r="AS48" s="82"/>
      <c r="AT48" s="91"/>
      <c r="AV48" s="82"/>
      <c r="AX48" s="94"/>
    </row>
    <row r="49" spans="1:67" ht="20.100000000000001" customHeight="1">
      <c r="A49" s="713" t="s">
        <v>453</v>
      </c>
      <c r="B49" s="713"/>
      <c r="C49" s="713"/>
      <c r="D49" s="713"/>
      <c r="E49" s="713"/>
      <c r="F49" s="101"/>
      <c r="G49" s="101"/>
      <c r="H49" s="714"/>
      <c r="I49" s="713"/>
      <c r="J49" s="713" t="s">
        <v>454</v>
      </c>
      <c r="K49" s="713"/>
      <c r="L49" s="713"/>
      <c r="M49" s="713"/>
      <c r="N49" s="713"/>
      <c r="O49" s="713"/>
      <c r="P49" s="713"/>
      <c r="Q49" s="713"/>
      <c r="R49" s="713"/>
      <c r="S49" s="101"/>
      <c r="T49" s="101"/>
      <c r="V49" s="101"/>
      <c r="W49" s="101"/>
      <c r="X49" s="101"/>
      <c r="Y49" s="101"/>
      <c r="Z49" s="101"/>
      <c r="AA49" s="101"/>
      <c r="AB49" s="101"/>
      <c r="AC49" s="101"/>
      <c r="AD49" s="101"/>
      <c r="AE49" s="101"/>
      <c r="AF49" s="101"/>
      <c r="AG49" s="101"/>
      <c r="AH49" s="101"/>
      <c r="AI49" s="101"/>
      <c r="AJ49" s="101"/>
      <c r="AK49" s="101"/>
      <c r="AL49" s="101"/>
      <c r="AM49" s="101"/>
      <c r="AP49" s="95"/>
      <c r="AQ49" s="92"/>
      <c r="AR49" s="82"/>
      <c r="AS49" s="82"/>
      <c r="BO49" s="86"/>
    </row>
    <row r="50" spans="1:67" s="86" customFormat="1">
      <c r="A50" s="126"/>
      <c r="B50" s="126"/>
      <c r="C50" s="126"/>
      <c r="D50" s="126"/>
      <c r="E50" s="126"/>
      <c r="F50" s="126"/>
      <c r="G50" s="126"/>
      <c r="H50" s="126"/>
      <c r="I50" s="126"/>
      <c r="J50" s="126"/>
      <c r="K50" s="126"/>
      <c r="L50" s="126"/>
      <c r="M50" s="126"/>
      <c r="N50" s="126"/>
      <c r="O50" s="126"/>
      <c r="P50" s="126"/>
      <c r="Q50" s="126"/>
      <c r="R50" s="126"/>
      <c r="S50" s="126"/>
      <c r="T50" s="126"/>
      <c r="U50" s="125"/>
      <c r="V50" s="126"/>
      <c r="W50" s="126"/>
      <c r="X50" s="127"/>
      <c r="Y50" s="127"/>
      <c r="Z50" s="127"/>
      <c r="AA50" s="127"/>
      <c r="AB50" s="127"/>
      <c r="AC50" s="127"/>
      <c r="AD50" s="127"/>
      <c r="AE50" s="127"/>
      <c r="AF50" s="127"/>
      <c r="AG50" s="127"/>
      <c r="AH50" s="127"/>
      <c r="AI50" s="127"/>
      <c r="AJ50" s="127"/>
      <c r="AK50" s="127"/>
      <c r="AL50" s="127"/>
      <c r="AM50" s="127"/>
      <c r="AN50" s="127"/>
      <c r="AO50" s="127"/>
      <c r="AP50" s="97"/>
      <c r="AQ50" s="244" t="s">
        <v>713</v>
      </c>
      <c r="AR50" s="99"/>
      <c r="AS50" s="99"/>
      <c r="AT50" s="99"/>
      <c r="AU50" s="82"/>
      <c r="AW50" s="95"/>
      <c r="AX50" s="97"/>
      <c r="BD50" s="95"/>
      <c r="BE50" s="95"/>
      <c r="BF50" s="95"/>
      <c r="BG50" s="95"/>
      <c r="BO50" s="97"/>
    </row>
    <row r="51" spans="1:67" s="97" customFormat="1" ht="18" customHeight="1">
      <c r="L51" s="132"/>
      <c r="M51" s="133"/>
      <c r="N51" s="133"/>
      <c r="O51" s="133"/>
      <c r="U51" s="95"/>
      <c r="AM51" s="98"/>
      <c r="AN51" s="98"/>
      <c r="AP51" s="83"/>
      <c r="AQ51" s="95">
        <f>(H35*J35+M35*O35+R35*T35)/1000/2.1/0.85</f>
        <v>0.25210084033613445</v>
      </c>
      <c r="AW51" s="95"/>
      <c r="BD51" s="95"/>
      <c r="BE51" s="95"/>
      <c r="BF51" s="95"/>
      <c r="BG51" s="95"/>
    </row>
    <row r="52" spans="1:67" s="97" customFormat="1" ht="18" customHeight="1">
      <c r="L52" s="127"/>
      <c r="M52" s="127"/>
      <c r="N52" s="127"/>
      <c r="O52" s="127"/>
      <c r="U52" s="95"/>
      <c r="AM52" s="98"/>
      <c r="AN52" s="98"/>
      <c r="AP52" s="83"/>
      <c r="AW52" s="95"/>
      <c r="BD52" s="95"/>
      <c r="BE52" s="95"/>
      <c r="BF52" s="95"/>
      <c r="BG52" s="95"/>
    </row>
    <row r="53" spans="1:67" s="97" customFormat="1" ht="18" customHeight="1">
      <c r="L53" s="127"/>
      <c r="M53" s="127"/>
      <c r="N53" s="127"/>
      <c r="O53" s="127"/>
      <c r="U53" s="95"/>
      <c r="AM53" s="98"/>
      <c r="AN53" s="98"/>
      <c r="AP53" s="83"/>
      <c r="AW53" s="95"/>
      <c r="BD53" s="95"/>
      <c r="BE53" s="95"/>
      <c r="BF53" s="95"/>
      <c r="BG53" s="95"/>
    </row>
    <row r="54" spans="1:67" s="97" customFormat="1" ht="18" customHeight="1">
      <c r="L54" s="127"/>
      <c r="M54" s="127"/>
      <c r="N54" s="127"/>
      <c r="O54" s="127"/>
      <c r="U54" s="95"/>
      <c r="AM54" s="98"/>
      <c r="AN54" s="98"/>
      <c r="AP54" s="83"/>
      <c r="AW54" s="95"/>
      <c r="BD54" s="95"/>
      <c r="BE54" s="95"/>
      <c r="BF54" s="95"/>
      <c r="BG54" s="95"/>
    </row>
    <row r="55" spans="1:67" s="97" customFormat="1" ht="18" customHeight="1">
      <c r="L55" s="127"/>
      <c r="M55" s="127"/>
      <c r="N55" s="127"/>
      <c r="O55" s="127"/>
      <c r="U55" s="95"/>
      <c r="AM55" s="98"/>
      <c r="AN55" s="98"/>
      <c r="AP55" s="83"/>
      <c r="AW55" s="95"/>
      <c r="BD55" s="95"/>
      <c r="BE55" s="95"/>
      <c r="BF55" s="95"/>
      <c r="BG55" s="95"/>
    </row>
    <row r="56" spans="1:67" s="97" customFormat="1" ht="18" customHeight="1">
      <c r="L56" s="127"/>
      <c r="M56" s="127"/>
      <c r="N56" s="127"/>
      <c r="O56" s="127"/>
      <c r="U56" s="95"/>
      <c r="AM56" s="98"/>
      <c r="AN56" s="98"/>
      <c r="AP56" s="83"/>
      <c r="AW56" s="95"/>
      <c r="BD56" s="95"/>
      <c r="BE56" s="95"/>
      <c r="BF56" s="95"/>
      <c r="BG56" s="95"/>
    </row>
    <row r="57" spans="1:67" s="97" customFormat="1" ht="18" customHeight="1">
      <c r="L57" s="127"/>
      <c r="M57" s="127"/>
      <c r="N57" s="127"/>
      <c r="O57" s="127"/>
      <c r="P57" s="127"/>
      <c r="Q57" s="127"/>
      <c r="R57" s="127"/>
      <c r="S57" s="127"/>
      <c r="T57" s="127"/>
      <c r="U57" s="125"/>
      <c r="V57" s="127"/>
      <c r="W57" s="127"/>
      <c r="X57" s="127"/>
      <c r="Y57" s="127"/>
      <c r="Z57" s="127"/>
      <c r="AA57" s="127"/>
      <c r="AB57" s="127"/>
      <c r="AC57" s="127"/>
      <c r="AD57" s="127"/>
      <c r="AE57" s="127"/>
      <c r="AF57" s="127"/>
      <c r="AG57" s="127"/>
      <c r="AH57" s="127"/>
      <c r="AJ57" s="98"/>
      <c r="AK57" s="98"/>
      <c r="AL57" s="98"/>
      <c r="AM57" s="98"/>
      <c r="AN57" s="98"/>
      <c r="AP57" s="83"/>
      <c r="AW57" s="95"/>
      <c r="BD57" s="95"/>
      <c r="BE57" s="95"/>
      <c r="BF57" s="95"/>
      <c r="BG57" s="95"/>
    </row>
    <row r="58" spans="1:67" s="97" customFormat="1" ht="18" customHeight="1">
      <c r="L58" s="127"/>
      <c r="M58" s="127"/>
      <c r="N58" s="127"/>
      <c r="O58" s="127"/>
      <c r="P58" s="127"/>
      <c r="Q58" s="127"/>
      <c r="R58" s="127"/>
      <c r="S58" s="127"/>
      <c r="T58" s="127"/>
      <c r="U58" s="125"/>
      <c r="V58" s="127"/>
      <c r="W58" s="127"/>
      <c r="X58" s="127"/>
      <c r="Y58" s="127"/>
      <c r="Z58" s="127"/>
      <c r="AA58" s="127"/>
      <c r="AB58" s="127"/>
      <c r="AC58" s="127"/>
      <c r="AD58" s="127"/>
      <c r="AE58" s="127"/>
      <c r="AF58" s="127"/>
      <c r="AG58" s="127"/>
      <c r="AH58" s="127"/>
      <c r="AJ58" s="98"/>
      <c r="AK58" s="98"/>
      <c r="AL58" s="98"/>
      <c r="AM58" s="98"/>
      <c r="AN58" s="98"/>
      <c r="AP58" s="83"/>
      <c r="AW58" s="95"/>
      <c r="BD58" s="95"/>
      <c r="BE58" s="95"/>
      <c r="BF58" s="95"/>
      <c r="BG58" s="95"/>
    </row>
    <row r="59" spans="1:67" s="97" customFormat="1" ht="18" customHeight="1">
      <c r="L59" s="127"/>
      <c r="M59" s="127"/>
      <c r="N59" s="127"/>
      <c r="O59" s="127"/>
      <c r="P59" s="127"/>
      <c r="Q59" s="127"/>
      <c r="R59" s="127"/>
      <c r="S59" s="127"/>
      <c r="T59" s="127"/>
      <c r="U59" s="125"/>
      <c r="V59" s="127"/>
      <c r="W59" s="127"/>
      <c r="X59" s="127"/>
      <c r="Y59" s="127"/>
      <c r="Z59" s="127"/>
      <c r="AA59" s="127"/>
      <c r="AB59" s="127"/>
      <c r="AC59" s="127"/>
      <c r="AD59" s="127"/>
      <c r="AE59" s="127"/>
      <c r="AF59" s="127"/>
      <c r="AG59" s="127"/>
      <c r="AH59" s="127"/>
      <c r="AJ59" s="98"/>
      <c r="AK59" s="98"/>
      <c r="AL59" s="98"/>
      <c r="AM59" s="98"/>
      <c r="AN59" s="98"/>
      <c r="AP59" s="83"/>
      <c r="AW59" s="95"/>
      <c r="BD59" s="95"/>
      <c r="BE59" s="95"/>
      <c r="BF59" s="95"/>
      <c r="BG59" s="95"/>
    </row>
    <row r="60" spans="1:67" s="97" customFormat="1" ht="18" customHeight="1">
      <c r="L60" s="127"/>
      <c r="M60" s="127"/>
      <c r="N60" s="127"/>
      <c r="O60" s="127"/>
      <c r="P60" s="127"/>
      <c r="Q60" s="127"/>
      <c r="R60" s="127"/>
      <c r="S60" s="127"/>
      <c r="T60" s="127"/>
      <c r="U60" s="125"/>
      <c r="V60" s="127"/>
      <c r="W60" s="127"/>
      <c r="X60" s="127"/>
      <c r="Y60" s="127"/>
      <c r="Z60" s="127"/>
      <c r="AA60" s="127"/>
      <c r="AB60" s="127"/>
      <c r="AC60" s="127"/>
      <c r="AD60" s="127"/>
      <c r="AE60" s="127"/>
      <c r="AF60" s="127"/>
      <c r="AG60" s="127"/>
      <c r="AH60" s="127"/>
      <c r="AJ60" s="98"/>
      <c r="AK60" s="98"/>
      <c r="AL60" s="98"/>
      <c r="AM60" s="98"/>
      <c r="AN60" s="98"/>
      <c r="AP60" s="83"/>
      <c r="AW60" s="95"/>
      <c r="BD60" s="95"/>
      <c r="BE60" s="95"/>
      <c r="BF60" s="95"/>
      <c r="BG60" s="95"/>
    </row>
    <row r="61" spans="1:67" s="97" customFormat="1" ht="18" customHeight="1">
      <c r="L61" s="127"/>
      <c r="M61" s="127"/>
      <c r="N61" s="127"/>
      <c r="O61" s="127"/>
      <c r="P61" s="127"/>
      <c r="Q61" s="127"/>
      <c r="R61" s="127"/>
      <c r="S61" s="127"/>
      <c r="T61" s="127"/>
      <c r="U61" s="125"/>
      <c r="V61" s="127"/>
      <c r="W61" s="127"/>
      <c r="X61" s="127"/>
      <c r="Y61" s="127"/>
      <c r="Z61" s="127"/>
      <c r="AA61" s="127"/>
      <c r="AB61" s="127"/>
      <c r="AC61" s="127"/>
      <c r="AD61" s="127"/>
      <c r="AE61" s="127"/>
      <c r="AF61" s="127"/>
      <c r="AG61" s="127"/>
      <c r="AH61" s="127"/>
      <c r="AJ61" s="98"/>
      <c r="AK61" s="98"/>
      <c r="AL61" s="98"/>
      <c r="AM61" s="98"/>
      <c r="AN61" s="98"/>
      <c r="AP61" s="83"/>
      <c r="AQ61" s="83"/>
      <c r="AW61" s="95"/>
      <c r="BD61" s="95"/>
      <c r="BE61" s="95"/>
      <c r="BF61" s="95"/>
      <c r="BG61" s="95"/>
    </row>
    <row r="62" spans="1:67" s="97" customFormat="1" ht="18" customHeight="1">
      <c r="L62" s="127"/>
      <c r="M62" s="127"/>
      <c r="N62" s="127"/>
      <c r="O62" s="127"/>
      <c r="P62" s="127"/>
      <c r="Q62" s="127"/>
      <c r="R62" s="127"/>
      <c r="S62" s="127"/>
      <c r="T62" s="127"/>
      <c r="U62" s="125"/>
      <c r="V62" s="127"/>
      <c r="W62" s="127"/>
      <c r="X62" s="127"/>
      <c r="Y62" s="127"/>
      <c r="Z62" s="127"/>
      <c r="AA62" s="127"/>
      <c r="AB62" s="127"/>
      <c r="AC62" s="127"/>
      <c r="AD62" s="127"/>
      <c r="AE62" s="127"/>
      <c r="AF62" s="127"/>
      <c r="AG62" s="127"/>
      <c r="AH62" s="127"/>
      <c r="AJ62" s="98"/>
      <c r="AK62" s="98"/>
      <c r="AL62" s="98"/>
      <c r="AM62" s="98"/>
      <c r="AN62" s="98"/>
      <c r="AP62" s="83"/>
      <c r="AQ62" s="83"/>
      <c r="AW62" s="95"/>
      <c r="BD62" s="95"/>
      <c r="BE62" s="95"/>
      <c r="BF62" s="95"/>
      <c r="BG62" s="95"/>
      <c r="BO62" s="83"/>
    </row>
    <row r="63" spans="1:67" s="83" customFormat="1">
      <c r="A63" s="124"/>
      <c r="B63" s="124"/>
      <c r="C63" s="124"/>
      <c r="D63" s="124"/>
      <c r="E63" s="124"/>
      <c r="F63" s="124"/>
      <c r="G63" s="124"/>
      <c r="H63" s="124"/>
      <c r="I63" s="124"/>
      <c r="J63" s="124"/>
      <c r="K63" s="124"/>
      <c r="L63" s="124"/>
      <c r="M63" s="124"/>
      <c r="N63" s="124"/>
      <c r="O63" s="124"/>
      <c r="P63" s="124"/>
      <c r="Q63" s="124"/>
      <c r="R63" s="124"/>
      <c r="S63" s="124"/>
      <c r="T63" s="124"/>
      <c r="U63" s="125"/>
      <c r="V63" s="124"/>
      <c r="W63" s="124"/>
      <c r="X63" s="124"/>
      <c r="Y63" s="124"/>
      <c r="Z63" s="124"/>
      <c r="AA63" s="124"/>
      <c r="AB63" s="124"/>
      <c r="AC63" s="124"/>
      <c r="AD63" s="124"/>
      <c r="AE63" s="124"/>
      <c r="AF63" s="124"/>
      <c r="AG63" s="124"/>
      <c r="AH63" s="124"/>
      <c r="AI63" s="124"/>
      <c r="AJ63" s="124"/>
      <c r="AK63" s="124"/>
      <c r="AL63" s="124"/>
      <c r="AM63" s="124"/>
      <c r="AN63" s="125"/>
      <c r="AO63" s="125"/>
      <c r="AP63" s="81"/>
      <c r="AQ63" s="82"/>
      <c r="AR63" s="96"/>
      <c r="AS63" s="96"/>
      <c r="AT63" s="96"/>
      <c r="AU63" s="82"/>
      <c r="AW63" s="95"/>
      <c r="BD63" s="95"/>
      <c r="BE63" s="95"/>
      <c r="BF63" s="95"/>
      <c r="BG63" s="95"/>
    </row>
    <row r="64" spans="1:67" s="83" customFormat="1">
      <c r="A64" s="124"/>
      <c r="B64" s="124"/>
      <c r="C64" s="124"/>
      <c r="D64" s="124"/>
      <c r="E64" s="124"/>
      <c r="F64" s="124"/>
      <c r="G64" s="124"/>
      <c r="H64" s="124"/>
      <c r="I64" s="124"/>
      <c r="J64" s="124"/>
      <c r="K64" s="124"/>
      <c r="L64" s="124"/>
      <c r="M64" s="124"/>
      <c r="N64" s="124"/>
      <c r="O64" s="124"/>
      <c r="P64" s="124"/>
      <c r="Q64" s="124"/>
      <c r="R64" s="124"/>
      <c r="S64" s="124"/>
      <c r="T64" s="124"/>
      <c r="U64" s="125"/>
      <c r="V64" s="124"/>
      <c r="W64" s="124"/>
      <c r="X64" s="124"/>
      <c r="Y64" s="124"/>
      <c r="Z64" s="124"/>
      <c r="AA64" s="124"/>
      <c r="AB64" s="124"/>
      <c r="AC64" s="124"/>
      <c r="AD64" s="124"/>
      <c r="AE64" s="124"/>
      <c r="AF64" s="124"/>
      <c r="AG64" s="124"/>
      <c r="AH64" s="124"/>
      <c r="AI64" s="124"/>
      <c r="AJ64" s="124"/>
      <c r="AK64" s="124"/>
      <c r="AL64" s="124"/>
      <c r="AM64" s="124"/>
      <c r="AN64" s="125"/>
      <c r="AO64" s="125"/>
      <c r="AP64" s="81"/>
      <c r="AQ64" s="82"/>
      <c r="AR64" s="96"/>
      <c r="AS64" s="96"/>
      <c r="AT64" s="96"/>
      <c r="AU64" s="82"/>
      <c r="AW64" s="95"/>
      <c r="BD64" s="95"/>
      <c r="BE64" s="95"/>
      <c r="BF64" s="95"/>
      <c r="BG64" s="95"/>
    </row>
    <row r="65" spans="1:59" s="83" customFormat="1">
      <c r="A65" s="124"/>
      <c r="B65" s="124"/>
      <c r="C65" s="124"/>
      <c r="D65" s="124"/>
      <c r="E65" s="124"/>
      <c r="F65" s="124"/>
      <c r="G65" s="124"/>
      <c r="H65" s="124"/>
      <c r="I65" s="124"/>
      <c r="J65" s="124"/>
      <c r="K65" s="124"/>
      <c r="L65" s="124"/>
      <c r="M65" s="124"/>
      <c r="N65" s="124"/>
      <c r="O65" s="124"/>
      <c r="P65" s="124"/>
      <c r="Q65" s="124"/>
      <c r="R65" s="124"/>
      <c r="S65" s="124"/>
      <c r="T65" s="124"/>
      <c r="U65" s="125"/>
      <c r="V65" s="124"/>
      <c r="W65" s="124"/>
      <c r="X65" s="124"/>
      <c r="Y65" s="124"/>
      <c r="Z65" s="124"/>
      <c r="AA65" s="124"/>
      <c r="AB65" s="124"/>
      <c r="AC65" s="124"/>
      <c r="AD65" s="124"/>
      <c r="AE65" s="124"/>
      <c r="AF65" s="124"/>
      <c r="AG65" s="124"/>
      <c r="AH65" s="124"/>
      <c r="AI65" s="124"/>
      <c r="AJ65" s="124"/>
      <c r="AK65" s="124"/>
      <c r="AL65" s="124"/>
      <c r="AM65" s="124"/>
      <c r="AN65" s="125"/>
      <c r="AO65" s="125"/>
      <c r="AP65" s="81"/>
      <c r="AQ65" s="82"/>
      <c r="AR65" s="96"/>
      <c r="AS65" s="96"/>
      <c r="AT65" s="96"/>
      <c r="AU65" s="82"/>
      <c r="AW65" s="95"/>
      <c r="BD65" s="95"/>
      <c r="BE65" s="95"/>
      <c r="BF65" s="95"/>
      <c r="BG65" s="95"/>
    </row>
    <row r="66" spans="1:59" s="83" customFormat="1">
      <c r="A66" s="124"/>
      <c r="B66" s="124"/>
      <c r="C66" s="124"/>
      <c r="D66" s="124"/>
      <c r="E66" s="124"/>
      <c r="F66" s="124"/>
      <c r="G66" s="124"/>
      <c r="H66" s="124"/>
      <c r="I66" s="124"/>
      <c r="J66" s="124"/>
      <c r="K66" s="124"/>
      <c r="L66" s="124"/>
      <c r="M66" s="124"/>
      <c r="N66" s="124"/>
      <c r="O66" s="124"/>
      <c r="P66" s="124"/>
      <c r="Q66" s="124"/>
      <c r="R66" s="124"/>
      <c r="S66" s="124"/>
      <c r="T66" s="124"/>
      <c r="U66" s="125"/>
      <c r="V66" s="124"/>
      <c r="W66" s="124"/>
      <c r="X66" s="124"/>
      <c r="Y66" s="124"/>
      <c r="Z66" s="124"/>
      <c r="AA66" s="124"/>
      <c r="AB66" s="124"/>
      <c r="AC66" s="124"/>
      <c r="AD66" s="124"/>
      <c r="AE66" s="124"/>
      <c r="AF66" s="124"/>
      <c r="AG66" s="124"/>
      <c r="AH66" s="124"/>
      <c r="AI66" s="124"/>
      <c r="AJ66" s="124"/>
      <c r="AK66" s="124"/>
      <c r="AL66" s="124"/>
      <c r="AM66" s="124"/>
      <c r="AN66" s="125"/>
      <c r="AO66" s="125"/>
      <c r="AP66" s="81"/>
      <c r="AQ66" s="82"/>
      <c r="AR66" s="96"/>
      <c r="AS66" s="96"/>
      <c r="AT66" s="96"/>
      <c r="AU66" s="82"/>
      <c r="AW66" s="95"/>
      <c r="BD66" s="95"/>
      <c r="BE66" s="95"/>
      <c r="BF66" s="95"/>
      <c r="BG66" s="95"/>
    </row>
    <row r="67" spans="1:59" s="83" customFormat="1">
      <c r="A67" s="124"/>
      <c r="B67" s="124"/>
      <c r="C67" s="124"/>
      <c r="D67" s="124"/>
      <c r="E67" s="124"/>
      <c r="F67" s="124"/>
      <c r="G67" s="124"/>
      <c r="H67" s="124"/>
      <c r="I67" s="124"/>
      <c r="J67" s="124"/>
      <c r="K67" s="124"/>
      <c r="L67" s="124"/>
      <c r="M67" s="124"/>
      <c r="N67" s="124"/>
      <c r="O67" s="124"/>
      <c r="P67" s="124"/>
      <c r="Q67" s="124"/>
      <c r="R67" s="124"/>
      <c r="S67" s="124"/>
      <c r="T67" s="124"/>
      <c r="U67" s="125"/>
      <c r="V67" s="124"/>
      <c r="W67" s="124"/>
      <c r="X67" s="124"/>
      <c r="Y67" s="124"/>
      <c r="Z67" s="124"/>
      <c r="AA67" s="124"/>
      <c r="AB67" s="124"/>
      <c r="AC67" s="124"/>
      <c r="AD67" s="124"/>
      <c r="AE67" s="124"/>
      <c r="AF67" s="124"/>
      <c r="AG67" s="124"/>
      <c r="AH67" s="124"/>
      <c r="AI67" s="124"/>
      <c r="AJ67" s="124"/>
      <c r="AK67" s="124"/>
      <c r="AL67" s="124"/>
      <c r="AM67" s="124"/>
      <c r="AN67" s="125"/>
      <c r="AO67" s="125"/>
      <c r="AP67" s="81"/>
      <c r="AQ67" s="82"/>
      <c r="AR67" s="96"/>
      <c r="AS67" s="96"/>
      <c r="AT67" s="96"/>
      <c r="AU67" s="82"/>
      <c r="AW67" s="95"/>
      <c r="BD67" s="95"/>
      <c r="BE67" s="95"/>
      <c r="BF67" s="95"/>
      <c r="BG67" s="95"/>
    </row>
    <row r="68" spans="1:59" s="83" customFormat="1">
      <c r="A68" s="124"/>
      <c r="B68" s="124"/>
      <c r="C68" s="124"/>
      <c r="D68" s="124"/>
      <c r="E68" s="124"/>
      <c r="F68" s="124"/>
      <c r="G68" s="124"/>
      <c r="H68" s="124"/>
      <c r="I68" s="124"/>
      <c r="J68" s="124"/>
      <c r="K68" s="124"/>
      <c r="L68" s="124"/>
      <c r="M68" s="124"/>
      <c r="N68" s="124"/>
      <c r="O68" s="124"/>
      <c r="P68" s="124"/>
      <c r="Q68" s="124"/>
      <c r="R68" s="124"/>
      <c r="S68" s="124"/>
      <c r="T68" s="124"/>
      <c r="U68" s="125"/>
      <c r="V68" s="124"/>
      <c r="W68" s="124"/>
      <c r="X68" s="124"/>
      <c r="Y68" s="124"/>
      <c r="Z68" s="124"/>
      <c r="AA68" s="124"/>
      <c r="AB68" s="124"/>
      <c r="AC68" s="124"/>
      <c r="AD68" s="124"/>
      <c r="AE68" s="124"/>
      <c r="AF68" s="124"/>
      <c r="AG68" s="124"/>
      <c r="AH68" s="124"/>
      <c r="AI68" s="124"/>
      <c r="AJ68" s="124"/>
      <c r="AK68" s="124"/>
      <c r="AL68" s="124"/>
      <c r="AM68" s="124"/>
      <c r="AN68" s="125"/>
      <c r="AO68" s="125"/>
      <c r="AP68" s="81"/>
      <c r="AQ68" s="82"/>
      <c r="AR68" s="96"/>
      <c r="AS68" s="96"/>
      <c r="AT68" s="96"/>
      <c r="AU68" s="82"/>
      <c r="AW68" s="95"/>
      <c r="BD68" s="95"/>
      <c r="BE68" s="95"/>
      <c r="BF68" s="95"/>
      <c r="BG68" s="95"/>
    </row>
    <row r="69" spans="1:59" s="83" customFormat="1">
      <c r="A69" s="124"/>
      <c r="B69" s="124"/>
      <c r="C69" s="124"/>
      <c r="D69" s="124"/>
      <c r="E69" s="124"/>
      <c r="F69" s="124"/>
      <c r="G69" s="124"/>
      <c r="H69" s="124"/>
      <c r="I69" s="124"/>
      <c r="J69" s="124"/>
      <c r="K69" s="124"/>
      <c r="L69" s="124"/>
      <c r="M69" s="124"/>
      <c r="N69" s="124"/>
      <c r="O69" s="124"/>
      <c r="P69" s="124"/>
      <c r="Q69" s="124"/>
      <c r="R69" s="124"/>
      <c r="S69" s="124"/>
      <c r="T69" s="124"/>
      <c r="U69" s="125"/>
      <c r="V69" s="124"/>
      <c r="W69" s="124"/>
      <c r="X69" s="124"/>
      <c r="Y69" s="124"/>
      <c r="Z69" s="124"/>
      <c r="AA69" s="124"/>
      <c r="AB69" s="124"/>
      <c r="AC69" s="124"/>
      <c r="AD69" s="124"/>
      <c r="AE69" s="124"/>
      <c r="AF69" s="124"/>
      <c r="AG69" s="124"/>
      <c r="AH69" s="124"/>
      <c r="AI69" s="124"/>
      <c r="AJ69" s="124"/>
      <c r="AK69" s="124"/>
      <c r="AL69" s="124"/>
      <c r="AM69" s="124"/>
      <c r="AN69" s="125"/>
      <c r="AO69" s="125"/>
      <c r="AP69" s="81"/>
      <c r="AQ69" s="82"/>
      <c r="AR69" s="96"/>
      <c r="AS69" s="96"/>
      <c r="AT69" s="96"/>
      <c r="AU69" s="82"/>
      <c r="AW69" s="95"/>
      <c r="BD69" s="95"/>
      <c r="BE69" s="95"/>
      <c r="BF69" s="95"/>
      <c r="BG69" s="95"/>
    </row>
    <row r="70" spans="1:59" s="83" customFormat="1">
      <c r="A70" s="124"/>
      <c r="B70" s="124"/>
      <c r="C70" s="124"/>
      <c r="D70" s="124"/>
      <c r="E70" s="124"/>
      <c r="F70" s="124"/>
      <c r="G70" s="124"/>
      <c r="H70" s="124"/>
      <c r="I70" s="124"/>
      <c r="J70" s="124"/>
      <c r="K70" s="124"/>
      <c r="L70" s="124"/>
      <c r="M70" s="124"/>
      <c r="N70" s="124"/>
      <c r="O70" s="124"/>
      <c r="P70" s="124"/>
      <c r="Q70" s="124"/>
      <c r="R70" s="124"/>
      <c r="S70" s="124"/>
      <c r="T70" s="124"/>
      <c r="U70" s="125"/>
      <c r="V70" s="124"/>
      <c r="W70" s="124"/>
      <c r="X70" s="124"/>
      <c r="Y70" s="124"/>
      <c r="Z70" s="124"/>
      <c r="AA70" s="124"/>
      <c r="AB70" s="124"/>
      <c r="AC70" s="124"/>
      <c r="AD70" s="124"/>
      <c r="AE70" s="124"/>
      <c r="AF70" s="124"/>
      <c r="AG70" s="124"/>
      <c r="AH70" s="124"/>
      <c r="AI70" s="124"/>
      <c r="AJ70" s="124"/>
      <c r="AK70" s="124"/>
      <c r="AL70" s="124"/>
      <c r="AM70" s="124"/>
      <c r="AN70" s="125"/>
      <c r="AO70" s="125"/>
      <c r="AP70" s="81"/>
      <c r="AQ70" s="82"/>
      <c r="AR70" s="96"/>
      <c r="AS70" s="96"/>
      <c r="AT70" s="96"/>
      <c r="AU70" s="82"/>
      <c r="AW70" s="95"/>
      <c r="BD70" s="95"/>
      <c r="BE70" s="95"/>
      <c r="BF70" s="95"/>
      <c r="BG70" s="95"/>
    </row>
    <row r="71" spans="1:59" s="83" customFormat="1">
      <c r="A71" s="124"/>
      <c r="B71" s="124"/>
      <c r="C71" s="124"/>
      <c r="D71" s="124"/>
      <c r="E71" s="124"/>
      <c r="F71" s="124"/>
      <c r="G71" s="124"/>
      <c r="H71" s="124"/>
      <c r="I71" s="124"/>
      <c r="J71" s="124"/>
      <c r="K71" s="124"/>
      <c r="L71" s="124"/>
      <c r="M71" s="124"/>
      <c r="N71" s="124"/>
      <c r="O71" s="124"/>
      <c r="P71" s="124"/>
      <c r="Q71" s="124"/>
      <c r="R71" s="124"/>
      <c r="S71" s="124"/>
      <c r="T71" s="124"/>
      <c r="U71" s="125"/>
      <c r="V71" s="124"/>
      <c r="W71" s="124"/>
      <c r="X71" s="124"/>
      <c r="Y71" s="124"/>
      <c r="Z71" s="124"/>
      <c r="AA71" s="124"/>
      <c r="AB71" s="124"/>
      <c r="AC71" s="124"/>
      <c r="AD71" s="124"/>
      <c r="AE71" s="124"/>
      <c r="AF71" s="124"/>
      <c r="AG71" s="124"/>
      <c r="AH71" s="124"/>
      <c r="AI71" s="124"/>
      <c r="AJ71" s="124"/>
      <c r="AK71" s="124"/>
      <c r="AL71" s="124"/>
      <c r="AM71" s="124"/>
      <c r="AN71" s="125"/>
      <c r="AO71" s="125"/>
      <c r="AP71" s="81"/>
      <c r="AQ71" s="82"/>
      <c r="AR71" s="96"/>
      <c r="AS71" s="96"/>
      <c r="AT71" s="96"/>
      <c r="AU71" s="82"/>
      <c r="AW71" s="95"/>
      <c r="BD71" s="95"/>
      <c r="BE71" s="95"/>
      <c r="BF71" s="95"/>
      <c r="BG71" s="95"/>
    </row>
    <row r="72" spans="1:59" s="83" customFormat="1">
      <c r="A72" s="124"/>
      <c r="B72" s="124"/>
      <c r="C72" s="124"/>
      <c r="D72" s="124"/>
      <c r="E72" s="124"/>
      <c r="F72" s="124"/>
      <c r="G72" s="124"/>
      <c r="H72" s="124"/>
      <c r="I72" s="124"/>
      <c r="J72" s="124"/>
      <c r="K72" s="124"/>
      <c r="L72" s="124"/>
      <c r="M72" s="124"/>
      <c r="N72" s="124"/>
      <c r="O72" s="124"/>
      <c r="P72" s="124"/>
      <c r="Q72" s="124"/>
      <c r="R72" s="124"/>
      <c r="S72" s="124"/>
      <c r="T72" s="124"/>
      <c r="U72" s="125"/>
      <c r="V72" s="124"/>
      <c r="W72" s="124"/>
      <c r="X72" s="124"/>
      <c r="Y72" s="124"/>
      <c r="Z72" s="124"/>
      <c r="AA72" s="124"/>
      <c r="AB72" s="124"/>
      <c r="AC72" s="124"/>
      <c r="AD72" s="124"/>
      <c r="AE72" s="124"/>
      <c r="AF72" s="124"/>
      <c r="AG72" s="124"/>
      <c r="AH72" s="124"/>
      <c r="AI72" s="124"/>
      <c r="AJ72" s="124"/>
      <c r="AK72" s="124"/>
      <c r="AL72" s="124"/>
      <c r="AM72" s="124"/>
      <c r="AN72" s="125"/>
      <c r="AO72" s="125"/>
      <c r="AP72" s="81"/>
      <c r="AQ72" s="82"/>
      <c r="AR72" s="96"/>
      <c r="AS72" s="96"/>
      <c r="AT72" s="96"/>
      <c r="AU72" s="82"/>
      <c r="AW72" s="95"/>
      <c r="BD72" s="95"/>
      <c r="BE72" s="95"/>
      <c r="BF72" s="95"/>
      <c r="BG72" s="95"/>
    </row>
    <row r="73" spans="1:59" s="83" customFormat="1">
      <c r="A73" s="124"/>
      <c r="B73" s="124"/>
      <c r="C73" s="124"/>
      <c r="D73" s="124"/>
      <c r="E73" s="124"/>
      <c r="F73" s="124"/>
      <c r="G73" s="124"/>
      <c r="H73" s="124"/>
      <c r="I73" s="124"/>
      <c r="J73" s="124"/>
      <c r="K73" s="124"/>
      <c r="L73" s="124"/>
      <c r="M73" s="124"/>
      <c r="N73" s="124"/>
      <c r="O73" s="124"/>
      <c r="P73" s="124"/>
      <c r="Q73" s="124"/>
      <c r="R73" s="124"/>
      <c r="S73" s="124"/>
      <c r="T73" s="124"/>
      <c r="U73" s="125"/>
      <c r="V73" s="124"/>
      <c r="W73" s="124"/>
      <c r="X73" s="124"/>
      <c r="Y73" s="124"/>
      <c r="Z73" s="124"/>
      <c r="AA73" s="124"/>
      <c r="AB73" s="124"/>
      <c r="AC73" s="124"/>
      <c r="AD73" s="124"/>
      <c r="AE73" s="124"/>
      <c r="AF73" s="124"/>
      <c r="AG73" s="124"/>
      <c r="AH73" s="124"/>
      <c r="AI73" s="124"/>
      <c r="AJ73" s="124"/>
      <c r="AK73" s="124"/>
      <c r="AL73" s="124"/>
      <c r="AM73" s="124"/>
      <c r="AN73" s="125"/>
      <c r="AO73" s="125"/>
      <c r="AP73" s="81"/>
      <c r="AQ73" s="82"/>
      <c r="AR73" s="96"/>
      <c r="AS73" s="96"/>
      <c r="AT73" s="96"/>
      <c r="AU73" s="82"/>
      <c r="AW73" s="95"/>
      <c r="BD73" s="95"/>
      <c r="BE73" s="95"/>
      <c r="BF73" s="95"/>
      <c r="BG73" s="95"/>
    </row>
    <row r="74" spans="1:59" s="83" customFormat="1">
      <c r="A74" s="124"/>
      <c r="B74" s="124"/>
      <c r="C74" s="124"/>
      <c r="D74" s="124"/>
      <c r="E74" s="124"/>
      <c r="F74" s="124"/>
      <c r="G74" s="124"/>
      <c r="H74" s="124"/>
      <c r="I74" s="124"/>
      <c r="J74" s="124"/>
      <c r="K74" s="124"/>
      <c r="L74" s="124"/>
      <c r="M74" s="124"/>
      <c r="N74" s="124"/>
      <c r="O74" s="124"/>
      <c r="P74" s="124"/>
      <c r="Q74" s="124"/>
      <c r="R74" s="124"/>
      <c r="S74" s="124"/>
      <c r="T74" s="124"/>
      <c r="U74" s="125"/>
      <c r="V74" s="124"/>
      <c r="W74" s="124"/>
      <c r="X74" s="124"/>
      <c r="Y74" s="124"/>
      <c r="Z74" s="124"/>
      <c r="AA74" s="124"/>
      <c r="AB74" s="124"/>
      <c r="AC74" s="124"/>
      <c r="AD74" s="124"/>
      <c r="AE74" s="124"/>
      <c r="AF74" s="124"/>
      <c r="AG74" s="124"/>
      <c r="AH74" s="124"/>
      <c r="AI74" s="124"/>
      <c r="AJ74" s="124"/>
      <c r="AK74" s="124"/>
      <c r="AL74" s="124"/>
      <c r="AM74" s="124"/>
      <c r="AN74" s="125"/>
      <c r="AO74" s="125"/>
      <c r="AP74" s="81"/>
      <c r="AQ74" s="82"/>
      <c r="AR74" s="96"/>
      <c r="AS74" s="96"/>
      <c r="AT74" s="96"/>
      <c r="AU74" s="82"/>
      <c r="AW74" s="95"/>
      <c r="BD74" s="95"/>
      <c r="BE74" s="95"/>
      <c r="BF74" s="95"/>
      <c r="BG74" s="95"/>
    </row>
    <row r="75" spans="1:59" s="83" customFormat="1">
      <c r="A75" s="124"/>
      <c r="B75" s="124"/>
      <c r="C75" s="124"/>
      <c r="D75" s="124"/>
      <c r="E75" s="124"/>
      <c r="F75" s="124"/>
      <c r="G75" s="124"/>
      <c r="H75" s="124"/>
      <c r="I75" s="124"/>
      <c r="J75" s="124"/>
      <c r="K75" s="124"/>
      <c r="L75" s="124"/>
      <c r="M75" s="124"/>
      <c r="N75" s="124"/>
      <c r="O75" s="124"/>
      <c r="P75" s="124"/>
      <c r="Q75" s="124"/>
      <c r="R75" s="124"/>
      <c r="S75" s="124"/>
      <c r="T75" s="124"/>
      <c r="U75" s="125"/>
      <c r="V75" s="124"/>
      <c r="W75" s="124"/>
      <c r="X75" s="124"/>
      <c r="Y75" s="124"/>
      <c r="Z75" s="124"/>
      <c r="AA75" s="124"/>
      <c r="AB75" s="124"/>
      <c r="AC75" s="124"/>
      <c r="AD75" s="124"/>
      <c r="AE75" s="124"/>
      <c r="AF75" s="124"/>
      <c r="AG75" s="124"/>
      <c r="AH75" s="124"/>
      <c r="AI75" s="124"/>
      <c r="AJ75" s="124"/>
      <c r="AK75" s="124"/>
      <c r="AL75" s="124"/>
      <c r="AM75" s="124"/>
      <c r="AN75" s="125"/>
      <c r="AO75" s="125"/>
      <c r="AP75" s="81"/>
      <c r="AQ75" s="82"/>
      <c r="AR75" s="96"/>
      <c r="AS75" s="96"/>
      <c r="AT75" s="96"/>
      <c r="AU75" s="82"/>
      <c r="AW75" s="95"/>
      <c r="BD75" s="95"/>
      <c r="BE75" s="95"/>
      <c r="BF75" s="95"/>
      <c r="BG75" s="95"/>
    </row>
    <row r="76" spans="1:59" s="83" customFormat="1">
      <c r="A76" s="124"/>
      <c r="B76" s="124"/>
      <c r="C76" s="124"/>
      <c r="D76" s="124"/>
      <c r="E76" s="124"/>
      <c r="F76" s="124"/>
      <c r="G76" s="124"/>
      <c r="H76" s="124"/>
      <c r="I76" s="124"/>
      <c r="J76" s="124"/>
      <c r="K76" s="124"/>
      <c r="L76" s="124"/>
      <c r="M76" s="124"/>
      <c r="N76" s="124"/>
      <c r="O76" s="124"/>
      <c r="P76" s="124"/>
      <c r="Q76" s="124"/>
      <c r="R76" s="124"/>
      <c r="S76" s="124"/>
      <c r="T76" s="124"/>
      <c r="U76" s="125"/>
      <c r="V76" s="124"/>
      <c r="W76" s="124"/>
      <c r="X76" s="124"/>
      <c r="Y76" s="124"/>
      <c r="Z76" s="124"/>
      <c r="AA76" s="124"/>
      <c r="AB76" s="124"/>
      <c r="AC76" s="124"/>
      <c r="AD76" s="124"/>
      <c r="AE76" s="124"/>
      <c r="AF76" s="124"/>
      <c r="AG76" s="124"/>
      <c r="AH76" s="124"/>
      <c r="AI76" s="124"/>
      <c r="AJ76" s="124"/>
      <c r="AK76" s="124"/>
      <c r="AL76" s="124"/>
      <c r="AM76" s="124"/>
      <c r="AN76" s="125"/>
      <c r="AO76" s="125"/>
      <c r="AP76" s="81"/>
      <c r="AQ76" s="82"/>
      <c r="AR76" s="96"/>
      <c r="AS76" s="96"/>
      <c r="AT76" s="96"/>
      <c r="AU76" s="82"/>
      <c r="AW76" s="95"/>
      <c r="BD76" s="95"/>
      <c r="BE76" s="95"/>
      <c r="BF76" s="95"/>
      <c r="BG76" s="95"/>
    </row>
    <row r="77" spans="1:59" s="83" customFormat="1">
      <c r="A77" s="124"/>
      <c r="B77" s="124"/>
      <c r="C77" s="124"/>
      <c r="D77" s="124"/>
      <c r="E77" s="124"/>
      <c r="F77" s="124"/>
      <c r="G77" s="124"/>
      <c r="H77" s="124"/>
      <c r="I77" s="124"/>
      <c r="J77" s="124"/>
      <c r="K77" s="124"/>
      <c r="L77" s="124"/>
      <c r="M77" s="124"/>
      <c r="N77" s="124"/>
      <c r="O77" s="124"/>
      <c r="P77" s="124"/>
      <c r="Q77" s="124"/>
      <c r="R77" s="124"/>
      <c r="S77" s="124"/>
      <c r="T77" s="124"/>
      <c r="U77" s="125"/>
      <c r="V77" s="124"/>
      <c r="W77" s="124"/>
      <c r="X77" s="124"/>
      <c r="Y77" s="124"/>
      <c r="Z77" s="124"/>
      <c r="AA77" s="124"/>
      <c r="AB77" s="124"/>
      <c r="AC77" s="124"/>
      <c r="AD77" s="124"/>
      <c r="AE77" s="124"/>
      <c r="AF77" s="124"/>
      <c r="AG77" s="124"/>
      <c r="AH77" s="124"/>
      <c r="AI77" s="124"/>
      <c r="AJ77" s="124"/>
      <c r="AK77" s="124"/>
      <c r="AL77" s="124"/>
      <c r="AM77" s="124"/>
      <c r="AN77" s="125"/>
      <c r="AO77" s="125"/>
      <c r="AP77" s="81"/>
      <c r="AQ77" s="82"/>
      <c r="AR77" s="96"/>
      <c r="AS77" s="96"/>
      <c r="AT77" s="96"/>
      <c r="AU77" s="82"/>
      <c r="AW77" s="95"/>
      <c r="BD77" s="95"/>
      <c r="BE77" s="95"/>
      <c r="BF77" s="95"/>
      <c r="BG77" s="95"/>
    </row>
    <row r="78" spans="1:59" s="83" customFormat="1">
      <c r="A78" s="124"/>
      <c r="B78" s="124"/>
      <c r="C78" s="124"/>
      <c r="D78" s="124"/>
      <c r="E78" s="124"/>
      <c r="F78" s="124"/>
      <c r="G78" s="124"/>
      <c r="H78" s="124"/>
      <c r="I78" s="124"/>
      <c r="J78" s="124"/>
      <c r="K78" s="124"/>
      <c r="L78" s="124"/>
      <c r="M78" s="124"/>
      <c r="N78" s="124"/>
      <c r="O78" s="124"/>
      <c r="P78" s="124"/>
      <c r="Q78" s="124"/>
      <c r="R78" s="124"/>
      <c r="S78" s="124"/>
      <c r="T78" s="124"/>
      <c r="U78" s="125"/>
      <c r="V78" s="124"/>
      <c r="W78" s="124"/>
      <c r="X78" s="124"/>
      <c r="Y78" s="124"/>
      <c r="Z78" s="124"/>
      <c r="AA78" s="124"/>
      <c r="AB78" s="124"/>
      <c r="AC78" s="124"/>
      <c r="AD78" s="124"/>
      <c r="AE78" s="124"/>
      <c r="AF78" s="124"/>
      <c r="AG78" s="124"/>
      <c r="AH78" s="124"/>
      <c r="AI78" s="124"/>
      <c r="AJ78" s="124"/>
      <c r="AK78" s="124"/>
      <c r="AL78" s="124"/>
      <c r="AM78" s="124"/>
      <c r="AN78" s="125"/>
      <c r="AO78" s="125"/>
      <c r="AP78" s="81"/>
      <c r="AQ78" s="82"/>
      <c r="AR78" s="96"/>
      <c r="AS78" s="96"/>
      <c r="AT78" s="96"/>
      <c r="AU78" s="82"/>
      <c r="AW78" s="95"/>
      <c r="BD78" s="95"/>
      <c r="BE78" s="95"/>
      <c r="BF78" s="95"/>
      <c r="BG78" s="95"/>
    </row>
    <row r="79" spans="1:59" s="83" customFormat="1">
      <c r="A79" s="124"/>
      <c r="B79" s="124"/>
      <c r="C79" s="124"/>
      <c r="D79" s="124"/>
      <c r="E79" s="124"/>
      <c r="F79" s="124"/>
      <c r="G79" s="124"/>
      <c r="H79" s="124"/>
      <c r="I79" s="124"/>
      <c r="J79" s="124"/>
      <c r="K79" s="124"/>
      <c r="L79" s="124"/>
      <c r="M79" s="124"/>
      <c r="N79" s="124"/>
      <c r="O79" s="124"/>
      <c r="P79" s="124"/>
      <c r="Q79" s="124"/>
      <c r="R79" s="124"/>
      <c r="S79" s="124"/>
      <c r="T79" s="124"/>
      <c r="U79" s="125"/>
      <c r="V79" s="124"/>
      <c r="W79" s="124"/>
      <c r="X79" s="124"/>
      <c r="Y79" s="124"/>
      <c r="Z79" s="124"/>
      <c r="AA79" s="124"/>
      <c r="AB79" s="124"/>
      <c r="AC79" s="124"/>
      <c r="AD79" s="124"/>
      <c r="AE79" s="124"/>
      <c r="AF79" s="124"/>
      <c r="AG79" s="124"/>
      <c r="AH79" s="124"/>
      <c r="AI79" s="124"/>
      <c r="AJ79" s="124"/>
      <c r="AK79" s="124"/>
      <c r="AL79" s="124"/>
      <c r="AM79" s="124"/>
      <c r="AN79" s="125"/>
      <c r="AO79" s="125"/>
      <c r="AP79" s="81"/>
      <c r="AQ79" s="82"/>
      <c r="AR79" s="96"/>
      <c r="AS79" s="96"/>
      <c r="AT79" s="96"/>
      <c r="AU79" s="82"/>
      <c r="AW79" s="95"/>
      <c r="BD79" s="95"/>
      <c r="BE79" s="95"/>
      <c r="BF79" s="95"/>
      <c r="BG79" s="95"/>
    </row>
    <row r="80" spans="1:59" s="83" customFormat="1">
      <c r="A80" s="124"/>
      <c r="B80" s="124"/>
      <c r="C80" s="124"/>
      <c r="D80" s="124"/>
      <c r="E80" s="124"/>
      <c r="F80" s="124"/>
      <c r="G80" s="124"/>
      <c r="H80" s="124"/>
      <c r="I80" s="124"/>
      <c r="J80" s="124"/>
      <c r="K80" s="124"/>
      <c r="L80" s="124"/>
      <c r="M80" s="124"/>
      <c r="N80" s="124"/>
      <c r="O80" s="124"/>
      <c r="P80" s="124"/>
      <c r="Q80" s="124"/>
      <c r="R80" s="124"/>
      <c r="S80" s="124"/>
      <c r="T80" s="124"/>
      <c r="U80" s="125"/>
      <c r="V80" s="124"/>
      <c r="W80" s="124"/>
      <c r="X80" s="124"/>
      <c r="Y80" s="124"/>
      <c r="Z80" s="124"/>
      <c r="AA80" s="124"/>
      <c r="AB80" s="124"/>
      <c r="AC80" s="124"/>
      <c r="AD80" s="124"/>
      <c r="AE80" s="124"/>
      <c r="AF80" s="124"/>
      <c r="AG80" s="124"/>
      <c r="AH80" s="124"/>
      <c r="AI80" s="124"/>
      <c r="AJ80" s="124"/>
      <c r="AK80" s="124"/>
      <c r="AL80" s="124"/>
      <c r="AM80" s="124"/>
      <c r="AN80" s="125"/>
      <c r="AO80" s="125"/>
      <c r="AP80" s="81"/>
      <c r="AQ80" s="82"/>
      <c r="AR80" s="96"/>
      <c r="AS80" s="96"/>
      <c r="AT80" s="96"/>
      <c r="AU80" s="82"/>
      <c r="AW80" s="95"/>
      <c r="BD80" s="95"/>
      <c r="BE80" s="95"/>
      <c r="BF80" s="95"/>
      <c r="BG80" s="95"/>
    </row>
    <row r="81" spans="1:59" s="83" customFormat="1">
      <c r="A81" s="124"/>
      <c r="B81" s="124"/>
      <c r="C81" s="124"/>
      <c r="D81" s="124"/>
      <c r="E81" s="124"/>
      <c r="F81" s="124"/>
      <c r="G81" s="124"/>
      <c r="H81" s="124"/>
      <c r="I81" s="124"/>
      <c r="J81" s="124"/>
      <c r="K81" s="124"/>
      <c r="L81" s="124"/>
      <c r="M81" s="124"/>
      <c r="N81" s="124"/>
      <c r="O81" s="124"/>
      <c r="P81" s="124"/>
      <c r="Q81" s="124"/>
      <c r="R81" s="124"/>
      <c r="S81" s="124"/>
      <c r="T81" s="124"/>
      <c r="U81" s="125"/>
      <c r="V81" s="124"/>
      <c r="W81" s="124"/>
      <c r="X81" s="124"/>
      <c r="Y81" s="124"/>
      <c r="Z81" s="124"/>
      <c r="AA81" s="124"/>
      <c r="AB81" s="124"/>
      <c r="AC81" s="124"/>
      <c r="AD81" s="124"/>
      <c r="AE81" s="124"/>
      <c r="AF81" s="124"/>
      <c r="AG81" s="124"/>
      <c r="AH81" s="124"/>
      <c r="AI81" s="124"/>
      <c r="AJ81" s="124"/>
      <c r="AK81" s="124"/>
      <c r="AL81" s="124"/>
      <c r="AM81" s="124"/>
      <c r="AN81" s="125"/>
      <c r="AO81" s="125"/>
      <c r="AP81" s="81"/>
      <c r="AQ81" s="82"/>
      <c r="AR81" s="96"/>
      <c r="AS81" s="96"/>
      <c r="AT81" s="96"/>
      <c r="AU81" s="82"/>
      <c r="AW81" s="95"/>
      <c r="BD81" s="95"/>
      <c r="BE81" s="95"/>
      <c r="BF81" s="95"/>
      <c r="BG81" s="95"/>
    </row>
    <row r="82" spans="1:59" s="83" customFormat="1">
      <c r="A82" s="124"/>
      <c r="B82" s="124"/>
      <c r="C82" s="124"/>
      <c r="D82" s="124"/>
      <c r="E82" s="124"/>
      <c r="F82" s="124"/>
      <c r="G82" s="124"/>
      <c r="H82" s="124"/>
      <c r="I82" s="124"/>
      <c r="J82" s="124"/>
      <c r="K82" s="124"/>
      <c r="L82" s="124"/>
      <c r="M82" s="124"/>
      <c r="N82" s="124"/>
      <c r="O82" s="124"/>
      <c r="P82" s="124"/>
      <c r="Q82" s="124"/>
      <c r="R82" s="124"/>
      <c r="S82" s="124"/>
      <c r="T82" s="124"/>
      <c r="U82" s="125"/>
      <c r="V82" s="124"/>
      <c r="W82" s="124"/>
      <c r="X82" s="124"/>
      <c r="Y82" s="124"/>
      <c r="Z82" s="124"/>
      <c r="AA82" s="124"/>
      <c r="AB82" s="124"/>
      <c r="AC82" s="124"/>
      <c r="AD82" s="124"/>
      <c r="AE82" s="124"/>
      <c r="AF82" s="124"/>
      <c r="AG82" s="124"/>
      <c r="AH82" s="124"/>
      <c r="AI82" s="124"/>
      <c r="AJ82" s="124"/>
      <c r="AK82" s="124"/>
      <c r="AL82" s="124"/>
      <c r="AM82" s="124"/>
      <c r="AN82" s="125"/>
      <c r="AO82" s="125"/>
      <c r="AP82" s="81"/>
      <c r="AQ82" s="82"/>
      <c r="AR82" s="96"/>
      <c r="AS82" s="96"/>
      <c r="AT82" s="96"/>
      <c r="AU82" s="82"/>
      <c r="AW82" s="95"/>
      <c r="BD82" s="95"/>
      <c r="BE82" s="95"/>
      <c r="BF82" s="95"/>
      <c r="BG82" s="95"/>
    </row>
    <row r="83" spans="1:59" s="83" customFormat="1">
      <c r="A83" s="124"/>
      <c r="B83" s="124"/>
      <c r="C83" s="124"/>
      <c r="D83" s="124"/>
      <c r="E83" s="124"/>
      <c r="F83" s="124"/>
      <c r="G83" s="124"/>
      <c r="H83" s="124"/>
      <c r="I83" s="124"/>
      <c r="J83" s="124"/>
      <c r="K83" s="124"/>
      <c r="L83" s="124"/>
      <c r="M83" s="124"/>
      <c r="N83" s="124"/>
      <c r="O83" s="124"/>
      <c r="P83" s="124"/>
      <c r="Q83" s="124"/>
      <c r="R83" s="124"/>
      <c r="S83" s="124"/>
      <c r="T83" s="124"/>
      <c r="U83" s="125"/>
      <c r="V83" s="124"/>
      <c r="W83" s="124"/>
      <c r="X83" s="124"/>
      <c r="Y83" s="124"/>
      <c r="Z83" s="124"/>
      <c r="AA83" s="124"/>
      <c r="AB83" s="124"/>
      <c r="AC83" s="124"/>
      <c r="AD83" s="124"/>
      <c r="AE83" s="124"/>
      <c r="AF83" s="124"/>
      <c r="AG83" s="124"/>
      <c r="AH83" s="124"/>
      <c r="AI83" s="124"/>
      <c r="AJ83" s="124"/>
      <c r="AK83" s="124"/>
      <c r="AL83" s="124"/>
      <c r="AM83" s="124"/>
      <c r="AN83" s="125"/>
      <c r="AO83" s="125"/>
      <c r="AP83" s="81"/>
      <c r="AQ83" s="82"/>
      <c r="AR83" s="96"/>
      <c r="AS83" s="96"/>
      <c r="AT83" s="96"/>
      <c r="AU83" s="82"/>
      <c r="AW83" s="95"/>
      <c r="BD83" s="95"/>
      <c r="BE83" s="95"/>
      <c r="BF83" s="95"/>
      <c r="BG83" s="95"/>
    </row>
    <row r="84" spans="1:59" s="83" customFormat="1">
      <c r="A84" s="124"/>
      <c r="B84" s="124"/>
      <c r="C84" s="124"/>
      <c r="D84" s="124"/>
      <c r="E84" s="124"/>
      <c r="F84" s="124"/>
      <c r="G84" s="124"/>
      <c r="H84" s="124"/>
      <c r="I84" s="124"/>
      <c r="J84" s="124"/>
      <c r="K84" s="124"/>
      <c r="L84" s="124"/>
      <c r="M84" s="124"/>
      <c r="N84" s="124"/>
      <c r="O84" s="124"/>
      <c r="P84" s="124"/>
      <c r="Q84" s="124"/>
      <c r="R84" s="124"/>
      <c r="S84" s="124"/>
      <c r="T84" s="124"/>
      <c r="U84" s="125"/>
      <c r="V84" s="124"/>
      <c r="W84" s="124"/>
      <c r="X84" s="124"/>
      <c r="Y84" s="124"/>
      <c r="Z84" s="124"/>
      <c r="AA84" s="124"/>
      <c r="AB84" s="124"/>
      <c r="AC84" s="124"/>
      <c r="AD84" s="124"/>
      <c r="AE84" s="124"/>
      <c r="AF84" s="124"/>
      <c r="AG84" s="124"/>
      <c r="AH84" s="124"/>
      <c r="AI84" s="124"/>
      <c r="AJ84" s="124"/>
      <c r="AK84" s="124"/>
      <c r="AL84" s="124"/>
      <c r="AM84" s="124"/>
      <c r="AN84" s="125"/>
      <c r="AO84" s="125"/>
      <c r="AP84" s="81"/>
      <c r="AQ84" s="82"/>
      <c r="AR84" s="96"/>
      <c r="AS84" s="96"/>
      <c r="AT84" s="96"/>
      <c r="AU84" s="82"/>
      <c r="AW84" s="95"/>
      <c r="BD84" s="95"/>
      <c r="BE84" s="95"/>
      <c r="BF84" s="95"/>
      <c r="BG84" s="95"/>
    </row>
    <row r="85" spans="1:59" s="83" customFormat="1">
      <c r="A85" s="124"/>
      <c r="B85" s="124"/>
      <c r="C85" s="124"/>
      <c r="D85" s="124"/>
      <c r="E85" s="124"/>
      <c r="F85" s="124"/>
      <c r="G85" s="124"/>
      <c r="H85" s="124"/>
      <c r="I85" s="124"/>
      <c r="J85" s="124"/>
      <c r="K85" s="124"/>
      <c r="L85" s="124"/>
      <c r="M85" s="124"/>
      <c r="N85" s="124"/>
      <c r="O85" s="124"/>
      <c r="P85" s="124"/>
      <c r="Q85" s="124"/>
      <c r="R85" s="124"/>
      <c r="S85" s="124"/>
      <c r="T85" s="124"/>
      <c r="U85" s="125"/>
      <c r="V85" s="124"/>
      <c r="W85" s="124"/>
      <c r="X85" s="124"/>
      <c r="Y85" s="124"/>
      <c r="Z85" s="124"/>
      <c r="AA85" s="124"/>
      <c r="AB85" s="124"/>
      <c r="AC85" s="124"/>
      <c r="AD85" s="124"/>
      <c r="AE85" s="124"/>
      <c r="AF85" s="124"/>
      <c r="AG85" s="124"/>
      <c r="AH85" s="124"/>
      <c r="AI85" s="124"/>
      <c r="AJ85" s="124"/>
      <c r="AK85" s="124"/>
      <c r="AL85" s="124"/>
      <c r="AM85" s="124"/>
      <c r="AN85" s="125"/>
      <c r="AO85" s="125"/>
      <c r="AP85" s="81"/>
      <c r="AQ85" s="82"/>
      <c r="AR85" s="96"/>
      <c r="AS85" s="96"/>
      <c r="AT85" s="96"/>
      <c r="AU85" s="82"/>
      <c r="AW85" s="95"/>
      <c r="BD85" s="95"/>
      <c r="BE85" s="95"/>
      <c r="BF85" s="95"/>
      <c r="BG85" s="95"/>
    </row>
    <row r="86" spans="1:59" s="83" customFormat="1">
      <c r="A86" s="124"/>
      <c r="B86" s="124"/>
      <c r="C86" s="124"/>
      <c r="D86" s="124"/>
      <c r="E86" s="124"/>
      <c r="F86" s="124"/>
      <c r="G86" s="124"/>
      <c r="H86" s="124"/>
      <c r="I86" s="124"/>
      <c r="J86" s="124"/>
      <c r="K86" s="124"/>
      <c r="L86" s="124"/>
      <c r="M86" s="124"/>
      <c r="N86" s="124"/>
      <c r="O86" s="124"/>
      <c r="P86" s="124"/>
      <c r="Q86" s="124"/>
      <c r="R86" s="124"/>
      <c r="S86" s="124"/>
      <c r="T86" s="124"/>
      <c r="U86" s="125"/>
      <c r="V86" s="124"/>
      <c r="W86" s="124"/>
      <c r="X86" s="124"/>
      <c r="Y86" s="124"/>
      <c r="Z86" s="124"/>
      <c r="AA86" s="124"/>
      <c r="AB86" s="124"/>
      <c r="AC86" s="124"/>
      <c r="AD86" s="124"/>
      <c r="AE86" s="124"/>
      <c r="AF86" s="124"/>
      <c r="AG86" s="124"/>
      <c r="AH86" s="124"/>
      <c r="AI86" s="124"/>
      <c r="AJ86" s="124"/>
      <c r="AK86" s="124"/>
      <c r="AL86" s="124"/>
      <c r="AM86" s="124"/>
      <c r="AN86" s="125"/>
      <c r="AO86" s="125"/>
      <c r="AP86" s="81"/>
      <c r="AQ86" s="82"/>
      <c r="AR86" s="96"/>
      <c r="AS86" s="96"/>
      <c r="AT86" s="96"/>
      <c r="AU86" s="82"/>
      <c r="AW86" s="95"/>
      <c r="BD86" s="95"/>
      <c r="BE86" s="95"/>
      <c r="BF86" s="95"/>
      <c r="BG86" s="95"/>
    </row>
    <row r="87" spans="1:59" s="83" customFormat="1">
      <c r="A87" s="124"/>
      <c r="B87" s="124"/>
      <c r="C87" s="124"/>
      <c r="D87" s="124"/>
      <c r="E87" s="124"/>
      <c r="F87" s="124"/>
      <c r="G87" s="124"/>
      <c r="H87" s="124"/>
      <c r="I87" s="124"/>
      <c r="J87" s="124"/>
      <c r="K87" s="124"/>
      <c r="L87" s="124"/>
      <c r="M87" s="124"/>
      <c r="N87" s="124"/>
      <c r="O87" s="124"/>
      <c r="P87" s="124"/>
      <c r="Q87" s="124"/>
      <c r="R87" s="124"/>
      <c r="S87" s="124"/>
      <c r="T87" s="124"/>
      <c r="U87" s="125"/>
      <c r="V87" s="124"/>
      <c r="W87" s="124"/>
      <c r="X87" s="124"/>
      <c r="Y87" s="124"/>
      <c r="Z87" s="124"/>
      <c r="AA87" s="124"/>
      <c r="AB87" s="124"/>
      <c r="AC87" s="124"/>
      <c r="AD87" s="124"/>
      <c r="AE87" s="124"/>
      <c r="AF87" s="124"/>
      <c r="AG87" s="124"/>
      <c r="AH87" s="124"/>
      <c r="AI87" s="124"/>
      <c r="AJ87" s="124"/>
      <c r="AK87" s="124"/>
      <c r="AL87" s="124"/>
      <c r="AM87" s="124"/>
      <c r="AN87" s="125"/>
      <c r="AO87" s="125"/>
      <c r="AP87" s="81"/>
      <c r="AQ87" s="82"/>
      <c r="AR87" s="96"/>
      <c r="AS87" s="96"/>
      <c r="AT87" s="96"/>
      <c r="AU87" s="82"/>
      <c r="AW87" s="95"/>
      <c r="BD87" s="95"/>
      <c r="BE87" s="95"/>
      <c r="BF87" s="95"/>
      <c r="BG87" s="95"/>
    </row>
    <row r="88" spans="1:59" s="83" customFormat="1">
      <c r="A88" s="124"/>
      <c r="B88" s="124"/>
      <c r="C88" s="124"/>
      <c r="D88" s="124"/>
      <c r="E88" s="124"/>
      <c r="F88" s="124"/>
      <c r="G88" s="124"/>
      <c r="H88" s="124"/>
      <c r="I88" s="124"/>
      <c r="J88" s="124"/>
      <c r="K88" s="124"/>
      <c r="L88" s="124"/>
      <c r="M88" s="124"/>
      <c r="N88" s="124"/>
      <c r="O88" s="124"/>
      <c r="P88" s="124"/>
      <c r="Q88" s="124"/>
      <c r="R88" s="124"/>
      <c r="S88" s="124"/>
      <c r="T88" s="124"/>
      <c r="U88" s="125"/>
      <c r="V88" s="124"/>
      <c r="W88" s="124"/>
      <c r="X88" s="124"/>
      <c r="Y88" s="124"/>
      <c r="Z88" s="124"/>
      <c r="AA88" s="124"/>
      <c r="AB88" s="124"/>
      <c r="AC88" s="124"/>
      <c r="AD88" s="124"/>
      <c r="AE88" s="124"/>
      <c r="AF88" s="124"/>
      <c r="AG88" s="124"/>
      <c r="AH88" s="124"/>
      <c r="AI88" s="124"/>
      <c r="AJ88" s="124"/>
      <c r="AK88" s="124"/>
      <c r="AL88" s="124"/>
      <c r="AM88" s="124"/>
      <c r="AN88" s="125"/>
      <c r="AO88" s="125"/>
      <c r="AP88" s="81"/>
      <c r="AQ88" s="82"/>
      <c r="AR88" s="96"/>
      <c r="AS88" s="96"/>
      <c r="AT88" s="96"/>
      <c r="AU88" s="82"/>
      <c r="AW88" s="95"/>
      <c r="BD88" s="95"/>
      <c r="BE88" s="95"/>
      <c r="BF88" s="95"/>
      <c r="BG88" s="95"/>
    </row>
    <row r="89" spans="1:59" s="83" customFormat="1">
      <c r="A89" s="124"/>
      <c r="B89" s="124"/>
      <c r="C89" s="124"/>
      <c r="D89" s="124"/>
      <c r="E89" s="124"/>
      <c r="F89" s="124"/>
      <c r="G89" s="124"/>
      <c r="H89" s="124"/>
      <c r="I89" s="124"/>
      <c r="J89" s="124"/>
      <c r="K89" s="124"/>
      <c r="L89" s="124"/>
      <c r="M89" s="124"/>
      <c r="N89" s="124"/>
      <c r="O89" s="124"/>
      <c r="P89" s="124"/>
      <c r="Q89" s="124"/>
      <c r="R89" s="124"/>
      <c r="S89" s="124"/>
      <c r="T89" s="124"/>
      <c r="U89" s="125"/>
      <c r="V89" s="124"/>
      <c r="W89" s="124"/>
      <c r="X89" s="124"/>
      <c r="Y89" s="124"/>
      <c r="Z89" s="124"/>
      <c r="AA89" s="124"/>
      <c r="AB89" s="124"/>
      <c r="AC89" s="124"/>
      <c r="AD89" s="124"/>
      <c r="AE89" s="124"/>
      <c r="AF89" s="124"/>
      <c r="AG89" s="124"/>
      <c r="AH89" s="124"/>
      <c r="AI89" s="124"/>
      <c r="AJ89" s="124"/>
      <c r="AK89" s="124"/>
      <c r="AL89" s="124"/>
      <c r="AM89" s="124"/>
      <c r="AN89" s="125"/>
      <c r="AO89" s="125"/>
      <c r="AP89" s="81"/>
      <c r="AQ89" s="82"/>
      <c r="AR89" s="96"/>
      <c r="AS89" s="96"/>
      <c r="AT89" s="96"/>
      <c r="AU89" s="82"/>
      <c r="AW89" s="95"/>
      <c r="BD89" s="95"/>
      <c r="BE89" s="95"/>
      <c r="BF89" s="95"/>
      <c r="BG89" s="95"/>
    </row>
    <row r="90" spans="1:59" s="83" customFormat="1">
      <c r="A90" s="124"/>
      <c r="B90" s="124"/>
      <c r="C90" s="124"/>
      <c r="D90" s="124"/>
      <c r="E90" s="124"/>
      <c r="F90" s="124"/>
      <c r="G90" s="124"/>
      <c r="H90" s="124"/>
      <c r="I90" s="124"/>
      <c r="J90" s="124"/>
      <c r="K90" s="124"/>
      <c r="L90" s="124"/>
      <c r="M90" s="124"/>
      <c r="N90" s="124"/>
      <c r="O90" s="124"/>
      <c r="P90" s="124"/>
      <c r="Q90" s="124"/>
      <c r="R90" s="124"/>
      <c r="S90" s="124"/>
      <c r="T90" s="124"/>
      <c r="U90" s="125"/>
      <c r="V90" s="124"/>
      <c r="W90" s="124"/>
      <c r="X90" s="124"/>
      <c r="Y90" s="124"/>
      <c r="Z90" s="124"/>
      <c r="AA90" s="124"/>
      <c r="AB90" s="124"/>
      <c r="AC90" s="124"/>
      <c r="AD90" s="124"/>
      <c r="AE90" s="124"/>
      <c r="AF90" s="124"/>
      <c r="AG90" s="124"/>
      <c r="AH90" s="124"/>
      <c r="AI90" s="124"/>
      <c r="AJ90" s="124"/>
      <c r="AK90" s="124"/>
      <c r="AL90" s="124"/>
      <c r="AM90" s="124"/>
      <c r="AN90" s="125"/>
      <c r="AO90" s="125"/>
      <c r="AP90" s="81"/>
      <c r="AQ90" s="82"/>
      <c r="AR90" s="96"/>
      <c r="AS90" s="96"/>
      <c r="AT90" s="96"/>
      <c r="AU90" s="82"/>
      <c r="AW90" s="95"/>
      <c r="BD90" s="95"/>
      <c r="BE90" s="95"/>
      <c r="BF90" s="95"/>
      <c r="BG90" s="95"/>
    </row>
    <row r="91" spans="1:59" s="83" customFormat="1">
      <c r="A91" s="124"/>
      <c r="B91" s="124"/>
      <c r="C91" s="124"/>
      <c r="D91" s="124"/>
      <c r="E91" s="124"/>
      <c r="F91" s="124"/>
      <c r="G91" s="124"/>
      <c r="H91" s="124"/>
      <c r="I91" s="124"/>
      <c r="J91" s="124"/>
      <c r="K91" s="124"/>
      <c r="L91" s="124"/>
      <c r="M91" s="124"/>
      <c r="N91" s="124"/>
      <c r="O91" s="124"/>
      <c r="P91" s="124"/>
      <c r="Q91" s="124"/>
      <c r="R91" s="124"/>
      <c r="S91" s="124"/>
      <c r="T91" s="124"/>
      <c r="U91" s="125"/>
      <c r="V91" s="124"/>
      <c r="W91" s="124"/>
      <c r="X91" s="124"/>
      <c r="Y91" s="124"/>
      <c r="Z91" s="124"/>
      <c r="AA91" s="124"/>
      <c r="AB91" s="124"/>
      <c r="AC91" s="124"/>
      <c r="AD91" s="124"/>
      <c r="AE91" s="124"/>
      <c r="AF91" s="124"/>
      <c r="AG91" s="124"/>
      <c r="AH91" s="124"/>
      <c r="AI91" s="124"/>
      <c r="AJ91" s="124"/>
      <c r="AK91" s="124"/>
      <c r="AL91" s="124"/>
      <c r="AM91" s="124"/>
      <c r="AN91" s="125"/>
      <c r="AO91" s="125"/>
      <c r="AP91" s="81"/>
      <c r="AQ91" s="82"/>
      <c r="AR91" s="96"/>
      <c r="AS91" s="96"/>
      <c r="AT91" s="96"/>
      <c r="AU91" s="82"/>
      <c r="AW91" s="95"/>
      <c r="BD91" s="95"/>
      <c r="BE91" s="95"/>
      <c r="BF91" s="95"/>
      <c r="BG91" s="95"/>
    </row>
    <row r="92" spans="1:59" s="83" customFormat="1">
      <c r="A92" s="124"/>
      <c r="B92" s="124"/>
      <c r="C92" s="124"/>
      <c r="D92" s="124"/>
      <c r="E92" s="124"/>
      <c r="F92" s="124"/>
      <c r="G92" s="124"/>
      <c r="H92" s="124"/>
      <c r="I92" s="124"/>
      <c r="J92" s="124"/>
      <c r="K92" s="124"/>
      <c r="L92" s="124"/>
      <c r="M92" s="124"/>
      <c r="N92" s="124"/>
      <c r="O92" s="124"/>
      <c r="P92" s="124"/>
      <c r="Q92" s="124"/>
      <c r="R92" s="124"/>
      <c r="S92" s="124"/>
      <c r="T92" s="124"/>
      <c r="U92" s="125"/>
      <c r="V92" s="124"/>
      <c r="W92" s="124"/>
      <c r="X92" s="124"/>
      <c r="Y92" s="124"/>
      <c r="Z92" s="124"/>
      <c r="AA92" s="124"/>
      <c r="AB92" s="124"/>
      <c r="AC92" s="124"/>
      <c r="AD92" s="124"/>
      <c r="AE92" s="124"/>
      <c r="AF92" s="124"/>
      <c r="AG92" s="124"/>
      <c r="AH92" s="124"/>
      <c r="AI92" s="124"/>
      <c r="AJ92" s="124"/>
      <c r="AK92" s="124"/>
      <c r="AL92" s="124"/>
      <c r="AM92" s="124"/>
      <c r="AN92" s="125"/>
      <c r="AO92" s="125"/>
      <c r="AP92" s="81"/>
      <c r="AQ92" s="82"/>
      <c r="AR92" s="96"/>
      <c r="AS92" s="96"/>
      <c r="AT92" s="96"/>
      <c r="AU92" s="82"/>
      <c r="AW92" s="95"/>
      <c r="BD92" s="95"/>
      <c r="BE92" s="95"/>
      <c r="BF92" s="95"/>
      <c r="BG92" s="95"/>
    </row>
    <row r="93" spans="1:59" s="83" customFormat="1">
      <c r="A93" s="124"/>
      <c r="B93" s="124"/>
      <c r="C93" s="124"/>
      <c r="D93" s="124"/>
      <c r="E93" s="124"/>
      <c r="F93" s="124"/>
      <c r="G93" s="124"/>
      <c r="H93" s="124"/>
      <c r="I93" s="124"/>
      <c r="J93" s="124"/>
      <c r="K93" s="124"/>
      <c r="L93" s="124"/>
      <c r="M93" s="124"/>
      <c r="N93" s="124"/>
      <c r="O93" s="124"/>
      <c r="P93" s="124"/>
      <c r="Q93" s="124"/>
      <c r="R93" s="124"/>
      <c r="S93" s="124"/>
      <c r="T93" s="124"/>
      <c r="U93" s="125"/>
      <c r="V93" s="124"/>
      <c r="W93" s="124"/>
      <c r="X93" s="124"/>
      <c r="Y93" s="124"/>
      <c r="Z93" s="124"/>
      <c r="AA93" s="124"/>
      <c r="AB93" s="124"/>
      <c r="AC93" s="124"/>
      <c r="AD93" s="124"/>
      <c r="AE93" s="124"/>
      <c r="AF93" s="124"/>
      <c r="AG93" s="124"/>
      <c r="AH93" s="124"/>
      <c r="AI93" s="124"/>
      <c r="AJ93" s="124"/>
      <c r="AK93" s="124"/>
      <c r="AL93" s="124"/>
      <c r="AM93" s="124"/>
      <c r="AN93" s="125"/>
      <c r="AO93" s="125"/>
      <c r="AP93" s="81"/>
      <c r="AQ93" s="82"/>
      <c r="AR93" s="96"/>
      <c r="AS93" s="96"/>
      <c r="AT93" s="96"/>
      <c r="AU93" s="82"/>
      <c r="AW93" s="95"/>
      <c r="BD93" s="95"/>
      <c r="BE93" s="95"/>
      <c r="BF93" s="95"/>
      <c r="BG93" s="95"/>
    </row>
    <row r="94" spans="1:59" s="83" customFormat="1">
      <c r="A94" s="124"/>
      <c r="B94" s="124"/>
      <c r="C94" s="124"/>
      <c r="D94" s="124"/>
      <c r="E94" s="124"/>
      <c r="F94" s="124"/>
      <c r="G94" s="124"/>
      <c r="H94" s="124"/>
      <c r="I94" s="124"/>
      <c r="J94" s="124"/>
      <c r="K94" s="124"/>
      <c r="L94" s="124"/>
      <c r="M94" s="124"/>
      <c r="N94" s="124"/>
      <c r="O94" s="124"/>
      <c r="P94" s="124"/>
      <c r="Q94" s="124"/>
      <c r="R94" s="124"/>
      <c r="S94" s="124"/>
      <c r="T94" s="124"/>
      <c r="U94" s="125"/>
      <c r="V94" s="124"/>
      <c r="W94" s="124"/>
      <c r="X94" s="124"/>
      <c r="Y94" s="124"/>
      <c r="Z94" s="124"/>
      <c r="AA94" s="124"/>
      <c r="AB94" s="124"/>
      <c r="AC94" s="124"/>
      <c r="AD94" s="124"/>
      <c r="AE94" s="124"/>
      <c r="AF94" s="124"/>
      <c r="AG94" s="124"/>
      <c r="AH94" s="124"/>
      <c r="AI94" s="124"/>
      <c r="AJ94" s="124"/>
      <c r="AK94" s="124"/>
      <c r="AL94" s="124"/>
      <c r="AM94" s="124"/>
      <c r="AN94" s="125"/>
      <c r="AO94" s="125"/>
      <c r="AP94" s="81"/>
      <c r="AQ94" s="82"/>
      <c r="AR94" s="96"/>
      <c r="AS94" s="96"/>
      <c r="AT94" s="96"/>
      <c r="AU94" s="82"/>
      <c r="AW94" s="95"/>
      <c r="BD94" s="95"/>
      <c r="BE94" s="95"/>
      <c r="BF94" s="95"/>
      <c r="BG94" s="95"/>
    </row>
    <row r="95" spans="1:59" s="83" customFormat="1">
      <c r="A95" s="124"/>
      <c r="B95" s="124"/>
      <c r="C95" s="124"/>
      <c r="D95" s="124"/>
      <c r="E95" s="124"/>
      <c r="F95" s="124"/>
      <c r="G95" s="124"/>
      <c r="H95" s="124"/>
      <c r="I95" s="124"/>
      <c r="J95" s="124"/>
      <c r="K95" s="124"/>
      <c r="L95" s="124"/>
      <c r="M95" s="124"/>
      <c r="N95" s="124"/>
      <c r="O95" s="124"/>
      <c r="P95" s="124"/>
      <c r="Q95" s="124"/>
      <c r="R95" s="124"/>
      <c r="S95" s="124"/>
      <c r="T95" s="124"/>
      <c r="U95" s="125"/>
      <c r="V95" s="124"/>
      <c r="W95" s="124"/>
      <c r="X95" s="124"/>
      <c r="Y95" s="124"/>
      <c r="Z95" s="124"/>
      <c r="AA95" s="124"/>
      <c r="AB95" s="124"/>
      <c r="AC95" s="124"/>
      <c r="AD95" s="124"/>
      <c r="AE95" s="124"/>
      <c r="AF95" s="124"/>
      <c r="AG95" s="124"/>
      <c r="AH95" s="124"/>
      <c r="AI95" s="124"/>
      <c r="AJ95" s="124"/>
      <c r="AK95" s="124"/>
      <c r="AL95" s="124"/>
      <c r="AM95" s="124"/>
      <c r="AN95" s="125"/>
      <c r="AO95" s="125"/>
      <c r="AP95" s="81"/>
      <c r="AQ95" s="82"/>
      <c r="AR95" s="96"/>
      <c r="AS95" s="96"/>
      <c r="AT95" s="96"/>
      <c r="AU95" s="82"/>
      <c r="AW95" s="95"/>
      <c r="BD95" s="95"/>
      <c r="BE95" s="95"/>
      <c r="BF95" s="95"/>
      <c r="BG95" s="95"/>
    </row>
    <row r="96" spans="1:59" s="83" customFormat="1">
      <c r="A96" s="124"/>
      <c r="B96" s="124"/>
      <c r="C96" s="124"/>
      <c r="D96" s="124"/>
      <c r="E96" s="124"/>
      <c r="F96" s="124"/>
      <c r="G96" s="124"/>
      <c r="H96" s="124"/>
      <c r="I96" s="124"/>
      <c r="J96" s="124"/>
      <c r="K96" s="124"/>
      <c r="L96" s="124"/>
      <c r="M96" s="124"/>
      <c r="N96" s="124"/>
      <c r="O96" s="124"/>
      <c r="P96" s="124"/>
      <c r="Q96" s="124"/>
      <c r="R96" s="124"/>
      <c r="S96" s="124"/>
      <c r="T96" s="124"/>
      <c r="U96" s="125"/>
      <c r="V96" s="124"/>
      <c r="W96" s="124"/>
      <c r="X96" s="124"/>
      <c r="Y96" s="124"/>
      <c r="Z96" s="124"/>
      <c r="AA96" s="124"/>
      <c r="AB96" s="124"/>
      <c r="AC96" s="124"/>
      <c r="AD96" s="124"/>
      <c r="AE96" s="124"/>
      <c r="AF96" s="124"/>
      <c r="AG96" s="124"/>
      <c r="AH96" s="124"/>
      <c r="AI96" s="124"/>
      <c r="AJ96" s="124"/>
      <c r="AK96" s="124"/>
      <c r="AL96" s="124"/>
      <c r="AM96" s="124"/>
      <c r="AN96" s="125"/>
      <c r="AO96" s="125"/>
      <c r="AP96" s="81"/>
      <c r="AQ96" s="82"/>
      <c r="AR96" s="96"/>
      <c r="AS96" s="96"/>
      <c r="AT96" s="96"/>
      <c r="AU96" s="82"/>
      <c r="AW96" s="95"/>
      <c r="BD96" s="95"/>
      <c r="BE96" s="95"/>
      <c r="BF96" s="95"/>
      <c r="BG96" s="95"/>
    </row>
    <row r="97" spans="1:59" s="83" customFormat="1">
      <c r="A97" s="124"/>
      <c r="B97" s="124"/>
      <c r="C97" s="124"/>
      <c r="D97" s="124"/>
      <c r="E97" s="124"/>
      <c r="F97" s="124"/>
      <c r="G97" s="124"/>
      <c r="H97" s="124"/>
      <c r="I97" s="124"/>
      <c r="J97" s="124"/>
      <c r="K97" s="124"/>
      <c r="L97" s="124"/>
      <c r="M97" s="124"/>
      <c r="N97" s="124"/>
      <c r="O97" s="124"/>
      <c r="P97" s="124"/>
      <c r="Q97" s="124"/>
      <c r="R97" s="124"/>
      <c r="S97" s="124"/>
      <c r="T97" s="124"/>
      <c r="U97" s="125"/>
      <c r="V97" s="124"/>
      <c r="W97" s="124"/>
      <c r="X97" s="124"/>
      <c r="Y97" s="124"/>
      <c r="Z97" s="124"/>
      <c r="AA97" s="124"/>
      <c r="AB97" s="124"/>
      <c r="AC97" s="124"/>
      <c r="AD97" s="124"/>
      <c r="AE97" s="124"/>
      <c r="AF97" s="124"/>
      <c r="AG97" s="124"/>
      <c r="AH97" s="124"/>
      <c r="AI97" s="124"/>
      <c r="AJ97" s="124"/>
      <c r="AK97" s="124"/>
      <c r="AL97" s="124"/>
      <c r="AM97" s="124"/>
      <c r="AN97" s="125"/>
      <c r="AO97" s="125"/>
      <c r="AP97" s="81"/>
      <c r="AQ97" s="82"/>
      <c r="AR97" s="96"/>
      <c r="AS97" s="96"/>
      <c r="AT97" s="96"/>
      <c r="AU97" s="82"/>
      <c r="AW97" s="95"/>
      <c r="BD97" s="95"/>
      <c r="BE97" s="95"/>
      <c r="BF97" s="95"/>
      <c r="BG97" s="95"/>
    </row>
    <row r="98" spans="1:59" s="83" customFormat="1">
      <c r="A98" s="124"/>
      <c r="B98" s="124"/>
      <c r="C98" s="124"/>
      <c r="D98" s="124"/>
      <c r="E98" s="124"/>
      <c r="F98" s="124"/>
      <c r="G98" s="124"/>
      <c r="H98" s="124"/>
      <c r="I98" s="124"/>
      <c r="J98" s="124"/>
      <c r="K98" s="124"/>
      <c r="L98" s="124"/>
      <c r="M98" s="124"/>
      <c r="N98" s="124"/>
      <c r="O98" s="124"/>
      <c r="P98" s="124"/>
      <c r="Q98" s="124"/>
      <c r="R98" s="124"/>
      <c r="S98" s="124"/>
      <c r="T98" s="124"/>
      <c r="U98" s="125"/>
      <c r="V98" s="124"/>
      <c r="W98" s="124"/>
      <c r="X98" s="124"/>
      <c r="Y98" s="124"/>
      <c r="Z98" s="124"/>
      <c r="AA98" s="124"/>
      <c r="AB98" s="124"/>
      <c r="AC98" s="124"/>
      <c r="AD98" s="124"/>
      <c r="AE98" s="124"/>
      <c r="AF98" s="124"/>
      <c r="AG98" s="124"/>
      <c r="AH98" s="124"/>
      <c r="AI98" s="124"/>
      <c r="AJ98" s="124"/>
      <c r="AK98" s="124"/>
      <c r="AL98" s="124"/>
      <c r="AM98" s="124"/>
      <c r="AN98" s="125"/>
      <c r="AO98" s="125"/>
      <c r="AP98" s="81"/>
      <c r="AQ98" s="82"/>
      <c r="AR98" s="96"/>
      <c r="AS98" s="96"/>
      <c r="AT98" s="96"/>
      <c r="AU98" s="82"/>
      <c r="AW98" s="95"/>
      <c r="BD98" s="95"/>
      <c r="BE98" s="95"/>
      <c r="BF98" s="95"/>
      <c r="BG98" s="95"/>
    </row>
    <row r="99" spans="1:59" s="83" customFormat="1">
      <c r="A99" s="124"/>
      <c r="B99" s="124"/>
      <c r="C99" s="124"/>
      <c r="D99" s="124"/>
      <c r="E99" s="124"/>
      <c r="F99" s="124"/>
      <c r="G99" s="124"/>
      <c r="H99" s="124"/>
      <c r="I99" s="124"/>
      <c r="J99" s="124"/>
      <c r="K99" s="124"/>
      <c r="L99" s="124"/>
      <c r="M99" s="124"/>
      <c r="N99" s="124"/>
      <c r="O99" s="124"/>
      <c r="P99" s="124"/>
      <c r="Q99" s="124"/>
      <c r="R99" s="124"/>
      <c r="S99" s="124"/>
      <c r="T99" s="124"/>
      <c r="U99" s="125"/>
      <c r="V99" s="124"/>
      <c r="W99" s="124"/>
      <c r="X99" s="124"/>
      <c r="Y99" s="124"/>
      <c r="Z99" s="124"/>
      <c r="AA99" s="124"/>
      <c r="AB99" s="124"/>
      <c r="AC99" s="124"/>
      <c r="AD99" s="124"/>
      <c r="AE99" s="124"/>
      <c r="AF99" s="124"/>
      <c r="AG99" s="124"/>
      <c r="AH99" s="124"/>
      <c r="AI99" s="124"/>
      <c r="AJ99" s="124"/>
      <c r="AK99" s="124"/>
      <c r="AL99" s="124"/>
      <c r="AM99" s="124"/>
      <c r="AN99" s="125"/>
      <c r="AO99" s="125"/>
      <c r="AP99" s="81"/>
      <c r="AQ99" s="82"/>
      <c r="AR99" s="96"/>
      <c r="AS99" s="96"/>
      <c r="AT99" s="96"/>
      <c r="AU99" s="82"/>
      <c r="AW99" s="95"/>
      <c r="BD99" s="95"/>
      <c r="BE99" s="95"/>
      <c r="BF99" s="95"/>
      <c r="BG99" s="95"/>
    </row>
    <row r="100" spans="1:59" s="83" customFormat="1">
      <c r="A100" s="124"/>
      <c r="B100" s="124"/>
      <c r="C100" s="124"/>
      <c r="D100" s="124"/>
      <c r="E100" s="124"/>
      <c r="F100" s="124"/>
      <c r="G100" s="124"/>
      <c r="H100" s="124"/>
      <c r="I100" s="124"/>
      <c r="J100" s="124"/>
      <c r="K100" s="124"/>
      <c r="L100" s="124"/>
      <c r="M100" s="124"/>
      <c r="N100" s="124"/>
      <c r="O100" s="124"/>
      <c r="P100" s="124"/>
      <c r="Q100" s="124"/>
      <c r="R100" s="124"/>
      <c r="S100" s="124"/>
      <c r="T100" s="124"/>
      <c r="U100" s="125"/>
      <c r="V100" s="124"/>
      <c r="W100" s="124"/>
      <c r="X100" s="124"/>
      <c r="Y100" s="124"/>
      <c r="Z100" s="124"/>
      <c r="AA100" s="124"/>
      <c r="AB100" s="124"/>
      <c r="AC100" s="124"/>
      <c r="AD100" s="124"/>
      <c r="AE100" s="124"/>
      <c r="AF100" s="124"/>
      <c r="AG100" s="124"/>
      <c r="AH100" s="124"/>
      <c r="AI100" s="124"/>
      <c r="AJ100" s="124"/>
      <c r="AK100" s="124"/>
      <c r="AL100" s="124"/>
      <c r="AM100" s="124"/>
      <c r="AN100" s="125"/>
      <c r="AO100" s="125"/>
      <c r="AP100" s="81"/>
      <c r="AQ100" s="82"/>
      <c r="AR100" s="96"/>
      <c r="AS100" s="96"/>
      <c r="AT100" s="96"/>
      <c r="AU100" s="82"/>
      <c r="AW100" s="95"/>
      <c r="BD100" s="95"/>
      <c r="BE100" s="95"/>
      <c r="BF100" s="95"/>
      <c r="BG100" s="95"/>
    </row>
    <row r="101" spans="1:59" s="83" customFormat="1">
      <c r="A101" s="124"/>
      <c r="B101" s="124"/>
      <c r="C101" s="124"/>
      <c r="D101" s="124"/>
      <c r="E101" s="124"/>
      <c r="F101" s="124"/>
      <c r="G101" s="124"/>
      <c r="H101" s="124"/>
      <c r="I101" s="124"/>
      <c r="J101" s="124"/>
      <c r="K101" s="124"/>
      <c r="L101" s="124"/>
      <c r="M101" s="124"/>
      <c r="N101" s="124"/>
      <c r="O101" s="124"/>
      <c r="P101" s="124"/>
      <c r="Q101" s="124"/>
      <c r="R101" s="124"/>
      <c r="S101" s="124"/>
      <c r="T101" s="124"/>
      <c r="U101" s="125"/>
      <c r="V101" s="124"/>
      <c r="W101" s="124"/>
      <c r="X101" s="124"/>
      <c r="Y101" s="124"/>
      <c r="Z101" s="124"/>
      <c r="AA101" s="124"/>
      <c r="AB101" s="124"/>
      <c r="AC101" s="124"/>
      <c r="AD101" s="124"/>
      <c r="AE101" s="124"/>
      <c r="AF101" s="124"/>
      <c r="AG101" s="124"/>
      <c r="AH101" s="124"/>
      <c r="AI101" s="124"/>
      <c r="AJ101" s="124"/>
      <c r="AK101" s="124"/>
      <c r="AL101" s="124"/>
      <c r="AM101" s="124"/>
      <c r="AN101" s="125"/>
      <c r="AO101" s="125"/>
      <c r="AP101" s="81"/>
      <c r="AQ101" s="82"/>
      <c r="AR101" s="96"/>
      <c r="AS101" s="96"/>
      <c r="AT101" s="96"/>
      <c r="AU101" s="82"/>
      <c r="AW101" s="95"/>
      <c r="BD101" s="95"/>
      <c r="BE101" s="95"/>
      <c r="BF101" s="95"/>
      <c r="BG101" s="95"/>
    </row>
    <row r="102" spans="1:59" s="83" customFormat="1">
      <c r="A102" s="124"/>
      <c r="B102" s="124"/>
      <c r="C102" s="124"/>
      <c r="D102" s="124"/>
      <c r="E102" s="124"/>
      <c r="F102" s="124"/>
      <c r="G102" s="124"/>
      <c r="H102" s="124"/>
      <c r="I102" s="124"/>
      <c r="J102" s="124"/>
      <c r="K102" s="124"/>
      <c r="L102" s="124"/>
      <c r="M102" s="124"/>
      <c r="N102" s="124"/>
      <c r="O102" s="124"/>
      <c r="P102" s="124"/>
      <c r="Q102" s="124"/>
      <c r="R102" s="124"/>
      <c r="S102" s="124"/>
      <c r="T102" s="124"/>
      <c r="U102" s="125"/>
      <c r="V102" s="124"/>
      <c r="W102" s="124"/>
      <c r="X102" s="124"/>
      <c r="Y102" s="124"/>
      <c r="Z102" s="124"/>
      <c r="AA102" s="124"/>
      <c r="AB102" s="124"/>
      <c r="AC102" s="124"/>
      <c r="AD102" s="124"/>
      <c r="AE102" s="124"/>
      <c r="AF102" s="124"/>
      <c r="AG102" s="124"/>
      <c r="AH102" s="124"/>
      <c r="AI102" s="124"/>
      <c r="AJ102" s="124"/>
      <c r="AK102" s="124"/>
      <c r="AL102" s="124"/>
      <c r="AM102" s="124"/>
      <c r="AN102" s="125"/>
      <c r="AO102" s="125"/>
      <c r="AP102" s="81"/>
      <c r="AQ102" s="82"/>
      <c r="AR102" s="96"/>
      <c r="AS102" s="96"/>
      <c r="AT102" s="96"/>
      <c r="AU102" s="82"/>
      <c r="AW102" s="95"/>
      <c r="BD102" s="95"/>
      <c r="BE102" s="95"/>
      <c r="BF102" s="95"/>
      <c r="BG102" s="95"/>
    </row>
    <row r="103" spans="1:59" s="83" customFormat="1">
      <c r="A103" s="124"/>
      <c r="B103" s="124"/>
      <c r="C103" s="124"/>
      <c r="D103" s="124"/>
      <c r="E103" s="124"/>
      <c r="F103" s="124"/>
      <c r="G103" s="124"/>
      <c r="H103" s="124"/>
      <c r="I103" s="124"/>
      <c r="J103" s="124"/>
      <c r="K103" s="124"/>
      <c r="L103" s="124"/>
      <c r="M103" s="124"/>
      <c r="N103" s="124"/>
      <c r="O103" s="124"/>
      <c r="P103" s="124"/>
      <c r="Q103" s="124"/>
      <c r="R103" s="124"/>
      <c r="S103" s="124"/>
      <c r="T103" s="124"/>
      <c r="U103" s="125"/>
      <c r="V103" s="124"/>
      <c r="W103" s="124"/>
      <c r="X103" s="124"/>
      <c r="Y103" s="124"/>
      <c r="Z103" s="124"/>
      <c r="AA103" s="124"/>
      <c r="AB103" s="124"/>
      <c r="AC103" s="124"/>
      <c r="AD103" s="124"/>
      <c r="AE103" s="124"/>
      <c r="AF103" s="124"/>
      <c r="AG103" s="124"/>
      <c r="AH103" s="124"/>
      <c r="AI103" s="124"/>
      <c r="AJ103" s="124"/>
      <c r="AK103" s="124"/>
      <c r="AL103" s="124"/>
      <c r="AM103" s="124"/>
      <c r="AN103" s="125"/>
      <c r="AO103" s="125"/>
      <c r="AP103" s="81"/>
      <c r="AQ103" s="82"/>
      <c r="AR103" s="96"/>
      <c r="AS103" s="96"/>
      <c r="AT103" s="96"/>
      <c r="AU103" s="82"/>
      <c r="AW103" s="95"/>
      <c r="BD103" s="95"/>
      <c r="BE103" s="95"/>
      <c r="BF103" s="95"/>
      <c r="BG103" s="95"/>
    </row>
    <row r="104" spans="1:59" s="83" customFormat="1">
      <c r="A104" s="124"/>
      <c r="B104" s="124"/>
      <c r="C104" s="124"/>
      <c r="D104" s="124"/>
      <c r="E104" s="124"/>
      <c r="F104" s="124"/>
      <c r="G104" s="124"/>
      <c r="H104" s="124"/>
      <c r="I104" s="124"/>
      <c r="J104" s="124"/>
      <c r="K104" s="124"/>
      <c r="L104" s="124"/>
      <c r="M104" s="124"/>
      <c r="N104" s="124"/>
      <c r="O104" s="124"/>
      <c r="P104" s="124"/>
      <c r="Q104" s="124"/>
      <c r="R104" s="124"/>
      <c r="S104" s="124"/>
      <c r="T104" s="124"/>
      <c r="U104" s="125"/>
      <c r="V104" s="124"/>
      <c r="W104" s="124"/>
      <c r="X104" s="124"/>
      <c r="Y104" s="124"/>
      <c r="Z104" s="124"/>
      <c r="AA104" s="124"/>
      <c r="AB104" s="124"/>
      <c r="AC104" s="124"/>
      <c r="AD104" s="124"/>
      <c r="AE104" s="124"/>
      <c r="AF104" s="124"/>
      <c r="AG104" s="124"/>
      <c r="AH104" s="124"/>
      <c r="AI104" s="124"/>
      <c r="AJ104" s="124"/>
      <c r="AK104" s="124"/>
      <c r="AL104" s="124"/>
      <c r="AM104" s="124"/>
      <c r="AN104" s="125"/>
      <c r="AO104" s="125"/>
      <c r="AP104" s="81"/>
      <c r="AQ104" s="82"/>
      <c r="AR104" s="96"/>
      <c r="AS104" s="96"/>
      <c r="AT104" s="96"/>
      <c r="AU104" s="82"/>
      <c r="AW104" s="95"/>
      <c r="BD104" s="95"/>
      <c r="BE104" s="95"/>
      <c r="BF104" s="95"/>
      <c r="BG104" s="95"/>
    </row>
    <row r="105" spans="1:59" s="83" customFormat="1">
      <c r="A105" s="124"/>
      <c r="B105" s="124"/>
      <c r="C105" s="124"/>
      <c r="D105" s="124"/>
      <c r="E105" s="124"/>
      <c r="F105" s="124"/>
      <c r="G105" s="124"/>
      <c r="H105" s="124"/>
      <c r="I105" s="124"/>
      <c r="J105" s="124"/>
      <c r="K105" s="124"/>
      <c r="L105" s="124"/>
      <c r="M105" s="124"/>
      <c r="N105" s="124"/>
      <c r="O105" s="124"/>
      <c r="P105" s="124"/>
      <c r="Q105" s="124"/>
      <c r="R105" s="124"/>
      <c r="S105" s="124"/>
      <c r="T105" s="124"/>
      <c r="U105" s="125"/>
      <c r="V105" s="124"/>
      <c r="W105" s="124"/>
      <c r="X105" s="124"/>
      <c r="Y105" s="124"/>
      <c r="Z105" s="124"/>
      <c r="AA105" s="124"/>
      <c r="AB105" s="124"/>
      <c r="AC105" s="124"/>
      <c r="AD105" s="124"/>
      <c r="AE105" s="124"/>
      <c r="AF105" s="124"/>
      <c r="AG105" s="124"/>
      <c r="AH105" s="124"/>
      <c r="AI105" s="124"/>
      <c r="AJ105" s="124"/>
      <c r="AK105" s="124"/>
      <c r="AL105" s="124"/>
      <c r="AM105" s="124"/>
      <c r="AN105" s="125"/>
      <c r="AO105" s="125"/>
      <c r="AP105" s="81"/>
      <c r="AQ105" s="82"/>
      <c r="AR105" s="96"/>
      <c r="AS105" s="96"/>
      <c r="AT105" s="96"/>
      <c r="AU105" s="82"/>
      <c r="AW105" s="95"/>
      <c r="BD105" s="95"/>
      <c r="BE105" s="95"/>
      <c r="BF105" s="95"/>
      <c r="BG105" s="95"/>
    </row>
    <row r="106" spans="1:59" s="83" customFormat="1">
      <c r="A106" s="124"/>
      <c r="B106" s="124"/>
      <c r="C106" s="124"/>
      <c r="D106" s="124"/>
      <c r="E106" s="124"/>
      <c r="F106" s="124"/>
      <c r="G106" s="124"/>
      <c r="H106" s="124"/>
      <c r="I106" s="124"/>
      <c r="J106" s="124"/>
      <c r="K106" s="124"/>
      <c r="L106" s="124"/>
      <c r="M106" s="124"/>
      <c r="N106" s="124"/>
      <c r="O106" s="124"/>
      <c r="P106" s="124"/>
      <c r="Q106" s="124"/>
      <c r="R106" s="124"/>
      <c r="S106" s="124"/>
      <c r="T106" s="124"/>
      <c r="U106" s="125"/>
      <c r="V106" s="124"/>
      <c r="W106" s="124"/>
      <c r="X106" s="124"/>
      <c r="Y106" s="124"/>
      <c r="Z106" s="124"/>
      <c r="AA106" s="124"/>
      <c r="AB106" s="124"/>
      <c r="AC106" s="124"/>
      <c r="AD106" s="124"/>
      <c r="AE106" s="124"/>
      <c r="AF106" s="124"/>
      <c r="AG106" s="124"/>
      <c r="AH106" s="124"/>
      <c r="AI106" s="124"/>
      <c r="AJ106" s="124"/>
      <c r="AK106" s="124"/>
      <c r="AL106" s="124"/>
      <c r="AM106" s="124"/>
      <c r="AN106" s="125"/>
      <c r="AO106" s="125"/>
      <c r="AP106" s="81"/>
      <c r="AQ106" s="82"/>
      <c r="AR106" s="96"/>
      <c r="AS106" s="96"/>
      <c r="AT106" s="96"/>
      <c r="AU106" s="82"/>
      <c r="AW106" s="95"/>
      <c r="BD106" s="95"/>
      <c r="BE106" s="95"/>
      <c r="BF106" s="95"/>
      <c r="BG106" s="95"/>
    </row>
    <row r="107" spans="1:59" s="83" customFormat="1">
      <c r="A107" s="124"/>
      <c r="B107" s="124"/>
      <c r="C107" s="124"/>
      <c r="D107" s="124"/>
      <c r="E107" s="124"/>
      <c r="F107" s="124"/>
      <c r="G107" s="124"/>
      <c r="H107" s="124"/>
      <c r="I107" s="124"/>
      <c r="J107" s="124"/>
      <c r="K107" s="124"/>
      <c r="L107" s="124"/>
      <c r="M107" s="124"/>
      <c r="N107" s="124"/>
      <c r="O107" s="124"/>
      <c r="P107" s="124"/>
      <c r="Q107" s="124"/>
      <c r="R107" s="124"/>
      <c r="S107" s="124"/>
      <c r="T107" s="124"/>
      <c r="U107" s="125"/>
      <c r="V107" s="124"/>
      <c r="W107" s="124"/>
      <c r="X107" s="124"/>
      <c r="Y107" s="124"/>
      <c r="Z107" s="124"/>
      <c r="AA107" s="124"/>
      <c r="AB107" s="124"/>
      <c r="AC107" s="124"/>
      <c r="AD107" s="124"/>
      <c r="AE107" s="124"/>
      <c r="AF107" s="124"/>
      <c r="AG107" s="124"/>
      <c r="AH107" s="124"/>
      <c r="AI107" s="124"/>
      <c r="AJ107" s="124"/>
      <c r="AK107" s="124"/>
      <c r="AL107" s="124"/>
      <c r="AM107" s="124"/>
      <c r="AN107" s="125"/>
      <c r="AO107" s="125"/>
      <c r="AP107" s="81"/>
      <c r="AQ107" s="82"/>
      <c r="AR107" s="96"/>
      <c r="AS107" s="96"/>
      <c r="AT107" s="96"/>
      <c r="AU107" s="82"/>
      <c r="AW107" s="95"/>
      <c r="BD107" s="95"/>
      <c r="BE107" s="95"/>
      <c r="BF107" s="95"/>
      <c r="BG107" s="95"/>
    </row>
    <row r="108" spans="1:59" s="83" customFormat="1">
      <c r="A108" s="124"/>
      <c r="B108" s="124"/>
      <c r="C108" s="124"/>
      <c r="D108" s="124"/>
      <c r="E108" s="124"/>
      <c r="F108" s="124"/>
      <c r="G108" s="124"/>
      <c r="H108" s="124"/>
      <c r="I108" s="124"/>
      <c r="J108" s="124"/>
      <c r="K108" s="124"/>
      <c r="L108" s="124"/>
      <c r="M108" s="124"/>
      <c r="N108" s="124"/>
      <c r="O108" s="124"/>
      <c r="P108" s="124"/>
      <c r="Q108" s="124"/>
      <c r="R108" s="124"/>
      <c r="S108" s="124"/>
      <c r="T108" s="124"/>
      <c r="U108" s="125"/>
      <c r="V108" s="124"/>
      <c r="W108" s="124"/>
      <c r="X108" s="124"/>
      <c r="Y108" s="124"/>
      <c r="Z108" s="124"/>
      <c r="AA108" s="124"/>
      <c r="AB108" s="124"/>
      <c r="AC108" s="124"/>
      <c r="AD108" s="124"/>
      <c r="AE108" s="124"/>
      <c r="AF108" s="124"/>
      <c r="AG108" s="124"/>
      <c r="AH108" s="124"/>
      <c r="AI108" s="124"/>
      <c r="AJ108" s="124"/>
      <c r="AK108" s="124"/>
      <c r="AL108" s="124"/>
      <c r="AM108" s="124"/>
      <c r="AN108" s="125"/>
      <c r="AO108" s="125"/>
      <c r="AP108" s="81"/>
      <c r="AQ108" s="82"/>
      <c r="AR108" s="96"/>
      <c r="AS108" s="96"/>
      <c r="AT108" s="96"/>
      <c r="AU108" s="82"/>
      <c r="AW108" s="95"/>
      <c r="BD108" s="95"/>
      <c r="BE108" s="95"/>
      <c r="BF108" s="95"/>
      <c r="BG108" s="95"/>
    </row>
    <row r="109" spans="1:59" s="83" customFormat="1">
      <c r="A109" s="124"/>
      <c r="B109" s="124"/>
      <c r="C109" s="124"/>
      <c r="D109" s="124"/>
      <c r="E109" s="124"/>
      <c r="F109" s="124"/>
      <c r="G109" s="124"/>
      <c r="H109" s="124"/>
      <c r="I109" s="124"/>
      <c r="J109" s="124"/>
      <c r="K109" s="124"/>
      <c r="L109" s="124"/>
      <c r="M109" s="124"/>
      <c r="N109" s="124"/>
      <c r="O109" s="124"/>
      <c r="P109" s="124"/>
      <c r="Q109" s="124"/>
      <c r="R109" s="124"/>
      <c r="S109" s="124"/>
      <c r="T109" s="124"/>
      <c r="U109" s="125"/>
      <c r="V109" s="124"/>
      <c r="W109" s="124"/>
      <c r="X109" s="124"/>
      <c r="Y109" s="124"/>
      <c r="Z109" s="124"/>
      <c r="AA109" s="124"/>
      <c r="AB109" s="124"/>
      <c r="AC109" s="124"/>
      <c r="AD109" s="124"/>
      <c r="AE109" s="124"/>
      <c r="AF109" s="124"/>
      <c r="AG109" s="124"/>
      <c r="AH109" s="124"/>
      <c r="AI109" s="124"/>
      <c r="AJ109" s="124"/>
      <c r="AK109" s="124"/>
      <c r="AL109" s="124"/>
      <c r="AM109" s="124"/>
      <c r="AN109" s="125"/>
      <c r="AO109" s="125"/>
      <c r="AP109" s="81"/>
      <c r="AQ109" s="82"/>
      <c r="AR109" s="96"/>
      <c r="AS109" s="96"/>
      <c r="AT109" s="96"/>
      <c r="AU109" s="82"/>
      <c r="AW109" s="95"/>
      <c r="BD109" s="95"/>
      <c r="BE109" s="95"/>
      <c r="BF109" s="95"/>
      <c r="BG109" s="95"/>
    </row>
    <row r="110" spans="1:59" s="83" customFormat="1">
      <c r="A110" s="124"/>
      <c r="B110" s="124"/>
      <c r="C110" s="124"/>
      <c r="D110" s="124"/>
      <c r="E110" s="124"/>
      <c r="F110" s="124"/>
      <c r="G110" s="124"/>
      <c r="H110" s="124"/>
      <c r="I110" s="124"/>
      <c r="J110" s="124"/>
      <c r="K110" s="124"/>
      <c r="L110" s="124"/>
      <c r="M110" s="124"/>
      <c r="N110" s="124"/>
      <c r="O110" s="124"/>
      <c r="P110" s="124"/>
      <c r="Q110" s="124"/>
      <c r="R110" s="124"/>
      <c r="S110" s="124"/>
      <c r="T110" s="124"/>
      <c r="U110" s="125"/>
      <c r="V110" s="124"/>
      <c r="W110" s="124"/>
      <c r="X110" s="124"/>
      <c r="Y110" s="124"/>
      <c r="Z110" s="124"/>
      <c r="AA110" s="124"/>
      <c r="AB110" s="124"/>
      <c r="AC110" s="124"/>
      <c r="AD110" s="124"/>
      <c r="AE110" s="124"/>
      <c r="AF110" s="124"/>
      <c r="AG110" s="124"/>
      <c r="AH110" s="124"/>
      <c r="AI110" s="124"/>
      <c r="AJ110" s="124"/>
      <c r="AK110" s="124"/>
      <c r="AL110" s="124"/>
      <c r="AM110" s="124"/>
      <c r="AN110" s="125"/>
      <c r="AO110" s="125"/>
      <c r="AP110" s="81"/>
      <c r="AQ110" s="82"/>
      <c r="AR110" s="96"/>
      <c r="AS110" s="96"/>
      <c r="AT110" s="96"/>
      <c r="AU110" s="82"/>
      <c r="AW110" s="95"/>
      <c r="BD110" s="95"/>
      <c r="BE110" s="95"/>
      <c r="BF110" s="95"/>
      <c r="BG110" s="95"/>
    </row>
    <row r="111" spans="1:59" s="83" customFormat="1">
      <c r="A111" s="124"/>
      <c r="B111" s="124"/>
      <c r="C111" s="124"/>
      <c r="D111" s="124"/>
      <c r="E111" s="124"/>
      <c r="F111" s="124"/>
      <c r="G111" s="124"/>
      <c r="H111" s="124"/>
      <c r="I111" s="124"/>
      <c r="J111" s="124"/>
      <c r="K111" s="124"/>
      <c r="L111" s="124"/>
      <c r="M111" s="124"/>
      <c r="N111" s="124"/>
      <c r="O111" s="124"/>
      <c r="P111" s="124"/>
      <c r="Q111" s="124"/>
      <c r="R111" s="124"/>
      <c r="S111" s="124"/>
      <c r="T111" s="124"/>
      <c r="U111" s="125"/>
      <c r="V111" s="124"/>
      <c r="W111" s="124"/>
      <c r="X111" s="124"/>
      <c r="Y111" s="124"/>
      <c r="Z111" s="124"/>
      <c r="AA111" s="124"/>
      <c r="AB111" s="124"/>
      <c r="AC111" s="124"/>
      <c r="AD111" s="124"/>
      <c r="AE111" s="124"/>
      <c r="AF111" s="124"/>
      <c r="AG111" s="124"/>
      <c r="AH111" s="124"/>
      <c r="AI111" s="124"/>
      <c r="AJ111" s="124"/>
      <c r="AK111" s="124"/>
      <c r="AL111" s="124"/>
      <c r="AM111" s="124"/>
      <c r="AN111" s="125"/>
      <c r="AO111" s="125"/>
      <c r="AP111" s="81"/>
      <c r="AQ111" s="82"/>
      <c r="AR111" s="96"/>
      <c r="AS111" s="96"/>
      <c r="AT111" s="96"/>
      <c r="AU111" s="82"/>
      <c r="AW111" s="95"/>
      <c r="BD111" s="95"/>
      <c r="BE111" s="95"/>
      <c r="BF111" s="95"/>
      <c r="BG111" s="95"/>
    </row>
    <row r="112" spans="1:59" s="83" customFormat="1">
      <c r="A112" s="124"/>
      <c r="B112" s="124"/>
      <c r="C112" s="124"/>
      <c r="D112" s="124"/>
      <c r="E112" s="124"/>
      <c r="F112" s="124"/>
      <c r="G112" s="124"/>
      <c r="H112" s="124"/>
      <c r="I112" s="124"/>
      <c r="J112" s="124"/>
      <c r="K112" s="124"/>
      <c r="L112" s="124"/>
      <c r="M112" s="124"/>
      <c r="N112" s="124"/>
      <c r="O112" s="124"/>
      <c r="P112" s="124"/>
      <c r="Q112" s="124"/>
      <c r="R112" s="124"/>
      <c r="S112" s="124"/>
      <c r="T112" s="124"/>
      <c r="U112" s="125"/>
      <c r="V112" s="124"/>
      <c r="W112" s="124"/>
      <c r="X112" s="124"/>
      <c r="Y112" s="124"/>
      <c r="Z112" s="124"/>
      <c r="AA112" s="124"/>
      <c r="AB112" s="124"/>
      <c r="AC112" s="124"/>
      <c r="AD112" s="124"/>
      <c r="AE112" s="124"/>
      <c r="AF112" s="124"/>
      <c r="AG112" s="124"/>
      <c r="AH112" s="124"/>
      <c r="AI112" s="124"/>
      <c r="AJ112" s="124"/>
      <c r="AK112" s="124"/>
      <c r="AL112" s="124"/>
      <c r="AM112" s="124"/>
      <c r="AN112" s="125"/>
      <c r="AO112" s="125"/>
      <c r="AP112" s="81"/>
      <c r="AQ112" s="82"/>
      <c r="AR112" s="96"/>
      <c r="AS112" s="96"/>
      <c r="AT112" s="96"/>
      <c r="AU112" s="82"/>
      <c r="AW112" s="95"/>
      <c r="BD112" s="95"/>
      <c r="BE112" s="95"/>
      <c r="BF112" s="95"/>
      <c r="BG112" s="95"/>
    </row>
    <row r="113" spans="1:59" s="83" customFormat="1">
      <c r="A113" s="124"/>
      <c r="B113" s="124"/>
      <c r="C113" s="124"/>
      <c r="D113" s="124"/>
      <c r="E113" s="124"/>
      <c r="F113" s="124"/>
      <c r="G113" s="124"/>
      <c r="H113" s="124"/>
      <c r="I113" s="124"/>
      <c r="J113" s="124"/>
      <c r="K113" s="124"/>
      <c r="L113" s="124"/>
      <c r="M113" s="124"/>
      <c r="N113" s="124"/>
      <c r="O113" s="124"/>
      <c r="P113" s="124"/>
      <c r="Q113" s="124"/>
      <c r="R113" s="124"/>
      <c r="S113" s="124"/>
      <c r="T113" s="124"/>
      <c r="U113" s="125"/>
      <c r="V113" s="124"/>
      <c r="W113" s="124"/>
      <c r="X113" s="124"/>
      <c r="Y113" s="124"/>
      <c r="Z113" s="124"/>
      <c r="AA113" s="124"/>
      <c r="AB113" s="124"/>
      <c r="AC113" s="124"/>
      <c r="AD113" s="124"/>
      <c r="AE113" s="124"/>
      <c r="AF113" s="124"/>
      <c r="AG113" s="124"/>
      <c r="AH113" s="124"/>
      <c r="AI113" s="124"/>
      <c r="AJ113" s="124"/>
      <c r="AK113" s="124"/>
      <c r="AL113" s="124"/>
      <c r="AM113" s="124"/>
      <c r="AN113" s="125"/>
      <c r="AO113" s="125"/>
      <c r="AP113" s="81"/>
      <c r="AQ113" s="82"/>
      <c r="AR113" s="96"/>
      <c r="AS113" s="96"/>
      <c r="AT113" s="96"/>
      <c r="AU113" s="82"/>
      <c r="AW113" s="95"/>
      <c r="BD113" s="95"/>
      <c r="BE113" s="95"/>
      <c r="BF113" s="95"/>
      <c r="BG113" s="95"/>
    </row>
    <row r="114" spans="1:59" s="83" customFormat="1">
      <c r="A114" s="124"/>
      <c r="B114" s="124"/>
      <c r="C114" s="124"/>
      <c r="D114" s="124"/>
      <c r="E114" s="124"/>
      <c r="F114" s="124"/>
      <c r="G114" s="124"/>
      <c r="H114" s="124"/>
      <c r="I114" s="124"/>
      <c r="J114" s="124"/>
      <c r="K114" s="124"/>
      <c r="L114" s="124"/>
      <c r="M114" s="124"/>
      <c r="N114" s="124"/>
      <c r="O114" s="124"/>
      <c r="P114" s="124"/>
      <c r="Q114" s="124"/>
      <c r="R114" s="124"/>
      <c r="S114" s="124"/>
      <c r="T114" s="124"/>
      <c r="U114" s="125"/>
      <c r="V114" s="124"/>
      <c r="W114" s="124"/>
      <c r="X114" s="124"/>
      <c r="Y114" s="124"/>
      <c r="Z114" s="124"/>
      <c r="AA114" s="124"/>
      <c r="AB114" s="124"/>
      <c r="AC114" s="124"/>
      <c r="AD114" s="124"/>
      <c r="AE114" s="124"/>
      <c r="AF114" s="124"/>
      <c r="AG114" s="124"/>
      <c r="AH114" s="124"/>
      <c r="AI114" s="124"/>
      <c r="AJ114" s="124"/>
      <c r="AK114" s="124"/>
      <c r="AL114" s="124"/>
      <c r="AM114" s="124"/>
      <c r="AN114" s="125"/>
      <c r="AO114" s="125"/>
      <c r="AP114" s="81"/>
      <c r="AQ114" s="82"/>
      <c r="AR114" s="96"/>
      <c r="AS114" s="96"/>
      <c r="AT114" s="96"/>
      <c r="AU114" s="82"/>
      <c r="AW114" s="95"/>
      <c r="BD114" s="95"/>
      <c r="BE114" s="95"/>
      <c r="BF114" s="95"/>
      <c r="BG114" s="95"/>
    </row>
    <row r="115" spans="1:59" s="83" customFormat="1">
      <c r="A115" s="124"/>
      <c r="B115" s="124"/>
      <c r="C115" s="124"/>
      <c r="D115" s="124"/>
      <c r="E115" s="124"/>
      <c r="F115" s="124"/>
      <c r="G115" s="124"/>
      <c r="H115" s="124"/>
      <c r="I115" s="124"/>
      <c r="J115" s="124"/>
      <c r="K115" s="124"/>
      <c r="L115" s="124"/>
      <c r="M115" s="124"/>
      <c r="N115" s="124"/>
      <c r="O115" s="124"/>
      <c r="P115" s="124"/>
      <c r="Q115" s="124"/>
      <c r="R115" s="124"/>
      <c r="S115" s="124"/>
      <c r="T115" s="124"/>
      <c r="U115" s="125"/>
      <c r="V115" s="124"/>
      <c r="W115" s="124"/>
      <c r="X115" s="124"/>
      <c r="Y115" s="124"/>
      <c r="Z115" s="124"/>
      <c r="AA115" s="124"/>
      <c r="AB115" s="124"/>
      <c r="AC115" s="124"/>
      <c r="AD115" s="124"/>
      <c r="AE115" s="124"/>
      <c r="AF115" s="124"/>
      <c r="AG115" s="124"/>
      <c r="AH115" s="124"/>
      <c r="AI115" s="124"/>
      <c r="AJ115" s="124"/>
      <c r="AK115" s="124"/>
      <c r="AL115" s="124"/>
      <c r="AM115" s="124"/>
      <c r="AN115" s="125"/>
      <c r="AO115" s="125"/>
      <c r="AP115" s="81"/>
      <c r="AQ115" s="82"/>
      <c r="AR115" s="96"/>
      <c r="AS115" s="96"/>
      <c r="AT115" s="96"/>
      <c r="AU115" s="82"/>
      <c r="AW115" s="95"/>
      <c r="BD115" s="95"/>
      <c r="BE115" s="95"/>
      <c r="BF115" s="95"/>
      <c r="BG115" s="95"/>
    </row>
    <row r="116" spans="1:59" s="83" customFormat="1">
      <c r="A116" s="124"/>
      <c r="B116" s="124"/>
      <c r="C116" s="124"/>
      <c r="D116" s="124"/>
      <c r="E116" s="124"/>
      <c r="F116" s="124"/>
      <c r="G116" s="124"/>
      <c r="H116" s="124"/>
      <c r="I116" s="124"/>
      <c r="J116" s="124"/>
      <c r="K116" s="124"/>
      <c r="L116" s="124"/>
      <c r="M116" s="124"/>
      <c r="N116" s="124"/>
      <c r="O116" s="124"/>
      <c r="P116" s="124"/>
      <c r="Q116" s="124"/>
      <c r="R116" s="124"/>
      <c r="S116" s="124"/>
      <c r="T116" s="124"/>
      <c r="U116" s="125"/>
      <c r="V116" s="124"/>
      <c r="W116" s="124"/>
      <c r="X116" s="124"/>
      <c r="Y116" s="124"/>
      <c r="Z116" s="124"/>
      <c r="AA116" s="124"/>
      <c r="AB116" s="124"/>
      <c r="AC116" s="124"/>
      <c r="AD116" s="124"/>
      <c r="AE116" s="124"/>
      <c r="AF116" s="124"/>
      <c r="AG116" s="124"/>
      <c r="AH116" s="124"/>
      <c r="AI116" s="124"/>
      <c r="AJ116" s="124"/>
      <c r="AK116" s="124"/>
      <c r="AL116" s="124"/>
      <c r="AM116" s="124"/>
      <c r="AN116" s="125"/>
      <c r="AO116" s="125"/>
      <c r="AP116" s="81"/>
      <c r="AQ116" s="82"/>
      <c r="AR116" s="96"/>
      <c r="AS116" s="96"/>
      <c r="AT116" s="96"/>
      <c r="AU116" s="82"/>
      <c r="AW116" s="95"/>
      <c r="BD116" s="95"/>
      <c r="BE116" s="95"/>
      <c r="BF116" s="95"/>
      <c r="BG116" s="95"/>
    </row>
    <row r="117" spans="1:59" s="83" customFormat="1">
      <c r="A117" s="124"/>
      <c r="B117" s="124"/>
      <c r="C117" s="124"/>
      <c r="D117" s="124"/>
      <c r="E117" s="124"/>
      <c r="F117" s="124"/>
      <c r="G117" s="124"/>
      <c r="H117" s="124"/>
      <c r="I117" s="124"/>
      <c r="J117" s="124"/>
      <c r="K117" s="124"/>
      <c r="L117" s="124"/>
      <c r="M117" s="124"/>
      <c r="N117" s="124"/>
      <c r="O117" s="124"/>
      <c r="P117" s="124"/>
      <c r="Q117" s="124"/>
      <c r="R117" s="124"/>
      <c r="S117" s="124"/>
      <c r="T117" s="124"/>
      <c r="U117" s="125"/>
      <c r="V117" s="124"/>
      <c r="W117" s="124"/>
      <c r="X117" s="124"/>
      <c r="Y117" s="124"/>
      <c r="Z117" s="124"/>
      <c r="AA117" s="124"/>
      <c r="AB117" s="124"/>
      <c r="AC117" s="124"/>
      <c r="AD117" s="124"/>
      <c r="AE117" s="124"/>
      <c r="AF117" s="124"/>
      <c r="AG117" s="124"/>
      <c r="AH117" s="124"/>
      <c r="AI117" s="124"/>
      <c r="AJ117" s="124"/>
      <c r="AK117" s="124"/>
      <c r="AL117" s="124"/>
      <c r="AM117" s="124"/>
      <c r="AN117" s="125"/>
      <c r="AO117" s="125"/>
      <c r="AP117" s="81"/>
      <c r="AQ117" s="82"/>
      <c r="AR117" s="96"/>
      <c r="AS117" s="96"/>
      <c r="AT117" s="96"/>
      <c r="AU117" s="82"/>
      <c r="AW117" s="95"/>
      <c r="BD117" s="95"/>
      <c r="BE117" s="95"/>
      <c r="BF117" s="95"/>
      <c r="BG117" s="95"/>
    </row>
    <row r="118" spans="1:59" s="83" customFormat="1">
      <c r="A118" s="124"/>
      <c r="B118" s="124"/>
      <c r="C118" s="124"/>
      <c r="D118" s="124"/>
      <c r="E118" s="124"/>
      <c r="F118" s="124"/>
      <c r="G118" s="124"/>
      <c r="H118" s="124"/>
      <c r="I118" s="124"/>
      <c r="J118" s="124"/>
      <c r="K118" s="124"/>
      <c r="L118" s="124"/>
      <c r="M118" s="124"/>
      <c r="N118" s="124"/>
      <c r="O118" s="124"/>
      <c r="P118" s="124"/>
      <c r="Q118" s="124"/>
      <c r="R118" s="124"/>
      <c r="S118" s="124"/>
      <c r="T118" s="124"/>
      <c r="U118" s="125"/>
      <c r="V118" s="124"/>
      <c r="W118" s="124"/>
      <c r="X118" s="124"/>
      <c r="Y118" s="124"/>
      <c r="Z118" s="124"/>
      <c r="AA118" s="124"/>
      <c r="AB118" s="124"/>
      <c r="AC118" s="124"/>
      <c r="AD118" s="124"/>
      <c r="AE118" s="124"/>
      <c r="AF118" s="124"/>
      <c r="AG118" s="124"/>
      <c r="AH118" s="124"/>
      <c r="AI118" s="124"/>
      <c r="AJ118" s="124"/>
      <c r="AK118" s="124"/>
      <c r="AL118" s="124"/>
      <c r="AM118" s="124"/>
      <c r="AN118" s="125"/>
      <c r="AO118" s="125"/>
      <c r="AP118" s="81"/>
      <c r="AQ118" s="82"/>
      <c r="AR118" s="96"/>
      <c r="AS118" s="96"/>
      <c r="AT118" s="96"/>
      <c r="AU118" s="82"/>
      <c r="AW118" s="95"/>
      <c r="BD118" s="95"/>
      <c r="BE118" s="95"/>
      <c r="BF118" s="95"/>
      <c r="BG118" s="95"/>
    </row>
    <row r="119" spans="1:59" s="83" customFormat="1">
      <c r="A119" s="124"/>
      <c r="B119" s="124"/>
      <c r="C119" s="124"/>
      <c r="D119" s="124"/>
      <c r="E119" s="124"/>
      <c r="F119" s="124"/>
      <c r="G119" s="124"/>
      <c r="H119" s="124"/>
      <c r="I119" s="124"/>
      <c r="J119" s="124"/>
      <c r="K119" s="124"/>
      <c r="L119" s="124"/>
      <c r="M119" s="124"/>
      <c r="N119" s="124"/>
      <c r="O119" s="124"/>
      <c r="P119" s="124"/>
      <c r="Q119" s="124"/>
      <c r="R119" s="124"/>
      <c r="S119" s="124"/>
      <c r="T119" s="124"/>
      <c r="U119" s="125"/>
      <c r="V119" s="124"/>
      <c r="W119" s="124"/>
      <c r="X119" s="124"/>
      <c r="Y119" s="124"/>
      <c r="Z119" s="124"/>
      <c r="AA119" s="124"/>
      <c r="AB119" s="124"/>
      <c r="AC119" s="124"/>
      <c r="AD119" s="124"/>
      <c r="AE119" s="124"/>
      <c r="AF119" s="124"/>
      <c r="AG119" s="124"/>
      <c r="AH119" s="124"/>
      <c r="AI119" s="124"/>
      <c r="AJ119" s="124"/>
      <c r="AK119" s="124"/>
      <c r="AL119" s="124"/>
      <c r="AM119" s="124"/>
      <c r="AN119" s="125"/>
      <c r="AO119" s="125"/>
      <c r="AP119" s="81"/>
      <c r="AQ119" s="82"/>
      <c r="AR119" s="96"/>
      <c r="AS119" s="96"/>
      <c r="AT119" s="96"/>
      <c r="AU119" s="82"/>
      <c r="AW119" s="95"/>
      <c r="BD119" s="95"/>
      <c r="BE119" s="95"/>
      <c r="BF119" s="95"/>
      <c r="BG119" s="95"/>
    </row>
    <row r="120" spans="1:59" s="83" customFormat="1">
      <c r="A120" s="124"/>
      <c r="B120" s="124"/>
      <c r="C120" s="124"/>
      <c r="D120" s="124"/>
      <c r="E120" s="124"/>
      <c r="F120" s="124"/>
      <c r="G120" s="124"/>
      <c r="H120" s="124"/>
      <c r="I120" s="124"/>
      <c r="J120" s="124"/>
      <c r="K120" s="124"/>
      <c r="L120" s="124"/>
      <c r="M120" s="124"/>
      <c r="N120" s="124"/>
      <c r="O120" s="124"/>
      <c r="P120" s="124"/>
      <c r="Q120" s="124"/>
      <c r="R120" s="124"/>
      <c r="S120" s="124"/>
      <c r="T120" s="124"/>
      <c r="U120" s="125"/>
      <c r="V120" s="124"/>
      <c r="W120" s="124"/>
      <c r="X120" s="124"/>
      <c r="Y120" s="124"/>
      <c r="Z120" s="124"/>
      <c r="AA120" s="124"/>
      <c r="AB120" s="124"/>
      <c r="AC120" s="124"/>
      <c r="AD120" s="124"/>
      <c r="AE120" s="124"/>
      <c r="AF120" s="124"/>
      <c r="AG120" s="124"/>
      <c r="AH120" s="124"/>
      <c r="AI120" s="124"/>
      <c r="AJ120" s="124"/>
      <c r="AK120" s="124"/>
      <c r="AL120" s="124"/>
      <c r="AM120" s="124"/>
      <c r="AN120" s="125"/>
      <c r="AO120" s="125"/>
      <c r="AP120" s="81"/>
      <c r="AQ120" s="82"/>
      <c r="AR120" s="96"/>
      <c r="AS120" s="96"/>
      <c r="AT120" s="96"/>
      <c r="AU120" s="82"/>
      <c r="AW120" s="95"/>
      <c r="BD120" s="95"/>
      <c r="BE120" s="95"/>
      <c r="BF120" s="95"/>
      <c r="BG120" s="95"/>
    </row>
    <row r="121" spans="1:59" s="83" customFormat="1">
      <c r="A121" s="124"/>
      <c r="B121" s="124"/>
      <c r="C121" s="124"/>
      <c r="D121" s="124"/>
      <c r="E121" s="124"/>
      <c r="F121" s="124"/>
      <c r="G121" s="124"/>
      <c r="H121" s="124"/>
      <c r="I121" s="124"/>
      <c r="J121" s="124"/>
      <c r="K121" s="124"/>
      <c r="L121" s="124"/>
      <c r="M121" s="124"/>
      <c r="N121" s="124"/>
      <c r="O121" s="124"/>
      <c r="P121" s="124"/>
      <c r="Q121" s="124"/>
      <c r="R121" s="124"/>
      <c r="S121" s="124"/>
      <c r="T121" s="124"/>
      <c r="U121" s="125"/>
      <c r="V121" s="124"/>
      <c r="W121" s="124"/>
      <c r="X121" s="124"/>
      <c r="Y121" s="124"/>
      <c r="Z121" s="124"/>
      <c r="AA121" s="124"/>
      <c r="AB121" s="124"/>
      <c r="AC121" s="124"/>
      <c r="AD121" s="124"/>
      <c r="AE121" s="124"/>
      <c r="AF121" s="124"/>
      <c r="AG121" s="124"/>
      <c r="AH121" s="124"/>
      <c r="AI121" s="124"/>
      <c r="AJ121" s="124"/>
      <c r="AK121" s="124"/>
      <c r="AL121" s="124"/>
      <c r="AM121" s="124"/>
      <c r="AN121" s="125"/>
      <c r="AO121" s="125"/>
      <c r="AP121" s="81"/>
      <c r="AQ121" s="82"/>
      <c r="AR121" s="96"/>
      <c r="AS121" s="96"/>
      <c r="AT121" s="96"/>
      <c r="AU121" s="82"/>
      <c r="AW121" s="95"/>
      <c r="BD121" s="95"/>
      <c r="BE121" s="95"/>
      <c r="BF121" s="95"/>
      <c r="BG121" s="95"/>
    </row>
    <row r="122" spans="1:59" s="83" customFormat="1">
      <c r="A122" s="124"/>
      <c r="B122" s="124"/>
      <c r="C122" s="124"/>
      <c r="D122" s="124"/>
      <c r="E122" s="124"/>
      <c r="F122" s="124"/>
      <c r="G122" s="124"/>
      <c r="H122" s="124"/>
      <c r="I122" s="124"/>
      <c r="J122" s="124"/>
      <c r="K122" s="124"/>
      <c r="L122" s="124"/>
      <c r="M122" s="124"/>
      <c r="N122" s="124"/>
      <c r="O122" s="124"/>
      <c r="P122" s="124"/>
      <c r="Q122" s="124"/>
      <c r="R122" s="124"/>
      <c r="S122" s="124"/>
      <c r="T122" s="124"/>
      <c r="U122" s="125"/>
      <c r="V122" s="124"/>
      <c r="W122" s="124"/>
      <c r="X122" s="124"/>
      <c r="Y122" s="124"/>
      <c r="Z122" s="124"/>
      <c r="AA122" s="124"/>
      <c r="AB122" s="124"/>
      <c r="AC122" s="124"/>
      <c r="AD122" s="124"/>
      <c r="AE122" s="124"/>
      <c r="AF122" s="124"/>
      <c r="AG122" s="124"/>
      <c r="AH122" s="124"/>
      <c r="AI122" s="124"/>
      <c r="AJ122" s="124"/>
      <c r="AK122" s="124"/>
      <c r="AL122" s="124"/>
      <c r="AM122" s="124"/>
      <c r="AN122" s="125"/>
      <c r="AO122" s="125"/>
      <c r="AP122" s="81"/>
      <c r="AQ122" s="82"/>
      <c r="AR122" s="96"/>
      <c r="AS122" s="96"/>
      <c r="AT122" s="96"/>
      <c r="AU122" s="82"/>
      <c r="AW122" s="95"/>
      <c r="BD122" s="95"/>
      <c r="BE122" s="95"/>
      <c r="BF122" s="95"/>
      <c r="BG122" s="95"/>
    </row>
    <row r="123" spans="1:59" s="83" customFormat="1">
      <c r="A123" s="124"/>
      <c r="B123" s="124"/>
      <c r="C123" s="124"/>
      <c r="D123" s="124"/>
      <c r="E123" s="124"/>
      <c r="F123" s="124"/>
      <c r="G123" s="124"/>
      <c r="H123" s="124"/>
      <c r="I123" s="124"/>
      <c r="J123" s="124"/>
      <c r="K123" s="124"/>
      <c r="L123" s="124"/>
      <c r="M123" s="124"/>
      <c r="N123" s="124"/>
      <c r="O123" s="124"/>
      <c r="P123" s="124"/>
      <c r="Q123" s="124"/>
      <c r="R123" s="124"/>
      <c r="S123" s="124"/>
      <c r="T123" s="124"/>
      <c r="U123" s="125"/>
      <c r="V123" s="124"/>
      <c r="W123" s="124"/>
      <c r="X123" s="124"/>
      <c r="Y123" s="124"/>
      <c r="Z123" s="124"/>
      <c r="AA123" s="124"/>
      <c r="AB123" s="124"/>
      <c r="AC123" s="124"/>
      <c r="AD123" s="124"/>
      <c r="AE123" s="124"/>
      <c r="AF123" s="124"/>
      <c r="AG123" s="124"/>
      <c r="AH123" s="124"/>
      <c r="AI123" s="124"/>
      <c r="AJ123" s="124"/>
      <c r="AK123" s="124"/>
      <c r="AL123" s="124"/>
      <c r="AM123" s="124"/>
      <c r="AN123" s="125"/>
      <c r="AO123" s="125"/>
      <c r="AP123" s="81"/>
      <c r="AQ123" s="82"/>
      <c r="AR123" s="96"/>
      <c r="AS123" s="96"/>
      <c r="AT123" s="96"/>
      <c r="AU123" s="82"/>
      <c r="AW123" s="95"/>
      <c r="BD123" s="95"/>
      <c r="BE123" s="95"/>
      <c r="BF123" s="95"/>
      <c r="BG123" s="95"/>
    </row>
    <row r="124" spans="1:59" s="83" customFormat="1">
      <c r="A124" s="124"/>
      <c r="B124" s="124"/>
      <c r="C124" s="124"/>
      <c r="D124" s="124"/>
      <c r="E124" s="124"/>
      <c r="F124" s="124"/>
      <c r="G124" s="124"/>
      <c r="H124" s="124"/>
      <c r="I124" s="124"/>
      <c r="J124" s="124"/>
      <c r="K124" s="124"/>
      <c r="L124" s="124"/>
      <c r="M124" s="124"/>
      <c r="N124" s="124"/>
      <c r="O124" s="124"/>
      <c r="P124" s="124"/>
      <c r="Q124" s="124"/>
      <c r="R124" s="124"/>
      <c r="S124" s="124"/>
      <c r="T124" s="124"/>
      <c r="U124" s="125"/>
      <c r="V124" s="124"/>
      <c r="W124" s="124"/>
      <c r="X124" s="124"/>
      <c r="Y124" s="124"/>
      <c r="Z124" s="124"/>
      <c r="AA124" s="124"/>
      <c r="AB124" s="124"/>
      <c r="AC124" s="124"/>
      <c r="AD124" s="124"/>
      <c r="AE124" s="124"/>
      <c r="AF124" s="124"/>
      <c r="AG124" s="124"/>
      <c r="AH124" s="124"/>
      <c r="AI124" s="124"/>
      <c r="AJ124" s="124"/>
      <c r="AK124" s="124"/>
      <c r="AL124" s="124"/>
      <c r="AM124" s="124"/>
      <c r="AN124" s="125"/>
      <c r="AO124" s="125"/>
      <c r="AP124" s="81"/>
      <c r="AQ124" s="82"/>
      <c r="AR124" s="96"/>
      <c r="AS124" s="96"/>
      <c r="AT124" s="96"/>
      <c r="AU124" s="82"/>
      <c r="AW124" s="95"/>
      <c r="BD124" s="95"/>
      <c r="BE124" s="95"/>
      <c r="BF124" s="95"/>
      <c r="BG124" s="95"/>
    </row>
    <row r="125" spans="1:59" s="83" customFormat="1">
      <c r="A125" s="124"/>
      <c r="B125" s="124"/>
      <c r="C125" s="124"/>
      <c r="D125" s="124"/>
      <c r="E125" s="124"/>
      <c r="F125" s="124"/>
      <c r="G125" s="124"/>
      <c r="H125" s="124"/>
      <c r="I125" s="124"/>
      <c r="J125" s="124"/>
      <c r="K125" s="124"/>
      <c r="L125" s="124"/>
      <c r="M125" s="124"/>
      <c r="N125" s="124"/>
      <c r="O125" s="124"/>
      <c r="P125" s="124"/>
      <c r="Q125" s="124"/>
      <c r="R125" s="124"/>
      <c r="S125" s="124"/>
      <c r="T125" s="124"/>
      <c r="U125" s="125"/>
      <c r="V125" s="124"/>
      <c r="W125" s="124"/>
      <c r="X125" s="124"/>
      <c r="Y125" s="124"/>
      <c r="Z125" s="124"/>
      <c r="AA125" s="124"/>
      <c r="AB125" s="124"/>
      <c r="AC125" s="124"/>
      <c r="AD125" s="124"/>
      <c r="AE125" s="124"/>
      <c r="AF125" s="124"/>
      <c r="AG125" s="124"/>
      <c r="AH125" s="124"/>
      <c r="AI125" s="124"/>
      <c r="AJ125" s="124"/>
      <c r="AK125" s="124"/>
      <c r="AL125" s="124"/>
      <c r="AM125" s="124"/>
      <c r="AN125" s="125"/>
      <c r="AO125" s="125"/>
      <c r="AP125" s="81"/>
      <c r="AQ125" s="82"/>
      <c r="AR125" s="96"/>
      <c r="AS125" s="96"/>
      <c r="AT125" s="96"/>
      <c r="AU125" s="82"/>
      <c r="AW125" s="95"/>
      <c r="BD125" s="95"/>
      <c r="BE125" s="95"/>
      <c r="BF125" s="95"/>
      <c r="BG125" s="95"/>
    </row>
    <row r="126" spans="1:59" s="83" customFormat="1">
      <c r="A126" s="124"/>
      <c r="B126" s="124"/>
      <c r="C126" s="124"/>
      <c r="D126" s="124"/>
      <c r="E126" s="124"/>
      <c r="F126" s="124"/>
      <c r="G126" s="124"/>
      <c r="H126" s="124"/>
      <c r="I126" s="124"/>
      <c r="J126" s="124"/>
      <c r="K126" s="124"/>
      <c r="L126" s="124"/>
      <c r="M126" s="124"/>
      <c r="N126" s="124"/>
      <c r="O126" s="124"/>
      <c r="P126" s="124"/>
      <c r="Q126" s="124"/>
      <c r="R126" s="124"/>
      <c r="S126" s="124"/>
      <c r="T126" s="124"/>
      <c r="U126" s="125"/>
      <c r="V126" s="124"/>
      <c r="W126" s="124"/>
      <c r="X126" s="124"/>
      <c r="Y126" s="124"/>
      <c r="Z126" s="124"/>
      <c r="AA126" s="124"/>
      <c r="AB126" s="124"/>
      <c r="AC126" s="124"/>
      <c r="AD126" s="124"/>
      <c r="AE126" s="124"/>
      <c r="AF126" s="124"/>
      <c r="AG126" s="124"/>
      <c r="AH126" s="124"/>
      <c r="AI126" s="124"/>
      <c r="AJ126" s="124"/>
      <c r="AK126" s="124"/>
      <c r="AL126" s="124"/>
      <c r="AM126" s="124"/>
      <c r="AN126" s="125"/>
      <c r="AO126" s="125"/>
      <c r="AP126" s="81"/>
      <c r="AQ126" s="82"/>
      <c r="AR126" s="96"/>
      <c r="AS126" s="96"/>
      <c r="AT126" s="96"/>
      <c r="AU126" s="82"/>
      <c r="AW126" s="95"/>
      <c r="BD126" s="95"/>
      <c r="BE126" s="95"/>
      <c r="BF126" s="95"/>
      <c r="BG126" s="95"/>
    </row>
    <row r="127" spans="1:59" s="83" customFormat="1">
      <c r="A127" s="124"/>
      <c r="B127" s="124"/>
      <c r="C127" s="124"/>
      <c r="D127" s="124"/>
      <c r="E127" s="124"/>
      <c r="F127" s="124"/>
      <c r="G127" s="124"/>
      <c r="H127" s="124"/>
      <c r="I127" s="124"/>
      <c r="J127" s="124"/>
      <c r="K127" s="124"/>
      <c r="L127" s="124"/>
      <c r="M127" s="124"/>
      <c r="N127" s="124"/>
      <c r="O127" s="124"/>
      <c r="P127" s="124"/>
      <c r="Q127" s="124"/>
      <c r="R127" s="124"/>
      <c r="S127" s="124"/>
      <c r="T127" s="124"/>
      <c r="U127" s="125"/>
      <c r="V127" s="124"/>
      <c r="W127" s="124"/>
      <c r="X127" s="124"/>
      <c r="Y127" s="124"/>
      <c r="Z127" s="124"/>
      <c r="AA127" s="124"/>
      <c r="AB127" s="124"/>
      <c r="AC127" s="124"/>
      <c r="AD127" s="124"/>
      <c r="AE127" s="124"/>
      <c r="AF127" s="124"/>
      <c r="AG127" s="124"/>
      <c r="AH127" s="124"/>
      <c r="AI127" s="124"/>
      <c r="AJ127" s="124"/>
      <c r="AK127" s="124"/>
      <c r="AL127" s="124"/>
      <c r="AM127" s="124"/>
      <c r="AN127" s="125"/>
      <c r="AO127" s="125"/>
      <c r="AP127" s="81"/>
      <c r="AQ127" s="82"/>
      <c r="AR127" s="96"/>
      <c r="AS127" s="96"/>
      <c r="AT127" s="96"/>
      <c r="AU127" s="82"/>
      <c r="AW127" s="95"/>
      <c r="BD127" s="95"/>
      <c r="BE127" s="95"/>
      <c r="BF127" s="95"/>
      <c r="BG127" s="95"/>
    </row>
    <row r="128" spans="1:59" s="83" customFormat="1">
      <c r="A128" s="124"/>
      <c r="B128" s="124"/>
      <c r="C128" s="124"/>
      <c r="D128" s="124"/>
      <c r="E128" s="124"/>
      <c r="F128" s="124"/>
      <c r="G128" s="124"/>
      <c r="H128" s="124"/>
      <c r="I128" s="124"/>
      <c r="J128" s="124"/>
      <c r="K128" s="124"/>
      <c r="L128" s="124"/>
      <c r="M128" s="124"/>
      <c r="N128" s="124"/>
      <c r="O128" s="124"/>
      <c r="P128" s="124"/>
      <c r="Q128" s="124"/>
      <c r="R128" s="124"/>
      <c r="S128" s="124"/>
      <c r="T128" s="124"/>
      <c r="U128" s="125"/>
      <c r="V128" s="124"/>
      <c r="W128" s="124"/>
      <c r="X128" s="124"/>
      <c r="Y128" s="124"/>
      <c r="Z128" s="124"/>
      <c r="AA128" s="124"/>
      <c r="AB128" s="124"/>
      <c r="AC128" s="124"/>
      <c r="AD128" s="124"/>
      <c r="AE128" s="124"/>
      <c r="AF128" s="124"/>
      <c r="AG128" s="124"/>
      <c r="AH128" s="124"/>
      <c r="AI128" s="124"/>
      <c r="AJ128" s="124"/>
      <c r="AK128" s="124"/>
      <c r="AL128" s="124"/>
      <c r="AM128" s="124"/>
      <c r="AN128" s="125"/>
      <c r="AO128" s="125"/>
      <c r="AP128" s="81"/>
      <c r="AQ128" s="82"/>
      <c r="AR128" s="96"/>
      <c r="AS128" s="96"/>
      <c r="AT128" s="96"/>
      <c r="AU128" s="82"/>
      <c r="AW128" s="95"/>
      <c r="BD128" s="95"/>
      <c r="BE128" s="95"/>
      <c r="BF128" s="95"/>
      <c r="BG128" s="95"/>
    </row>
    <row r="129" spans="1:59" s="83" customFormat="1">
      <c r="A129" s="124"/>
      <c r="B129" s="124"/>
      <c r="C129" s="124"/>
      <c r="D129" s="124"/>
      <c r="E129" s="124"/>
      <c r="F129" s="124"/>
      <c r="G129" s="124"/>
      <c r="H129" s="124"/>
      <c r="I129" s="124"/>
      <c r="J129" s="124"/>
      <c r="K129" s="124"/>
      <c r="L129" s="124"/>
      <c r="M129" s="124"/>
      <c r="N129" s="124"/>
      <c r="O129" s="124"/>
      <c r="P129" s="124"/>
      <c r="Q129" s="124"/>
      <c r="R129" s="124"/>
      <c r="S129" s="124"/>
      <c r="T129" s="124"/>
      <c r="U129" s="125"/>
      <c r="V129" s="124"/>
      <c r="W129" s="124"/>
      <c r="X129" s="124"/>
      <c r="Y129" s="124"/>
      <c r="Z129" s="124"/>
      <c r="AA129" s="124"/>
      <c r="AB129" s="124"/>
      <c r="AC129" s="124"/>
      <c r="AD129" s="124"/>
      <c r="AE129" s="124"/>
      <c r="AF129" s="124"/>
      <c r="AG129" s="124"/>
      <c r="AH129" s="124"/>
      <c r="AI129" s="124"/>
      <c r="AJ129" s="124"/>
      <c r="AK129" s="124"/>
      <c r="AL129" s="124"/>
      <c r="AM129" s="124"/>
      <c r="AN129" s="125"/>
      <c r="AO129" s="125"/>
      <c r="AP129" s="81"/>
      <c r="AQ129" s="82"/>
      <c r="AR129" s="96"/>
      <c r="AS129" s="96"/>
      <c r="AT129" s="96"/>
      <c r="AU129" s="82"/>
      <c r="AW129" s="95"/>
      <c r="BD129" s="95"/>
      <c r="BE129" s="95"/>
      <c r="BF129" s="95"/>
      <c r="BG129" s="95"/>
    </row>
    <row r="130" spans="1:59" s="83" customFormat="1">
      <c r="A130" s="124"/>
      <c r="B130" s="124"/>
      <c r="C130" s="124"/>
      <c r="D130" s="124"/>
      <c r="E130" s="124"/>
      <c r="F130" s="124"/>
      <c r="G130" s="124"/>
      <c r="H130" s="124"/>
      <c r="I130" s="124"/>
      <c r="J130" s="124"/>
      <c r="K130" s="124"/>
      <c r="L130" s="124"/>
      <c r="M130" s="124"/>
      <c r="N130" s="124"/>
      <c r="O130" s="124"/>
      <c r="P130" s="124"/>
      <c r="Q130" s="124"/>
      <c r="R130" s="124"/>
      <c r="S130" s="124"/>
      <c r="T130" s="124"/>
      <c r="U130" s="125"/>
      <c r="V130" s="124"/>
      <c r="W130" s="124"/>
      <c r="X130" s="124"/>
      <c r="Y130" s="124"/>
      <c r="Z130" s="124"/>
      <c r="AA130" s="124"/>
      <c r="AB130" s="124"/>
      <c r="AC130" s="124"/>
      <c r="AD130" s="124"/>
      <c r="AE130" s="124"/>
      <c r="AF130" s="124"/>
      <c r="AG130" s="124"/>
      <c r="AH130" s="124"/>
      <c r="AI130" s="124"/>
      <c r="AJ130" s="124"/>
      <c r="AK130" s="124"/>
      <c r="AL130" s="124"/>
      <c r="AM130" s="124"/>
      <c r="AN130" s="125"/>
      <c r="AO130" s="125"/>
      <c r="AP130" s="81"/>
      <c r="AQ130" s="82"/>
      <c r="AR130" s="96"/>
      <c r="AS130" s="96"/>
      <c r="AT130" s="96"/>
      <c r="AU130" s="82"/>
      <c r="AW130" s="95"/>
      <c r="BD130" s="95"/>
      <c r="BE130" s="95"/>
      <c r="BF130" s="95"/>
      <c r="BG130" s="95"/>
    </row>
    <row r="131" spans="1:59" s="83" customFormat="1">
      <c r="A131" s="124"/>
      <c r="B131" s="124"/>
      <c r="C131" s="124"/>
      <c r="D131" s="124"/>
      <c r="E131" s="124"/>
      <c r="F131" s="124"/>
      <c r="G131" s="124"/>
      <c r="H131" s="124"/>
      <c r="I131" s="124"/>
      <c r="J131" s="124"/>
      <c r="K131" s="124"/>
      <c r="L131" s="124"/>
      <c r="M131" s="124"/>
      <c r="N131" s="124"/>
      <c r="O131" s="124"/>
      <c r="P131" s="124"/>
      <c r="Q131" s="124"/>
      <c r="R131" s="124"/>
      <c r="S131" s="124"/>
      <c r="T131" s="124"/>
      <c r="U131" s="125"/>
      <c r="V131" s="124"/>
      <c r="W131" s="124"/>
      <c r="X131" s="124"/>
      <c r="Y131" s="124"/>
      <c r="Z131" s="124"/>
      <c r="AA131" s="124"/>
      <c r="AB131" s="124"/>
      <c r="AC131" s="124"/>
      <c r="AD131" s="124"/>
      <c r="AE131" s="124"/>
      <c r="AF131" s="124"/>
      <c r="AG131" s="124"/>
      <c r="AH131" s="124"/>
      <c r="AI131" s="124"/>
      <c r="AJ131" s="124"/>
      <c r="AK131" s="124"/>
      <c r="AL131" s="124"/>
      <c r="AM131" s="124"/>
      <c r="AN131" s="125"/>
      <c r="AO131" s="125"/>
      <c r="AP131" s="81"/>
      <c r="AQ131" s="82"/>
      <c r="AR131" s="96"/>
      <c r="AS131" s="96"/>
      <c r="AT131" s="96"/>
      <c r="AU131" s="82"/>
      <c r="AW131" s="95"/>
      <c r="BD131" s="95"/>
      <c r="BE131" s="95"/>
      <c r="BF131" s="95"/>
      <c r="BG131" s="95"/>
    </row>
    <row r="132" spans="1:59" s="83" customFormat="1">
      <c r="A132" s="124"/>
      <c r="B132" s="124"/>
      <c r="C132" s="124"/>
      <c r="D132" s="124"/>
      <c r="E132" s="124"/>
      <c r="F132" s="124"/>
      <c r="G132" s="124"/>
      <c r="H132" s="124"/>
      <c r="I132" s="124"/>
      <c r="J132" s="124"/>
      <c r="K132" s="124"/>
      <c r="L132" s="124"/>
      <c r="M132" s="124"/>
      <c r="N132" s="124"/>
      <c r="O132" s="124"/>
      <c r="P132" s="124"/>
      <c r="Q132" s="124"/>
      <c r="R132" s="124"/>
      <c r="S132" s="124"/>
      <c r="T132" s="124"/>
      <c r="U132" s="125"/>
      <c r="V132" s="124"/>
      <c r="W132" s="124"/>
      <c r="X132" s="124"/>
      <c r="Y132" s="124"/>
      <c r="Z132" s="124"/>
      <c r="AA132" s="124"/>
      <c r="AB132" s="124"/>
      <c r="AC132" s="124"/>
      <c r="AD132" s="124"/>
      <c r="AE132" s="124"/>
      <c r="AF132" s="124"/>
      <c r="AG132" s="124"/>
      <c r="AH132" s="124"/>
      <c r="AI132" s="124"/>
      <c r="AJ132" s="124"/>
      <c r="AK132" s="124"/>
      <c r="AL132" s="124"/>
      <c r="AM132" s="124"/>
      <c r="AN132" s="125"/>
      <c r="AO132" s="125"/>
      <c r="AP132" s="81"/>
      <c r="AQ132" s="82"/>
      <c r="AR132" s="96"/>
      <c r="AS132" s="96"/>
      <c r="AT132" s="96"/>
      <c r="AU132" s="82"/>
      <c r="AW132" s="95"/>
      <c r="BD132" s="95"/>
      <c r="BE132" s="95"/>
      <c r="BF132" s="95"/>
      <c r="BG132" s="95"/>
    </row>
    <row r="133" spans="1:59" s="83" customFormat="1">
      <c r="A133" s="124"/>
      <c r="B133" s="124"/>
      <c r="C133" s="124"/>
      <c r="D133" s="124"/>
      <c r="E133" s="124"/>
      <c r="F133" s="124"/>
      <c r="G133" s="124"/>
      <c r="H133" s="124"/>
      <c r="I133" s="124"/>
      <c r="J133" s="124"/>
      <c r="K133" s="124"/>
      <c r="L133" s="124"/>
      <c r="M133" s="124"/>
      <c r="N133" s="124"/>
      <c r="O133" s="124"/>
      <c r="P133" s="124"/>
      <c r="Q133" s="124"/>
      <c r="R133" s="124"/>
      <c r="S133" s="124"/>
      <c r="T133" s="124"/>
      <c r="U133" s="125"/>
      <c r="V133" s="124"/>
      <c r="W133" s="124"/>
      <c r="X133" s="124"/>
      <c r="Y133" s="124"/>
      <c r="Z133" s="124"/>
      <c r="AA133" s="124"/>
      <c r="AB133" s="124"/>
      <c r="AC133" s="124"/>
      <c r="AD133" s="124"/>
      <c r="AE133" s="124"/>
      <c r="AF133" s="124"/>
      <c r="AG133" s="124"/>
      <c r="AH133" s="124"/>
      <c r="AI133" s="124"/>
      <c r="AJ133" s="124"/>
      <c r="AK133" s="124"/>
      <c r="AL133" s="124"/>
      <c r="AM133" s="124"/>
      <c r="AN133" s="125"/>
      <c r="AO133" s="125"/>
      <c r="AP133" s="81"/>
      <c r="AQ133" s="82"/>
      <c r="AR133" s="96"/>
      <c r="AS133" s="96"/>
      <c r="AT133" s="96"/>
      <c r="AU133" s="82"/>
      <c r="AW133" s="95"/>
      <c r="BD133" s="95"/>
      <c r="BE133" s="95"/>
      <c r="BF133" s="95"/>
      <c r="BG133" s="95"/>
    </row>
    <row r="134" spans="1:59" s="83" customFormat="1">
      <c r="A134" s="124"/>
      <c r="B134" s="124"/>
      <c r="C134" s="124"/>
      <c r="D134" s="124"/>
      <c r="E134" s="124"/>
      <c r="F134" s="124"/>
      <c r="G134" s="124"/>
      <c r="H134" s="124"/>
      <c r="I134" s="124"/>
      <c r="J134" s="124"/>
      <c r="K134" s="124"/>
      <c r="L134" s="124"/>
      <c r="M134" s="124"/>
      <c r="N134" s="124"/>
      <c r="O134" s="124"/>
      <c r="P134" s="124"/>
      <c r="Q134" s="124"/>
      <c r="R134" s="124"/>
      <c r="S134" s="124"/>
      <c r="T134" s="124"/>
      <c r="U134" s="125"/>
      <c r="V134" s="124"/>
      <c r="W134" s="124"/>
      <c r="X134" s="124"/>
      <c r="Y134" s="124"/>
      <c r="Z134" s="124"/>
      <c r="AA134" s="124"/>
      <c r="AB134" s="124"/>
      <c r="AC134" s="124"/>
      <c r="AD134" s="124"/>
      <c r="AE134" s="124"/>
      <c r="AF134" s="124"/>
      <c r="AG134" s="124"/>
      <c r="AH134" s="124"/>
      <c r="AI134" s="124"/>
      <c r="AJ134" s="124"/>
      <c r="AK134" s="124"/>
      <c r="AL134" s="124"/>
      <c r="AM134" s="124"/>
      <c r="AN134" s="125"/>
      <c r="AO134" s="125"/>
      <c r="AP134" s="81"/>
      <c r="AQ134" s="82"/>
      <c r="AR134" s="96"/>
      <c r="AS134" s="96"/>
      <c r="AT134" s="96"/>
      <c r="AU134" s="82"/>
      <c r="AW134" s="95"/>
      <c r="BD134" s="95"/>
      <c r="BE134" s="95"/>
      <c r="BF134" s="95"/>
      <c r="BG134" s="95"/>
    </row>
    <row r="135" spans="1:59" s="83" customFormat="1">
      <c r="A135" s="124"/>
      <c r="B135" s="124"/>
      <c r="C135" s="124"/>
      <c r="D135" s="124"/>
      <c r="E135" s="124"/>
      <c r="F135" s="124"/>
      <c r="G135" s="124"/>
      <c r="H135" s="124"/>
      <c r="I135" s="124"/>
      <c r="J135" s="124"/>
      <c r="K135" s="124"/>
      <c r="L135" s="124"/>
      <c r="M135" s="124"/>
      <c r="N135" s="124"/>
      <c r="O135" s="124"/>
      <c r="P135" s="124"/>
      <c r="Q135" s="124"/>
      <c r="R135" s="124"/>
      <c r="S135" s="124"/>
      <c r="T135" s="124"/>
      <c r="U135" s="125"/>
      <c r="V135" s="124"/>
      <c r="W135" s="124"/>
      <c r="X135" s="124"/>
      <c r="Y135" s="124"/>
      <c r="Z135" s="124"/>
      <c r="AA135" s="124"/>
      <c r="AB135" s="124"/>
      <c r="AC135" s="124"/>
      <c r="AD135" s="124"/>
      <c r="AE135" s="124"/>
      <c r="AF135" s="124"/>
      <c r="AG135" s="124"/>
      <c r="AH135" s="124"/>
      <c r="AI135" s="124"/>
      <c r="AJ135" s="124"/>
      <c r="AK135" s="124"/>
      <c r="AL135" s="124"/>
      <c r="AM135" s="124"/>
      <c r="AN135" s="125"/>
      <c r="AO135" s="125"/>
      <c r="AP135" s="81"/>
      <c r="AQ135" s="82"/>
      <c r="AR135" s="96"/>
      <c r="AS135" s="96"/>
      <c r="AT135" s="96"/>
      <c r="AU135" s="82"/>
      <c r="AW135" s="95"/>
      <c r="BD135" s="95"/>
      <c r="BE135" s="95"/>
      <c r="BF135" s="95"/>
      <c r="BG135" s="95"/>
    </row>
    <row r="136" spans="1:59" s="83" customFormat="1">
      <c r="A136" s="124"/>
      <c r="B136" s="124"/>
      <c r="C136" s="124"/>
      <c r="D136" s="124"/>
      <c r="E136" s="124"/>
      <c r="F136" s="124"/>
      <c r="G136" s="124"/>
      <c r="H136" s="124"/>
      <c r="I136" s="124"/>
      <c r="J136" s="124"/>
      <c r="K136" s="124"/>
      <c r="L136" s="124"/>
      <c r="M136" s="124"/>
      <c r="N136" s="124"/>
      <c r="O136" s="124"/>
      <c r="P136" s="124"/>
      <c r="Q136" s="124"/>
      <c r="R136" s="124"/>
      <c r="S136" s="124"/>
      <c r="T136" s="124"/>
      <c r="U136" s="125"/>
      <c r="V136" s="124"/>
      <c r="W136" s="124"/>
      <c r="X136" s="124"/>
      <c r="Y136" s="124"/>
      <c r="Z136" s="124"/>
      <c r="AA136" s="124"/>
      <c r="AB136" s="124"/>
      <c r="AC136" s="124"/>
      <c r="AD136" s="124"/>
      <c r="AE136" s="124"/>
      <c r="AF136" s="124"/>
      <c r="AG136" s="124"/>
      <c r="AH136" s="124"/>
      <c r="AI136" s="124"/>
      <c r="AJ136" s="124"/>
      <c r="AK136" s="124"/>
      <c r="AL136" s="124"/>
      <c r="AM136" s="124"/>
      <c r="AN136" s="125"/>
      <c r="AO136" s="125"/>
      <c r="AP136" s="81"/>
      <c r="AQ136" s="82"/>
      <c r="AR136" s="96"/>
      <c r="AS136" s="96"/>
      <c r="AT136" s="96"/>
      <c r="AU136" s="82"/>
      <c r="AW136" s="95"/>
      <c r="BD136" s="95"/>
      <c r="BE136" s="95"/>
      <c r="BF136" s="95"/>
      <c r="BG136" s="95"/>
    </row>
    <row r="137" spans="1:59" s="83" customFormat="1">
      <c r="A137" s="124"/>
      <c r="B137" s="124"/>
      <c r="C137" s="124"/>
      <c r="D137" s="124"/>
      <c r="E137" s="124"/>
      <c r="F137" s="124"/>
      <c r="G137" s="124"/>
      <c r="H137" s="124"/>
      <c r="I137" s="124"/>
      <c r="J137" s="124"/>
      <c r="K137" s="124"/>
      <c r="L137" s="124"/>
      <c r="M137" s="124"/>
      <c r="N137" s="124"/>
      <c r="O137" s="124"/>
      <c r="P137" s="124"/>
      <c r="Q137" s="124"/>
      <c r="R137" s="124"/>
      <c r="S137" s="124"/>
      <c r="T137" s="124"/>
      <c r="U137" s="125"/>
      <c r="V137" s="124"/>
      <c r="W137" s="124"/>
      <c r="X137" s="124"/>
      <c r="Y137" s="124"/>
      <c r="Z137" s="124"/>
      <c r="AA137" s="124"/>
      <c r="AB137" s="124"/>
      <c r="AC137" s="124"/>
      <c r="AD137" s="124"/>
      <c r="AE137" s="124"/>
      <c r="AF137" s="124"/>
      <c r="AG137" s="124"/>
      <c r="AH137" s="124"/>
      <c r="AI137" s="124"/>
      <c r="AJ137" s="124"/>
      <c r="AK137" s="124"/>
      <c r="AL137" s="124"/>
      <c r="AM137" s="124"/>
      <c r="AN137" s="125"/>
      <c r="AO137" s="125"/>
      <c r="AP137" s="81"/>
      <c r="AQ137" s="82"/>
      <c r="AR137" s="96"/>
      <c r="AS137" s="96"/>
      <c r="AT137" s="96"/>
      <c r="AU137" s="82"/>
      <c r="AW137" s="95"/>
      <c r="BD137" s="95"/>
      <c r="BE137" s="95"/>
      <c r="BF137" s="95"/>
      <c r="BG137" s="95"/>
    </row>
    <row r="138" spans="1:59" s="83" customFormat="1">
      <c r="A138" s="124"/>
      <c r="B138" s="124"/>
      <c r="C138" s="124"/>
      <c r="D138" s="124"/>
      <c r="E138" s="124"/>
      <c r="F138" s="124"/>
      <c r="G138" s="124"/>
      <c r="H138" s="124"/>
      <c r="I138" s="124"/>
      <c r="J138" s="124"/>
      <c r="K138" s="124"/>
      <c r="L138" s="124"/>
      <c r="M138" s="124"/>
      <c r="N138" s="124"/>
      <c r="O138" s="124"/>
      <c r="P138" s="124"/>
      <c r="Q138" s="124"/>
      <c r="R138" s="124"/>
      <c r="S138" s="124"/>
      <c r="T138" s="124"/>
      <c r="U138" s="125"/>
      <c r="V138" s="124"/>
      <c r="W138" s="124"/>
      <c r="X138" s="124"/>
      <c r="Y138" s="124"/>
      <c r="Z138" s="124"/>
      <c r="AA138" s="124"/>
      <c r="AB138" s="124"/>
      <c r="AC138" s="124"/>
      <c r="AD138" s="124"/>
      <c r="AE138" s="124"/>
      <c r="AF138" s="124"/>
      <c r="AG138" s="124"/>
      <c r="AH138" s="124"/>
      <c r="AI138" s="124"/>
      <c r="AJ138" s="124"/>
      <c r="AK138" s="124"/>
      <c r="AL138" s="124"/>
      <c r="AM138" s="124"/>
      <c r="AN138" s="125"/>
      <c r="AO138" s="125"/>
      <c r="AP138" s="81"/>
      <c r="AQ138" s="82"/>
      <c r="AR138" s="96"/>
      <c r="AS138" s="96"/>
      <c r="AT138" s="96"/>
      <c r="AU138" s="82"/>
      <c r="AW138" s="95"/>
      <c r="BD138" s="95"/>
      <c r="BE138" s="95"/>
      <c r="BF138" s="95"/>
      <c r="BG138" s="95"/>
    </row>
    <row r="139" spans="1:59" s="83" customFormat="1">
      <c r="A139" s="124"/>
      <c r="B139" s="124"/>
      <c r="C139" s="124"/>
      <c r="D139" s="124"/>
      <c r="E139" s="124"/>
      <c r="F139" s="124"/>
      <c r="G139" s="124"/>
      <c r="H139" s="124"/>
      <c r="I139" s="124"/>
      <c r="J139" s="124"/>
      <c r="K139" s="124"/>
      <c r="L139" s="124"/>
      <c r="M139" s="124"/>
      <c r="N139" s="124"/>
      <c r="O139" s="124"/>
      <c r="P139" s="124"/>
      <c r="Q139" s="124"/>
      <c r="R139" s="124"/>
      <c r="S139" s="124"/>
      <c r="T139" s="124"/>
      <c r="U139" s="125"/>
      <c r="V139" s="124"/>
      <c r="W139" s="124"/>
      <c r="X139" s="124"/>
      <c r="Y139" s="124"/>
      <c r="Z139" s="124"/>
      <c r="AA139" s="124"/>
      <c r="AB139" s="124"/>
      <c r="AC139" s="124"/>
      <c r="AD139" s="124"/>
      <c r="AE139" s="124"/>
      <c r="AF139" s="124"/>
      <c r="AG139" s="124"/>
      <c r="AH139" s="124"/>
      <c r="AI139" s="124"/>
      <c r="AJ139" s="124"/>
      <c r="AK139" s="124"/>
      <c r="AL139" s="124"/>
      <c r="AM139" s="124"/>
      <c r="AN139" s="125"/>
      <c r="AO139" s="125"/>
      <c r="AP139" s="81"/>
      <c r="AQ139" s="82"/>
      <c r="AR139" s="96"/>
      <c r="AS139" s="96"/>
      <c r="AT139" s="96"/>
      <c r="AU139" s="82"/>
      <c r="AW139" s="95"/>
      <c r="BD139" s="95"/>
      <c r="BE139" s="95"/>
      <c r="BF139" s="95"/>
      <c r="BG139" s="95"/>
    </row>
    <row r="140" spans="1:59" s="83" customFormat="1">
      <c r="A140" s="124"/>
      <c r="B140" s="124"/>
      <c r="C140" s="124"/>
      <c r="D140" s="124"/>
      <c r="E140" s="124"/>
      <c r="F140" s="124"/>
      <c r="G140" s="124"/>
      <c r="H140" s="124"/>
      <c r="I140" s="124"/>
      <c r="J140" s="124"/>
      <c r="K140" s="124"/>
      <c r="L140" s="124"/>
      <c r="M140" s="124"/>
      <c r="N140" s="124"/>
      <c r="O140" s="124"/>
      <c r="P140" s="124"/>
      <c r="Q140" s="124"/>
      <c r="R140" s="124"/>
      <c r="S140" s="124"/>
      <c r="T140" s="124"/>
      <c r="U140" s="125"/>
      <c r="V140" s="124"/>
      <c r="W140" s="124"/>
      <c r="X140" s="124"/>
      <c r="Y140" s="124"/>
      <c r="Z140" s="124"/>
      <c r="AA140" s="124"/>
      <c r="AB140" s="124"/>
      <c r="AC140" s="124"/>
      <c r="AD140" s="124"/>
      <c r="AE140" s="124"/>
      <c r="AF140" s="124"/>
      <c r="AG140" s="124"/>
      <c r="AH140" s="124"/>
      <c r="AI140" s="124"/>
      <c r="AJ140" s="124"/>
      <c r="AK140" s="124"/>
      <c r="AL140" s="124"/>
      <c r="AM140" s="124"/>
      <c r="AN140" s="125"/>
      <c r="AO140" s="125"/>
      <c r="AP140" s="81"/>
      <c r="AQ140" s="82"/>
      <c r="AR140" s="96"/>
      <c r="AS140" s="96"/>
      <c r="AT140" s="96"/>
      <c r="AU140" s="82"/>
      <c r="AW140" s="95"/>
      <c r="BD140" s="95"/>
      <c r="BE140" s="95"/>
      <c r="BF140" s="95"/>
      <c r="BG140" s="95"/>
    </row>
    <row r="141" spans="1:59" s="83" customFormat="1">
      <c r="A141" s="124"/>
      <c r="B141" s="124"/>
      <c r="C141" s="124"/>
      <c r="D141" s="124"/>
      <c r="E141" s="124"/>
      <c r="F141" s="124"/>
      <c r="G141" s="124"/>
      <c r="H141" s="124"/>
      <c r="I141" s="124"/>
      <c r="J141" s="124"/>
      <c r="K141" s="124"/>
      <c r="L141" s="124"/>
      <c r="M141" s="124"/>
      <c r="N141" s="124"/>
      <c r="O141" s="124"/>
      <c r="P141" s="124"/>
      <c r="Q141" s="124"/>
      <c r="R141" s="124"/>
      <c r="S141" s="124"/>
      <c r="T141" s="124"/>
      <c r="U141" s="125"/>
      <c r="V141" s="124"/>
      <c r="W141" s="124"/>
      <c r="X141" s="124"/>
      <c r="Y141" s="124"/>
      <c r="Z141" s="124"/>
      <c r="AA141" s="124"/>
      <c r="AB141" s="124"/>
      <c r="AC141" s="124"/>
      <c r="AD141" s="124"/>
      <c r="AE141" s="124"/>
      <c r="AF141" s="124"/>
      <c r="AG141" s="124"/>
      <c r="AH141" s="124"/>
      <c r="AI141" s="124"/>
      <c r="AJ141" s="124"/>
      <c r="AK141" s="124"/>
      <c r="AL141" s="124"/>
      <c r="AM141" s="124"/>
      <c r="AN141" s="125"/>
      <c r="AO141" s="125"/>
      <c r="AP141" s="81"/>
      <c r="AQ141" s="82"/>
      <c r="AR141" s="96"/>
      <c r="AS141" s="96"/>
      <c r="AT141" s="96"/>
      <c r="AU141" s="82"/>
      <c r="AW141" s="95"/>
      <c r="BD141" s="95"/>
      <c r="BE141" s="95"/>
      <c r="BF141" s="95"/>
      <c r="BG141" s="95"/>
    </row>
    <row r="142" spans="1:59" s="83" customFormat="1">
      <c r="A142" s="124"/>
      <c r="B142" s="124"/>
      <c r="C142" s="124"/>
      <c r="D142" s="124"/>
      <c r="E142" s="124"/>
      <c r="F142" s="124"/>
      <c r="G142" s="124"/>
      <c r="H142" s="124"/>
      <c r="I142" s="124"/>
      <c r="J142" s="124"/>
      <c r="K142" s="124"/>
      <c r="L142" s="124"/>
      <c r="M142" s="124"/>
      <c r="N142" s="124"/>
      <c r="O142" s="124"/>
      <c r="P142" s="124"/>
      <c r="Q142" s="124"/>
      <c r="R142" s="124"/>
      <c r="S142" s="124"/>
      <c r="T142" s="124"/>
      <c r="U142" s="125"/>
      <c r="V142" s="124"/>
      <c r="W142" s="124"/>
      <c r="X142" s="124"/>
      <c r="Y142" s="124"/>
      <c r="Z142" s="124"/>
      <c r="AA142" s="124"/>
      <c r="AB142" s="124"/>
      <c r="AC142" s="124"/>
      <c r="AD142" s="124"/>
      <c r="AE142" s="124"/>
      <c r="AF142" s="124"/>
      <c r="AG142" s="124"/>
      <c r="AH142" s="124"/>
      <c r="AI142" s="124"/>
      <c r="AJ142" s="124"/>
      <c r="AK142" s="124"/>
      <c r="AL142" s="124"/>
      <c r="AM142" s="124"/>
      <c r="AN142" s="125"/>
      <c r="AO142" s="125"/>
      <c r="AP142" s="81"/>
      <c r="AQ142" s="82"/>
      <c r="AR142" s="96"/>
      <c r="AS142" s="96"/>
      <c r="AT142" s="96"/>
      <c r="AU142" s="82"/>
      <c r="AW142" s="95"/>
      <c r="BD142" s="95"/>
      <c r="BE142" s="95"/>
      <c r="BF142" s="95"/>
      <c r="BG142" s="95"/>
    </row>
    <row r="143" spans="1:59" s="83" customFormat="1">
      <c r="A143" s="124"/>
      <c r="B143" s="124"/>
      <c r="C143" s="124"/>
      <c r="D143" s="124"/>
      <c r="E143" s="124"/>
      <c r="F143" s="124"/>
      <c r="G143" s="124"/>
      <c r="H143" s="124"/>
      <c r="I143" s="124"/>
      <c r="J143" s="124"/>
      <c r="K143" s="124"/>
      <c r="L143" s="124"/>
      <c r="M143" s="124"/>
      <c r="N143" s="124"/>
      <c r="O143" s="124"/>
      <c r="P143" s="124"/>
      <c r="Q143" s="124"/>
      <c r="R143" s="124"/>
      <c r="S143" s="124"/>
      <c r="T143" s="124"/>
      <c r="U143" s="125"/>
      <c r="V143" s="124"/>
      <c r="W143" s="124"/>
      <c r="X143" s="124"/>
      <c r="Y143" s="124"/>
      <c r="Z143" s="124"/>
      <c r="AA143" s="124"/>
      <c r="AB143" s="124"/>
      <c r="AC143" s="124"/>
      <c r="AD143" s="124"/>
      <c r="AE143" s="124"/>
      <c r="AF143" s="124"/>
      <c r="AG143" s="124"/>
      <c r="AH143" s="124"/>
      <c r="AI143" s="124"/>
      <c r="AJ143" s="124"/>
      <c r="AK143" s="124"/>
      <c r="AL143" s="124"/>
      <c r="AM143" s="124"/>
      <c r="AN143" s="125"/>
      <c r="AO143" s="125"/>
      <c r="AP143" s="81"/>
      <c r="AQ143" s="82"/>
      <c r="AR143" s="96"/>
      <c r="AS143" s="96"/>
      <c r="AT143" s="96"/>
      <c r="AU143" s="82"/>
      <c r="AW143" s="95"/>
      <c r="BD143" s="95"/>
      <c r="BE143" s="95"/>
      <c r="BF143" s="95"/>
      <c r="BG143" s="95"/>
    </row>
    <row r="144" spans="1:59" s="83" customFormat="1">
      <c r="A144" s="124"/>
      <c r="B144" s="124"/>
      <c r="C144" s="124"/>
      <c r="D144" s="124"/>
      <c r="E144" s="124"/>
      <c r="F144" s="124"/>
      <c r="G144" s="124"/>
      <c r="H144" s="124"/>
      <c r="I144" s="124"/>
      <c r="J144" s="124"/>
      <c r="K144" s="124"/>
      <c r="L144" s="124"/>
      <c r="M144" s="124"/>
      <c r="N144" s="124"/>
      <c r="O144" s="124"/>
      <c r="P144" s="124"/>
      <c r="Q144" s="124"/>
      <c r="R144" s="124"/>
      <c r="S144" s="124"/>
      <c r="T144" s="124"/>
      <c r="U144" s="125"/>
      <c r="V144" s="124"/>
      <c r="W144" s="124"/>
      <c r="X144" s="124"/>
      <c r="Y144" s="124"/>
      <c r="Z144" s="124"/>
      <c r="AA144" s="124"/>
      <c r="AB144" s="124"/>
      <c r="AC144" s="124"/>
      <c r="AD144" s="124"/>
      <c r="AE144" s="124"/>
      <c r="AF144" s="124"/>
      <c r="AG144" s="124"/>
      <c r="AH144" s="124"/>
      <c r="AI144" s="124"/>
      <c r="AJ144" s="124"/>
      <c r="AK144" s="124"/>
      <c r="AL144" s="124"/>
      <c r="AM144" s="124"/>
      <c r="AN144" s="125"/>
      <c r="AO144" s="125"/>
      <c r="AP144" s="81"/>
      <c r="AQ144" s="82"/>
      <c r="AR144" s="96"/>
      <c r="AS144" s="96"/>
      <c r="AT144" s="96"/>
      <c r="AU144" s="82"/>
      <c r="AW144" s="95"/>
      <c r="BD144" s="95"/>
      <c r="BE144" s="95"/>
      <c r="BF144" s="95"/>
      <c r="BG144" s="95"/>
    </row>
    <row r="145" spans="1:59" s="83" customFormat="1">
      <c r="A145" s="124"/>
      <c r="B145" s="124"/>
      <c r="C145" s="124"/>
      <c r="D145" s="124"/>
      <c r="E145" s="124"/>
      <c r="F145" s="124"/>
      <c r="G145" s="124"/>
      <c r="H145" s="124"/>
      <c r="I145" s="124"/>
      <c r="J145" s="124"/>
      <c r="K145" s="124"/>
      <c r="L145" s="124"/>
      <c r="M145" s="124"/>
      <c r="N145" s="124"/>
      <c r="O145" s="124"/>
      <c r="P145" s="124"/>
      <c r="Q145" s="124"/>
      <c r="R145" s="124"/>
      <c r="S145" s="124"/>
      <c r="T145" s="124"/>
      <c r="U145" s="125"/>
      <c r="V145" s="124"/>
      <c r="W145" s="124"/>
      <c r="X145" s="124"/>
      <c r="Y145" s="124"/>
      <c r="Z145" s="124"/>
      <c r="AA145" s="124"/>
      <c r="AB145" s="124"/>
      <c r="AC145" s="124"/>
      <c r="AD145" s="124"/>
      <c r="AE145" s="124"/>
      <c r="AF145" s="124"/>
      <c r="AG145" s="124"/>
      <c r="AH145" s="124"/>
      <c r="AI145" s="124"/>
      <c r="AJ145" s="124"/>
      <c r="AK145" s="124"/>
      <c r="AL145" s="124"/>
      <c r="AM145" s="124"/>
      <c r="AN145" s="125"/>
      <c r="AO145" s="125"/>
      <c r="AP145" s="81"/>
      <c r="AQ145" s="82"/>
      <c r="AR145" s="96"/>
      <c r="AS145" s="96"/>
      <c r="AT145" s="96"/>
      <c r="AU145" s="82"/>
      <c r="AW145" s="95"/>
      <c r="BD145" s="95"/>
      <c r="BE145" s="95"/>
      <c r="BF145" s="95"/>
      <c r="BG145" s="95"/>
    </row>
    <row r="146" spans="1:59" s="83" customFormat="1">
      <c r="A146" s="124"/>
      <c r="B146" s="124"/>
      <c r="C146" s="124"/>
      <c r="D146" s="124"/>
      <c r="E146" s="124"/>
      <c r="F146" s="124"/>
      <c r="G146" s="124"/>
      <c r="H146" s="124"/>
      <c r="I146" s="124"/>
      <c r="J146" s="124"/>
      <c r="K146" s="124"/>
      <c r="L146" s="124"/>
      <c r="M146" s="124"/>
      <c r="N146" s="124"/>
      <c r="O146" s="124"/>
      <c r="P146" s="124"/>
      <c r="Q146" s="124"/>
      <c r="R146" s="124"/>
      <c r="S146" s="124"/>
      <c r="T146" s="124"/>
      <c r="U146" s="125"/>
      <c r="V146" s="124"/>
      <c r="W146" s="124"/>
      <c r="X146" s="124"/>
      <c r="Y146" s="124"/>
      <c r="Z146" s="124"/>
      <c r="AA146" s="124"/>
      <c r="AB146" s="124"/>
      <c r="AC146" s="124"/>
      <c r="AD146" s="124"/>
      <c r="AE146" s="124"/>
      <c r="AF146" s="124"/>
      <c r="AG146" s="124"/>
      <c r="AH146" s="124"/>
      <c r="AI146" s="124"/>
      <c r="AJ146" s="124"/>
      <c r="AK146" s="124"/>
      <c r="AL146" s="124"/>
      <c r="AM146" s="124"/>
      <c r="AN146" s="125"/>
      <c r="AO146" s="125"/>
      <c r="AP146" s="81"/>
      <c r="AQ146" s="82"/>
      <c r="AR146" s="96"/>
      <c r="AS146" s="96"/>
      <c r="AT146" s="96"/>
      <c r="AU146" s="82"/>
      <c r="AW146" s="95"/>
      <c r="BD146" s="95"/>
      <c r="BE146" s="95"/>
      <c r="BF146" s="95"/>
      <c r="BG146" s="95"/>
    </row>
    <row r="147" spans="1:59" s="83" customFormat="1">
      <c r="A147" s="124"/>
      <c r="B147" s="124"/>
      <c r="C147" s="124"/>
      <c r="D147" s="124"/>
      <c r="E147" s="124"/>
      <c r="F147" s="124"/>
      <c r="G147" s="124"/>
      <c r="H147" s="124"/>
      <c r="I147" s="124"/>
      <c r="J147" s="124"/>
      <c r="K147" s="124"/>
      <c r="L147" s="124"/>
      <c r="M147" s="124"/>
      <c r="N147" s="124"/>
      <c r="O147" s="124"/>
      <c r="P147" s="124"/>
      <c r="Q147" s="124"/>
      <c r="R147" s="124"/>
      <c r="S147" s="124"/>
      <c r="T147" s="124"/>
      <c r="U147" s="125"/>
      <c r="V147" s="124"/>
      <c r="W147" s="124"/>
      <c r="X147" s="124"/>
      <c r="Y147" s="124"/>
      <c r="Z147" s="124"/>
      <c r="AA147" s="124"/>
      <c r="AB147" s="124"/>
      <c r="AC147" s="124"/>
      <c r="AD147" s="124"/>
      <c r="AE147" s="124"/>
      <c r="AF147" s="124"/>
      <c r="AG147" s="124"/>
      <c r="AH147" s="124"/>
      <c r="AI147" s="124"/>
      <c r="AJ147" s="124"/>
      <c r="AK147" s="124"/>
      <c r="AL147" s="124"/>
      <c r="AM147" s="124"/>
      <c r="AN147" s="125"/>
      <c r="AO147" s="125"/>
      <c r="AP147" s="81"/>
      <c r="AQ147" s="82"/>
      <c r="AR147" s="96"/>
      <c r="AS147" s="96"/>
      <c r="AT147" s="96"/>
      <c r="AU147" s="82"/>
      <c r="AW147" s="95"/>
      <c r="BD147" s="95"/>
      <c r="BE147" s="95"/>
      <c r="BF147" s="95"/>
      <c r="BG147" s="95"/>
    </row>
    <row r="148" spans="1:59" s="83" customFormat="1">
      <c r="A148" s="124"/>
      <c r="B148" s="124"/>
      <c r="C148" s="124"/>
      <c r="D148" s="124"/>
      <c r="E148" s="124"/>
      <c r="F148" s="124"/>
      <c r="G148" s="124"/>
      <c r="H148" s="124"/>
      <c r="I148" s="124"/>
      <c r="J148" s="124"/>
      <c r="K148" s="124"/>
      <c r="L148" s="124"/>
      <c r="M148" s="124"/>
      <c r="N148" s="124"/>
      <c r="O148" s="124"/>
      <c r="P148" s="124"/>
      <c r="Q148" s="124"/>
      <c r="R148" s="124"/>
      <c r="S148" s="124"/>
      <c r="T148" s="124"/>
      <c r="U148" s="125"/>
      <c r="V148" s="124"/>
      <c r="W148" s="124"/>
      <c r="X148" s="124"/>
      <c r="Y148" s="124"/>
      <c r="Z148" s="124"/>
      <c r="AA148" s="124"/>
      <c r="AB148" s="124"/>
      <c r="AC148" s="124"/>
      <c r="AD148" s="124"/>
      <c r="AE148" s="124"/>
      <c r="AF148" s="124"/>
      <c r="AG148" s="124"/>
      <c r="AH148" s="124"/>
      <c r="AI148" s="124"/>
      <c r="AJ148" s="124"/>
      <c r="AK148" s="124"/>
      <c r="AL148" s="124"/>
      <c r="AM148" s="124"/>
      <c r="AN148" s="125"/>
      <c r="AO148" s="125"/>
      <c r="AP148" s="81"/>
      <c r="AQ148" s="82"/>
      <c r="AR148" s="96"/>
      <c r="AS148" s="96"/>
      <c r="AT148" s="96"/>
      <c r="AU148" s="82"/>
      <c r="AW148" s="95"/>
      <c r="BD148" s="95"/>
      <c r="BE148" s="95"/>
      <c r="BF148" s="95"/>
      <c r="BG148" s="95"/>
    </row>
    <row r="149" spans="1:59" s="83" customFormat="1">
      <c r="A149" s="124"/>
      <c r="B149" s="124"/>
      <c r="C149" s="124"/>
      <c r="D149" s="124"/>
      <c r="E149" s="124"/>
      <c r="F149" s="124"/>
      <c r="G149" s="124"/>
      <c r="H149" s="124"/>
      <c r="I149" s="124"/>
      <c r="J149" s="124"/>
      <c r="K149" s="124"/>
      <c r="L149" s="124"/>
      <c r="M149" s="124"/>
      <c r="N149" s="124"/>
      <c r="O149" s="124"/>
      <c r="P149" s="124"/>
      <c r="Q149" s="124"/>
      <c r="R149" s="124"/>
      <c r="S149" s="124"/>
      <c r="T149" s="124"/>
      <c r="U149" s="125"/>
      <c r="V149" s="124"/>
      <c r="W149" s="124"/>
      <c r="X149" s="124"/>
      <c r="Y149" s="124"/>
      <c r="Z149" s="124"/>
      <c r="AA149" s="124"/>
      <c r="AB149" s="124"/>
      <c r="AC149" s="124"/>
      <c r="AD149" s="124"/>
      <c r="AE149" s="124"/>
      <c r="AF149" s="124"/>
      <c r="AG149" s="124"/>
      <c r="AH149" s="124"/>
      <c r="AI149" s="124"/>
      <c r="AJ149" s="124"/>
      <c r="AK149" s="124"/>
      <c r="AL149" s="124"/>
      <c r="AM149" s="124"/>
      <c r="AN149" s="125"/>
      <c r="AO149" s="125"/>
      <c r="AP149" s="81"/>
      <c r="AQ149" s="82"/>
      <c r="AR149" s="96"/>
      <c r="AS149" s="96"/>
      <c r="AT149" s="96"/>
      <c r="AU149" s="82"/>
      <c r="AW149" s="95"/>
      <c r="BD149" s="95"/>
      <c r="BE149" s="95"/>
      <c r="BF149" s="95"/>
      <c r="BG149" s="95"/>
    </row>
    <row r="150" spans="1:59" s="83" customFormat="1">
      <c r="A150" s="124"/>
      <c r="B150" s="124"/>
      <c r="C150" s="124"/>
      <c r="D150" s="124"/>
      <c r="E150" s="124"/>
      <c r="F150" s="124"/>
      <c r="G150" s="124"/>
      <c r="H150" s="124"/>
      <c r="I150" s="124"/>
      <c r="J150" s="124"/>
      <c r="K150" s="124"/>
      <c r="L150" s="124"/>
      <c r="M150" s="124"/>
      <c r="N150" s="124"/>
      <c r="O150" s="124"/>
      <c r="P150" s="124"/>
      <c r="Q150" s="124"/>
      <c r="R150" s="124"/>
      <c r="S150" s="124"/>
      <c r="T150" s="124"/>
      <c r="U150" s="125"/>
      <c r="V150" s="124"/>
      <c r="W150" s="124"/>
      <c r="X150" s="124"/>
      <c r="Y150" s="124"/>
      <c r="Z150" s="124"/>
      <c r="AA150" s="124"/>
      <c r="AB150" s="124"/>
      <c r="AC150" s="124"/>
      <c r="AD150" s="124"/>
      <c r="AE150" s="124"/>
      <c r="AF150" s="124"/>
      <c r="AG150" s="124"/>
      <c r="AH150" s="124"/>
      <c r="AI150" s="124"/>
      <c r="AJ150" s="124"/>
      <c r="AK150" s="124"/>
      <c r="AL150" s="124"/>
      <c r="AM150" s="124"/>
      <c r="AN150" s="125"/>
      <c r="AO150" s="125"/>
      <c r="AP150" s="81"/>
      <c r="AQ150" s="82"/>
      <c r="AR150" s="96"/>
      <c r="AS150" s="96"/>
      <c r="AT150" s="96"/>
      <c r="AU150" s="82"/>
      <c r="AW150" s="95"/>
      <c r="BD150" s="95"/>
      <c r="BE150" s="95"/>
      <c r="BF150" s="95"/>
      <c r="BG150" s="95"/>
    </row>
    <row r="151" spans="1:59" s="83" customFormat="1">
      <c r="A151" s="124"/>
      <c r="B151" s="124"/>
      <c r="C151" s="124"/>
      <c r="D151" s="124"/>
      <c r="E151" s="124"/>
      <c r="F151" s="124"/>
      <c r="G151" s="124"/>
      <c r="H151" s="124"/>
      <c r="I151" s="124"/>
      <c r="J151" s="124"/>
      <c r="K151" s="124"/>
      <c r="L151" s="124"/>
      <c r="M151" s="124"/>
      <c r="N151" s="124"/>
      <c r="O151" s="124"/>
      <c r="P151" s="124"/>
      <c r="Q151" s="124"/>
      <c r="R151" s="124"/>
      <c r="S151" s="124"/>
      <c r="T151" s="124"/>
      <c r="U151" s="125"/>
      <c r="V151" s="124"/>
      <c r="W151" s="124"/>
      <c r="X151" s="124"/>
      <c r="Y151" s="124"/>
      <c r="Z151" s="124"/>
      <c r="AA151" s="124"/>
      <c r="AB151" s="124"/>
      <c r="AC151" s="124"/>
      <c r="AD151" s="124"/>
      <c r="AE151" s="124"/>
      <c r="AF151" s="124"/>
      <c r="AG151" s="124"/>
      <c r="AH151" s="124"/>
      <c r="AI151" s="124"/>
      <c r="AJ151" s="124"/>
      <c r="AK151" s="124"/>
      <c r="AL151" s="124"/>
      <c r="AM151" s="124"/>
      <c r="AN151" s="125"/>
      <c r="AO151" s="125"/>
      <c r="AP151" s="81"/>
      <c r="AQ151" s="82"/>
      <c r="AR151" s="96"/>
      <c r="AS151" s="96"/>
      <c r="AT151" s="96"/>
      <c r="AU151" s="82"/>
      <c r="AW151" s="95"/>
      <c r="BD151" s="95"/>
      <c r="BE151" s="95"/>
      <c r="BF151" s="95"/>
      <c r="BG151" s="95"/>
    </row>
    <row r="152" spans="1:59" s="83" customFormat="1">
      <c r="A152" s="124"/>
      <c r="B152" s="124"/>
      <c r="C152" s="124"/>
      <c r="D152" s="124"/>
      <c r="E152" s="124"/>
      <c r="F152" s="124"/>
      <c r="G152" s="124"/>
      <c r="H152" s="124"/>
      <c r="I152" s="124"/>
      <c r="J152" s="124"/>
      <c r="K152" s="124"/>
      <c r="L152" s="124"/>
      <c r="M152" s="124"/>
      <c r="N152" s="124"/>
      <c r="O152" s="124"/>
      <c r="P152" s="124"/>
      <c r="Q152" s="124"/>
      <c r="R152" s="124"/>
      <c r="S152" s="124"/>
      <c r="T152" s="124"/>
      <c r="U152" s="125"/>
      <c r="V152" s="124"/>
      <c r="W152" s="124"/>
      <c r="X152" s="124"/>
      <c r="Y152" s="124"/>
      <c r="Z152" s="124"/>
      <c r="AA152" s="124"/>
      <c r="AB152" s="124"/>
      <c r="AC152" s="124"/>
      <c r="AD152" s="124"/>
      <c r="AE152" s="124"/>
      <c r="AF152" s="124"/>
      <c r="AG152" s="124"/>
      <c r="AH152" s="124"/>
      <c r="AI152" s="124"/>
      <c r="AJ152" s="124"/>
      <c r="AK152" s="124"/>
      <c r="AL152" s="124"/>
      <c r="AM152" s="124"/>
      <c r="AN152" s="125"/>
      <c r="AO152" s="125"/>
      <c r="AP152" s="81"/>
      <c r="AQ152" s="82"/>
      <c r="AR152" s="96"/>
      <c r="AS152" s="96"/>
      <c r="AT152" s="96"/>
      <c r="AU152" s="82"/>
      <c r="AW152" s="95"/>
      <c r="BD152" s="95"/>
      <c r="BE152" s="95"/>
      <c r="BF152" s="95"/>
      <c r="BG152" s="95"/>
    </row>
    <row r="153" spans="1:59" s="83" customFormat="1">
      <c r="A153" s="124"/>
      <c r="B153" s="124"/>
      <c r="C153" s="124"/>
      <c r="D153" s="124"/>
      <c r="E153" s="124"/>
      <c r="F153" s="124"/>
      <c r="G153" s="124"/>
      <c r="H153" s="124"/>
      <c r="I153" s="124"/>
      <c r="J153" s="124"/>
      <c r="K153" s="124"/>
      <c r="L153" s="124"/>
      <c r="M153" s="124"/>
      <c r="N153" s="124"/>
      <c r="O153" s="124"/>
      <c r="P153" s="124"/>
      <c r="Q153" s="124"/>
      <c r="R153" s="124"/>
      <c r="S153" s="124"/>
      <c r="T153" s="124"/>
      <c r="U153" s="125"/>
      <c r="V153" s="124"/>
      <c r="W153" s="124"/>
      <c r="X153" s="124"/>
      <c r="Y153" s="124"/>
      <c r="Z153" s="124"/>
      <c r="AA153" s="124"/>
      <c r="AB153" s="124"/>
      <c r="AC153" s="124"/>
      <c r="AD153" s="124"/>
      <c r="AE153" s="124"/>
      <c r="AF153" s="124"/>
      <c r="AG153" s="124"/>
      <c r="AH153" s="124"/>
      <c r="AI153" s="124"/>
      <c r="AJ153" s="124"/>
      <c r="AK153" s="124"/>
      <c r="AL153" s="124"/>
      <c r="AM153" s="124"/>
      <c r="AN153" s="125"/>
      <c r="AO153" s="125"/>
      <c r="AP153" s="81"/>
      <c r="AQ153" s="82"/>
      <c r="AR153" s="96"/>
      <c r="AS153" s="96"/>
      <c r="AT153" s="96"/>
      <c r="AU153" s="82"/>
      <c r="AW153" s="95"/>
      <c r="BD153" s="95"/>
      <c r="BE153" s="95"/>
      <c r="BF153" s="95"/>
      <c r="BG153" s="95"/>
    </row>
    <row r="154" spans="1:59" s="83" customFormat="1">
      <c r="A154" s="124"/>
      <c r="B154" s="124"/>
      <c r="C154" s="124"/>
      <c r="D154" s="124"/>
      <c r="E154" s="124"/>
      <c r="F154" s="124"/>
      <c r="G154" s="124"/>
      <c r="H154" s="124"/>
      <c r="I154" s="124"/>
      <c r="J154" s="124"/>
      <c r="K154" s="124"/>
      <c r="L154" s="124"/>
      <c r="M154" s="124"/>
      <c r="N154" s="124"/>
      <c r="O154" s="124"/>
      <c r="P154" s="124"/>
      <c r="Q154" s="124"/>
      <c r="R154" s="124"/>
      <c r="S154" s="124"/>
      <c r="T154" s="124"/>
      <c r="U154" s="125"/>
      <c r="V154" s="124"/>
      <c r="W154" s="124"/>
      <c r="X154" s="124"/>
      <c r="Y154" s="124"/>
      <c r="Z154" s="124"/>
      <c r="AA154" s="124"/>
      <c r="AB154" s="124"/>
      <c r="AC154" s="124"/>
      <c r="AD154" s="124"/>
      <c r="AE154" s="124"/>
      <c r="AF154" s="124"/>
      <c r="AG154" s="124"/>
      <c r="AH154" s="124"/>
      <c r="AI154" s="124"/>
      <c r="AJ154" s="124"/>
      <c r="AK154" s="124"/>
      <c r="AL154" s="124"/>
      <c r="AM154" s="124"/>
      <c r="AN154" s="125"/>
      <c r="AO154" s="125"/>
      <c r="AP154" s="81"/>
      <c r="AQ154" s="82"/>
      <c r="AR154" s="96"/>
      <c r="AS154" s="96"/>
      <c r="AT154" s="96"/>
      <c r="AU154" s="82"/>
      <c r="AW154" s="95"/>
      <c r="BD154" s="95"/>
      <c r="BE154" s="95"/>
      <c r="BF154" s="95"/>
      <c r="BG154" s="95"/>
    </row>
    <row r="155" spans="1:59" s="83" customFormat="1">
      <c r="A155" s="124"/>
      <c r="B155" s="124"/>
      <c r="C155" s="124"/>
      <c r="D155" s="124"/>
      <c r="E155" s="124"/>
      <c r="F155" s="124"/>
      <c r="G155" s="124"/>
      <c r="H155" s="124"/>
      <c r="I155" s="124"/>
      <c r="J155" s="124"/>
      <c r="K155" s="124"/>
      <c r="L155" s="124"/>
      <c r="M155" s="124"/>
      <c r="N155" s="124"/>
      <c r="O155" s="124"/>
      <c r="P155" s="124"/>
      <c r="Q155" s="124"/>
      <c r="R155" s="124"/>
      <c r="S155" s="124"/>
      <c r="T155" s="124"/>
      <c r="U155" s="125"/>
      <c r="V155" s="124"/>
      <c r="W155" s="124"/>
      <c r="X155" s="124"/>
      <c r="Y155" s="124"/>
      <c r="Z155" s="124"/>
      <c r="AA155" s="124"/>
      <c r="AB155" s="124"/>
      <c r="AC155" s="124"/>
      <c r="AD155" s="124"/>
      <c r="AE155" s="124"/>
      <c r="AF155" s="124"/>
      <c r="AG155" s="124"/>
      <c r="AH155" s="124"/>
      <c r="AI155" s="124"/>
      <c r="AJ155" s="124"/>
      <c r="AK155" s="124"/>
      <c r="AL155" s="124"/>
      <c r="AM155" s="124"/>
      <c r="AN155" s="125"/>
      <c r="AO155" s="125"/>
      <c r="AP155" s="81"/>
      <c r="AQ155" s="82"/>
      <c r="AR155" s="96"/>
      <c r="AS155" s="96"/>
      <c r="AT155" s="96"/>
      <c r="AU155" s="82"/>
      <c r="AW155" s="95"/>
      <c r="BD155" s="95"/>
      <c r="BE155" s="95"/>
      <c r="BF155" s="95"/>
      <c r="BG155" s="95"/>
    </row>
    <row r="156" spans="1:59" s="83" customFormat="1">
      <c r="A156" s="124"/>
      <c r="B156" s="124"/>
      <c r="C156" s="124"/>
      <c r="D156" s="124"/>
      <c r="E156" s="124"/>
      <c r="F156" s="124"/>
      <c r="G156" s="124"/>
      <c r="H156" s="124"/>
      <c r="I156" s="124"/>
      <c r="J156" s="124"/>
      <c r="K156" s="124"/>
      <c r="L156" s="124"/>
      <c r="M156" s="124"/>
      <c r="N156" s="124"/>
      <c r="O156" s="124"/>
      <c r="P156" s="124"/>
      <c r="Q156" s="124"/>
      <c r="R156" s="124"/>
      <c r="S156" s="124"/>
      <c r="T156" s="124"/>
      <c r="U156" s="125"/>
      <c r="V156" s="124"/>
      <c r="W156" s="124"/>
      <c r="X156" s="124"/>
      <c r="Y156" s="124"/>
      <c r="Z156" s="124"/>
      <c r="AA156" s="124"/>
      <c r="AB156" s="124"/>
      <c r="AC156" s="124"/>
      <c r="AD156" s="124"/>
      <c r="AE156" s="124"/>
      <c r="AF156" s="124"/>
      <c r="AG156" s="124"/>
      <c r="AH156" s="124"/>
      <c r="AI156" s="124"/>
      <c r="AJ156" s="124"/>
      <c r="AK156" s="124"/>
      <c r="AL156" s="124"/>
      <c r="AM156" s="124"/>
      <c r="AN156" s="125"/>
      <c r="AO156" s="125"/>
      <c r="AP156" s="81"/>
      <c r="AQ156" s="82"/>
      <c r="AR156" s="96"/>
      <c r="AS156" s="96"/>
      <c r="AT156" s="96"/>
      <c r="AU156" s="82"/>
      <c r="AW156" s="95"/>
      <c r="BD156" s="95"/>
      <c r="BE156" s="95"/>
      <c r="BF156" s="95"/>
      <c r="BG156" s="95"/>
    </row>
    <row r="157" spans="1:59" s="83" customFormat="1">
      <c r="A157" s="124"/>
      <c r="B157" s="124"/>
      <c r="C157" s="124"/>
      <c r="D157" s="124"/>
      <c r="E157" s="124"/>
      <c r="F157" s="124"/>
      <c r="G157" s="124"/>
      <c r="H157" s="124"/>
      <c r="I157" s="124"/>
      <c r="J157" s="124"/>
      <c r="K157" s="124"/>
      <c r="L157" s="124"/>
      <c r="M157" s="124"/>
      <c r="N157" s="124"/>
      <c r="O157" s="124"/>
      <c r="P157" s="124"/>
      <c r="Q157" s="124"/>
      <c r="R157" s="124"/>
      <c r="S157" s="124"/>
      <c r="T157" s="124"/>
      <c r="U157" s="125"/>
      <c r="V157" s="124"/>
      <c r="W157" s="124"/>
      <c r="X157" s="124"/>
      <c r="Y157" s="124"/>
      <c r="Z157" s="124"/>
      <c r="AA157" s="124"/>
      <c r="AB157" s="124"/>
      <c r="AC157" s="124"/>
      <c r="AD157" s="124"/>
      <c r="AE157" s="124"/>
      <c r="AF157" s="124"/>
      <c r="AG157" s="124"/>
      <c r="AH157" s="124"/>
      <c r="AI157" s="124"/>
      <c r="AJ157" s="124"/>
      <c r="AK157" s="124"/>
      <c r="AL157" s="124"/>
      <c r="AM157" s="124"/>
      <c r="AN157" s="125"/>
      <c r="AO157" s="125"/>
      <c r="AP157" s="81"/>
      <c r="AQ157" s="82"/>
      <c r="AR157" s="96"/>
      <c r="AS157" s="96"/>
      <c r="AT157" s="96"/>
      <c r="AU157" s="82"/>
      <c r="AW157" s="95"/>
      <c r="BD157" s="95"/>
      <c r="BE157" s="95"/>
      <c r="BF157" s="95"/>
      <c r="BG157" s="95"/>
    </row>
    <row r="158" spans="1:59" s="83" customFormat="1">
      <c r="A158" s="124"/>
      <c r="B158" s="124"/>
      <c r="C158" s="124"/>
      <c r="D158" s="124"/>
      <c r="E158" s="124"/>
      <c r="F158" s="124"/>
      <c r="G158" s="124"/>
      <c r="H158" s="124"/>
      <c r="I158" s="124"/>
      <c r="J158" s="124"/>
      <c r="K158" s="124"/>
      <c r="L158" s="124"/>
      <c r="M158" s="124"/>
      <c r="N158" s="124"/>
      <c r="O158" s="124"/>
      <c r="P158" s="124"/>
      <c r="Q158" s="124"/>
      <c r="R158" s="124"/>
      <c r="S158" s="124"/>
      <c r="T158" s="124"/>
      <c r="U158" s="125"/>
      <c r="V158" s="124"/>
      <c r="W158" s="124"/>
      <c r="X158" s="124"/>
      <c r="Y158" s="124"/>
      <c r="Z158" s="124"/>
      <c r="AA158" s="124"/>
      <c r="AB158" s="124"/>
      <c r="AC158" s="124"/>
      <c r="AD158" s="124"/>
      <c r="AE158" s="124"/>
      <c r="AF158" s="124"/>
      <c r="AG158" s="124"/>
      <c r="AH158" s="124"/>
      <c r="AI158" s="124"/>
      <c r="AJ158" s="124"/>
      <c r="AK158" s="124"/>
      <c r="AL158" s="124"/>
      <c r="AM158" s="124"/>
      <c r="AN158" s="125"/>
      <c r="AO158" s="125"/>
      <c r="AP158" s="81"/>
      <c r="AQ158" s="82"/>
      <c r="AR158" s="96"/>
      <c r="AS158" s="96"/>
      <c r="AT158" s="96"/>
      <c r="AU158" s="82"/>
      <c r="AW158" s="95"/>
      <c r="BD158" s="95"/>
      <c r="BE158" s="95"/>
      <c r="BF158" s="95"/>
      <c r="BG158" s="95"/>
    </row>
    <row r="159" spans="1:59" s="83" customFormat="1">
      <c r="A159" s="124"/>
      <c r="B159" s="124"/>
      <c r="C159" s="124"/>
      <c r="D159" s="124"/>
      <c r="E159" s="124"/>
      <c r="F159" s="124"/>
      <c r="G159" s="124"/>
      <c r="H159" s="124"/>
      <c r="I159" s="124"/>
      <c r="J159" s="124"/>
      <c r="K159" s="124"/>
      <c r="L159" s="124"/>
      <c r="M159" s="124"/>
      <c r="N159" s="124"/>
      <c r="O159" s="124"/>
      <c r="P159" s="124"/>
      <c r="Q159" s="124"/>
      <c r="R159" s="124"/>
      <c r="S159" s="124"/>
      <c r="T159" s="124"/>
      <c r="U159" s="125"/>
      <c r="V159" s="124"/>
      <c r="W159" s="124"/>
      <c r="X159" s="124"/>
      <c r="Y159" s="124"/>
      <c r="Z159" s="124"/>
      <c r="AA159" s="124"/>
      <c r="AB159" s="124"/>
      <c r="AC159" s="124"/>
      <c r="AD159" s="124"/>
      <c r="AE159" s="124"/>
      <c r="AF159" s="124"/>
      <c r="AG159" s="124"/>
      <c r="AH159" s="124"/>
      <c r="AI159" s="124"/>
      <c r="AJ159" s="124"/>
      <c r="AK159" s="124"/>
      <c r="AL159" s="124"/>
      <c r="AM159" s="124"/>
      <c r="AN159" s="125"/>
      <c r="AO159" s="125"/>
      <c r="AP159" s="81"/>
      <c r="AQ159" s="82"/>
      <c r="AR159" s="96"/>
      <c r="AS159" s="96"/>
      <c r="AT159" s="96"/>
      <c r="AU159" s="82"/>
      <c r="AW159" s="95"/>
      <c r="BD159" s="95"/>
      <c r="BE159" s="95"/>
      <c r="BF159" s="95"/>
      <c r="BG159" s="95"/>
    </row>
    <row r="160" spans="1:59" s="83" customFormat="1">
      <c r="A160" s="124"/>
      <c r="B160" s="124"/>
      <c r="C160" s="124"/>
      <c r="D160" s="124"/>
      <c r="E160" s="124"/>
      <c r="F160" s="124"/>
      <c r="G160" s="124"/>
      <c r="H160" s="124"/>
      <c r="I160" s="124"/>
      <c r="J160" s="124"/>
      <c r="K160" s="124"/>
      <c r="L160" s="124"/>
      <c r="M160" s="124"/>
      <c r="N160" s="124"/>
      <c r="O160" s="124"/>
      <c r="P160" s="124"/>
      <c r="Q160" s="124"/>
      <c r="R160" s="124"/>
      <c r="S160" s="124"/>
      <c r="T160" s="124"/>
      <c r="U160" s="125"/>
      <c r="V160" s="124"/>
      <c r="W160" s="124"/>
      <c r="X160" s="124"/>
      <c r="Y160" s="124"/>
      <c r="Z160" s="124"/>
      <c r="AA160" s="124"/>
      <c r="AB160" s="124"/>
      <c r="AC160" s="124"/>
      <c r="AD160" s="124"/>
      <c r="AE160" s="124"/>
      <c r="AF160" s="124"/>
      <c r="AG160" s="124"/>
      <c r="AH160" s="124"/>
      <c r="AI160" s="124"/>
      <c r="AJ160" s="124"/>
      <c r="AK160" s="124"/>
      <c r="AL160" s="124"/>
      <c r="AM160" s="124"/>
      <c r="AN160" s="125"/>
      <c r="AO160" s="125"/>
      <c r="AP160" s="81"/>
      <c r="AQ160" s="82"/>
      <c r="AR160" s="96"/>
      <c r="AS160" s="96"/>
      <c r="AT160" s="96"/>
      <c r="AU160" s="82"/>
      <c r="AW160" s="95"/>
      <c r="BD160" s="95"/>
      <c r="BE160" s="95"/>
      <c r="BF160" s="95"/>
      <c r="BG160" s="95"/>
    </row>
    <row r="161" spans="1:59" s="83" customFormat="1">
      <c r="A161" s="124"/>
      <c r="B161" s="124"/>
      <c r="C161" s="124"/>
      <c r="D161" s="124"/>
      <c r="E161" s="124"/>
      <c r="F161" s="124"/>
      <c r="G161" s="124"/>
      <c r="H161" s="124"/>
      <c r="I161" s="124"/>
      <c r="J161" s="124"/>
      <c r="K161" s="124"/>
      <c r="L161" s="124"/>
      <c r="M161" s="124"/>
      <c r="N161" s="124"/>
      <c r="O161" s="124"/>
      <c r="P161" s="124"/>
      <c r="Q161" s="124"/>
      <c r="R161" s="124"/>
      <c r="S161" s="124"/>
      <c r="T161" s="124"/>
      <c r="U161" s="125"/>
      <c r="V161" s="124"/>
      <c r="W161" s="124"/>
      <c r="X161" s="124"/>
      <c r="Y161" s="124"/>
      <c r="Z161" s="124"/>
      <c r="AA161" s="124"/>
      <c r="AB161" s="124"/>
      <c r="AC161" s="124"/>
      <c r="AD161" s="124"/>
      <c r="AE161" s="124"/>
      <c r="AF161" s="124"/>
      <c r="AG161" s="124"/>
      <c r="AH161" s="124"/>
      <c r="AI161" s="124"/>
      <c r="AJ161" s="124"/>
      <c r="AK161" s="124"/>
      <c r="AL161" s="124"/>
      <c r="AM161" s="124"/>
      <c r="AN161" s="125"/>
      <c r="AO161" s="125"/>
      <c r="AP161" s="81"/>
      <c r="AQ161" s="82"/>
      <c r="AR161" s="96"/>
      <c r="AS161" s="96"/>
      <c r="AT161" s="96"/>
      <c r="AU161" s="82"/>
      <c r="AW161" s="95"/>
      <c r="BD161" s="95"/>
      <c r="BE161" s="95"/>
      <c r="BF161" s="95"/>
      <c r="BG161" s="95"/>
    </row>
    <row r="162" spans="1:59" s="83" customFormat="1">
      <c r="A162" s="124"/>
      <c r="B162" s="124"/>
      <c r="C162" s="124"/>
      <c r="D162" s="124"/>
      <c r="E162" s="124"/>
      <c r="F162" s="124"/>
      <c r="G162" s="124"/>
      <c r="H162" s="124"/>
      <c r="I162" s="124"/>
      <c r="J162" s="124"/>
      <c r="K162" s="124"/>
      <c r="L162" s="124"/>
      <c r="M162" s="124"/>
      <c r="N162" s="124"/>
      <c r="O162" s="124"/>
      <c r="P162" s="124"/>
      <c r="Q162" s="124"/>
      <c r="R162" s="124"/>
      <c r="S162" s="124"/>
      <c r="T162" s="124"/>
      <c r="U162" s="125"/>
      <c r="V162" s="124"/>
      <c r="W162" s="124"/>
      <c r="X162" s="124"/>
      <c r="Y162" s="124"/>
      <c r="Z162" s="124"/>
      <c r="AA162" s="124"/>
      <c r="AB162" s="124"/>
      <c r="AC162" s="124"/>
      <c r="AD162" s="124"/>
      <c r="AE162" s="124"/>
      <c r="AF162" s="124"/>
      <c r="AG162" s="124"/>
      <c r="AH162" s="124"/>
      <c r="AI162" s="124"/>
      <c r="AJ162" s="124"/>
      <c r="AK162" s="124"/>
      <c r="AL162" s="124"/>
      <c r="AM162" s="124"/>
      <c r="AN162" s="125"/>
      <c r="AO162" s="125"/>
      <c r="AP162" s="81"/>
      <c r="AQ162" s="82"/>
      <c r="AR162" s="96"/>
      <c r="AS162" s="96"/>
      <c r="AT162" s="96"/>
      <c r="AU162" s="82"/>
      <c r="AW162" s="95"/>
      <c r="BD162" s="95"/>
      <c r="BE162" s="95"/>
      <c r="BF162" s="95"/>
      <c r="BG162" s="95"/>
    </row>
    <row r="163" spans="1:59" s="83" customFormat="1">
      <c r="A163" s="124"/>
      <c r="B163" s="124"/>
      <c r="C163" s="124"/>
      <c r="D163" s="124"/>
      <c r="E163" s="124"/>
      <c r="F163" s="124"/>
      <c r="G163" s="124"/>
      <c r="H163" s="124"/>
      <c r="I163" s="124"/>
      <c r="J163" s="124"/>
      <c r="K163" s="124"/>
      <c r="L163" s="124"/>
      <c r="M163" s="124"/>
      <c r="N163" s="124"/>
      <c r="O163" s="124"/>
      <c r="P163" s="124"/>
      <c r="Q163" s="124"/>
      <c r="R163" s="124"/>
      <c r="S163" s="124"/>
      <c r="T163" s="124"/>
      <c r="U163" s="125"/>
      <c r="V163" s="124"/>
      <c r="W163" s="124"/>
      <c r="X163" s="124"/>
      <c r="Y163" s="124"/>
      <c r="Z163" s="124"/>
      <c r="AA163" s="124"/>
      <c r="AB163" s="124"/>
      <c r="AC163" s="124"/>
      <c r="AD163" s="124"/>
      <c r="AE163" s="124"/>
      <c r="AF163" s="124"/>
      <c r="AG163" s="124"/>
      <c r="AH163" s="124"/>
      <c r="AI163" s="124"/>
      <c r="AJ163" s="124"/>
      <c r="AK163" s="124"/>
      <c r="AL163" s="124"/>
      <c r="AM163" s="124"/>
      <c r="AN163" s="125"/>
      <c r="AO163" s="125"/>
      <c r="AP163" s="81"/>
      <c r="AQ163" s="82"/>
      <c r="AR163" s="96"/>
      <c r="AS163" s="96"/>
      <c r="AT163" s="96"/>
      <c r="AU163" s="82"/>
      <c r="AW163" s="95"/>
      <c r="BD163" s="95"/>
      <c r="BE163" s="95"/>
      <c r="BF163" s="95"/>
      <c r="BG163" s="95"/>
    </row>
    <row r="164" spans="1:59" s="83" customFormat="1">
      <c r="A164" s="124"/>
      <c r="B164" s="124"/>
      <c r="C164" s="124"/>
      <c r="D164" s="124"/>
      <c r="E164" s="124"/>
      <c r="F164" s="124"/>
      <c r="G164" s="124"/>
      <c r="H164" s="124"/>
      <c r="I164" s="124"/>
      <c r="J164" s="124"/>
      <c r="K164" s="124"/>
      <c r="L164" s="124"/>
      <c r="M164" s="124"/>
      <c r="N164" s="124"/>
      <c r="O164" s="124"/>
      <c r="P164" s="124"/>
      <c r="Q164" s="124"/>
      <c r="R164" s="124"/>
      <c r="S164" s="124"/>
      <c r="T164" s="124"/>
      <c r="U164" s="125"/>
      <c r="V164" s="124"/>
      <c r="W164" s="124"/>
      <c r="X164" s="124"/>
      <c r="Y164" s="124"/>
      <c r="Z164" s="124"/>
      <c r="AA164" s="124"/>
      <c r="AB164" s="124"/>
      <c r="AC164" s="124"/>
      <c r="AD164" s="124"/>
      <c r="AE164" s="124"/>
      <c r="AF164" s="124"/>
      <c r="AG164" s="124"/>
      <c r="AH164" s="124"/>
      <c r="AI164" s="124"/>
      <c r="AJ164" s="124"/>
      <c r="AK164" s="124"/>
      <c r="AL164" s="124"/>
      <c r="AM164" s="124"/>
      <c r="AN164" s="125"/>
      <c r="AO164" s="125"/>
      <c r="AP164" s="81"/>
      <c r="AQ164" s="82"/>
      <c r="AR164" s="96"/>
      <c r="AS164" s="96"/>
      <c r="AT164" s="96"/>
      <c r="AU164" s="82"/>
      <c r="AW164" s="95"/>
      <c r="BD164" s="95"/>
      <c r="BE164" s="95"/>
      <c r="BF164" s="95"/>
      <c r="BG164" s="95"/>
    </row>
    <row r="165" spans="1:59" s="83" customFormat="1">
      <c r="A165" s="124"/>
      <c r="B165" s="124"/>
      <c r="C165" s="124"/>
      <c r="D165" s="124"/>
      <c r="E165" s="124"/>
      <c r="F165" s="124"/>
      <c r="G165" s="124"/>
      <c r="H165" s="124"/>
      <c r="I165" s="124"/>
      <c r="J165" s="124"/>
      <c r="K165" s="124"/>
      <c r="L165" s="124"/>
      <c r="M165" s="124"/>
      <c r="N165" s="124"/>
      <c r="O165" s="124"/>
      <c r="P165" s="124"/>
      <c r="Q165" s="124"/>
      <c r="R165" s="124"/>
      <c r="S165" s="124"/>
      <c r="T165" s="124"/>
      <c r="U165" s="125"/>
      <c r="V165" s="124"/>
      <c r="W165" s="124"/>
      <c r="X165" s="124"/>
      <c r="Y165" s="124"/>
      <c r="Z165" s="124"/>
      <c r="AA165" s="124"/>
      <c r="AB165" s="124"/>
      <c r="AC165" s="124"/>
      <c r="AD165" s="124"/>
      <c r="AE165" s="124"/>
      <c r="AF165" s="124"/>
      <c r="AG165" s="124"/>
      <c r="AH165" s="124"/>
      <c r="AI165" s="124"/>
      <c r="AJ165" s="124"/>
      <c r="AK165" s="124"/>
      <c r="AL165" s="124"/>
      <c r="AM165" s="124"/>
      <c r="AN165" s="125"/>
      <c r="AO165" s="125"/>
      <c r="AP165" s="81"/>
      <c r="AQ165" s="82"/>
      <c r="AR165" s="96"/>
      <c r="AS165" s="96"/>
      <c r="AT165" s="96"/>
      <c r="AU165" s="82"/>
      <c r="AW165" s="95"/>
      <c r="BD165" s="95"/>
      <c r="BE165" s="95"/>
      <c r="BF165" s="95"/>
      <c r="BG165" s="95"/>
    </row>
    <row r="166" spans="1:59" s="83" customFormat="1">
      <c r="A166" s="124"/>
      <c r="B166" s="124"/>
      <c r="C166" s="124"/>
      <c r="D166" s="124"/>
      <c r="E166" s="124"/>
      <c r="F166" s="124"/>
      <c r="G166" s="124"/>
      <c r="H166" s="124"/>
      <c r="I166" s="124"/>
      <c r="J166" s="124"/>
      <c r="K166" s="124"/>
      <c r="L166" s="124"/>
      <c r="M166" s="124"/>
      <c r="N166" s="124"/>
      <c r="O166" s="124"/>
      <c r="P166" s="124"/>
      <c r="Q166" s="124"/>
      <c r="R166" s="124"/>
      <c r="S166" s="124"/>
      <c r="T166" s="124"/>
      <c r="U166" s="125"/>
      <c r="V166" s="124"/>
      <c r="W166" s="124"/>
      <c r="X166" s="124"/>
      <c r="Y166" s="124"/>
      <c r="Z166" s="124"/>
      <c r="AA166" s="124"/>
      <c r="AB166" s="124"/>
      <c r="AC166" s="124"/>
      <c r="AD166" s="124"/>
      <c r="AE166" s="124"/>
      <c r="AF166" s="124"/>
      <c r="AG166" s="124"/>
      <c r="AH166" s="124"/>
      <c r="AI166" s="124"/>
      <c r="AJ166" s="124"/>
      <c r="AK166" s="124"/>
      <c r="AL166" s="124"/>
      <c r="AM166" s="124"/>
      <c r="AN166" s="125"/>
      <c r="AO166" s="125"/>
      <c r="AP166" s="81"/>
      <c r="AQ166" s="82"/>
      <c r="AR166" s="96"/>
      <c r="AS166" s="96"/>
      <c r="AT166" s="96"/>
      <c r="AU166" s="82"/>
      <c r="AW166" s="95"/>
      <c r="BD166" s="95"/>
      <c r="BE166" s="95"/>
      <c r="BF166" s="95"/>
      <c r="BG166" s="95"/>
    </row>
    <row r="167" spans="1:59" s="83" customFormat="1">
      <c r="A167" s="124"/>
      <c r="B167" s="124"/>
      <c r="C167" s="124"/>
      <c r="D167" s="124"/>
      <c r="E167" s="124"/>
      <c r="F167" s="124"/>
      <c r="G167" s="124"/>
      <c r="H167" s="124"/>
      <c r="I167" s="124"/>
      <c r="J167" s="124"/>
      <c r="K167" s="124"/>
      <c r="L167" s="124"/>
      <c r="M167" s="124"/>
      <c r="N167" s="124"/>
      <c r="O167" s="124"/>
      <c r="P167" s="124"/>
      <c r="Q167" s="124"/>
      <c r="R167" s="124"/>
      <c r="S167" s="124"/>
      <c r="T167" s="124"/>
      <c r="U167" s="125"/>
      <c r="V167" s="124"/>
      <c r="W167" s="124"/>
      <c r="X167" s="124"/>
      <c r="Y167" s="124"/>
      <c r="Z167" s="124"/>
      <c r="AA167" s="124"/>
      <c r="AB167" s="124"/>
      <c r="AC167" s="124"/>
      <c r="AD167" s="124"/>
      <c r="AE167" s="124"/>
      <c r="AF167" s="124"/>
      <c r="AG167" s="124"/>
      <c r="AH167" s="124"/>
      <c r="AI167" s="124"/>
      <c r="AJ167" s="124"/>
      <c r="AK167" s="124"/>
      <c r="AL167" s="124"/>
      <c r="AM167" s="124"/>
      <c r="AN167" s="125"/>
      <c r="AO167" s="125"/>
      <c r="AP167" s="81"/>
      <c r="AQ167" s="82"/>
      <c r="AR167" s="96"/>
      <c r="AS167" s="96"/>
      <c r="AT167" s="96"/>
      <c r="AU167" s="82"/>
      <c r="AW167" s="95"/>
      <c r="BD167" s="95"/>
      <c r="BE167" s="95"/>
      <c r="BF167" s="95"/>
      <c r="BG167" s="95"/>
    </row>
    <row r="168" spans="1:59" s="83" customFormat="1">
      <c r="A168" s="124"/>
      <c r="B168" s="124"/>
      <c r="C168" s="124"/>
      <c r="D168" s="124"/>
      <c r="E168" s="124"/>
      <c r="F168" s="124"/>
      <c r="G168" s="124"/>
      <c r="H168" s="124"/>
      <c r="I168" s="124"/>
      <c r="J168" s="124"/>
      <c r="K168" s="124"/>
      <c r="L168" s="124"/>
      <c r="M168" s="124"/>
      <c r="N168" s="124"/>
      <c r="O168" s="124"/>
      <c r="P168" s="124"/>
      <c r="Q168" s="124"/>
      <c r="R168" s="124"/>
      <c r="S168" s="124"/>
      <c r="T168" s="124"/>
      <c r="U168" s="125"/>
      <c r="V168" s="124"/>
      <c r="W168" s="124"/>
      <c r="X168" s="124"/>
      <c r="Y168" s="124"/>
      <c r="Z168" s="124"/>
      <c r="AA168" s="124"/>
      <c r="AB168" s="124"/>
      <c r="AC168" s="124"/>
      <c r="AD168" s="124"/>
      <c r="AE168" s="124"/>
      <c r="AF168" s="124"/>
      <c r="AG168" s="124"/>
      <c r="AH168" s="124"/>
      <c r="AI168" s="124"/>
      <c r="AJ168" s="124"/>
      <c r="AK168" s="124"/>
      <c r="AL168" s="124"/>
      <c r="AM168" s="124"/>
      <c r="AN168" s="125"/>
      <c r="AO168" s="125"/>
      <c r="AP168" s="81"/>
      <c r="AQ168" s="82"/>
      <c r="AR168" s="96"/>
      <c r="AS168" s="96"/>
      <c r="AT168" s="96"/>
      <c r="AU168" s="82"/>
      <c r="AW168" s="95"/>
      <c r="BD168" s="95"/>
      <c r="BE168" s="95"/>
      <c r="BF168" s="95"/>
      <c r="BG168" s="95"/>
    </row>
    <row r="169" spans="1:59" s="83" customFormat="1">
      <c r="A169" s="124"/>
      <c r="B169" s="124"/>
      <c r="C169" s="124"/>
      <c r="D169" s="124"/>
      <c r="E169" s="124"/>
      <c r="F169" s="124"/>
      <c r="G169" s="124"/>
      <c r="H169" s="124"/>
      <c r="I169" s="124"/>
      <c r="J169" s="124"/>
      <c r="K169" s="124"/>
      <c r="L169" s="124"/>
      <c r="M169" s="124"/>
      <c r="N169" s="124"/>
      <c r="O169" s="124"/>
      <c r="P169" s="124"/>
      <c r="Q169" s="124"/>
      <c r="R169" s="124"/>
      <c r="S169" s="124"/>
      <c r="T169" s="124"/>
      <c r="U169" s="125"/>
      <c r="V169" s="124"/>
      <c r="W169" s="124"/>
      <c r="X169" s="124"/>
      <c r="Y169" s="124"/>
      <c r="Z169" s="124"/>
      <c r="AA169" s="124"/>
      <c r="AB169" s="124"/>
      <c r="AC169" s="124"/>
      <c r="AD169" s="124"/>
      <c r="AE169" s="124"/>
      <c r="AF169" s="124"/>
      <c r="AG169" s="124"/>
      <c r="AH169" s="124"/>
      <c r="AI169" s="124"/>
      <c r="AJ169" s="124"/>
      <c r="AK169" s="124"/>
      <c r="AL169" s="124"/>
      <c r="AM169" s="124"/>
      <c r="AN169" s="125"/>
      <c r="AO169" s="125"/>
      <c r="AP169" s="81"/>
      <c r="AQ169" s="82"/>
      <c r="AR169" s="96"/>
      <c r="AS169" s="96"/>
      <c r="AT169" s="96"/>
      <c r="AU169" s="82"/>
      <c r="AW169" s="95"/>
      <c r="BD169" s="95"/>
      <c r="BE169" s="95"/>
      <c r="BF169" s="95"/>
      <c r="BG169" s="95"/>
    </row>
    <row r="170" spans="1:59" s="83" customFormat="1">
      <c r="A170" s="124"/>
      <c r="B170" s="124"/>
      <c r="C170" s="124"/>
      <c r="D170" s="124"/>
      <c r="E170" s="124"/>
      <c r="F170" s="124"/>
      <c r="G170" s="124"/>
      <c r="H170" s="124"/>
      <c r="I170" s="124"/>
      <c r="J170" s="124"/>
      <c r="K170" s="124"/>
      <c r="L170" s="124"/>
      <c r="M170" s="124"/>
      <c r="N170" s="124"/>
      <c r="O170" s="124"/>
      <c r="P170" s="124"/>
      <c r="Q170" s="124"/>
      <c r="R170" s="124"/>
      <c r="S170" s="124"/>
      <c r="T170" s="124"/>
      <c r="U170" s="125"/>
      <c r="V170" s="124"/>
      <c r="W170" s="124"/>
      <c r="X170" s="124"/>
      <c r="Y170" s="124"/>
      <c r="Z170" s="124"/>
      <c r="AA170" s="124"/>
      <c r="AB170" s="124"/>
      <c r="AC170" s="124"/>
      <c r="AD170" s="124"/>
      <c r="AE170" s="124"/>
      <c r="AF170" s="124"/>
      <c r="AG170" s="124"/>
      <c r="AH170" s="124"/>
      <c r="AI170" s="124"/>
      <c r="AJ170" s="124"/>
      <c r="AK170" s="124"/>
      <c r="AL170" s="124"/>
      <c r="AM170" s="124"/>
      <c r="AN170" s="125"/>
      <c r="AO170" s="125"/>
      <c r="AP170" s="81"/>
      <c r="AQ170" s="82"/>
      <c r="AR170" s="96"/>
      <c r="AS170" s="96"/>
      <c r="AT170" s="96"/>
      <c r="AU170" s="82"/>
      <c r="AW170" s="95"/>
      <c r="BD170" s="95"/>
      <c r="BE170" s="95"/>
      <c r="BF170" s="95"/>
      <c r="BG170" s="95"/>
    </row>
    <row r="171" spans="1:59" s="83" customFormat="1">
      <c r="A171" s="124"/>
      <c r="B171" s="124"/>
      <c r="C171" s="124"/>
      <c r="D171" s="124"/>
      <c r="E171" s="124"/>
      <c r="F171" s="124"/>
      <c r="G171" s="124"/>
      <c r="H171" s="124"/>
      <c r="I171" s="124"/>
      <c r="J171" s="124"/>
      <c r="K171" s="124"/>
      <c r="L171" s="124"/>
      <c r="M171" s="124"/>
      <c r="N171" s="124"/>
      <c r="O171" s="124"/>
      <c r="P171" s="124"/>
      <c r="Q171" s="124"/>
      <c r="R171" s="124"/>
      <c r="S171" s="124"/>
      <c r="T171" s="124"/>
      <c r="U171" s="125"/>
      <c r="V171" s="124"/>
      <c r="W171" s="124"/>
      <c r="X171" s="124"/>
      <c r="Y171" s="124"/>
      <c r="Z171" s="124"/>
      <c r="AA171" s="124"/>
      <c r="AB171" s="124"/>
      <c r="AC171" s="124"/>
      <c r="AD171" s="124"/>
      <c r="AE171" s="124"/>
      <c r="AF171" s="124"/>
      <c r="AG171" s="124"/>
      <c r="AH171" s="124"/>
      <c r="AI171" s="124"/>
      <c r="AJ171" s="124"/>
      <c r="AK171" s="124"/>
      <c r="AL171" s="124"/>
      <c r="AM171" s="124"/>
      <c r="AN171" s="125"/>
      <c r="AO171" s="125"/>
      <c r="AP171" s="81"/>
      <c r="AQ171" s="82"/>
      <c r="AR171" s="96"/>
      <c r="AS171" s="96"/>
      <c r="AT171" s="96"/>
      <c r="AU171" s="82"/>
      <c r="AW171" s="95"/>
      <c r="BD171" s="95"/>
      <c r="BE171" s="95"/>
      <c r="BF171" s="95"/>
      <c r="BG171" s="95"/>
    </row>
    <row r="172" spans="1:59" s="83" customFormat="1">
      <c r="A172" s="124"/>
      <c r="B172" s="124"/>
      <c r="C172" s="124"/>
      <c r="D172" s="124"/>
      <c r="E172" s="124"/>
      <c r="F172" s="124"/>
      <c r="G172" s="124"/>
      <c r="H172" s="124"/>
      <c r="I172" s="124"/>
      <c r="J172" s="124"/>
      <c r="K172" s="124"/>
      <c r="L172" s="124"/>
      <c r="M172" s="124"/>
      <c r="N172" s="124"/>
      <c r="O172" s="124"/>
      <c r="P172" s="124"/>
      <c r="Q172" s="124"/>
      <c r="R172" s="124"/>
      <c r="S172" s="124"/>
      <c r="T172" s="124"/>
      <c r="U172" s="125"/>
      <c r="V172" s="124"/>
      <c r="W172" s="124"/>
      <c r="X172" s="124"/>
      <c r="Y172" s="124"/>
      <c r="Z172" s="124"/>
      <c r="AA172" s="124"/>
      <c r="AB172" s="124"/>
      <c r="AC172" s="124"/>
      <c r="AD172" s="124"/>
      <c r="AE172" s="124"/>
      <c r="AF172" s="124"/>
      <c r="AG172" s="124"/>
      <c r="AH172" s="124"/>
      <c r="AI172" s="124"/>
      <c r="AJ172" s="124"/>
      <c r="AK172" s="124"/>
      <c r="AL172" s="124"/>
      <c r="AM172" s="124"/>
      <c r="AN172" s="125"/>
      <c r="AO172" s="125"/>
      <c r="AP172" s="81"/>
      <c r="AQ172" s="82"/>
      <c r="AR172" s="96"/>
      <c r="AS172" s="96"/>
      <c r="AT172" s="96"/>
      <c r="AU172" s="82"/>
      <c r="AW172" s="95"/>
      <c r="BD172" s="95"/>
      <c r="BE172" s="95"/>
      <c r="BF172" s="95"/>
      <c r="BG172" s="95"/>
    </row>
    <row r="173" spans="1:59" s="83" customFormat="1">
      <c r="A173" s="124"/>
      <c r="B173" s="124"/>
      <c r="C173" s="124"/>
      <c r="D173" s="124"/>
      <c r="E173" s="124"/>
      <c r="F173" s="124"/>
      <c r="G173" s="124"/>
      <c r="H173" s="124"/>
      <c r="I173" s="124"/>
      <c r="J173" s="124"/>
      <c r="K173" s="124"/>
      <c r="L173" s="124"/>
      <c r="M173" s="124"/>
      <c r="N173" s="124"/>
      <c r="O173" s="124"/>
      <c r="P173" s="124"/>
      <c r="Q173" s="124"/>
      <c r="R173" s="124"/>
      <c r="S173" s="124"/>
      <c r="T173" s="124"/>
      <c r="U173" s="125"/>
      <c r="V173" s="124"/>
      <c r="W173" s="124"/>
      <c r="X173" s="124"/>
      <c r="Y173" s="124"/>
      <c r="Z173" s="124"/>
      <c r="AA173" s="124"/>
      <c r="AB173" s="124"/>
      <c r="AC173" s="124"/>
      <c r="AD173" s="124"/>
      <c r="AE173" s="124"/>
      <c r="AF173" s="124"/>
      <c r="AG173" s="124"/>
      <c r="AH173" s="124"/>
      <c r="AI173" s="124"/>
      <c r="AJ173" s="124"/>
      <c r="AK173" s="124"/>
      <c r="AL173" s="124"/>
      <c r="AM173" s="124"/>
      <c r="AN173" s="125"/>
      <c r="AO173" s="125"/>
      <c r="AP173" s="81"/>
      <c r="AQ173" s="82"/>
      <c r="AR173" s="96"/>
      <c r="AS173" s="96"/>
      <c r="AT173" s="96"/>
      <c r="AU173" s="82"/>
      <c r="AW173" s="95"/>
      <c r="BD173" s="95"/>
      <c r="BE173" s="95"/>
      <c r="BF173" s="95"/>
      <c r="BG173" s="95"/>
    </row>
    <row r="174" spans="1:59" s="83" customFormat="1">
      <c r="A174" s="124"/>
      <c r="B174" s="124"/>
      <c r="C174" s="124"/>
      <c r="D174" s="124"/>
      <c r="E174" s="124"/>
      <c r="F174" s="124"/>
      <c r="G174" s="124"/>
      <c r="H174" s="124"/>
      <c r="I174" s="124"/>
      <c r="J174" s="124"/>
      <c r="K174" s="124"/>
      <c r="L174" s="124"/>
      <c r="M174" s="124"/>
      <c r="N174" s="124"/>
      <c r="O174" s="124"/>
      <c r="P174" s="124"/>
      <c r="Q174" s="124"/>
      <c r="R174" s="124"/>
      <c r="S174" s="124"/>
      <c r="T174" s="124"/>
      <c r="U174" s="125"/>
      <c r="V174" s="124"/>
      <c r="W174" s="124"/>
      <c r="X174" s="124"/>
      <c r="Y174" s="124"/>
      <c r="Z174" s="124"/>
      <c r="AA174" s="124"/>
      <c r="AB174" s="124"/>
      <c r="AC174" s="124"/>
      <c r="AD174" s="124"/>
      <c r="AE174" s="124"/>
      <c r="AF174" s="124"/>
      <c r="AG174" s="124"/>
      <c r="AH174" s="124"/>
      <c r="AI174" s="124"/>
      <c r="AJ174" s="124"/>
      <c r="AK174" s="124"/>
      <c r="AL174" s="124"/>
      <c r="AM174" s="124"/>
      <c r="AN174" s="125"/>
      <c r="AO174" s="125"/>
      <c r="AP174" s="81"/>
      <c r="AQ174" s="82"/>
      <c r="AR174" s="96"/>
      <c r="AS174" s="96"/>
      <c r="AT174" s="96"/>
      <c r="AU174" s="82"/>
      <c r="AW174" s="95"/>
      <c r="BD174" s="95"/>
      <c r="BE174" s="95"/>
      <c r="BF174" s="95"/>
      <c r="BG174" s="95"/>
    </row>
    <row r="175" spans="1:59" s="83" customFormat="1">
      <c r="A175" s="124"/>
      <c r="B175" s="124"/>
      <c r="C175" s="124"/>
      <c r="D175" s="124"/>
      <c r="E175" s="124"/>
      <c r="F175" s="124"/>
      <c r="G175" s="124"/>
      <c r="H175" s="124"/>
      <c r="I175" s="124"/>
      <c r="J175" s="124"/>
      <c r="K175" s="124"/>
      <c r="L175" s="124"/>
      <c r="M175" s="124"/>
      <c r="N175" s="124"/>
      <c r="O175" s="124"/>
      <c r="P175" s="124"/>
      <c r="Q175" s="124"/>
      <c r="R175" s="124"/>
      <c r="S175" s="124"/>
      <c r="T175" s="124"/>
      <c r="U175" s="125"/>
      <c r="V175" s="124"/>
      <c r="W175" s="124"/>
      <c r="X175" s="124"/>
      <c r="Y175" s="124"/>
      <c r="Z175" s="124"/>
      <c r="AA175" s="124"/>
      <c r="AB175" s="124"/>
      <c r="AC175" s="124"/>
      <c r="AD175" s="124"/>
      <c r="AE175" s="124"/>
      <c r="AF175" s="124"/>
      <c r="AG175" s="124"/>
      <c r="AH175" s="124"/>
      <c r="AI175" s="124"/>
      <c r="AJ175" s="124"/>
      <c r="AK175" s="124"/>
      <c r="AL175" s="124"/>
      <c r="AM175" s="124"/>
      <c r="AN175" s="125"/>
      <c r="AO175" s="125"/>
      <c r="AP175" s="81"/>
      <c r="AQ175" s="82"/>
      <c r="AR175" s="96"/>
      <c r="AS175" s="96"/>
      <c r="AT175" s="96"/>
      <c r="AU175" s="82"/>
      <c r="AW175" s="95"/>
      <c r="BD175" s="95"/>
      <c r="BE175" s="95"/>
      <c r="BF175" s="95"/>
      <c r="BG175" s="95"/>
    </row>
    <row r="176" spans="1:59" s="83" customFormat="1">
      <c r="A176" s="124"/>
      <c r="B176" s="124"/>
      <c r="C176" s="124"/>
      <c r="D176" s="124"/>
      <c r="E176" s="124"/>
      <c r="F176" s="124"/>
      <c r="G176" s="124"/>
      <c r="H176" s="124"/>
      <c r="I176" s="124"/>
      <c r="J176" s="124"/>
      <c r="K176" s="124"/>
      <c r="L176" s="124"/>
      <c r="M176" s="124"/>
      <c r="N176" s="124"/>
      <c r="O176" s="124"/>
      <c r="P176" s="124"/>
      <c r="Q176" s="124"/>
      <c r="R176" s="124"/>
      <c r="S176" s="124"/>
      <c r="T176" s="124"/>
      <c r="U176" s="125"/>
      <c r="V176" s="124"/>
      <c r="W176" s="124"/>
      <c r="X176" s="124"/>
      <c r="Y176" s="124"/>
      <c r="Z176" s="124"/>
      <c r="AA176" s="124"/>
      <c r="AB176" s="124"/>
      <c r="AC176" s="124"/>
      <c r="AD176" s="124"/>
      <c r="AE176" s="124"/>
      <c r="AF176" s="124"/>
      <c r="AG176" s="124"/>
      <c r="AH176" s="124"/>
      <c r="AI176" s="124"/>
      <c r="AJ176" s="124"/>
      <c r="AK176" s="124"/>
      <c r="AL176" s="124"/>
      <c r="AM176" s="124"/>
      <c r="AN176" s="125"/>
      <c r="AO176" s="125"/>
      <c r="AP176" s="81"/>
      <c r="AQ176" s="82"/>
      <c r="AR176" s="96"/>
      <c r="AS176" s="96"/>
      <c r="AT176" s="96"/>
      <c r="AU176" s="82"/>
      <c r="AW176" s="95"/>
      <c r="BD176" s="95"/>
      <c r="BE176" s="95"/>
      <c r="BF176" s="95"/>
      <c r="BG176" s="95"/>
    </row>
    <row r="177" spans="1:59" s="83" customFormat="1">
      <c r="A177" s="124"/>
      <c r="B177" s="124"/>
      <c r="C177" s="124"/>
      <c r="D177" s="124"/>
      <c r="E177" s="124"/>
      <c r="F177" s="124"/>
      <c r="G177" s="124"/>
      <c r="H177" s="124"/>
      <c r="I177" s="124"/>
      <c r="J177" s="124"/>
      <c r="K177" s="124"/>
      <c r="L177" s="124"/>
      <c r="M177" s="124"/>
      <c r="N177" s="124"/>
      <c r="O177" s="124"/>
      <c r="P177" s="124"/>
      <c r="Q177" s="124"/>
      <c r="R177" s="124"/>
      <c r="S177" s="124"/>
      <c r="T177" s="124"/>
      <c r="U177" s="125"/>
      <c r="V177" s="124"/>
      <c r="W177" s="124"/>
      <c r="X177" s="124"/>
      <c r="Y177" s="124"/>
      <c r="Z177" s="124"/>
      <c r="AA177" s="124"/>
      <c r="AB177" s="124"/>
      <c r="AC177" s="124"/>
      <c r="AD177" s="124"/>
      <c r="AE177" s="124"/>
      <c r="AF177" s="124"/>
      <c r="AG177" s="124"/>
      <c r="AH177" s="124"/>
      <c r="AI177" s="124"/>
      <c r="AJ177" s="124"/>
      <c r="AK177" s="124"/>
      <c r="AL177" s="124"/>
      <c r="AM177" s="124"/>
      <c r="AN177" s="125"/>
      <c r="AO177" s="125"/>
      <c r="AP177" s="81"/>
      <c r="AQ177" s="82"/>
      <c r="AR177" s="96"/>
      <c r="AS177" s="96"/>
      <c r="AT177" s="96"/>
      <c r="AU177" s="82"/>
      <c r="AW177" s="95"/>
      <c r="BD177" s="95"/>
      <c r="BE177" s="95"/>
      <c r="BF177" s="95"/>
      <c r="BG177" s="95"/>
    </row>
    <row r="178" spans="1:59" s="83" customFormat="1">
      <c r="A178" s="124"/>
      <c r="B178" s="124"/>
      <c r="C178" s="124"/>
      <c r="D178" s="124"/>
      <c r="E178" s="124"/>
      <c r="F178" s="124"/>
      <c r="G178" s="124"/>
      <c r="H178" s="124"/>
      <c r="I178" s="124"/>
      <c r="J178" s="124"/>
      <c r="K178" s="124"/>
      <c r="L178" s="124"/>
      <c r="M178" s="124"/>
      <c r="N178" s="124"/>
      <c r="O178" s="124"/>
      <c r="P178" s="124"/>
      <c r="Q178" s="124"/>
      <c r="R178" s="124"/>
      <c r="S178" s="124"/>
      <c r="T178" s="124"/>
      <c r="U178" s="125"/>
      <c r="V178" s="124"/>
      <c r="W178" s="124"/>
      <c r="X178" s="124"/>
      <c r="Y178" s="124"/>
      <c r="Z178" s="124"/>
      <c r="AA178" s="124"/>
      <c r="AB178" s="124"/>
      <c r="AC178" s="124"/>
      <c r="AD178" s="124"/>
      <c r="AE178" s="124"/>
      <c r="AF178" s="124"/>
      <c r="AG178" s="124"/>
      <c r="AH178" s="124"/>
      <c r="AI178" s="124"/>
      <c r="AJ178" s="124"/>
      <c r="AK178" s="124"/>
      <c r="AL178" s="124"/>
      <c r="AM178" s="124"/>
      <c r="AN178" s="125"/>
      <c r="AO178" s="125"/>
      <c r="AP178" s="81"/>
      <c r="AQ178" s="82"/>
      <c r="AR178" s="96"/>
      <c r="AS178" s="96"/>
      <c r="AT178" s="96"/>
      <c r="AU178" s="82"/>
      <c r="AW178" s="95"/>
      <c r="BD178" s="95"/>
      <c r="BE178" s="95"/>
      <c r="BF178" s="95"/>
      <c r="BG178" s="95"/>
    </row>
    <row r="179" spans="1:59" s="83" customFormat="1">
      <c r="A179" s="124"/>
      <c r="B179" s="124"/>
      <c r="C179" s="124"/>
      <c r="D179" s="124"/>
      <c r="E179" s="124"/>
      <c r="F179" s="124"/>
      <c r="G179" s="124"/>
      <c r="H179" s="124"/>
      <c r="I179" s="124"/>
      <c r="J179" s="124"/>
      <c r="K179" s="124"/>
      <c r="L179" s="124"/>
      <c r="M179" s="124"/>
      <c r="N179" s="124"/>
      <c r="O179" s="124"/>
      <c r="P179" s="124"/>
      <c r="Q179" s="124"/>
      <c r="R179" s="124"/>
      <c r="S179" s="124"/>
      <c r="T179" s="124"/>
      <c r="U179" s="125"/>
      <c r="V179" s="124"/>
      <c r="W179" s="124"/>
      <c r="X179" s="124"/>
      <c r="Y179" s="124"/>
      <c r="Z179" s="124"/>
      <c r="AA179" s="124"/>
      <c r="AB179" s="124"/>
      <c r="AC179" s="124"/>
      <c r="AD179" s="124"/>
      <c r="AE179" s="124"/>
      <c r="AF179" s="124"/>
      <c r="AG179" s="124"/>
      <c r="AH179" s="124"/>
      <c r="AI179" s="124"/>
      <c r="AJ179" s="124"/>
      <c r="AK179" s="124"/>
      <c r="AL179" s="124"/>
      <c r="AM179" s="124"/>
      <c r="AN179" s="125"/>
      <c r="AO179" s="125"/>
      <c r="AP179" s="81"/>
      <c r="AQ179" s="82"/>
      <c r="AR179" s="96"/>
      <c r="AS179" s="96"/>
      <c r="AT179" s="96"/>
      <c r="AU179" s="82"/>
      <c r="AW179" s="95"/>
      <c r="BD179" s="95"/>
      <c r="BE179" s="95"/>
      <c r="BF179" s="95"/>
      <c r="BG179" s="95"/>
    </row>
    <row r="180" spans="1:59" s="83" customFormat="1">
      <c r="A180" s="124"/>
      <c r="B180" s="124"/>
      <c r="C180" s="124"/>
      <c r="D180" s="124"/>
      <c r="E180" s="124"/>
      <c r="F180" s="124"/>
      <c r="G180" s="124"/>
      <c r="H180" s="124"/>
      <c r="I180" s="124"/>
      <c r="J180" s="124"/>
      <c r="K180" s="124"/>
      <c r="L180" s="124"/>
      <c r="M180" s="124"/>
      <c r="N180" s="124"/>
      <c r="O180" s="124"/>
      <c r="P180" s="124"/>
      <c r="Q180" s="124"/>
      <c r="R180" s="124"/>
      <c r="S180" s="124"/>
      <c r="T180" s="124"/>
      <c r="U180" s="125"/>
      <c r="V180" s="124"/>
      <c r="W180" s="124"/>
      <c r="X180" s="124"/>
      <c r="Y180" s="124"/>
      <c r="Z180" s="124"/>
      <c r="AA180" s="124"/>
      <c r="AB180" s="124"/>
      <c r="AC180" s="124"/>
      <c r="AD180" s="124"/>
      <c r="AE180" s="124"/>
      <c r="AF180" s="124"/>
      <c r="AG180" s="124"/>
      <c r="AH180" s="124"/>
      <c r="AI180" s="124"/>
      <c r="AJ180" s="124"/>
      <c r="AK180" s="124"/>
      <c r="AL180" s="124"/>
      <c r="AM180" s="124"/>
      <c r="AN180" s="125"/>
      <c r="AO180" s="125"/>
      <c r="AP180" s="81"/>
      <c r="AQ180" s="82"/>
      <c r="AR180" s="96"/>
      <c r="AS180" s="96"/>
      <c r="AT180" s="96"/>
      <c r="AU180" s="82"/>
      <c r="AW180" s="95"/>
      <c r="BD180" s="95"/>
      <c r="BE180" s="95"/>
      <c r="BF180" s="95"/>
      <c r="BG180" s="95"/>
    </row>
    <row r="181" spans="1:59" s="83" customFormat="1">
      <c r="A181" s="124"/>
      <c r="B181" s="124"/>
      <c r="C181" s="124"/>
      <c r="D181" s="124"/>
      <c r="E181" s="124"/>
      <c r="F181" s="124"/>
      <c r="G181" s="124"/>
      <c r="H181" s="124"/>
      <c r="I181" s="124"/>
      <c r="J181" s="124"/>
      <c r="K181" s="124"/>
      <c r="L181" s="124"/>
      <c r="M181" s="124"/>
      <c r="N181" s="124"/>
      <c r="O181" s="124"/>
      <c r="P181" s="124"/>
      <c r="Q181" s="124"/>
      <c r="R181" s="124"/>
      <c r="S181" s="124"/>
      <c r="T181" s="124"/>
      <c r="U181" s="125"/>
      <c r="V181" s="124"/>
      <c r="W181" s="124"/>
      <c r="X181" s="124"/>
      <c r="Y181" s="124"/>
      <c r="Z181" s="124"/>
      <c r="AA181" s="124"/>
      <c r="AB181" s="124"/>
      <c r="AC181" s="124"/>
      <c r="AD181" s="124"/>
      <c r="AE181" s="124"/>
      <c r="AF181" s="124"/>
      <c r="AG181" s="124"/>
      <c r="AH181" s="124"/>
      <c r="AI181" s="124"/>
      <c r="AJ181" s="124"/>
      <c r="AK181" s="124"/>
      <c r="AL181" s="124"/>
      <c r="AM181" s="124"/>
      <c r="AN181" s="125"/>
      <c r="AO181" s="125"/>
      <c r="AP181" s="81"/>
      <c r="AQ181" s="82"/>
      <c r="AR181" s="96"/>
      <c r="AS181" s="96"/>
      <c r="AT181" s="96"/>
      <c r="AU181" s="82"/>
      <c r="AW181" s="95"/>
      <c r="BD181" s="95"/>
      <c r="BE181" s="95"/>
      <c r="BF181" s="95"/>
      <c r="BG181" s="95"/>
    </row>
    <row r="182" spans="1:59" s="83" customFormat="1">
      <c r="A182" s="124"/>
      <c r="B182" s="124"/>
      <c r="C182" s="124"/>
      <c r="D182" s="124"/>
      <c r="E182" s="124"/>
      <c r="F182" s="124"/>
      <c r="G182" s="124"/>
      <c r="H182" s="124"/>
      <c r="I182" s="124"/>
      <c r="J182" s="124"/>
      <c r="K182" s="124"/>
      <c r="L182" s="124"/>
      <c r="M182" s="124"/>
      <c r="N182" s="124"/>
      <c r="O182" s="124"/>
      <c r="P182" s="124"/>
      <c r="Q182" s="124"/>
      <c r="R182" s="124"/>
      <c r="S182" s="124"/>
      <c r="T182" s="124"/>
      <c r="U182" s="125"/>
      <c r="V182" s="124"/>
      <c r="W182" s="124"/>
      <c r="X182" s="124"/>
      <c r="Y182" s="124"/>
      <c r="Z182" s="124"/>
      <c r="AA182" s="124"/>
      <c r="AB182" s="124"/>
      <c r="AC182" s="124"/>
      <c r="AD182" s="124"/>
      <c r="AE182" s="124"/>
      <c r="AF182" s="124"/>
      <c r="AG182" s="124"/>
      <c r="AH182" s="124"/>
      <c r="AI182" s="124"/>
      <c r="AJ182" s="124"/>
      <c r="AK182" s="124"/>
      <c r="AL182" s="124"/>
      <c r="AM182" s="124"/>
      <c r="AN182" s="125"/>
      <c r="AO182" s="125"/>
      <c r="AP182" s="81"/>
      <c r="AQ182" s="82"/>
      <c r="AR182" s="96"/>
      <c r="AS182" s="96"/>
      <c r="AT182" s="96"/>
      <c r="AU182" s="82"/>
      <c r="AW182" s="95"/>
      <c r="BD182" s="95"/>
      <c r="BE182" s="95"/>
      <c r="BF182" s="95"/>
      <c r="BG182" s="95"/>
    </row>
    <row r="183" spans="1:59" s="83" customFormat="1">
      <c r="A183" s="124"/>
      <c r="B183" s="124"/>
      <c r="C183" s="124"/>
      <c r="D183" s="124"/>
      <c r="E183" s="124"/>
      <c r="F183" s="124"/>
      <c r="G183" s="124"/>
      <c r="H183" s="124"/>
      <c r="I183" s="124"/>
      <c r="J183" s="124"/>
      <c r="K183" s="124"/>
      <c r="L183" s="124"/>
      <c r="M183" s="124"/>
      <c r="N183" s="124"/>
      <c r="O183" s="124"/>
      <c r="P183" s="124"/>
      <c r="Q183" s="124"/>
      <c r="R183" s="124"/>
      <c r="S183" s="124"/>
      <c r="T183" s="124"/>
      <c r="U183" s="125"/>
      <c r="V183" s="124"/>
      <c r="W183" s="124"/>
      <c r="X183" s="124"/>
      <c r="Y183" s="124"/>
      <c r="Z183" s="124"/>
      <c r="AA183" s="124"/>
      <c r="AB183" s="124"/>
      <c r="AC183" s="124"/>
      <c r="AD183" s="124"/>
      <c r="AE183" s="124"/>
      <c r="AF183" s="124"/>
      <c r="AG183" s="124"/>
      <c r="AH183" s="124"/>
      <c r="AI183" s="124"/>
      <c r="AJ183" s="124"/>
      <c r="AK183" s="124"/>
      <c r="AL183" s="124"/>
      <c r="AM183" s="124"/>
      <c r="AN183" s="125"/>
      <c r="AO183" s="125"/>
      <c r="AP183" s="81"/>
      <c r="AQ183" s="82"/>
      <c r="AR183" s="96"/>
      <c r="AS183" s="96"/>
      <c r="AT183" s="96"/>
      <c r="AU183" s="82"/>
      <c r="AW183" s="95"/>
      <c r="BD183" s="95"/>
      <c r="BE183" s="95"/>
      <c r="BF183" s="95"/>
      <c r="BG183" s="95"/>
    </row>
    <row r="184" spans="1:59" s="83" customFormat="1">
      <c r="A184" s="124"/>
      <c r="B184" s="124"/>
      <c r="C184" s="124"/>
      <c r="D184" s="124"/>
      <c r="E184" s="124"/>
      <c r="F184" s="124"/>
      <c r="G184" s="124"/>
      <c r="H184" s="124"/>
      <c r="I184" s="124"/>
      <c r="J184" s="124"/>
      <c r="K184" s="124"/>
      <c r="L184" s="124"/>
      <c r="M184" s="124"/>
      <c r="N184" s="124"/>
      <c r="O184" s="124"/>
      <c r="P184" s="124"/>
      <c r="Q184" s="124"/>
      <c r="R184" s="124"/>
      <c r="S184" s="124"/>
      <c r="T184" s="124"/>
      <c r="U184" s="125"/>
      <c r="V184" s="124"/>
      <c r="W184" s="124"/>
      <c r="X184" s="124"/>
      <c r="Y184" s="124"/>
      <c r="Z184" s="124"/>
      <c r="AA184" s="124"/>
      <c r="AB184" s="124"/>
      <c r="AC184" s="124"/>
      <c r="AD184" s="124"/>
      <c r="AE184" s="124"/>
      <c r="AF184" s="124"/>
      <c r="AG184" s="124"/>
      <c r="AH184" s="124"/>
      <c r="AI184" s="124"/>
      <c r="AJ184" s="124"/>
      <c r="AK184" s="124"/>
      <c r="AL184" s="124"/>
      <c r="AM184" s="124"/>
      <c r="AN184" s="125"/>
      <c r="AO184" s="125"/>
      <c r="AP184" s="81"/>
      <c r="AQ184" s="82"/>
      <c r="AR184" s="96"/>
      <c r="AS184" s="96"/>
      <c r="AT184" s="96"/>
      <c r="AU184" s="82"/>
      <c r="AW184" s="95"/>
      <c r="BD184" s="95"/>
      <c r="BE184" s="95"/>
      <c r="BF184" s="95"/>
      <c r="BG184" s="95"/>
    </row>
    <row r="185" spans="1:59" s="83" customFormat="1">
      <c r="A185" s="124"/>
      <c r="B185" s="124"/>
      <c r="C185" s="124"/>
      <c r="D185" s="124"/>
      <c r="E185" s="124"/>
      <c r="F185" s="124"/>
      <c r="G185" s="124"/>
      <c r="H185" s="124"/>
      <c r="I185" s="124"/>
      <c r="J185" s="124"/>
      <c r="K185" s="124"/>
      <c r="L185" s="124"/>
      <c r="M185" s="124"/>
      <c r="N185" s="124"/>
      <c r="O185" s="124"/>
      <c r="P185" s="124"/>
      <c r="Q185" s="124"/>
      <c r="R185" s="124"/>
      <c r="S185" s="124"/>
      <c r="T185" s="124"/>
      <c r="U185" s="125"/>
      <c r="V185" s="124"/>
      <c r="W185" s="124"/>
      <c r="X185" s="124"/>
      <c r="Y185" s="124"/>
      <c r="Z185" s="124"/>
      <c r="AA185" s="124"/>
      <c r="AB185" s="124"/>
      <c r="AC185" s="124"/>
      <c r="AD185" s="124"/>
      <c r="AE185" s="124"/>
      <c r="AF185" s="124"/>
      <c r="AG185" s="124"/>
      <c r="AH185" s="124"/>
      <c r="AI185" s="124"/>
      <c r="AJ185" s="124"/>
      <c r="AK185" s="124"/>
      <c r="AL185" s="124"/>
      <c r="AM185" s="124"/>
      <c r="AN185" s="125"/>
      <c r="AO185" s="125"/>
      <c r="AP185" s="81"/>
      <c r="AQ185" s="82"/>
      <c r="AR185" s="96"/>
      <c r="AS185" s="96"/>
      <c r="AT185" s="96"/>
      <c r="AU185" s="82"/>
      <c r="AW185" s="95"/>
      <c r="BD185" s="95"/>
      <c r="BE185" s="95"/>
      <c r="BF185" s="95"/>
      <c r="BG185" s="95"/>
    </row>
    <row r="186" spans="1:59" s="83" customFormat="1">
      <c r="A186" s="124"/>
      <c r="B186" s="124"/>
      <c r="C186" s="124"/>
      <c r="D186" s="124"/>
      <c r="E186" s="124"/>
      <c r="F186" s="124"/>
      <c r="G186" s="124"/>
      <c r="H186" s="124"/>
      <c r="I186" s="124"/>
      <c r="J186" s="124"/>
      <c r="K186" s="124"/>
      <c r="L186" s="124"/>
      <c r="M186" s="124"/>
      <c r="N186" s="124"/>
      <c r="O186" s="124"/>
      <c r="P186" s="124"/>
      <c r="Q186" s="124"/>
      <c r="R186" s="124"/>
      <c r="S186" s="124"/>
      <c r="T186" s="124"/>
      <c r="U186" s="125"/>
      <c r="V186" s="124"/>
      <c r="W186" s="124"/>
      <c r="X186" s="124"/>
      <c r="Y186" s="124"/>
      <c r="Z186" s="124"/>
      <c r="AA186" s="124"/>
      <c r="AB186" s="124"/>
      <c r="AC186" s="124"/>
      <c r="AD186" s="124"/>
      <c r="AE186" s="124"/>
      <c r="AF186" s="124"/>
      <c r="AG186" s="124"/>
      <c r="AH186" s="124"/>
      <c r="AI186" s="124"/>
      <c r="AJ186" s="124"/>
      <c r="AK186" s="124"/>
      <c r="AL186" s="124"/>
      <c r="AM186" s="124"/>
      <c r="AN186" s="125"/>
      <c r="AO186" s="125"/>
      <c r="AP186" s="81"/>
      <c r="AQ186" s="82"/>
      <c r="AR186" s="96"/>
      <c r="AS186" s="96"/>
      <c r="AT186" s="96"/>
      <c r="AU186" s="82"/>
      <c r="AW186" s="95"/>
      <c r="BD186" s="95"/>
      <c r="BE186" s="95"/>
      <c r="BF186" s="95"/>
      <c r="BG186" s="95"/>
    </row>
    <row r="187" spans="1:59" s="83" customFormat="1">
      <c r="A187" s="124"/>
      <c r="B187" s="124"/>
      <c r="C187" s="124"/>
      <c r="D187" s="124"/>
      <c r="E187" s="124"/>
      <c r="F187" s="124"/>
      <c r="G187" s="124"/>
      <c r="H187" s="124"/>
      <c r="I187" s="124"/>
      <c r="J187" s="124"/>
      <c r="K187" s="124"/>
      <c r="L187" s="124"/>
      <c r="M187" s="124"/>
      <c r="N187" s="124"/>
      <c r="O187" s="124"/>
      <c r="P187" s="124"/>
      <c r="Q187" s="124"/>
      <c r="R187" s="124"/>
      <c r="S187" s="124"/>
      <c r="T187" s="124"/>
      <c r="U187" s="125"/>
      <c r="V187" s="124"/>
      <c r="W187" s="124"/>
      <c r="X187" s="124"/>
      <c r="Y187" s="124"/>
      <c r="Z187" s="124"/>
      <c r="AA187" s="124"/>
      <c r="AB187" s="124"/>
      <c r="AC187" s="124"/>
      <c r="AD187" s="124"/>
      <c r="AE187" s="124"/>
      <c r="AF187" s="124"/>
      <c r="AG187" s="124"/>
      <c r="AH187" s="124"/>
      <c r="AI187" s="124"/>
      <c r="AJ187" s="124"/>
      <c r="AK187" s="124"/>
      <c r="AL187" s="124"/>
      <c r="AM187" s="124"/>
      <c r="AN187" s="125"/>
      <c r="AO187" s="125"/>
      <c r="AP187" s="81"/>
      <c r="AQ187" s="82"/>
      <c r="AR187" s="96"/>
      <c r="AS187" s="96"/>
      <c r="AT187" s="96"/>
      <c r="AU187" s="82"/>
      <c r="AW187" s="95"/>
      <c r="BD187" s="95"/>
      <c r="BE187" s="95"/>
      <c r="BF187" s="95"/>
      <c r="BG187" s="95"/>
    </row>
    <row r="188" spans="1:59" s="83" customFormat="1">
      <c r="A188" s="124"/>
      <c r="B188" s="124"/>
      <c r="C188" s="124"/>
      <c r="D188" s="124"/>
      <c r="E188" s="124"/>
      <c r="F188" s="124"/>
      <c r="G188" s="124"/>
      <c r="H188" s="124"/>
      <c r="I188" s="124"/>
      <c r="J188" s="124"/>
      <c r="K188" s="124"/>
      <c r="L188" s="124"/>
      <c r="M188" s="124"/>
      <c r="N188" s="124"/>
      <c r="O188" s="124"/>
      <c r="P188" s="124"/>
      <c r="Q188" s="124"/>
      <c r="R188" s="124"/>
      <c r="S188" s="124"/>
      <c r="T188" s="124"/>
      <c r="U188" s="125"/>
      <c r="V188" s="124"/>
      <c r="W188" s="124"/>
      <c r="X188" s="124"/>
      <c r="Y188" s="124"/>
      <c r="Z188" s="124"/>
      <c r="AA188" s="124"/>
      <c r="AB188" s="124"/>
      <c r="AC188" s="124"/>
      <c r="AD188" s="124"/>
      <c r="AE188" s="124"/>
      <c r="AF188" s="124"/>
      <c r="AG188" s="124"/>
      <c r="AH188" s="124"/>
      <c r="AI188" s="124"/>
      <c r="AJ188" s="124"/>
      <c r="AK188" s="124"/>
      <c r="AL188" s="124"/>
      <c r="AM188" s="124"/>
      <c r="AN188" s="125"/>
      <c r="AO188" s="125"/>
      <c r="AP188" s="81"/>
      <c r="AQ188" s="82"/>
      <c r="AR188" s="96"/>
      <c r="AS188" s="96"/>
      <c r="AT188" s="96"/>
      <c r="AU188" s="82"/>
      <c r="AW188" s="95"/>
      <c r="BD188" s="95"/>
      <c r="BE188" s="95"/>
      <c r="BF188" s="95"/>
      <c r="BG188" s="95"/>
    </row>
    <row r="189" spans="1:59" s="83" customFormat="1">
      <c r="A189" s="124"/>
      <c r="B189" s="124"/>
      <c r="C189" s="124"/>
      <c r="D189" s="124"/>
      <c r="E189" s="124"/>
      <c r="F189" s="124"/>
      <c r="G189" s="124"/>
      <c r="H189" s="124"/>
      <c r="I189" s="124"/>
      <c r="J189" s="124"/>
      <c r="K189" s="124"/>
      <c r="L189" s="124"/>
      <c r="M189" s="124"/>
      <c r="N189" s="124"/>
      <c r="O189" s="124"/>
      <c r="P189" s="124"/>
      <c r="Q189" s="124"/>
      <c r="R189" s="124"/>
      <c r="S189" s="124"/>
      <c r="T189" s="124"/>
      <c r="U189" s="125"/>
      <c r="V189" s="124"/>
      <c r="W189" s="124"/>
      <c r="X189" s="124"/>
      <c r="Y189" s="124"/>
      <c r="Z189" s="124"/>
      <c r="AA189" s="124"/>
      <c r="AB189" s="124"/>
      <c r="AC189" s="124"/>
      <c r="AD189" s="124"/>
      <c r="AE189" s="124"/>
      <c r="AF189" s="124"/>
      <c r="AG189" s="124"/>
      <c r="AH189" s="124"/>
      <c r="AI189" s="124"/>
      <c r="AJ189" s="124"/>
      <c r="AK189" s="124"/>
      <c r="AL189" s="124"/>
      <c r="AM189" s="124"/>
      <c r="AN189" s="125"/>
      <c r="AO189" s="125"/>
      <c r="AP189" s="81"/>
      <c r="AQ189" s="82"/>
      <c r="AR189" s="96"/>
      <c r="AS189" s="96"/>
      <c r="AT189" s="96"/>
      <c r="AU189" s="82"/>
      <c r="AW189" s="95"/>
      <c r="BD189" s="95"/>
      <c r="BE189" s="95"/>
      <c r="BF189" s="95"/>
      <c r="BG189" s="95"/>
    </row>
    <row r="190" spans="1:59" s="83" customFormat="1">
      <c r="A190" s="124"/>
      <c r="B190" s="124"/>
      <c r="C190" s="124"/>
      <c r="D190" s="124"/>
      <c r="E190" s="124"/>
      <c r="F190" s="124"/>
      <c r="G190" s="124"/>
      <c r="H190" s="124"/>
      <c r="I190" s="124"/>
      <c r="J190" s="124"/>
      <c r="K190" s="124"/>
      <c r="L190" s="124"/>
      <c r="M190" s="124"/>
      <c r="N190" s="124"/>
      <c r="O190" s="124"/>
      <c r="P190" s="124"/>
      <c r="Q190" s="124"/>
      <c r="R190" s="124"/>
      <c r="S190" s="124"/>
      <c r="T190" s="124"/>
      <c r="U190" s="125"/>
      <c r="V190" s="124"/>
      <c r="W190" s="124"/>
      <c r="X190" s="124"/>
      <c r="Y190" s="124"/>
      <c r="Z190" s="124"/>
      <c r="AA190" s="124"/>
      <c r="AB190" s="124"/>
      <c r="AC190" s="124"/>
      <c r="AD190" s="124"/>
      <c r="AE190" s="124"/>
      <c r="AF190" s="124"/>
      <c r="AG190" s="124"/>
      <c r="AH190" s="124"/>
      <c r="AI190" s="124"/>
      <c r="AJ190" s="124"/>
      <c r="AK190" s="124"/>
      <c r="AL190" s="124"/>
      <c r="AM190" s="124"/>
      <c r="AN190" s="125"/>
      <c r="AO190" s="125"/>
      <c r="AP190" s="81"/>
      <c r="AQ190" s="82"/>
      <c r="AR190" s="96"/>
      <c r="AS190" s="96"/>
      <c r="AT190" s="96"/>
      <c r="AU190" s="82"/>
      <c r="AW190" s="95"/>
      <c r="BD190" s="95"/>
      <c r="BE190" s="95"/>
      <c r="BF190" s="95"/>
      <c r="BG190" s="95"/>
    </row>
    <row r="191" spans="1:59" s="83" customFormat="1">
      <c r="A191" s="124"/>
      <c r="B191" s="124"/>
      <c r="C191" s="124"/>
      <c r="D191" s="124"/>
      <c r="E191" s="124"/>
      <c r="F191" s="124"/>
      <c r="G191" s="124"/>
      <c r="H191" s="124"/>
      <c r="I191" s="124"/>
      <c r="J191" s="124"/>
      <c r="K191" s="124"/>
      <c r="L191" s="124"/>
      <c r="M191" s="124"/>
      <c r="N191" s="124"/>
      <c r="O191" s="124"/>
      <c r="P191" s="124"/>
      <c r="Q191" s="124"/>
      <c r="R191" s="124"/>
      <c r="S191" s="124"/>
      <c r="T191" s="124"/>
      <c r="U191" s="125"/>
      <c r="V191" s="124"/>
      <c r="W191" s="124"/>
      <c r="X191" s="124"/>
      <c r="Y191" s="124"/>
      <c r="Z191" s="124"/>
      <c r="AA191" s="124"/>
      <c r="AB191" s="124"/>
      <c r="AC191" s="124"/>
      <c r="AD191" s="124"/>
      <c r="AE191" s="124"/>
      <c r="AF191" s="124"/>
      <c r="AG191" s="124"/>
      <c r="AH191" s="124"/>
      <c r="AI191" s="124"/>
      <c r="AJ191" s="124"/>
      <c r="AK191" s="124"/>
      <c r="AL191" s="124"/>
      <c r="AM191" s="124"/>
      <c r="AN191" s="125"/>
      <c r="AO191" s="125"/>
      <c r="AP191" s="81"/>
      <c r="AQ191" s="82"/>
      <c r="AR191" s="96"/>
      <c r="AS191" s="96"/>
      <c r="AT191" s="96"/>
      <c r="AU191" s="82"/>
      <c r="AW191" s="95"/>
      <c r="BD191" s="95"/>
      <c r="BE191" s="95"/>
      <c r="BF191" s="95"/>
      <c r="BG191" s="95"/>
    </row>
    <row r="192" spans="1:59" s="83" customFormat="1">
      <c r="A192" s="124"/>
      <c r="B192" s="124"/>
      <c r="C192" s="124"/>
      <c r="D192" s="124"/>
      <c r="E192" s="124"/>
      <c r="F192" s="124"/>
      <c r="G192" s="124"/>
      <c r="H192" s="124"/>
      <c r="I192" s="124"/>
      <c r="J192" s="124"/>
      <c r="K192" s="124"/>
      <c r="L192" s="124"/>
      <c r="M192" s="124"/>
      <c r="N192" s="124"/>
      <c r="O192" s="124"/>
      <c r="P192" s="124"/>
      <c r="Q192" s="124"/>
      <c r="R192" s="124"/>
      <c r="S192" s="124"/>
      <c r="T192" s="124"/>
      <c r="U192" s="125"/>
      <c r="V192" s="124"/>
      <c r="W192" s="124"/>
      <c r="X192" s="124"/>
      <c r="Y192" s="124"/>
      <c r="Z192" s="124"/>
      <c r="AA192" s="124"/>
      <c r="AB192" s="124"/>
      <c r="AC192" s="124"/>
      <c r="AD192" s="124"/>
      <c r="AE192" s="124"/>
      <c r="AF192" s="124"/>
      <c r="AG192" s="124"/>
      <c r="AH192" s="124"/>
      <c r="AI192" s="124"/>
      <c r="AJ192" s="124"/>
      <c r="AK192" s="124"/>
      <c r="AL192" s="124"/>
      <c r="AM192" s="124"/>
      <c r="AN192" s="125"/>
      <c r="AO192" s="125"/>
      <c r="AP192" s="81"/>
      <c r="AQ192" s="82"/>
      <c r="AR192" s="96"/>
      <c r="AS192" s="96"/>
      <c r="AT192" s="96"/>
      <c r="AU192" s="82"/>
      <c r="AW192" s="95"/>
      <c r="BD192" s="95"/>
      <c r="BE192" s="95"/>
      <c r="BF192" s="95"/>
      <c r="BG192" s="95"/>
    </row>
    <row r="193" spans="1:59" s="83" customFormat="1">
      <c r="A193" s="124"/>
      <c r="B193" s="124"/>
      <c r="C193" s="124"/>
      <c r="D193" s="124"/>
      <c r="E193" s="124"/>
      <c r="F193" s="124"/>
      <c r="G193" s="124"/>
      <c r="H193" s="124"/>
      <c r="I193" s="124"/>
      <c r="J193" s="124"/>
      <c r="K193" s="124"/>
      <c r="L193" s="124"/>
      <c r="M193" s="124"/>
      <c r="N193" s="124"/>
      <c r="O193" s="124"/>
      <c r="P193" s="124"/>
      <c r="Q193" s="124"/>
      <c r="R193" s="124"/>
      <c r="S193" s="124"/>
      <c r="T193" s="124"/>
      <c r="U193" s="125"/>
      <c r="V193" s="124"/>
      <c r="W193" s="124"/>
      <c r="X193" s="124"/>
      <c r="Y193" s="124"/>
      <c r="Z193" s="124"/>
      <c r="AA193" s="124"/>
      <c r="AB193" s="124"/>
      <c r="AC193" s="124"/>
      <c r="AD193" s="124"/>
      <c r="AE193" s="124"/>
      <c r="AF193" s="124"/>
      <c r="AG193" s="124"/>
      <c r="AH193" s="124"/>
      <c r="AI193" s="124"/>
      <c r="AJ193" s="124"/>
      <c r="AK193" s="124"/>
      <c r="AL193" s="124"/>
      <c r="AM193" s="124"/>
      <c r="AN193" s="125"/>
      <c r="AO193" s="125"/>
      <c r="AP193" s="81"/>
      <c r="AQ193" s="82"/>
      <c r="AR193" s="96"/>
      <c r="AS193" s="96"/>
      <c r="AT193" s="96"/>
      <c r="AU193" s="82"/>
      <c r="AW193" s="95"/>
      <c r="BD193" s="95"/>
      <c r="BE193" s="95"/>
      <c r="BF193" s="95"/>
      <c r="BG193" s="95"/>
    </row>
    <row r="194" spans="1:59" s="83" customFormat="1">
      <c r="A194" s="124"/>
      <c r="B194" s="124"/>
      <c r="C194" s="124"/>
      <c r="D194" s="124"/>
      <c r="E194" s="124"/>
      <c r="F194" s="124"/>
      <c r="G194" s="124"/>
      <c r="H194" s="124"/>
      <c r="I194" s="124"/>
      <c r="J194" s="124"/>
      <c r="K194" s="124"/>
      <c r="L194" s="124"/>
      <c r="M194" s="124"/>
      <c r="N194" s="124"/>
      <c r="O194" s="124"/>
      <c r="P194" s="124"/>
      <c r="Q194" s="124"/>
      <c r="R194" s="124"/>
      <c r="S194" s="124"/>
      <c r="T194" s="124"/>
      <c r="U194" s="125"/>
      <c r="V194" s="124"/>
      <c r="W194" s="124"/>
      <c r="X194" s="124"/>
      <c r="Y194" s="124"/>
      <c r="Z194" s="124"/>
      <c r="AA194" s="124"/>
      <c r="AB194" s="124"/>
      <c r="AC194" s="124"/>
      <c r="AD194" s="124"/>
      <c r="AE194" s="124"/>
      <c r="AF194" s="124"/>
      <c r="AG194" s="124"/>
      <c r="AH194" s="124"/>
      <c r="AI194" s="124"/>
      <c r="AJ194" s="124"/>
      <c r="AK194" s="124"/>
      <c r="AL194" s="124"/>
      <c r="AM194" s="124"/>
      <c r="AN194" s="125"/>
      <c r="AO194" s="125"/>
      <c r="AP194" s="81"/>
      <c r="AQ194" s="82"/>
      <c r="AR194" s="96"/>
      <c r="AS194" s="96"/>
      <c r="AT194" s="96"/>
      <c r="AU194" s="82"/>
      <c r="AW194" s="95"/>
      <c r="BD194" s="95"/>
      <c r="BE194" s="95"/>
      <c r="BF194" s="95"/>
      <c r="BG194" s="95"/>
    </row>
    <row r="195" spans="1:59" s="83" customFormat="1">
      <c r="A195" s="124"/>
      <c r="B195" s="124"/>
      <c r="C195" s="124"/>
      <c r="D195" s="124"/>
      <c r="E195" s="124"/>
      <c r="F195" s="124"/>
      <c r="G195" s="124"/>
      <c r="H195" s="124"/>
      <c r="I195" s="124"/>
      <c r="J195" s="124"/>
      <c r="K195" s="124"/>
      <c r="L195" s="124"/>
      <c r="M195" s="124"/>
      <c r="N195" s="124"/>
      <c r="O195" s="124"/>
      <c r="P195" s="124"/>
      <c r="Q195" s="124"/>
      <c r="R195" s="124"/>
      <c r="S195" s="124"/>
      <c r="T195" s="124"/>
      <c r="U195" s="125"/>
      <c r="V195" s="124"/>
      <c r="W195" s="124"/>
      <c r="X195" s="124"/>
      <c r="Y195" s="124"/>
      <c r="Z195" s="124"/>
      <c r="AA195" s="124"/>
      <c r="AB195" s="124"/>
      <c r="AC195" s="124"/>
      <c r="AD195" s="124"/>
      <c r="AE195" s="124"/>
      <c r="AF195" s="124"/>
      <c r="AG195" s="124"/>
      <c r="AH195" s="124"/>
      <c r="AI195" s="124"/>
      <c r="AJ195" s="124"/>
      <c r="AK195" s="124"/>
      <c r="AL195" s="124"/>
      <c r="AM195" s="124"/>
      <c r="AN195" s="125"/>
      <c r="AO195" s="125"/>
      <c r="AP195" s="81"/>
      <c r="AQ195" s="82"/>
      <c r="AR195" s="96"/>
      <c r="AS195" s="96"/>
      <c r="AT195" s="96"/>
      <c r="AU195" s="82"/>
      <c r="AW195" s="95"/>
      <c r="BD195" s="95"/>
      <c r="BE195" s="95"/>
      <c r="BF195" s="95"/>
      <c r="BG195" s="95"/>
    </row>
    <row r="196" spans="1:59" s="83" customFormat="1">
      <c r="A196" s="124"/>
      <c r="B196" s="124"/>
      <c r="C196" s="124"/>
      <c r="D196" s="124"/>
      <c r="E196" s="124"/>
      <c r="F196" s="124"/>
      <c r="G196" s="124"/>
      <c r="H196" s="124"/>
      <c r="I196" s="124"/>
      <c r="J196" s="124"/>
      <c r="K196" s="124"/>
      <c r="L196" s="124"/>
      <c r="M196" s="124"/>
      <c r="N196" s="124"/>
      <c r="O196" s="124"/>
      <c r="P196" s="124"/>
      <c r="Q196" s="124"/>
      <c r="R196" s="124"/>
      <c r="S196" s="124"/>
      <c r="T196" s="124"/>
      <c r="U196" s="125"/>
      <c r="V196" s="124"/>
      <c r="W196" s="124"/>
      <c r="X196" s="124"/>
      <c r="Y196" s="124"/>
      <c r="Z196" s="124"/>
      <c r="AA196" s="124"/>
      <c r="AB196" s="124"/>
      <c r="AC196" s="124"/>
      <c r="AD196" s="124"/>
      <c r="AE196" s="124"/>
      <c r="AF196" s="124"/>
      <c r="AG196" s="124"/>
      <c r="AH196" s="124"/>
      <c r="AI196" s="124"/>
      <c r="AJ196" s="124"/>
      <c r="AK196" s="124"/>
      <c r="AL196" s="124"/>
      <c r="AM196" s="124"/>
      <c r="AN196" s="125"/>
      <c r="AO196" s="125"/>
      <c r="AP196" s="81"/>
      <c r="AQ196" s="82"/>
      <c r="AR196" s="96"/>
      <c r="AS196" s="96"/>
      <c r="AT196" s="96"/>
      <c r="AU196" s="82"/>
      <c r="AW196" s="95"/>
      <c r="BD196" s="95"/>
      <c r="BE196" s="95"/>
      <c r="BF196" s="95"/>
      <c r="BG196" s="95"/>
    </row>
    <row r="197" spans="1:59" s="83" customFormat="1">
      <c r="A197" s="124"/>
      <c r="B197" s="124"/>
      <c r="C197" s="124"/>
      <c r="D197" s="124"/>
      <c r="E197" s="124"/>
      <c r="F197" s="124"/>
      <c r="G197" s="124"/>
      <c r="H197" s="124"/>
      <c r="I197" s="124"/>
      <c r="J197" s="124"/>
      <c r="K197" s="124"/>
      <c r="L197" s="124"/>
      <c r="M197" s="124"/>
      <c r="N197" s="124"/>
      <c r="O197" s="124"/>
      <c r="P197" s="124"/>
      <c r="Q197" s="124"/>
      <c r="R197" s="124"/>
      <c r="S197" s="124"/>
      <c r="T197" s="124"/>
      <c r="U197" s="125"/>
      <c r="V197" s="124"/>
      <c r="W197" s="124"/>
      <c r="X197" s="124"/>
      <c r="Y197" s="124"/>
      <c r="Z197" s="124"/>
      <c r="AA197" s="124"/>
      <c r="AB197" s="124"/>
      <c r="AC197" s="124"/>
      <c r="AD197" s="124"/>
      <c r="AE197" s="124"/>
      <c r="AF197" s="124"/>
      <c r="AG197" s="124"/>
      <c r="AH197" s="124"/>
      <c r="AI197" s="124"/>
      <c r="AJ197" s="124"/>
      <c r="AK197" s="124"/>
      <c r="AL197" s="124"/>
      <c r="AM197" s="124"/>
      <c r="AN197" s="125"/>
      <c r="AO197" s="125"/>
      <c r="AP197" s="81"/>
      <c r="AQ197" s="82"/>
      <c r="AR197" s="96"/>
      <c r="AS197" s="96"/>
      <c r="AT197" s="96"/>
      <c r="AU197" s="82"/>
      <c r="AW197" s="95"/>
      <c r="BD197" s="95"/>
      <c r="BE197" s="95"/>
      <c r="BF197" s="95"/>
      <c r="BG197" s="95"/>
    </row>
    <row r="198" spans="1:59" s="83" customFormat="1">
      <c r="A198" s="124"/>
      <c r="B198" s="124"/>
      <c r="C198" s="124"/>
      <c r="D198" s="124"/>
      <c r="E198" s="124"/>
      <c r="F198" s="124"/>
      <c r="G198" s="124"/>
      <c r="H198" s="124"/>
      <c r="I198" s="124"/>
      <c r="J198" s="124"/>
      <c r="K198" s="124"/>
      <c r="L198" s="124"/>
      <c r="M198" s="124"/>
      <c r="N198" s="124"/>
      <c r="O198" s="124"/>
      <c r="P198" s="124"/>
      <c r="Q198" s="124"/>
      <c r="R198" s="124"/>
      <c r="S198" s="124"/>
      <c r="T198" s="124"/>
      <c r="U198" s="125"/>
      <c r="V198" s="124"/>
      <c r="W198" s="124"/>
      <c r="X198" s="124"/>
      <c r="Y198" s="124"/>
      <c r="Z198" s="124"/>
      <c r="AA198" s="124"/>
      <c r="AB198" s="124"/>
      <c r="AC198" s="124"/>
      <c r="AD198" s="124"/>
      <c r="AE198" s="124"/>
      <c r="AF198" s="124"/>
      <c r="AG198" s="124"/>
      <c r="AH198" s="124"/>
      <c r="AI198" s="124"/>
      <c r="AJ198" s="124"/>
      <c r="AK198" s="124"/>
      <c r="AL198" s="124"/>
      <c r="AM198" s="124"/>
      <c r="AN198" s="125"/>
      <c r="AO198" s="125"/>
      <c r="AP198" s="81"/>
      <c r="AQ198" s="82"/>
      <c r="AR198" s="96"/>
      <c r="AS198" s="96"/>
      <c r="AT198" s="96"/>
      <c r="AU198" s="82"/>
      <c r="AW198" s="95"/>
      <c r="BD198" s="95"/>
      <c r="BE198" s="95"/>
      <c r="BF198" s="95"/>
      <c r="BG198" s="95"/>
    </row>
    <row r="199" spans="1:59" s="83" customFormat="1">
      <c r="A199" s="124"/>
      <c r="B199" s="124"/>
      <c r="C199" s="124"/>
      <c r="D199" s="124"/>
      <c r="E199" s="124"/>
      <c r="F199" s="124"/>
      <c r="G199" s="124"/>
      <c r="H199" s="124"/>
      <c r="I199" s="124"/>
      <c r="J199" s="124"/>
      <c r="K199" s="124"/>
      <c r="L199" s="124"/>
      <c r="M199" s="124"/>
      <c r="N199" s="124"/>
      <c r="O199" s="124"/>
      <c r="P199" s="124"/>
      <c r="Q199" s="124"/>
      <c r="R199" s="124"/>
      <c r="S199" s="124"/>
      <c r="T199" s="124"/>
      <c r="U199" s="125"/>
      <c r="V199" s="124"/>
      <c r="W199" s="124"/>
      <c r="X199" s="124"/>
      <c r="Y199" s="124"/>
      <c r="Z199" s="124"/>
      <c r="AA199" s="124"/>
      <c r="AB199" s="124"/>
      <c r="AC199" s="124"/>
      <c r="AD199" s="124"/>
      <c r="AE199" s="124"/>
      <c r="AF199" s="124"/>
      <c r="AG199" s="124"/>
      <c r="AH199" s="124"/>
      <c r="AI199" s="124"/>
      <c r="AJ199" s="124"/>
      <c r="AK199" s="124"/>
      <c r="AL199" s="124"/>
      <c r="AM199" s="124"/>
      <c r="AN199" s="125"/>
      <c r="AO199" s="125"/>
      <c r="AP199" s="81"/>
      <c r="AQ199" s="82"/>
      <c r="AR199" s="96"/>
      <c r="AS199" s="96"/>
      <c r="AT199" s="96"/>
      <c r="AU199" s="82"/>
      <c r="AW199" s="95"/>
      <c r="BD199" s="95"/>
      <c r="BE199" s="95"/>
      <c r="BF199" s="95"/>
      <c r="BG199" s="95"/>
    </row>
    <row r="200" spans="1:59" s="83" customFormat="1">
      <c r="A200" s="124"/>
      <c r="B200" s="124"/>
      <c r="C200" s="124"/>
      <c r="D200" s="124"/>
      <c r="E200" s="124"/>
      <c r="F200" s="124"/>
      <c r="G200" s="124"/>
      <c r="H200" s="124"/>
      <c r="I200" s="124"/>
      <c r="J200" s="124"/>
      <c r="K200" s="124"/>
      <c r="L200" s="124"/>
      <c r="M200" s="124"/>
      <c r="N200" s="124"/>
      <c r="O200" s="124"/>
      <c r="P200" s="124"/>
      <c r="Q200" s="124"/>
      <c r="R200" s="124"/>
      <c r="S200" s="124"/>
      <c r="T200" s="124"/>
      <c r="U200" s="125"/>
      <c r="V200" s="124"/>
      <c r="W200" s="124"/>
      <c r="X200" s="124"/>
      <c r="Y200" s="124"/>
      <c r="Z200" s="124"/>
      <c r="AA200" s="124"/>
      <c r="AB200" s="124"/>
      <c r="AC200" s="124"/>
      <c r="AD200" s="124"/>
      <c r="AE200" s="124"/>
      <c r="AF200" s="124"/>
      <c r="AG200" s="124"/>
      <c r="AH200" s="124"/>
      <c r="AI200" s="124"/>
      <c r="AJ200" s="124"/>
      <c r="AK200" s="124"/>
      <c r="AL200" s="124"/>
      <c r="AM200" s="124"/>
      <c r="AN200" s="125"/>
      <c r="AO200" s="125"/>
      <c r="AP200" s="81"/>
      <c r="AQ200" s="82"/>
      <c r="AR200" s="96"/>
      <c r="AS200" s="96"/>
      <c r="AT200" s="96"/>
      <c r="AU200" s="82"/>
      <c r="AW200" s="95"/>
      <c r="BD200" s="95"/>
      <c r="BE200" s="95"/>
      <c r="BF200" s="95"/>
      <c r="BG200" s="95"/>
    </row>
    <row r="201" spans="1:59" s="83" customFormat="1">
      <c r="A201" s="124"/>
      <c r="B201" s="124"/>
      <c r="C201" s="124"/>
      <c r="D201" s="124"/>
      <c r="E201" s="124"/>
      <c r="F201" s="124"/>
      <c r="G201" s="124"/>
      <c r="H201" s="124"/>
      <c r="I201" s="124"/>
      <c r="J201" s="124"/>
      <c r="K201" s="124"/>
      <c r="L201" s="124"/>
      <c r="M201" s="124"/>
      <c r="N201" s="124"/>
      <c r="O201" s="124"/>
      <c r="P201" s="124"/>
      <c r="Q201" s="124"/>
      <c r="R201" s="124"/>
      <c r="S201" s="124"/>
      <c r="T201" s="124"/>
      <c r="U201" s="125"/>
      <c r="V201" s="124"/>
      <c r="W201" s="124"/>
      <c r="X201" s="124"/>
      <c r="Y201" s="124"/>
      <c r="Z201" s="124"/>
      <c r="AA201" s="124"/>
      <c r="AB201" s="124"/>
      <c r="AC201" s="124"/>
      <c r="AD201" s="124"/>
      <c r="AE201" s="124"/>
      <c r="AF201" s="124"/>
      <c r="AG201" s="124"/>
      <c r="AH201" s="124"/>
      <c r="AI201" s="124"/>
      <c r="AJ201" s="124"/>
      <c r="AK201" s="124"/>
      <c r="AL201" s="124"/>
      <c r="AM201" s="124"/>
      <c r="AN201" s="125"/>
      <c r="AO201" s="125"/>
      <c r="AP201" s="81"/>
      <c r="AQ201" s="82"/>
      <c r="AR201" s="96"/>
      <c r="AS201" s="96"/>
      <c r="AT201" s="96"/>
      <c r="AU201" s="82"/>
      <c r="AW201" s="95"/>
      <c r="BD201" s="95"/>
      <c r="BE201" s="95"/>
      <c r="BF201" s="95"/>
      <c r="BG201" s="95"/>
    </row>
    <row r="202" spans="1:59" s="83" customFormat="1">
      <c r="A202" s="124"/>
      <c r="B202" s="124"/>
      <c r="C202" s="124"/>
      <c r="D202" s="124"/>
      <c r="E202" s="124"/>
      <c r="F202" s="124"/>
      <c r="G202" s="124"/>
      <c r="H202" s="124"/>
      <c r="I202" s="124"/>
      <c r="J202" s="124"/>
      <c r="K202" s="124"/>
      <c r="L202" s="124"/>
      <c r="M202" s="124"/>
      <c r="N202" s="124"/>
      <c r="O202" s="124"/>
      <c r="P202" s="124"/>
      <c r="Q202" s="124"/>
      <c r="R202" s="124"/>
      <c r="S202" s="124"/>
      <c r="T202" s="124"/>
      <c r="U202" s="125"/>
      <c r="V202" s="124"/>
      <c r="W202" s="124"/>
      <c r="X202" s="124"/>
      <c r="Y202" s="124"/>
      <c r="Z202" s="124"/>
      <c r="AA202" s="124"/>
      <c r="AB202" s="124"/>
      <c r="AC202" s="124"/>
      <c r="AD202" s="124"/>
      <c r="AE202" s="124"/>
      <c r="AF202" s="124"/>
      <c r="AG202" s="124"/>
      <c r="AH202" s="124"/>
      <c r="AI202" s="124"/>
      <c r="AJ202" s="124"/>
      <c r="AK202" s="124"/>
      <c r="AL202" s="124"/>
      <c r="AM202" s="124"/>
      <c r="AN202" s="125"/>
      <c r="AO202" s="125"/>
      <c r="AP202" s="81"/>
      <c r="AQ202" s="82"/>
      <c r="AR202" s="96"/>
      <c r="AS202" s="96"/>
      <c r="AT202" s="96"/>
      <c r="AU202" s="82"/>
      <c r="AW202" s="95"/>
      <c r="BD202" s="95"/>
      <c r="BE202" s="95"/>
      <c r="BF202" s="95"/>
      <c r="BG202" s="95"/>
    </row>
    <row r="203" spans="1:59" s="83" customFormat="1">
      <c r="A203" s="124"/>
      <c r="B203" s="124"/>
      <c r="C203" s="124"/>
      <c r="D203" s="124"/>
      <c r="E203" s="124"/>
      <c r="F203" s="124"/>
      <c r="G203" s="124"/>
      <c r="H203" s="124"/>
      <c r="I203" s="124"/>
      <c r="J203" s="124"/>
      <c r="K203" s="124"/>
      <c r="L203" s="124"/>
      <c r="M203" s="124"/>
      <c r="N203" s="124"/>
      <c r="O203" s="124"/>
      <c r="P203" s="124"/>
      <c r="Q203" s="124"/>
      <c r="R203" s="124"/>
      <c r="S203" s="124"/>
      <c r="T203" s="124"/>
      <c r="U203" s="125"/>
      <c r="V203" s="124"/>
      <c r="W203" s="124"/>
      <c r="X203" s="124"/>
      <c r="Y203" s="124"/>
      <c r="Z203" s="124"/>
      <c r="AA203" s="124"/>
      <c r="AB203" s="124"/>
      <c r="AC203" s="124"/>
      <c r="AD203" s="124"/>
      <c r="AE203" s="124"/>
      <c r="AF203" s="124"/>
      <c r="AG203" s="124"/>
      <c r="AH203" s="124"/>
      <c r="AI203" s="124"/>
      <c r="AJ203" s="124"/>
      <c r="AK203" s="124"/>
      <c r="AL203" s="124"/>
      <c r="AM203" s="124"/>
      <c r="AN203" s="125"/>
      <c r="AO203" s="125"/>
      <c r="AP203" s="81"/>
      <c r="AQ203" s="82"/>
      <c r="AR203" s="96"/>
      <c r="AS203" s="96"/>
      <c r="AT203" s="96"/>
      <c r="AU203" s="82"/>
      <c r="AW203" s="95"/>
      <c r="BD203" s="95"/>
      <c r="BE203" s="95"/>
      <c r="BF203" s="95"/>
      <c r="BG203" s="95"/>
    </row>
    <row r="204" spans="1:59" s="83" customFormat="1">
      <c r="A204" s="124"/>
      <c r="B204" s="124"/>
      <c r="C204" s="124"/>
      <c r="D204" s="124"/>
      <c r="E204" s="124"/>
      <c r="F204" s="124"/>
      <c r="G204" s="124"/>
      <c r="H204" s="124"/>
      <c r="I204" s="124"/>
      <c r="J204" s="124"/>
      <c r="K204" s="124"/>
      <c r="L204" s="124"/>
      <c r="M204" s="124"/>
      <c r="N204" s="124"/>
      <c r="O204" s="124"/>
      <c r="P204" s="124"/>
      <c r="Q204" s="124"/>
      <c r="R204" s="124"/>
      <c r="S204" s="124"/>
      <c r="T204" s="124"/>
      <c r="U204" s="125"/>
      <c r="V204" s="124"/>
      <c r="W204" s="124"/>
      <c r="X204" s="124"/>
      <c r="Y204" s="124"/>
      <c r="Z204" s="124"/>
      <c r="AA204" s="124"/>
      <c r="AB204" s="124"/>
      <c r="AC204" s="124"/>
      <c r="AD204" s="124"/>
      <c r="AE204" s="124"/>
      <c r="AF204" s="124"/>
      <c r="AG204" s="124"/>
      <c r="AH204" s="124"/>
      <c r="AI204" s="124"/>
      <c r="AJ204" s="124"/>
      <c r="AK204" s="124"/>
      <c r="AL204" s="124"/>
      <c r="AM204" s="124"/>
      <c r="AN204" s="125"/>
      <c r="AO204" s="125"/>
      <c r="AP204" s="81"/>
      <c r="AQ204" s="82"/>
      <c r="AR204" s="96"/>
      <c r="AS204" s="96"/>
      <c r="AT204" s="96"/>
      <c r="AU204" s="82"/>
      <c r="AW204" s="95"/>
      <c r="BD204" s="95"/>
      <c r="BE204" s="95"/>
      <c r="BF204" s="95"/>
      <c r="BG204" s="95"/>
    </row>
    <row r="205" spans="1:59" s="83" customFormat="1">
      <c r="A205" s="124"/>
      <c r="B205" s="124"/>
      <c r="C205" s="124"/>
      <c r="D205" s="124"/>
      <c r="E205" s="124"/>
      <c r="F205" s="124"/>
      <c r="G205" s="124"/>
      <c r="H205" s="124"/>
      <c r="I205" s="124"/>
      <c r="J205" s="124"/>
      <c r="K205" s="124"/>
      <c r="L205" s="124"/>
      <c r="M205" s="124"/>
      <c r="N205" s="124"/>
      <c r="O205" s="124"/>
      <c r="P205" s="124"/>
      <c r="Q205" s="124"/>
      <c r="R205" s="124"/>
      <c r="S205" s="124"/>
      <c r="T205" s="124"/>
      <c r="U205" s="125"/>
      <c r="V205" s="124"/>
      <c r="W205" s="124"/>
      <c r="X205" s="124"/>
      <c r="Y205" s="124"/>
      <c r="Z205" s="124"/>
      <c r="AA205" s="124"/>
      <c r="AB205" s="124"/>
      <c r="AC205" s="124"/>
      <c r="AD205" s="124"/>
      <c r="AE205" s="124"/>
      <c r="AF205" s="124"/>
      <c r="AG205" s="124"/>
      <c r="AH205" s="124"/>
      <c r="AI205" s="124"/>
      <c r="AJ205" s="124"/>
      <c r="AK205" s="124"/>
      <c r="AL205" s="124"/>
      <c r="AM205" s="124"/>
      <c r="AN205" s="125"/>
      <c r="AO205" s="125"/>
      <c r="AP205" s="81"/>
      <c r="AQ205" s="82"/>
      <c r="AR205" s="96"/>
      <c r="AS205" s="96"/>
      <c r="AT205" s="96"/>
      <c r="AU205" s="82"/>
      <c r="AW205" s="95"/>
      <c r="BD205" s="95"/>
      <c r="BE205" s="95"/>
      <c r="BF205" s="95"/>
      <c r="BG205" s="95"/>
    </row>
    <row r="206" spans="1:59" s="83" customFormat="1">
      <c r="A206" s="124"/>
      <c r="B206" s="124"/>
      <c r="C206" s="124"/>
      <c r="D206" s="124"/>
      <c r="E206" s="124"/>
      <c r="F206" s="124"/>
      <c r="G206" s="124"/>
      <c r="H206" s="124"/>
      <c r="I206" s="124"/>
      <c r="J206" s="124"/>
      <c r="K206" s="124"/>
      <c r="L206" s="124"/>
      <c r="M206" s="124"/>
      <c r="N206" s="124"/>
      <c r="O206" s="124"/>
      <c r="P206" s="124"/>
      <c r="Q206" s="124"/>
      <c r="R206" s="124"/>
      <c r="S206" s="124"/>
      <c r="T206" s="124"/>
      <c r="U206" s="125"/>
      <c r="V206" s="124"/>
      <c r="W206" s="124"/>
      <c r="X206" s="124"/>
      <c r="Y206" s="124"/>
      <c r="Z206" s="124"/>
      <c r="AA206" s="124"/>
      <c r="AB206" s="124"/>
      <c r="AC206" s="124"/>
      <c r="AD206" s="124"/>
      <c r="AE206" s="124"/>
      <c r="AF206" s="124"/>
      <c r="AG206" s="124"/>
      <c r="AH206" s="124"/>
      <c r="AI206" s="124"/>
      <c r="AJ206" s="124"/>
      <c r="AK206" s="124"/>
      <c r="AL206" s="124"/>
      <c r="AM206" s="124"/>
      <c r="AN206" s="125"/>
      <c r="AO206" s="125"/>
      <c r="AP206" s="81"/>
      <c r="AQ206" s="82"/>
      <c r="AR206" s="96"/>
      <c r="AS206" s="96"/>
      <c r="AT206" s="96"/>
      <c r="AU206" s="82"/>
      <c r="AW206" s="95"/>
      <c r="BD206" s="95"/>
      <c r="BE206" s="95"/>
      <c r="BF206" s="95"/>
      <c r="BG206" s="95"/>
    </row>
    <row r="207" spans="1:59" s="83" customFormat="1">
      <c r="A207" s="124"/>
      <c r="B207" s="124"/>
      <c r="C207" s="124"/>
      <c r="D207" s="124"/>
      <c r="E207" s="124"/>
      <c r="F207" s="124"/>
      <c r="G207" s="124"/>
      <c r="H207" s="124"/>
      <c r="I207" s="124"/>
      <c r="J207" s="124"/>
      <c r="K207" s="124"/>
      <c r="L207" s="124"/>
      <c r="M207" s="124"/>
      <c r="N207" s="124"/>
      <c r="O207" s="124"/>
      <c r="P207" s="124"/>
      <c r="Q207" s="124"/>
      <c r="R207" s="124"/>
      <c r="S207" s="124"/>
      <c r="T207" s="124"/>
      <c r="U207" s="125"/>
      <c r="V207" s="124"/>
      <c r="W207" s="124"/>
      <c r="X207" s="124"/>
      <c r="Y207" s="124"/>
      <c r="Z207" s="124"/>
      <c r="AA207" s="124"/>
      <c r="AB207" s="124"/>
      <c r="AC207" s="124"/>
      <c r="AD207" s="124"/>
      <c r="AE207" s="124"/>
      <c r="AF207" s="124"/>
      <c r="AG207" s="124"/>
      <c r="AH207" s="124"/>
      <c r="AI207" s="124"/>
      <c r="AJ207" s="124"/>
      <c r="AK207" s="124"/>
      <c r="AL207" s="124"/>
      <c r="AM207" s="124"/>
      <c r="AN207" s="125"/>
      <c r="AO207" s="125"/>
      <c r="AP207" s="81"/>
      <c r="AQ207" s="82"/>
      <c r="AR207" s="96"/>
      <c r="AS207" s="96"/>
      <c r="AT207" s="96"/>
      <c r="AU207" s="82"/>
      <c r="AW207" s="95"/>
      <c r="BD207" s="95"/>
      <c r="BE207" s="95"/>
      <c r="BF207" s="95"/>
      <c r="BG207" s="95"/>
    </row>
    <row r="208" spans="1:59" s="83" customFormat="1">
      <c r="A208" s="124"/>
      <c r="B208" s="124"/>
      <c r="C208" s="124"/>
      <c r="D208" s="124"/>
      <c r="E208" s="124"/>
      <c r="F208" s="124"/>
      <c r="G208" s="124"/>
      <c r="H208" s="124"/>
      <c r="I208" s="124"/>
      <c r="J208" s="124"/>
      <c r="K208" s="124"/>
      <c r="L208" s="124"/>
      <c r="M208" s="124"/>
      <c r="N208" s="124"/>
      <c r="O208" s="124"/>
      <c r="P208" s="124"/>
      <c r="Q208" s="124"/>
      <c r="R208" s="124"/>
      <c r="S208" s="124"/>
      <c r="T208" s="124"/>
      <c r="U208" s="125"/>
      <c r="V208" s="124"/>
      <c r="W208" s="124"/>
      <c r="X208" s="124"/>
      <c r="Y208" s="124"/>
      <c r="Z208" s="124"/>
      <c r="AA208" s="124"/>
      <c r="AB208" s="124"/>
      <c r="AC208" s="124"/>
      <c r="AD208" s="124"/>
      <c r="AE208" s="124"/>
      <c r="AF208" s="124"/>
      <c r="AG208" s="124"/>
      <c r="AH208" s="124"/>
      <c r="AI208" s="124"/>
      <c r="AJ208" s="124"/>
      <c r="AK208" s="124"/>
      <c r="AL208" s="124"/>
      <c r="AM208" s="124"/>
      <c r="AN208" s="125"/>
      <c r="AO208" s="125"/>
      <c r="AP208" s="81"/>
      <c r="AQ208" s="82"/>
      <c r="AR208" s="96"/>
      <c r="AS208" s="96"/>
      <c r="AT208" s="96"/>
      <c r="AU208" s="82"/>
      <c r="AW208" s="95"/>
      <c r="BD208" s="95"/>
      <c r="BE208" s="95"/>
      <c r="BF208" s="95"/>
      <c r="BG208" s="95"/>
    </row>
    <row r="209" spans="1:59" s="83" customFormat="1">
      <c r="A209" s="124"/>
      <c r="B209" s="124"/>
      <c r="C209" s="124"/>
      <c r="D209" s="124"/>
      <c r="E209" s="124"/>
      <c r="F209" s="124"/>
      <c r="G209" s="124"/>
      <c r="H209" s="124"/>
      <c r="I209" s="124"/>
      <c r="J209" s="124"/>
      <c r="K209" s="124"/>
      <c r="L209" s="124"/>
      <c r="M209" s="124"/>
      <c r="N209" s="124"/>
      <c r="O209" s="124"/>
      <c r="P209" s="124"/>
      <c r="Q209" s="124"/>
      <c r="R209" s="124"/>
      <c r="S209" s="124"/>
      <c r="T209" s="124"/>
      <c r="U209" s="125"/>
      <c r="V209" s="124"/>
      <c r="W209" s="124"/>
      <c r="X209" s="124"/>
      <c r="Y209" s="124"/>
      <c r="Z209" s="124"/>
      <c r="AA209" s="124"/>
      <c r="AB209" s="124"/>
      <c r="AC209" s="124"/>
      <c r="AD209" s="124"/>
      <c r="AE209" s="124"/>
      <c r="AF209" s="124"/>
      <c r="AG209" s="124"/>
      <c r="AH209" s="124"/>
      <c r="AI209" s="124"/>
      <c r="AJ209" s="124"/>
      <c r="AK209" s="124"/>
      <c r="AL209" s="124"/>
      <c r="AM209" s="124"/>
      <c r="AN209" s="125"/>
      <c r="AO209" s="125"/>
      <c r="AP209" s="81"/>
      <c r="AQ209" s="82"/>
      <c r="AR209" s="96"/>
      <c r="AS209" s="96"/>
      <c r="AT209" s="96"/>
      <c r="AU209" s="82"/>
      <c r="AW209" s="95"/>
      <c r="BD209" s="95"/>
      <c r="BE209" s="95"/>
      <c r="BF209" s="95"/>
      <c r="BG209" s="95"/>
    </row>
    <row r="210" spans="1:59" s="83" customFormat="1">
      <c r="A210" s="124"/>
      <c r="B210" s="124"/>
      <c r="C210" s="124"/>
      <c r="D210" s="124"/>
      <c r="E210" s="124"/>
      <c r="F210" s="124"/>
      <c r="G210" s="124"/>
      <c r="H210" s="124"/>
      <c r="I210" s="124"/>
      <c r="J210" s="124"/>
      <c r="K210" s="124"/>
      <c r="L210" s="124"/>
      <c r="M210" s="124"/>
      <c r="N210" s="124"/>
      <c r="O210" s="124"/>
      <c r="P210" s="124"/>
      <c r="Q210" s="124"/>
      <c r="R210" s="124"/>
      <c r="S210" s="124"/>
      <c r="T210" s="124"/>
      <c r="U210" s="125"/>
      <c r="V210" s="124"/>
      <c r="W210" s="124"/>
      <c r="X210" s="124"/>
      <c r="Y210" s="124"/>
      <c r="Z210" s="124"/>
      <c r="AA210" s="124"/>
      <c r="AB210" s="124"/>
      <c r="AC210" s="124"/>
      <c r="AD210" s="124"/>
      <c r="AE210" s="124"/>
      <c r="AF210" s="124"/>
      <c r="AG210" s="124"/>
      <c r="AH210" s="124"/>
      <c r="AI210" s="124"/>
      <c r="AJ210" s="124"/>
      <c r="AK210" s="124"/>
      <c r="AL210" s="124"/>
      <c r="AM210" s="124"/>
      <c r="AN210" s="125"/>
      <c r="AO210" s="125"/>
      <c r="AP210" s="81"/>
      <c r="AQ210" s="82"/>
      <c r="AR210" s="96"/>
      <c r="AS210" s="96"/>
      <c r="AT210" s="96"/>
      <c r="AU210" s="82"/>
      <c r="AW210" s="95"/>
      <c r="BD210" s="95"/>
      <c r="BE210" s="95"/>
      <c r="BF210" s="95"/>
      <c r="BG210" s="95"/>
    </row>
    <row r="211" spans="1:59" s="83" customFormat="1">
      <c r="A211" s="124"/>
      <c r="B211" s="124"/>
      <c r="C211" s="124"/>
      <c r="D211" s="124"/>
      <c r="E211" s="124"/>
      <c r="F211" s="124"/>
      <c r="G211" s="124"/>
      <c r="H211" s="124"/>
      <c r="I211" s="124"/>
      <c r="J211" s="124"/>
      <c r="K211" s="124"/>
      <c r="L211" s="124"/>
      <c r="M211" s="124"/>
      <c r="N211" s="124"/>
      <c r="O211" s="124"/>
      <c r="P211" s="124"/>
      <c r="Q211" s="124"/>
      <c r="R211" s="124"/>
      <c r="S211" s="124"/>
      <c r="T211" s="124"/>
      <c r="U211" s="125"/>
      <c r="V211" s="124"/>
      <c r="W211" s="124"/>
      <c r="X211" s="124"/>
      <c r="Y211" s="124"/>
      <c r="Z211" s="124"/>
      <c r="AA211" s="124"/>
      <c r="AB211" s="124"/>
      <c r="AC211" s="124"/>
      <c r="AD211" s="124"/>
      <c r="AE211" s="124"/>
      <c r="AF211" s="124"/>
      <c r="AG211" s="124"/>
      <c r="AH211" s="124"/>
      <c r="AI211" s="124"/>
      <c r="AJ211" s="124"/>
      <c r="AK211" s="124"/>
      <c r="AL211" s="124"/>
      <c r="AM211" s="124"/>
      <c r="AN211" s="125"/>
      <c r="AO211" s="125"/>
      <c r="AP211" s="81"/>
      <c r="AQ211" s="82"/>
      <c r="AR211" s="96"/>
      <c r="AS211" s="96"/>
      <c r="AT211" s="96"/>
      <c r="AU211" s="82"/>
      <c r="AW211" s="95"/>
      <c r="BD211" s="95"/>
      <c r="BE211" s="95"/>
      <c r="BF211" s="95"/>
      <c r="BG211" s="95"/>
    </row>
    <row r="212" spans="1:59" s="83" customFormat="1">
      <c r="A212" s="124"/>
      <c r="B212" s="124"/>
      <c r="C212" s="124"/>
      <c r="D212" s="124"/>
      <c r="E212" s="124"/>
      <c r="F212" s="124"/>
      <c r="G212" s="124"/>
      <c r="H212" s="124"/>
      <c r="I212" s="124"/>
      <c r="J212" s="124"/>
      <c r="K212" s="124"/>
      <c r="L212" s="124"/>
      <c r="M212" s="124"/>
      <c r="N212" s="124"/>
      <c r="O212" s="124"/>
      <c r="P212" s="124"/>
      <c r="Q212" s="124"/>
      <c r="R212" s="124"/>
      <c r="S212" s="124"/>
      <c r="T212" s="124"/>
      <c r="U212" s="125"/>
      <c r="V212" s="124"/>
      <c r="W212" s="124"/>
      <c r="X212" s="124"/>
      <c r="Y212" s="124"/>
      <c r="Z212" s="124"/>
      <c r="AA212" s="124"/>
      <c r="AB212" s="124"/>
      <c r="AC212" s="124"/>
      <c r="AD212" s="124"/>
      <c r="AE212" s="124"/>
      <c r="AF212" s="124"/>
      <c r="AG212" s="124"/>
      <c r="AH212" s="124"/>
      <c r="AI212" s="124"/>
      <c r="AJ212" s="124"/>
      <c r="AK212" s="124"/>
      <c r="AL212" s="124"/>
      <c r="AM212" s="124"/>
      <c r="AN212" s="125"/>
      <c r="AO212" s="125"/>
      <c r="AP212" s="81"/>
      <c r="AQ212" s="82"/>
      <c r="AR212" s="96"/>
      <c r="AS212" s="96"/>
      <c r="AT212" s="96"/>
      <c r="AU212" s="82"/>
      <c r="AW212" s="95"/>
      <c r="BD212" s="95"/>
      <c r="BE212" s="95"/>
      <c r="BF212" s="95"/>
      <c r="BG212" s="95"/>
    </row>
    <row r="213" spans="1:59" s="83" customFormat="1">
      <c r="A213" s="124"/>
      <c r="B213" s="124"/>
      <c r="C213" s="124"/>
      <c r="D213" s="124"/>
      <c r="E213" s="124"/>
      <c r="F213" s="124"/>
      <c r="G213" s="124"/>
      <c r="H213" s="124"/>
      <c r="I213" s="124"/>
      <c r="J213" s="124"/>
      <c r="K213" s="124"/>
      <c r="L213" s="124"/>
      <c r="M213" s="124"/>
      <c r="N213" s="124"/>
      <c r="O213" s="124"/>
      <c r="P213" s="124"/>
      <c r="Q213" s="124"/>
      <c r="R213" s="124"/>
      <c r="S213" s="124"/>
      <c r="T213" s="124"/>
      <c r="U213" s="125"/>
      <c r="V213" s="124"/>
      <c r="W213" s="124"/>
      <c r="X213" s="124"/>
      <c r="Y213" s="124"/>
      <c r="Z213" s="124"/>
      <c r="AA213" s="124"/>
      <c r="AB213" s="124"/>
      <c r="AC213" s="124"/>
      <c r="AD213" s="124"/>
      <c r="AE213" s="124"/>
      <c r="AF213" s="124"/>
      <c r="AG213" s="124"/>
      <c r="AH213" s="124"/>
      <c r="AI213" s="124"/>
      <c r="AJ213" s="124"/>
      <c r="AK213" s="124"/>
      <c r="AL213" s="124"/>
      <c r="AM213" s="124"/>
      <c r="AN213" s="125"/>
      <c r="AO213" s="125"/>
      <c r="AP213" s="81"/>
      <c r="AQ213" s="82"/>
      <c r="AR213" s="96"/>
      <c r="AS213" s="96"/>
      <c r="AT213" s="96"/>
      <c r="AU213" s="82"/>
      <c r="AW213" s="95"/>
      <c r="BD213" s="95"/>
      <c r="BE213" s="95"/>
      <c r="BF213" s="95"/>
      <c r="BG213" s="95"/>
    </row>
    <row r="214" spans="1:59" s="83" customFormat="1">
      <c r="A214" s="124"/>
      <c r="B214" s="124"/>
      <c r="C214" s="124"/>
      <c r="D214" s="124"/>
      <c r="E214" s="124"/>
      <c r="F214" s="124"/>
      <c r="G214" s="124"/>
      <c r="H214" s="124"/>
      <c r="I214" s="124"/>
      <c r="J214" s="124"/>
      <c r="K214" s="124"/>
      <c r="L214" s="124"/>
      <c r="M214" s="124"/>
      <c r="N214" s="124"/>
      <c r="O214" s="124"/>
      <c r="P214" s="124"/>
      <c r="Q214" s="124"/>
      <c r="R214" s="124"/>
      <c r="S214" s="124"/>
      <c r="T214" s="124"/>
      <c r="U214" s="125"/>
      <c r="V214" s="124"/>
      <c r="W214" s="124"/>
      <c r="X214" s="124"/>
      <c r="Y214" s="124"/>
      <c r="Z214" s="124"/>
      <c r="AA214" s="124"/>
      <c r="AB214" s="124"/>
      <c r="AC214" s="124"/>
      <c r="AD214" s="124"/>
      <c r="AE214" s="124"/>
      <c r="AF214" s="124"/>
      <c r="AG214" s="124"/>
      <c r="AH214" s="124"/>
      <c r="AI214" s="124"/>
      <c r="AJ214" s="124"/>
      <c r="AK214" s="124"/>
      <c r="AL214" s="124"/>
      <c r="AM214" s="124"/>
      <c r="AN214" s="125"/>
      <c r="AO214" s="125"/>
      <c r="AP214" s="81"/>
      <c r="AQ214" s="82"/>
      <c r="AR214" s="96"/>
      <c r="AS214" s="96"/>
      <c r="AT214" s="96"/>
      <c r="AU214" s="82"/>
      <c r="AW214" s="95"/>
      <c r="BD214" s="95"/>
      <c r="BE214" s="95"/>
      <c r="BF214" s="95"/>
      <c r="BG214" s="95"/>
    </row>
    <row r="215" spans="1:59" s="83" customFormat="1">
      <c r="A215" s="124"/>
      <c r="B215" s="124"/>
      <c r="C215" s="124"/>
      <c r="D215" s="124"/>
      <c r="E215" s="124"/>
      <c r="F215" s="124"/>
      <c r="G215" s="124"/>
      <c r="H215" s="124"/>
      <c r="I215" s="124"/>
      <c r="J215" s="124"/>
      <c r="K215" s="124"/>
      <c r="L215" s="124"/>
      <c r="M215" s="124"/>
      <c r="N215" s="124"/>
      <c r="O215" s="124"/>
      <c r="P215" s="124"/>
      <c r="Q215" s="124"/>
      <c r="R215" s="124"/>
      <c r="S215" s="124"/>
      <c r="T215" s="124"/>
      <c r="U215" s="125"/>
      <c r="V215" s="124"/>
      <c r="W215" s="124"/>
      <c r="X215" s="124"/>
      <c r="Y215" s="124"/>
      <c r="Z215" s="124"/>
      <c r="AA215" s="124"/>
      <c r="AB215" s="124"/>
      <c r="AC215" s="124"/>
      <c r="AD215" s="124"/>
      <c r="AE215" s="124"/>
      <c r="AF215" s="124"/>
      <c r="AG215" s="124"/>
      <c r="AH215" s="124"/>
      <c r="AI215" s="124"/>
      <c r="AJ215" s="124"/>
      <c r="AK215" s="124"/>
      <c r="AL215" s="124"/>
      <c r="AM215" s="124"/>
      <c r="AN215" s="125"/>
      <c r="AO215" s="125"/>
      <c r="AP215" s="81"/>
      <c r="AQ215" s="82"/>
      <c r="AR215" s="96"/>
      <c r="AS215" s="96"/>
      <c r="AT215" s="96"/>
      <c r="AU215" s="82"/>
      <c r="AW215" s="95"/>
      <c r="BD215" s="95"/>
      <c r="BE215" s="95"/>
      <c r="BF215" s="95"/>
      <c r="BG215" s="95"/>
    </row>
    <row r="216" spans="1:59" s="83" customFormat="1">
      <c r="A216" s="124"/>
      <c r="B216" s="124"/>
      <c r="C216" s="124"/>
      <c r="D216" s="124"/>
      <c r="E216" s="124"/>
      <c r="F216" s="124"/>
      <c r="G216" s="124"/>
      <c r="H216" s="124"/>
      <c r="I216" s="124"/>
      <c r="J216" s="124"/>
      <c r="K216" s="124"/>
      <c r="L216" s="124"/>
      <c r="M216" s="124"/>
      <c r="N216" s="124"/>
      <c r="O216" s="124"/>
      <c r="P216" s="124"/>
      <c r="Q216" s="124"/>
      <c r="R216" s="124"/>
      <c r="S216" s="124"/>
      <c r="T216" s="124"/>
      <c r="U216" s="125"/>
      <c r="V216" s="124"/>
      <c r="W216" s="124"/>
      <c r="X216" s="124"/>
      <c r="Y216" s="124"/>
      <c r="Z216" s="124"/>
      <c r="AA216" s="124"/>
      <c r="AB216" s="124"/>
      <c r="AC216" s="124"/>
      <c r="AD216" s="124"/>
      <c r="AE216" s="124"/>
      <c r="AF216" s="124"/>
      <c r="AG216" s="124"/>
      <c r="AH216" s="124"/>
      <c r="AI216" s="124"/>
      <c r="AJ216" s="124"/>
      <c r="AK216" s="124"/>
      <c r="AL216" s="124"/>
      <c r="AM216" s="124"/>
      <c r="AN216" s="125"/>
      <c r="AO216" s="125"/>
      <c r="AP216" s="81"/>
      <c r="AQ216" s="82"/>
      <c r="AR216" s="96"/>
      <c r="AS216" s="96"/>
      <c r="AT216" s="96"/>
      <c r="AU216" s="82"/>
      <c r="AW216" s="95"/>
      <c r="BD216" s="95"/>
      <c r="BE216" s="95"/>
      <c r="BF216" s="95"/>
      <c r="BG216" s="95"/>
    </row>
    <row r="217" spans="1:59" s="83" customFormat="1">
      <c r="A217" s="124"/>
      <c r="B217" s="124"/>
      <c r="C217" s="124"/>
      <c r="D217" s="124"/>
      <c r="E217" s="124"/>
      <c r="F217" s="124"/>
      <c r="G217" s="124"/>
      <c r="H217" s="124"/>
      <c r="I217" s="124"/>
      <c r="J217" s="124"/>
      <c r="K217" s="124"/>
      <c r="L217" s="124"/>
      <c r="M217" s="124"/>
      <c r="N217" s="124"/>
      <c r="O217" s="124"/>
      <c r="P217" s="124"/>
      <c r="Q217" s="124"/>
      <c r="R217" s="124"/>
      <c r="S217" s="124"/>
      <c r="T217" s="124"/>
      <c r="U217" s="125"/>
      <c r="V217" s="124"/>
      <c r="W217" s="124"/>
      <c r="X217" s="124"/>
      <c r="Y217" s="124"/>
      <c r="Z217" s="124"/>
      <c r="AA217" s="124"/>
      <c r="AB217" s="124"/>
      <c r="AC217" s="124"/>
      <c r="AD217" s="124"/>
      <c r="AE217" s="124"/>
      <c r="AF217" s="124"/>
      <c r="AG217" s="124"/>
      <c r="AH217" s="124"/>
      <c r="AI217" s="124"/>
      <c r="AJ217" s="124"/>
      <c r="AK217" s="124"/>
      <c r="AL217" s="124"/>
      <c r="AM217" s="124"/>
      <c r="AN217" s="125"/>
      <c r="AO217" s="125"/>
      <c r="AP217" s="81"/>
      <c r="AQ217" s="82"/>
      <c r="AR217" s="96"/>
      <c r="AS217" s="96"/>
      <c r="AT217" s="96"/>
      <c r="AU217" s="82"/>
      <c r="AW217" s="95"/>
      <c r="BD217" s="95"/>
      <c r="BE217" s="95"/>
      <c r="BF217" s="95"/>
      <c r="BG217" s="95"/>
    </row>
    <row r="218" spans="1:59" s="83" customFormat="1">
      <c r="A218" s="124"/>
      <c r="B218" s="124"/>
      <c r="C218" s="124"/>
      <c r="D218" s="124"/>
      <c r="E218" s="124"/>
      <c r="F218" s="124"/>
      <c r="G218" s="124"/>
      <c r="H218" s="124"/>
      <c r="I218" s="124"/>
      <c r="J218" s="124"/>
      <c r="K218" s="124"/>
      <c r="L218" s="124"/>
      <c r="M218" s="124"/>
      <c r="N218" s="124"/>
      <c r="O218" s="124"/>
      <c r="P218" s="124"/>
      <c r="Q218" s="124"/>
      <c r="R218" s="124"/>
      <c r="S218" s="124"/>
      <c r="T218" s="124"/>
      <c r="U218" s="125"/>
      <c r="V218" s="124"/>
      <c r="W218" s="124"/>
      <c r="X218" s="124"/>
      <c r="Y218" s="124"/>
      <c r="Z218" s="124"/>
      <c r="AA218" s="124"/>
      <c r="AB218" s="124"/>
      <c r="AC218" s="124"/>
      <c r="AD218" s="124"/>
      <c r="AE218" s="124"/>
      <c r="AF218" s="124"/>
      <c r="AG218" s="124"/>
      <c r="AH218" s="124"/>
      <c r="AI218" s="124"/>
      <c r="AJ218" s="124"/>
      <c r="AK218" s="124"/>
      <c r="AL218" s="124"/>
      <c r="AM218" s="124"/>
      <c r="AN218" s="125"/>
      <c r="AO218" s="125"/>
      <c r="AP218" s="81"/>
      <c r="AQ218" s="82"/>
      <c r="AR218" s="96"/>
      <c r="AS218" s="96"/>
      <c r="AT218" s="96"/>
      <c r="AU218" s="82"/>
      <c r="AW218" s="95"/>
      <c r="BD218" s="95"/>
      <c r="BE218" s="95"/>
      <c r="BF218" s="95"/>
      <c r="BG218" s="95"/>
    </row>
    <row r="219" spans="1:59" s="83" customFormat="1">
      <c r="A219" s="124"/>
      <c r="B219" s="124"/>
      <c r="C219" s="124"/>
      <c r="D219" s="124"/>
      <c r="E219" s="124"/>
      <c r="F219" s="124"/>
      <c r="G219" s="124"/>
      <c r="H219" s="124"/>
      <c r="I219" s="124"/>
      <c r="J219" s="124"/>
      <c r="K219" s="124"/>
      <c r="L219" s="124"/>
      <c r="M219" s="124"/>
      <c r="N219" s="124"/>
      <c r="O219" s="124"/>
      <c r="P219" s="124"/>
      <c r="Q219" s="124"/>
      <c r="R219" s="124"/>
      <c r="S219" s="124"/>
      <c r="T219" s="124"/>
      <c r="U219" s="125"/>
      <c r="V219" s="124"/>
      <c r="W219" s="124"/>
      <c r="X219" s="124"/>
      <c r="Y219" s="124"/>
      <c r="Z219" s="124"/>
      <c r="AA219" s="124"/>
      <c r="AB219" s="124"/>
      <c r="AC219" s="124"/>
      <c r="AD219" s="124"/>
      <c r="AE219" s="124"/>
      <c r="AF219" s="124"/>
      <c r="AG219" s="124"/>
      <c r="AH219" s="124"/>
      <c r="AI219" s="124"/>
      <c r="AJ219" s="124"/>
      <c r="AK219" s="124"/>
      <c r="AL219" s="124"/>
      <c r="AM219" s="124"/>
      <c r="AN219" s="125"/>
      <c r="AO219" s="125"/>
      <c r="AP219" s="81"/>
      <c r="AQ219" s="82"/>
      <c r="AR219" s="96"/>
      <c r="AS219" s="96"/>
      <c r="AT219" s="96"/>
      <c r="AU219" s="82"/>
      <c r="AW219" s="95"/>
      <c r="BD219" s="95"/>
      <c r="BE219" s="95"/>
      <c r="BF219" s="95"/>
      <c r="BG219" s="95"/>
    </row>
    <row r="220" spans="1:59" s="83" customFormat="1">
      <c r="A220" s="124"/>
      <c r="B220" s="124"/>
      <c r="C220" s="124"/>
      <c r="D220" s="124"/>
      <c r="E220" s="124"/>
      <c r="F220" s="124"/>
      <c r="G220" s="124"/>
      <c r="H220" s="124"/>
      <c r="I220" s="124"/>
      <c r="J220" s="124"/>
      <c r="K220" s="124"/>
      <c r="L220" s="124"/>
      <c r="M220" s="124"/>
      <c r="N220" s="124"/>
      <c r="O220" s="124"/>
      <c r="P220" s="124"/>
      <c r="Q220" s="124"/>
      <c r="R220" s="124"/>
      <c r="S220" s="124"/>
      <c r="T220" s="124"/>
      <c r="U220" s="125"/>
      <c r="V220" s="124"/>
      <c r="W220" s="124"/>
      <c r="X220" s="124"/>
      <c r="Y220" s="124"/>
      <c r="Z220" s="124"/>
      <c r="AA220" s="124"/>
      <c r="AB220" s="124"/>
      <c r="AC220" s="124"/>
      <c r="AD220" s="124"/>
      <c r="AE220" s="124"/>
      <c r="AF220" s="124"/>
      <c r="AG220" s="124"/>
      <c r="AH220" s="124"/>
      <c r="AI220" s="124"/>
      <c r="AJ220" s="124"/>
      <c r="AK220" s="124"/>
      <c r="AL220" s="124"/>
      <c r="AM220" s="124"/>
      <c r="AN220" s="125"/>
      <c r="AO220" s="125"/>
      <c r="AP220" s="81"/>
      <c r="AQ220" s="82"/>
      <c r="AR220" s="96"/>
      <c r="AS220" s="96"/>
      <c r="AT220" s="96"/>
      <c r="AU220" s="82"/>
      <c r="AW220" s="95"/>
      <c r="BD220" s="95"/>
      <c r="BE220" s="95"/>
      <c r="BF220" s="95"/>
      <c r="BG220" s="95"/>
    </row>
    <row r="221" spans="1:59" s="83" customFormat="1">
      <c r="A221" s="124"/>
      <c r="B221" s="124"/>
      <c r="C221" s="124"/>
      <c r="D221" s="124"/>
      <c r="E221" s="124"/>
      <c r="F221" s="124"/>
      <c r="G221" s="124"/>
      <c r="H221" s="124"/>
      <c r="I221" s="124"/>
      <c r="J221" s="124"/>
      <c r="K221" s="124"/>
      <c r="L221" s="124"/>
      <c r="M221" s="124"/>
      <c r="N221" s="124"/>
      <c r="O221" s="124"/>
      <c r="P221" s="124"/>
      <c r="Q221" s="124"/>
      <c r="R221" s="124"/>
      <c r="S221" s="124"/>
      <c r="T221" s="124"/>
      <c r="U221" s="125"/>
      <c r="V221" s="124"/>
      <c r="W221" s="124"/>
      <c r="X221" s="124"/>
      <c r="Y221" s="124"/>
      <c r="Z221" s="124"/>
      <c r="AA221" s="124"/>
      <c r="AB221" s="124"/>
      <c r="AC221" s="124"/>
      <c r="AD221" s="124"/>
      <c r="AE221" s="124"/>
      <c r="AF221" s="124"/>
      <c r="AG221" s="124"/>
      <c r="AH221" s="124"/>
      <c r="AI221" s="124"/>
      <c r="AJ221" s="124"/>
      <c r="AK221" s="124"/>
      <c r="AL221" s="124"/>
      <c r="AM221" s="124"/>
      <c r="AN221" s="125"/>
      <c r="AO221" s="125"/>
      <c r="AP221" s="81"/>
      <c r="AQ221" s="82"/>
      <c r="AR221" s="96"/>
      <c r="AS221" s="96"/>
      <c r="AT221" s="96"/>
      <c r="AU221" s="82"/>
      <c r="AW221" s="95"/>
      <c r="BD221" s="95"/>
      <c r="BE221" s="95"/>
      <c r="BF221" s="95"/>
      <c r="BG221" s="95"/>
    </row>
    <row r="222" spans="1:59" s="83" customFormat="1">
      <c r="A222" s="124"/>
      <c r="B222" s="124"/>
      <c r="C222" s="124"/>
      <c r="D222" s="124"/>
      <c r="E222" s="124"/>
      <c r="F222" s="124"/>
      <c r="G222" s="124"/>
      <c r="H222" s="124"/>
      <c r="I222" s="124"/>
      <c r="J222" s="124"/>
      <c r="K222" s="124"/>
      <c r="L222" s="124"/>
      <c r="M222" s="124"/>
      <c r="N222" s="124"/>
      <c r="O222" s="124"/>
      <c r="P222" s="124"/>
      <c r="Q222" s="124"/>
      <c r="R222" s="124"/>
      <c r="S222" s="124"/>
      <c r="T222" s="124"/>
      <c r="U222" s="125"/>
      <c r="V222" s="124"/>
      <c r="W222" s="124"/>
      <c r="X222" s="124"/>
      <c r="Y222" s="124"/>
      <c r="Z222" s="124"/>
      <c r="AA222" s="124"/>
      <c r="AB222" s="124"/>
      <c r="AC222" s="124"/>
      <c r="AD222" s="124"/>
      <c r="AE222" s="124"/>
      <c r="AF222" s="124"/>
      <c r="AG222" s="124"/>
      <c r="AH222" s="124"/>
      <c r="AI222" s="124"/>
      <c r="AJ222" s="124"/>
      <c r="AK222" s="124"/>
      <c r="AL222" s="124"/>
      <c r="AM222" s="124"/>
      <c r="AN222" s="125"/>
      <c r="AO222" s="125"/>
      <c r="AP222" s="81"/>
      <c r="AQ222" s="82"/>
      <c r="AR222" s="96"/>
      <c r="AS222" s="96"/>
      <c r="AT222" s="96"/>
      <c r="AU222" s="82"/>
      <c r="AW222" s="95"/>
      <c r="BD222" s="95"/>
      <c r="BE222" s="95"/>
      <c r="BF222" s="95"/>
      <c r="BG222" s="95"/>
    </row>
    <row r="223" spans="1:59" s="83" customFormat="1">
      <c r="A223" s="124"/>
      <c r="B223" s="124"/>
      <c r="C223" s="124"/>
      <c r="D223" s="124"/>
      <c r="E223" s="124"/>
      <c r="F223" s="124"/>
      <c r="G223" s="124"/>
      <c r="H223" s="124"/>
      <c r="I223" s="124"/>
      <c r="J223" s="124"/>
      <c r="K223" s="124"/>
      <c r="L223" s="124"/>
      <c r="M223" s="124"/>
      <c r="N223" s="124"/>
      <c r="O223" s="124"/>
      <c r="P223" s="124"/>
      <c r="Q223" s="124"/>
      <c r="R223" s="124"/>
      <c r="S223" s="124"/>
      <c r="T223" s="124"/>
      <c r="U223" s="125"/>
      <c r="V223" s="124"/>
      <c r="W223" s="124"/>
      <c r="X223" s="124"/>
      <c r="Y223" s="124"/>
      <c r="Z223" s="124"/>
      <c r="AA223" s="124"/>
      <c r="AB223" s="124"/>
      <c r="AC223" s="124"/>
      <c r="AD223" s="124"/>
      <c r="AE223" s="124"/>
      <c r="AF223" s="124"/>
      <c r="AG223" s="124"/>
      <c r="AH223" s="124"/>
      <c r="AI223" s="124"/>
      <c r="AJ223" s="124"/>
      <c r="AK223" s="124"/>
      <c r="AL223" s="124"/>
      <c r="AM223" s="124"/>
      <c r="AN223" s="125"/>
      <c r="AO223" s="125"/>
      <c r="AP223" s="81"/>
      <c r="AQ223" s="82"/>
      <c r="AR223" s="96"/>
      <c r="AS223" s="96"/>
      <c r="AT223" s="96"/>
      <c r="AU223" s="82"/>
      <c r="AW223" s="95"/>
      <c r="BD223" s="95"/>
      <c r="BE223" s="95"/>
      <c r="BF223" s="95"/>
      <c r="BG223" s="95"/>
    </row>
    <row r="224" spans="1:59" s="83" customFormat="1">
      <c r="A224" s="124"/>
      <c r="B224" s="124"/>
      <c r="C224" s="124"/>
      <c r="D224" s="124"/>
      <c r="E224" s="124"/>
      <c r="F224" s="124"/>
      <c r="G224" s="124"/>
      <c r="H224" s="124"/>
      <c r="I224" s="124"/>
      <c r="J224" s="124"/>
      <c r="K224" s="124"/>
      <c r="L224" s="124"/>
      <c r="M224" s="124"/>
      <c r="N224" s="124"/>
      <c r="O224" s="124"/>
      <c r="P224" s="124"/>
      <c r="Q224" s="124"/>
      <c r="R224" s="124"/>
      <c r="S224" s="124"/>
      <c r="T224" s="124"/>
      <c r="U224" s="125"/>
      <c r="V224" s="124"/>
      <c r="W224" s="124"/>
      <c r="X224" s="124"/>
      <c r="Y224" s="124"/>
      <c r="Z224" s="124"/>
      <c r="AA224" s="124"/>
      <c r="AB224" s="124"/>
      <c r="AC224" s="124"/>
      <c r="AD224" s="124"/>
      <c r="AE224" s="124"/>
      <c r="AF224" s="124"/>
      <c r="AG224" s="124"/>
      <c r="AH224" s="124"/>
      <c r="AI224" s="124"/>
      <c r="AJ224" s="124"/>
      <c r="AK224" s="124"/>
      <c r="AL224" s="124"/>
      <c r="AM224" s="124"/>
      <c r="AN224" s="125"/>
      <c r="AO224" s="125"/>
      <c r="AP224" s="81"/>
      <c r="AQ224" s="82"/>
      <c r="AR224" s="96"/>
      <c r="AS224" s="96"/>
      <c r="AT224" s="96"/>
      <c r="AU224" s="82"/>
      <c r="AW224" s="95"/>
      <c r="BD224" s="95"/>
      <c r="BE224" s="95"/>
      <c r="BF224" s="95"/>
      <c r="BG224" s="95"/>
    </row>
    <row r="225" spans="1:59" s="83" customFormat="1">
      <c r="A225" s="124"/>
      <c r="B225" s="124"/>
      <c r="C225" s="124"/>
      <c r="D225" s="124"/>
      <c r="E225" s="124"/>
      <c r="F225" s="124"/>
      <c r="G225" s="124"/>
      <c r="H225" s="124"/>
      <c r="I225" s="124"/>
      <c r="J225" s="124"/>
      <c r="K225" s="124"/>
      <c r="L225" s="124"/>
      <c r="M225" s="124"/>
      <c r="N225" s="124"/>
      <c r="O225" s="124"/>
      <c r="P225" s="124"/>
      <c r="Q225" s="124"/>
      <c r="R225" s="124"/>
      <c r="S225" s="124"/>
      <c r="T225" s="124"/>
      <c r="U225" s="125"/>
      <c r="V225" s="124"/>
      <c r="W225" s="124"/>
      <c r="X225" s="124"/>
      <c r="Y225" s="124"/>
      <c r="Z225" s="124"/>
      <c r="AA225" s="124"/>
      <c r="AB225" s="124"/>
      <c r="AC225" s="124"/>
      <c r="AD225" s="124"/>
      <c r="AE225" s="124"/>
      <c r="AF225" s="124"/>
      <c r="AG225" s="124"/>
      <c r="AH225" s="124"/>
      <c r="AI225" s="124"/>
      <c r="AJ225" s="124"/>
      <c r="AK225" s="124"/>
      <c r="AL225" s="124"/>
      <c r="AM225" s="124"/>
      <c r="AN225" s="125"/>
      <c r="AO225" s="125"/>
      <c r="AP225" s="81"/>
      <c r="AQ225" s="82"/>
      <c r="AR225" s="96"/>
      <c r="AS225" s="96"/>
      <c r="AT225" s="96"/>
      <c r="AU225" s="82"/>
      <c r="AW225" s="95"/>
      <c r="BD225" s="95"/>
      <c r="BE225" s="95"/>
      <c r="BF225" s="95"/>
      <c r="BG225" s="95"/>
    </row>
    <row r="226" spans="1:59" s="83" customFormat="1">
      <c r="A226" s="124"/>
      <c r="B226" s="124"/>
      <c r="C226" s="124"/>
      <c r="D226" s="124"/>
      <c r="E226" s="124"/>
      <c r="F226" s="124"/>
      <c r="G226" s="124"/>
      <c r="H226" s="124"/>
      <c r="I226" s="124"/>
      <c r="J226" s="124"/>
      <c r="K226" s="124"/>
      <c r="L226" s="124"/>
      <c r="M226" s="124"/>
      <c r="N226" s="124"/>
      <c r="O226" s="124"/>
      <c r="P226" s="124"/>
      <c r="Q226" s="124"/>
      <c r="R226" s="124"/>
      <c r="S226" s="124"/>
      <c r="T226" s="124"/>
      <c r="U226" s="125"/>
      <c r="V226" s="124"/>
      <c r="W226" s="124"/>
      <c r="X226" s="124"/>
      <c r="Y226" s="124"/>
      <c r="Z226" s="124"/>
      <c r="AA226" s="124"/>
      <c r="AB226" s="124"/>
      <c r="AC226" s="124"/>
      <c r="AD226" s="124"/>
      <c r="AE226" s="124"/>
      <c r="AF226" s="124"/>
      <c r="AG226" s="124"/>
      <c r="AH226" s="124"/>
      <c r="AI226" s="124"/>
      <c r="AJ226" s="124"/>
      <c r="AK226" s="124"/>
      <c r="AL226" s="124"/>
      <c r="AM226" s="124"/>
      <c r="AN226" s="125"/>
      <c r="AO226" s="125"/>
      <c r="AP226" s="81"/>
      <c r="AQ226" s="82"/>
      <c r="AR226" s="96"/>
      <c r="AS226" s="96"/>
      <c r="AT226" s="96"/>
      <c r="AU226" s="82"/>
      <c r="AW226" s="95"/>
      <c r="BD226" s="95"/>
      <c r="BE226" s="95"/>
      <c r="BF226" s="95"/>
      <c r="BG226" s="95"/>
    </row>
    <row r="227" spans="1:59" s="83" customFormat="1">
      <c r="A227" s="124"/>
      <c r="B227" s="124"/>
      <c r="C227" s="124"/>
      <c r="D227" s="124"/>
      <c r="E227" s="124"/>
      <c r="F227" s="124"/>
      <c r="G227" s="124"/>
      <c r="H227" s="124"/>
      <c r="I227" s="124"/>
      <c r="J227" s="124"/>
      <c r="K227" s="124"/>
      <c r="L227" s="124"/>
      <c r="M227" s="124"/>
      <c r="N227" s="124"/>
      <c r="O227" s="124"/>
      <c r="P227" s="124"/>
      <c r="Q227" s="124"/>
      <c r="R227" s="124"/>
      <c r="S227" s="124"/>
      <c r="T227" s="124"/>
      <c r="U227" s="125"/>
      <c r="V227" s="124"/>
      <c r="W227" s="124"/>
      <c r="X227" s="124"/>
      <c r="Y227" s="124"/>
      <c r="Z227" s="124"/>
      <c r="AA227" s="124"/>
      <c r="AB227" s="124"/>
      <c r="AC227" s="124"/>
      <c r="AD227" s="124"/>
      <c r="AE227" s="124"/>
      <c r="AF227" s="124"/>
      <c r="AG227" s="124"/>
      <c r="AH227" s="124"/>
      <c r="AI227" s="124"/>
      <c r="AJ227" s="124"/>
      <c r="AK227" s="124"/>
      <c r="AL227" s="124"/>
      <c r="AM227" s="124"/>
      <c r="AN227" s="125"/>
      <c r="AO227" s="125"/>
      <c r="AP227" s="81"/>
      <c r="AQ227" s="82"/>
      <c r="AR227" s="96"/>
      <c r="AS227" s="96"/>
      <c r="AT227" s="96"/>
      <c r="AU227" s="82"/>
      <c r="AW227" s="95"/>
      <c r="BD227" s="95"/>
      <c r="BE227" s="95"/>
      <c r="BF227" s="95"/>
      <c r="BG227" s="95"/>
    </row>
    <row r="228" spans="1:59" s="83" customFormat="1">
      <c r="A228" s="124"/>
      <c r="B228" s="124"/>
      <c r="C228" s="124"/>
      <c r="D228" s="124"/>
      <c r="E228" s="124"/>
      <c r="F228" s="124"/>
      <c r="G228" s="124"/>
      <c r="H228" s="124"/>
      <c r="I228" s="124"/>
      <c r="J228" s="124"/>
      <c r="K228" s="124"/>
      <c r="L228" s="124"/>
      <c r="M228" s="124"/>
      <c r="N228" s="124"/>
      <c r="O228" s="124"/>
      <c r="P228" s="124"/>
      <c r="Q228" s="124"/>
      <c r="R228" s="124"/>
      <c r="S228" s="124"/>
      <c r="T228" s="124"/>
      <c r="U228" s="125"/>
      <c r="V228" s="124"/>
      <c r="W228" s="124"/>
      <c r="X228" s="124"/>
      <c r="Y228" s="124"/>
      <c r="Z228" s="124"/>
      <c r="AA228" s="124"/>
      <c r="AB228" s="124"/>
      <c r="AC228" s="124"/>
      <c r="AD228" s="124"/>
      <c r="AE228" s="124"/>
      <c r="AF228" s="124"/>
      <c r="AG228" s="124"/>
      <c r="AH228" s="124"/>
      <c r="AI228" s="124"/>
      <c r="AJ228" s="124"/>
      <c r="AK228" s="124"/>
      <c r="AL228" s="124"/>
      <c r="AM228" s="124"/>
      <c r="AN228" s="125"/>
      <c r="AO228" s="125"/>
      <c r="AP228" s="81"/>
      <c r="AQ228" s="82"/>
      <c r="AR228" s="96"/>
      <c r="AS228" s="96"/>
      <c r="AT228" s="96"/>
      <c r="AU228" s="82"/>
      <c r="AW228" s="95"/>
      <c r="BD228" s="95"/>
      <c r="BE228" s="95"/>
      <c r="BF228" s="95"/>
      <c r="BG228" s="95"/>
    </row>
    <row r="229" spans="1:59" s="83" customFormat="1">
      <c r="A229" s="124"/>
      <c r="B229" s="124"/>
      <c r="C229" s="124"/>
      <c r="D229" s="124"/>
      <c r="E229" s="124"/>
      <c r="F229" s="124"/>
      <c r="G229" s="124"/>
      <c r="H229" s="124"/>
      <c r="I229" s="124"/>
      <c r="J229" s="124"/>
      <c r="K229" s="124"/>
      <c r="L229" s="124"/>
      <c r="M229" s="124"/>
      <c r="N229" s="124"/>
      <c r="O229" s="124"/>
      <c r="P229" s="124"/>
      <c r="Q229" s="124"/>
      <c r="R229" s="124"/>
      <c r="S229" s="124"/>
      <c r="T229" s="124"/>
      <c r="U229" s="125"/>
      <c r="V229" s="124"/>
      <c r="W229" s="124"/>
      <c r="X229" s="124"/>
      <c r="Y229" s="124"/>
      <c r="Z229" s="124"/>
      <c r="AA229" s="124"/>
      <c r="AB229" s="124"/>
      <c r="AC229" s="124"/>
      <c r="AD229" s="124"/>
      <c r="AE229" s="124"/>
      <c r="AF229" s="124"/>
      <c r="AG229" s="124"/>
      <c r="AH229" s="124"/>
      <c r="AI229" s="124"/>
      <c r="AJ229" s="124"/>
      <c r="AK229" s="124"/>
      <c r="AL229" s="124"/>
      <c r="AM229" s="124"/>
      <c r="AN229" s="125"/>
      <c r="AO229" s="125"/>
      <c r="AP229" s="81"/>
      <c r="AQ229" s="82"/>
      <c r="AR229" s="96"/>
      <c r="AS229" s="96"/>
      <c r="AT229" s="96"/>
      <c r="AU229" s="82"/>
      <c r="AW229" s="95"/>
      <c r="BD229" s="95"/>
      <c r="BE229" s="95"/>
      <c r="BF229" s="95"/>
      <c r="BG229" s="95"/>
    </row>
    <row r="230" spans="1:59" s="83" customFormat="1">
      <c r="A230" s="124"/>
      <c r="B230" s="124"/>
      <c r="C230" s="124"/>
      <c r="D230" s="124"/>
      <c r="E230" s="124"/>
      <c r="F230" s="124"/>
      <c r="G230" s="124"/>
      <c r="H230" s="124"/>
      <c r="I230" s="124"/>
      <c r="J230" s="124"/>
      <c r="K230" s="124"/>
      <c r="L230" s="124"/>
      <c r="M230" s="124"/>
      <c r="N230" s="124"/>
      <c r="O230" s="124"/>
      <c r="P230" s="124"/>
      <c r="Q230" s="124"/>
      <c r="R230" s="124"/>
      <c r="S230" s="124"/>
      <c r="T230" s="124"/>
      <c r="U230" s="125"/>
      <c r="V230" s="124"/>
      <c r="W230" s="124"/>
      <c r="X230" s="124"/>
      <c r="Y230" s="124"/>
      <c r="Z230" s="124"/>
      <c r="AA230" s="124"/>
      <c r="AB230" s="124"/>
      <c r="AC230" s="124"/>
      <c r="AD230" s="124"/>
      <c r="AE230" s="124"/>
      <c r="AF230" s="124"/>
      <c r="AG230" s="124"/>
      <c r="AH230" s="124"/>
      <c r="AI230" s="124"/>
      <c r="AJ230" s="124"/>
      <c r="AK230" s="124"/>
      <c r="AL230" s="124"/>
      <c r="AM230" s="124"/>
      <c r="AN230" s="125"/>
      <c r="AO230" s="125"/>
      <c r="AP230" s="81"/>
      <c r="AQ230" s="82"/>
      <c r="AR230" s="96"/>
      <c r="AS230" s="96"/>
      <c r="AT230" s="96"/>
      <c r="AU230" s="82"/>
      <c r="AW230" s="95"/>
      <c r="BD230" s="95"/>
      <c r="BE230" s="95"/>
      <c r="BF230" s="95"/>
      <c r="BG230" s="95"/>
    </row>
    <row r="231" spans="1:59" s="83" customFormat="1">
      <c r="A231" s="124"/>
      <c r="B231" s="124"/>
      <c r="C231" s="124"/>
      <c r="D231" s="124"/>
      <c r="E231" s="124"/>
      <c r="F231" s="124"/>
      <c r="G231" s="124"/>
      <c r="H231" s="124"/>
      <c r="I231" s="124"/>
      <c r="J231" s="124"/>
      <c r="K231" s="124"/>
      <c r="L231" s="124"/>
      <c r="M231" s="124"/>
      <c r="N231" s="124"/>
      <c r="O231" s="124"/>
      <c r="P231" s="124"/>
      <c r="Q231" s="124"/>
      <c r="R231" s="124"/>
      <c r="S231" s="124"/>
      <c r="T231" s="124"/>
      <c r="U231" s="125"/>
      <c r="V231" s="124"/>
      <c r="W231" s="124"/>
      <c r="X231" s="124"/>
      <c r="Y231" s="124"/>
      <c r="Z231" s="124"/>
      <c r="AA231" s="124"/>
      <c r="AB231" s="124"/>
      <c r="AC231" s="124"/>
      <c r="AD231" s="124"/>
      <c r="AE231" s="124"/>
      <c r="AF231" s="124"/>
      <c r="AG231" s="124"/>
      <c r="AH231" s="124"/>
      <c r="AI231" s="124"/>
      <c r="AJ231" s="124"/>
      <c r="AK231" s="124"/>
      <c r="AL231" s="124"/>
      <c r="AM231" s="124"/>
      <c r="AN231" s="125"/>
      <c r="AO231" s="125"/>
      <c r="AP231" s="81"/>
      <c r="AQ231" s="82"/>
      <c r="AR231" s="96"/>
      <c r="AS231" s="96"/>
      <c r="AT231" s="96"/>
      <c r="AU231" s="82"/>
      <c r="AW231" s="95"/>
      <c r="BD231" s="95"/>
      <c r="BE231" s="95"/>
      <c r="BF231" s="95"/>
      <c r="BG231" s="95"/>
    </row>
    <row r="232" spans="1:59" s="83" customFormat="1">
      <c r="A232" s="124"/>
      <c r="B232" s="124"/>
      <c r="C232" s="124"/>
      <c r="D232" s="124"/>
      <c r="E232" s="124"/>
      <c r="F232" s="124"/>
      <c r="G232" s="124"/>
      <c r="H232" s="124"/>
      <c r="I232" s="124"/>
      <c r="J232" s="124"/>
      <c r="K232" s="124"/>
      <c r="L232" s="124"/>
      <c r="M232" s="124"/>
      <c r="N232" s="124"/>
      <c r="O232" s="124"/>
      <c r="P232" s="124"/>
      <c r="Q232" s="124"/>
      <c r="R232" s="124"/>
      <c r="S232" s="124"/>
      <c r="T232" s="124"/>
      <c r="U232" s="125"/>
      <c r="V232" s="124"/>
      <c r="W232" s="124"/>
      <c r="X232" s="124"/>
      <c r="Y232" s="124"/>
      <c r="Z232" s="124"/>
      <c r="AA232" s="124"/>
      <c r="AB232" s="124"/>
      <c r="AC232" s="124"/>
      <c r="AD232" s="124"/>
      <c r="AE232" s="124"/>
      <c r="AF232" s="124"/>
      <c r="AG232" s="124"/>
      <c r="AH232" s="124"/>
      <c r="AI232" s="124"/>
      <c r="AJ232" s="124"/>
      <c r="AK232" s="124"/>
      <c r="AL232" s="124"/>
      <c r="AM232" s="124"/>
      <c r="AN232" s="125"/>
      <c r="AO232" s="125"/>
      <c r="AP232" s="81"/>
      <c r="AQ232" s="82"/>
      <c r="AR232" s="96"/>
      <c r="AS232" s="96"/>
      <c r="AT232" s="96"/>
      <c r="AU232" s="82"/>
      <c r="AW232" s="95"/>
      <c r="BD232" s="95"/>
      <c r="BE232" s="95"/>
      <c r="BF232" s="95"/>
      <c r="BG232" s="95"/>
    </row>
    <row r="233" spans="1:59" s="83" customFormat="1">
      <c r="A233" s="124"/>
      <c r="B233" s="124"/>
      <c r="C233" s="124"/>
      <c r="D233" s="124"/>
      <c r="E233" s="124"/>
      <c r="F233" s="124"/>
      <c r="G233" s="124"/>
      <c r="H233" s="124"/>
      <c r="I233" s="124"/>
      <c r="J233" s="124"/>
      <c r="K233" s="124"/>
      <c r="L233" s="124"/>
      <c r="M233" s="124"/>
      <c r="N233" s="124"/>
      <c r="O233" s="124"/>
      <c r="P233" s="124"/>
      <c r="Q233" s="124"/>
      <c r="R233" s="124"/>
      <c r="S233" s="124"/>
      <c r="T233" s="124"/>
      <c r="U233" s="125"/>
      <c r="V233" s="124"/>
      <c r="W233" s="124"/>
      <c r="X233" s="124"/>
      <c r="Y233" s="124"/>
      <c r="Z233" s="124"/>
      <c r="AA233" s="124"/>
      <c r="AB233" s="124"/>
      <c r="AC233" s="124"/>
      <c r="AD233" s="124"/>
      <c r="AE233" s="124"/>
      <c r="AF233" s="124"/>
      <c r="AG233" s="124"/>
      <c r="AH233" s="124"/>
      <c r="AI233" s="124"/>
      <c r="AJ233" s="124"/>
      <c r="AK233" s="124"/>
      <c r="AL233" s="124"/>
      <c r="AM233" s="124"/>
      <c r="AN233" s="125"/>
      <c r="AO233" s="125"/>
      <c r="AP233" s="81"/>
      <c r="AQ233" s="82"/>
      <c r="AR233" s="96"/>
      <c r="AS233" s="96"/>
      <c r="AT233" s="96"/>
      <c r="AU233" s="82"/>
      <c r="AW233" s="95"/>
      <c r="BD233" s="95"/>
      <c r="BE233" s="95"/>
      <c r="BF233" s="95"/>
      <c r="BG233" s="95"/>
    </row>
    <row r="234" spans="1:59" s="83" customFormat="1">
      <c r="A234" s="124"/>
      <c r="B234" s="124"/>
      <c r="C234" s="124"/>
      <c r="D234" s="124"/>
      <c r="E234" s="124"/>
      <c r="F234" s="124"/>
      <c r="G234" s="124"/>
      <c r="H234" s="124"/>
      <c r="I234" s="124"/>
      <c r="J234" s="124"/>
      <c r="K234" s="124"/>
      <c r="L234" s="124"/>
      <c r="M234" s="124"/>
      <c r="N234" s="124"/>
      <c r="O234" s="124"/>
      <c r="P234" s="124"/>
      <c r="Q234" s="124"/>
      <c r="R234" s="124"/>
      <c r="S234" s="124"/>
      <c r="T234" s="124"/>
      <c r="U234" s="125"/>
      <c r="V234" s="124"/>
      <c r="W234" s="124"/>
      <c r="X234" s="124"/>
      <c r="Y234" s="124"/>
      <c r="Z234" s="124"/>
      <c r="AA234" s="124"/>
      <c r="AB234" s="124"/>
      <c r="AC234" s="124"/>
      <c r="AD234" s="124"/>
      <c r="AE234" s="124"/>
      <c r="AF234" s="124"/>
      <c r="AG234" s="124"/>
      <c r="AH234" s="124"/>
      <c r="AI234" s="124"/>
      <c r="AJ234" s="124"/>
      <c r="AK234" s="124"/>
      <c r="AL234" s="124"/>
      <c r="AM234" s="124"/>
      <c r="AN234" s="125"/>
      <c r="AO234" s="125"/>
      <c r="AP234" s="81"/>
      <c r="AQ234" s="82"/>
      <c r="AR234" s="96"/>
      <c r="AS234" s="96"/>
      <c r="AT234" s="96"/>
      <c r="AU234" s="82"/>
      <c r="AW234" s="95"/>
      <c r="BD234" s="95"/>
      <c r="BE234" s="95"/>
      <c r="BF234" s="95"/>
      <c r="BG234" s="95"/>
    </row>
    <row r="235" spans="1:59" s="83" customFormat="1">
      <c r="A235" s="124"/>
      <c r="B235" s="124"/>
      <c r="C235" s="124"/>
      <c r="D235" s="124"/>
      <c r="E235" s="124"/>
      <c r="F235" s="124"/>
      <c r="G235" s="124"/>
      <c r="H235" s="124"/>
      <c r="I235" s="124"/>
      <c r="J235" s="124"/>
      <c r="K235" s="124"/>
      <c r="L235" s="124"/>
      <c r="M235" s="124"/>
      <c r="N235" s="124"/>
      <c r="O235" s="124"/>
      <c r="P235" s="124"/>
      <c r="Q235" s="124"/>
      <c r="R235" s="124"/>
      <c r="S235" s="124"/>
      <c r="T235" s="124"/>
      <c r="U235" s="125"/>
      <c r="V235" s="124"/>
      <c r="W235" s="124"/>
      <c r="X235" s="124"/>
      <c r="Y235" s="124"/>
      <c r="Z235" s="124"/>
      <c r="AA235" s="124"/>
      <c r="AB235" s="124"/>
      <c r="AC235" s="124"/>
      <c r="AD235" s="124"/>
      <c r="AE235" s="124"/>
      <c r="AF235" s="124"/>
      <c r="AG235" s="124"/>
      <c r="AH235" s="124"/>
      <c r="AI235" s="124"/>
      <c r="AJ235" s="124"/>
      <c r="AK235" s="124"/>
      <c r="AL235" s="124"/>
      <c r="AM235" s="124"/>
      <c r="AN235" s="125"/>
      <c r="AO235" s="125"/>
      <c r="AP235" s="81"/>
      <c r="AQ235" s="82"/>
      <c r="AR235" s="96"/>
      <c r="AS235" s="96"/>
      <c r="AT235" s="96"/>
      <c r="AU235" s="82"/>
      <c r="AW235" s="95"/>
      <c r="BD235" s="95"/>
      <c r="BE235" s="95"/>
      <c r="BF235" s="95"/>
      <c r="BG235" s="95"/>
    </row>
    <row r="236" spans="1:59" s="83" customFormat="1">
      <c r="A236" s="124"/>
      <c r="B236" s="124"/>
      <c r="C236" s="124"/>
      <c r="D236" s="124"/>
      <c r="E236" s="124"/>
      <c r="F236" s="124"/>
      <c r="G236" s="124"/>
      <c r="H236" s="124"/>
      <c r="I236" s="124"/>
      <c r="J236" s="124"/>
      <c r="K236" s="124"/>
      <c r="L236" s="124"/>
      <c r="M236" s="124"/>
      <c r="N236" s="124"/>
      <c r="O236" s="124"/>
      <c r="P236" s="124"/>
      <c r="Q236" s="124"/>
      <c r="R236" s="124"/>
      <c r="S236" s="124"/>
      <c r="T236" s="124"/>
      <c r="U236" s="125"/>
      <c r="V236" s="124"/>
      <c r="W236" s="124"/>
      <c r="X236" s="124"/>
      <c r="Y236" s="124"/>
      <c r="Z236" s="124"/>
      <c r="AA236" s="124"/>
      <c r="AB236" s="124"/>
      <c r="AC236" s="124"/>
      <c r="AD236" s="124"/>
      <c r="AE236" s="124"/>
      <c r="AF236" s="124"/>
      <c r="AG236" s="124"/>
      <c r="AH236" s="124"/>
      <c r="AI236" s="124"/>
      <c r="AJ236" s="124"/>
      <c r="AK236" s="124"/>
      <c r="AL236" s="124"/>
      <c r="AM236" s="124"/>
      <c r="AN236" s="125"/>
      <c r="AO236" s="125"/>
      <c r="AP236" s="81"/>
      <c r="AQ236" s="82"/>
      <c r="AR236" s="96"/>
      <c r="AS236" s="96"/>
      <c r="AT236" s="96"/>
      <c r="AU236" s="82"/>
      <c r="AW236" s="95"/>
      <c r="BD236" s="95"/>
      <c r="BE236" s="95"/>
      <c r="BF236" s="95"/>
      <c r="BG236" s="95"/>
    </row>
    <row r="237" spans="1:59" s="83" customFormat="1">
      <c r="A237" s="124"/>
      <c r="B237" s="124"/>
      <c r="C237" s="124"/>
      <c r="D237" s="124"/>
      <c r="E237" s="124"/>
      <c r="F237" s="124"/>
      <c r="G237" s="124"/>
      <c r="H237" s="124"/>
      <c r="I237" s="124"/>
      <c r="J237" s="124"/>
      <c r="K237" s="124"/>
      <c r="L237" s="124"/>
      <c r="M237" s="124"/>
      <c r="N237" s="124"/>
      <c r="O237" s="124"/>
      <c r="P237" s="124"/>
      <c r="Q237" s="124"/>
      <c r="R237" s="124"/>
      <c r="S237" s="124"/>
      <c r="T237" s="124"/>
      <c r="U237" s="125"/>
      <c r="V237" s="124"/>
      <c r="W237" s="124"/>
      <c r="X237" s="124"/>
      <c r="Y237" s="124"/>
      <c r="Z237" s="124"/>
      <c r="AA237" s="124"/>
      <c r="AB237" s="124"/>
      <c r="AC237" s="124"/>
      <c r="AD237" s="124"/>
      <c r="AE237" s="124"/>
      <c r="AF237" s="124"/>
      <c r="AG237" s="124"/>
      <c r="AH237" s="124"/>
      <c r="AI237" s="124"/>
      <c r="AJ237" s="124"/>
      <c r="AK237" s="124"/>
      <c r="AL237" s="124"/>
      <c r="AM237" s="124"/>
      <c r="AN237" s="125"/>
      <c r="AO237" s="125"/>
      <c r="AP237" s="81"/>
      <c r="AQ237" s="82"/>
      <c r="AR237" s="96"/>
      <c r="AS237" s="96"/>
      <c r="AT237" s="96"/>
      <c r="AU237" s="82"/>
      <c r="AW237" s="95"/>
      <c r="BD237" s="95"/>
      <c r="BE237" s="95"/>
      <c r="BF237" s="95"/>
      <c r="BG237" s="95"/>
    </row>
    <row r="238" spans="1:59" s="83" customFormat="1">
      <c r="A238" s="124"/>
      <c r="B238" s="124"/>
      <c r="C238" s="124"/>
      <c r="D238" s="124"/>
      <c r="E238" s="124"/>
      <c r="F238" s="124"/>
      <c r="G238" s="124"/>
      <c r="H238" s="124"/>
      <c r="I238" s="124"/>
      <c r="J238" s="124"/>
      <c r="K238" s="124"/>
      <c r="L238" s="124"/>
      <c r="M238" s="124"/>
      <c r="N238" s="124"/>
      <c r="O238" s="124"/>
      <c r="P238" s="124"/>
      <c r="Q238" s="124"/>
      <c r="R238" s="124"/>
      <c r="S238" s="124"/>
      <c r="T238" s="124"/>
      <c r="U238" s="125"/>
      <c r="V238" s="124"/>
      <c r="W238" s="124"/>
      <c r="X238" s="124"/>
      <c r="Y238" s="124"/>
      <c r="Z238" s="124"/>
      <c r="AA238" s="124"/>
      <c r="AB238" s="124"/>
      <c r="AC238" s="124"/>
      <c r="AD238" s="124"/>
      <c r="AE238" s="124"/>
      <c r="AF238" s="124"/>
      <c r="AG238" s="124"/>
      <c r="AH238" s="124"/>
      <c r="AI238" s="124"/>
      <c r="AJ238" s="124"/>
      <c r="AK238" s="124"/>
      <c r="AL238" s="124"/>
      <c r="AM238" s="124"/>
      <c r="AN238" s="125"/>
      <c r="AO238" s="125"/>
      <c r="AP238" s="81"/>
      <c r="AQ238" s="82"/>
      <c r="AR238" s="96"/>
      <c r="AS238" s="96"/>
      <c r="AT238" s="96"/>
      <c r="AU238" s="82"/>
      <c r="AW238" s="95"/>
      <c r="BD238" s="95"/>
      <c r="BE238" s="95"/>
      <c r="BF238" s="95"/>
      <c r="BG238" s="95"/>
    </row>
    <row r="239" spans="1:59" s="83" customFormat="1">
      <c r="A239" s="124"/>
      <c r="B239" s="124"/>
      <c r="C239" s="124"/>
      <c r="D239" s="124"/>
      <c r="E239" s="124"/>
      <c r="F239" s="124"/>
      <c r="G239" s="124"/>
      <c r="H239" s="124"/>
      <c r="I239" s="124"/>
      <c r="J239" s="124"/>
      <c r="K239" s="124"/>
      <c r="L239" s="124"/>
      <c r="M239" s="124"/>
      <c r="N239" s="124"/>
      <c r="O239" s="124"/>
      <c r="P239" s="124"/>
      <c r="Q239" s="124"/>
      <c r="R239" s="124"/>
      <c r="S239" s="124"/>
      <c r="T239" s="124"/>
      <c r="U239" s="125"/>
      <c r="V239" s="124"/>
      <c r="W239" s="124"/>
      <c r="X239" s="124"/>
      <c r="Y239" s="124"/>
      <c r="Z239" s="124"/>
      <c r="AA239" s="124"/>
      <c r="AB239" s="124"/>
      <c r="AC239" s="124"/>
      <c r="AD239" s="124"/>
      <c r="AE239" s="124"/>
      <c r="AF239" s="124"/>
      <c r="AG239" s="124"/>
      <c r="AH239" s="124"/>
      <c r="AI239" s="124"/>
      <c r="AJ239" s="124"/>
      <c r="AK239" s="124"/>
      <c r="AL239" s="124"/>
      <c r="AM239" s="124"/>
      <c r="AN239" s="125"/>
      <c r="AO239" s="125"/>
      <c r="AP239" s="81"/>
      <c r="AQ239" s="82"/>
      <c r="AR239" s="96"/>
      <c r="AS239" s="96"/>
      <c r="AT239" s="96"/>
      <c r="AU239" s="82"/>
      <c r="AW239" s="95"/>
      <c r="BD239" s="95"/>
      <c r="BE239" s="95"/>
      <c r="BF239" s="95"/>
      <c r="BG239" s="95"/>
    </row>
    <row r="240" spans="1:59" s="83" customFormat="1">
      <c r="A240" s="124"/>
      <c r="B240" s="124"/>
      <c r="C240" s="124"/>
      <c r="D240" s="124"/>
      <c r="E240" s="124"/>
      <c r="F240" s="124"/>
      <c r="G240" s="124"/>
      <c r="H240" s="124"/>
      <c r="I240" s="124"/>
      <c r="J240" s="124"/>
      <c r="K240" s="124"/>
      <c r="L240" s="124"/>
      <c r="M240" s="124"/>
      <c r="N240" s="124"/>
      <c r="O240" s="124"/>
      <c r="P240" s="124"/>
      <c r="Q240" s="124"/>
      <c r="R240" s="124"/>
      <c r="S240" s="124"/>
      <c r="T240" s="124"/>
      <c r="U240" s="125"/>
      <c r="V240" s="124"/>
      <c r="W240" s="124"/>
      <c r="X240" s="124"/>
      <c r="Y240" s="124"/>
      <c r="Z240" s="124"/>
      <c r="AA240" s="124"/>
      <c r="AB240" s="124"/>
      <c r="AC240" s="124"/>
      <c r="AD240" s="124"/>
      <c r="AE240" s="124"/>
      <c r="AF240" s="124"/>
      <c r="AG240" s="124"/>
      <c r="AH240" s="124"/>
      <c r="AI240" s="124"/>
      <c r="AJ240" s="124"/>
      <c r="AK240" s="124"/>
      <c r="AL240" s="124"/>
      <c r="AM240" s="124"/>
      <c r="AN240" s="125"/>
      <c r="AO240" s="125"/>
      <c r="AP240" s="81"/>
      <c r="AQ240" s="82"/>
      <c r="AR240" s="96"/>
      <c r="AS240" s="96"/>
      <c r="AT240" s="96"/>
      <c r="AU240" s="82"/>
      <c r="AW240" s="95"/>
      <c r="BD240" s="95"/>
      <c r="BE240" s="95"/>
      <c r="BF240" s="95"/>
      <c r="BG240" s="95"/>
    </row>
    <row r="241" spans="1:59" s="83" customFormat="1">
      <c r="A241" s="124"/>
      <c r="B241" s="124"/>
      <c r="C241" s="124"/>
      <c r="D241" s="124"/>
      <c r="E241" s="124"/>
      <c r="F241" s="124"/>
      <c r="G241" s="124"/>
      <c r="H241" s="124"/>
      <c r="I241" s="124"/>
      <c r="J241" s="124"/>
      <c r="K241" s="124"/>
      <c r="L241" s="124"/>
      <c r="M241" s="124"/>
      <c r="N241" s="124"/>
      <c r="O241" s="124"/>
      <c r="P241" s="124"/>
      <c r="Q241" s="124"/>
      <c r="R241" s="124"/>
      <c r="S241" s="124"/>
      <c r="T241" s="124"/>
      <c r="U241" s="125"/>
      <c r="V241" s="124"/>
      <c r="W241" s="124"/>
      <c r="X241" s="124"/>
      <c r="Y241" s="124"/>
      <c r="Z241" s="124"/>
      <c r="AA241" s="124"/>
      <c r="AB241" s="124"/>
      <c r="AC241" s="124"/>
      <c r="AD241" s="124"/>
      <c r="AE241" s="124"/>
      <c r="AF241" s="124"/>
      <c r="AG241" s="124"/>
      <c r="AH241" s="124"/>
      <c r="AI241" s="124"/>
      <c r="AJ241" s="124"/>
      <c r="AK241" s="124"/>
      <c r="AL241" s="124"/>
      <c r="AM241" s="124"/>
      <c r="AN241" s="125"/>
      <c r="AO241" s="125"/>
      <c r="AP241" s="81"/>
      <c r="AQ241" s="82"/>
      <c r="AR241" s="96"/>
      <c r="AS241" s="96"/>
      <c r="AT241" s="96"/>
      <c r="AU241" s="82"/>
      <c r="AW241" s="95"/>
      <c r="BD241" s="95"/>
      <c r="BE241" s="95"/>
      <c r="BF241" s="95"/>
      <c r="BG241" s="95"/>
    </row>
    <row r="242" spans="1:59" s="83" customFormat="1">
      <c r="A242" s="124"/>
      <c r="B242" s="124"/>
      <c r="C242" s="124"/>
      <c r="D242" s="124"/>
      <c r="E242" s="124"/>
      <c r="F242" s="124"/>
      <c r="G242" s="124"/>
      <c r="H242" s="124"/>
      <c r="I242" s="124"/>
      <c r="J242" s="124"/>
      <c r="K242" s="124"/>
      <c r="L242" s="124"/>
      <c r="M242" s="124"/>
      <c r="N242" s="124"/>
      <c r="O242" s="124"/>
      <c r="P242" s="124"/>
      <c r="Q242" s="124"/>
      <c r="R242" s="124"/>
      <c r="S242" s="124"/>
      <c r="T242" s="124"/>
      <c r="U242" s="125"/>
      <c r="V242" s="124"/>
      <c r="W242" s="124"/>
      <c r="X242" s="124"/>
      <c r="Y242" s="124"/>
      <c r="Z242" s="124"/>
      <c r="AA242" s="124"/>
      <c r="AB242" s="124"/>
      <c r="AC242" s="124"/>
      <c r="AD242" s="124"/>
      <c r="AE242" s="124"/>
      <c r="AF242" s="124"/>
      <c r="AG242" s="124"/>
      <c r="AH242" s="124"/>
      <c r="AI242" s="124"/>
      <c r="AJ242" s="124"/>
      <c r="AK242" s="124"/>
      <c r="AL242" s="124"/>
      <c r="AM242" s="124"/>
      <c r="AN242" s="125"/>
      <c r="AO242" s="125"/>
      <c r="AP242" s="81"/>
      <c r="AQ242" s="82"/>
      <c r="AR242" s="96"/>
      <c r="AS242" s="96"/>
      <c r="AT242" s="96"/>
      <c r="AU242" s="82"/>
      <c r="AW242" s="95"/>
      <c r="BD242" s="95"/>
      <c r="BE242" s="95"/>
      <c r="BF242" s="95"/>
      <c r="BG242" s="95"/>
    </row>
    <row r="243" spans="1:59" s="83" customFormat="1">
      <c r="A243" s="124"/>
      <c r="B243" s="124"/>
      <c r="C243" s="124"/>
      <c r="D243" s="124"/>
      <c r="E243" s="124"/>
      <c r="F243" s="124"/>
      <c r="G243" s="124"/>
      <c r="H243" s="124"/>
      <c r="I243" s="124"/>
      <c r="J243" s="124"/>
      <c r="K243" s="124"/>
      <c r="L243" s="124"/>
      <c r="M243" s="124"/>
      <c r="N243" s="124"/>
      <c r="O243" s="124"/>
      <c r="P243" s="124"/>
      <c r="Q243" s="124"/>
      <c r="R243" s="124"/>
      <c r="S243" s="124"/>
      <c r="T243" s="124"/>
      <c r="U243" s="125"/>
      <c r="V243" s="124"/>
      <c r="W243" s="124"/>
      <c r="X243" s="124"/>
      <c r="Y243" s="124"/>
      <c r="Z243" s="124"/>
      <c r="AA243" s="124"/>
      <c r="AB243" s="124"/>
      <c r="AC243" s="124"/>
      <c r="AD243" s="124"/>
      <c r="AE243" s="124"/>
      <c r="AF243" s="124"/>
      <c r="AG243" s="124"/>
      <c r="AH243" s="124"/>
      <c r="AI243" s="124"/>
      <c r="AJ243" s="124"/>
      <c r="AK243" s="124"/>
      <c r="AL243" s="124"/>
      <c r="AM243" s="124"/>
      <c r="AN243" s="125"/>
      <c r="AO243" s="125"/>
      <c r="AP243" s="81"/>
      <c r="AQ243" s="82"/>
      <c r="AR243" s="96"/>
      <c r="AS243" s="96"/>
      <c r="AT243" s="96"/>
      <c r="AU243" s="82"/>
      <c r="AW243" s="95"/>
      <c r="BD243" s="95"/>
      <c r="BE243" s="95"/>
      <c r="BF243" s="95"/>
      <c r="BG243" s="95"/>
    </row>
    <row r="244" spans="1:59" s="83" customFormat="1">
      <c r="A244" s="124"/>
      <c r="B244" s="124"/>
      <c r="C244" s="124"/>
      <c r="D244" s="124"/>
      <c r="E244" s="124"/>
      <c r="F244" s="124"/>
      <c r="G244" s="124"/>
      <c r="H244" s="124"/>
      <c r="I244" s="124"/>
      <c r="J244" s="124"/>
      <c r="K244" s="124"/>
      <c r="L244" s="124"/>
      <c r="M244" s="124"/>
      <c r="N244" s="124"/>
      <c r="O244" s="124"/>
      <c r="P244" s="124"/>
      <c r="Q244" s="124"/>
      <c r="R244" s="124"/>
      <c r="S244" s="124"/>
      <c r="T244" s="124"/>
      <c r="U244" s="125"/>
      <c r="V244" s="124"/>
      <c r="W244" s="124"/>
      <c r="X244" s="124"/>
      <c r="Y244" s="124"/>
      <c r="Z244" s="124"/>
      <c r="AA244" s="124"/>
      <c r="AB244" s="124"/>
      <c r="AC244" s="124"/>
      <c r="AD244" s="124"/>
      <c r="AE244" s="124"/>
      <c r="AF244" s="124"/>
      <c r="AG244" s="124"/>
      <c r="AH244" s="124"/>
      <c r="AI244" s="124"/>
      <c r="AJ244" s="124"/>
      <c r="AK244" s="124"/>
      <c r="AL244" s="124"/>
      <c r="AM244" s="124"/>
      <c r="AN244" s="125"/>
      <c r="AO244" s="125"/>
      <c r="AP244" s="81"/>
      <c r="AQ244" s="82"/>
      <c r="AR244" s="96"/>
      <c r="AS244" s="96"/>
      <c r="AT244" s="96"/>
      <c r="AU244" s="82"/>
      <c r="AW244" s="95"/>
      <c r="BD244" s="95"/>
      <c r="BE244" s="95"/>
      <c r="BF244" s="95"/>
      <c r="BG244" s="95"/>
    </row>
    <row r="245" spans="1:59" s="83" customFormat="1">
      <c r="A245" s="124"/>
      <c r="B245" s="124"/>
      <c r="C245" s="124"/>
      <c r="D245" s="124"/>
      <c r="E245" s="124"/>
      <c r="F245" s="124"/>
      <c r="G245" s="124"/>
      <c r="H245" s="124"/>
      <c r="I245" s="124"/>
      <c r="J245" s="124"/>
      <c r="K245" s="124"/>
      <c r="L245" s="124"/>
      <c r="M245" s="124"/>
      <c r="N245" s="124"/>
      <c r="O245" s="124"/>
      <c r="P245" s="124"/>
      <c r="Q245" s="124"/>
      <c r="R245" s="124"/>
      <c r="S245" s="124"/>
      <c r="T245" s="124"/>
      <c r="U245" s="125"/>
      <c r="V245" s="124"/>
      <c r="W245" s="124"/>
      <c r="X245" s="124"/>
      <c r="Y245" s="124"/>
      <c r="Z245" s="124"/>
      <c r="AA245" s="124"/>
      <c r="AB245" s="124"/>
      <c r="AC245" s="124"/>
      <c r="AD245" s="124"/>
      <c r="AE245" s="124"/>
      <c r="AF245" s="124"/>
      <c r="AG245" s="124"/>
      <c r="AH245" s="124"/>
      <c r="AI245" s="124"/>
      <c r="AJ245" s="124"/>
      <c r="AK245" s="124"/>
      <c r="AL245" s="124"/>
      <c r="AM245" s="124"/>
      <c r="AN245" s="125"/>
      <c r="AO245" s="125"/>
      <c r="AP245" s="81"/>
      <c r="AQ245" s="82"/>
      <c r="AR245" s="96"/>
      <c r="AS245" s="96"/>
      <c r="AT245" s="96"/>
      <c r="AU245" s="82"/>
      <c r="AW245" s="95"/>
      <c r="BD245" s="95"/>
      <c r="BE245" s="95"/>
      <c r="BF245" s="95"/>
      <c r="BG245" s="95"/>
    </row>
    <row r="246" spans="1:59" s="83" customFormat="1">
      <c r="A246" s="124"/>
      <c r="B246" s="124"/>
      <c r="C246" s="124"/>
      <c r="D246" s="124"/>
      <c r="E246" s="124"/>
      <c r="F246" s="124"/>
      <c r="G246" s="124"/>
      <c r="H246" s="124"/>
      <c r="I246" s="124"/>
      <c r="J246" s="124"/>
      <c r="K246" s="124"/>
      <c r="L246" s="124"/>
      <c r="M246" s="124"/>
      <c r="N246" s="124"/>
      <c r="O246" s="124"/>
      <c r="P246" s="124"/>
      <c r="Q246" s="124"/>
      <c r="R246" s="124"/>
      <c r="S246" s="124"/>
      <c r="T246" s="124"/>
      <c r="U246" s="125"/>
      <c r="V246" s="124"/>
      <c r="W246" s="124"/>
      <c r="X246" s="124"/>
      <c r="Y246" s="124"/>
      <c r="Z246" s="124"/>
      <c r="AA246" s="124"/>
      <c r="AB246" s="124"/>
      <c r="AC246" s="124"/>
      <c r="AD246" s="124"/>
      <c r="AE246" s="124"/>
      <c r="AF246" s="124"/>
      <c r="AG246" s="124"/>
      <c r="AH246" s="124"/>
      <c r="AI246" s="124"/>
      <c r="AJ246" s="124"/>
      <c r="AK246" s="124"/>
      <c r="AL246" s="124"/>
      <c r="AM246" s="124"/>
      <c r="AN246" s="125"/>
      <c r="AO246" s="125"/>
      <c r="AP246" s="81"/>
      <c r="AQ246" s="82"/>
      <c r="AR246" s="96"/>
      <c r="AS246" s="96"/>
      <c r="AT246" s="96"/>
      <c r="AU246" s="82"/>
      <c r="AW246" s="95"/>
      <c r="BD246" s="95"/>
      <c r="BE246" s="95"/>
      <c r="BF246" s="95"/>
      <c r="BG246" s="95"/>
    </row>
    <row r="247" spans="1:59" s="83" customFormat="1">
      <c r="A247" s="124"/>
      <c r="B247" s="124"/>
      <c r="C247" s="124"/>
      <c r="D247" s="124"/>
      <c r="E247" s="124"/>
      <c r="F247" s="124"/>
      <c r="G247" s="124"/>
      <c r="H247" s="124"/>
      <c r="I247" s="124"/>
      <c r="J247" s="124"/>
      <c r="K247" s="124"/>
      <c r="L247" s="124"/>
      <c r="M247" s="124"/>
      <c r="N247" s="124"/>
      <c r="O247" s="124"/>
      <c r="P247" s="124"/>
      <c r="Q247" s="124"/>
      <c r="R247" s="124"/>
      <c r="S247" s="124"/>
      <c r="T247" s="124"/>
      <c r="U247" s="125"/>
      <c r="V247" s="124"/>
      <c r="W247" s="124"/>
      <c r="X247" s="124"/>
      <c r="Y247" s="124"/>
      <c r="Z247" s="124"/>
      <c r="AA247" s="124"/>
      <c r="AB247" s="124"/>
      <c r="AC247" s="124"/>
      <c r="AD247" s="124"/>
      <c r="AE247" s="124"/>
      <c r="AF247" s="124"/>
      <c r="AG247" s="124"/>
      <c r="AH247" s="124"/>
      <c r="AI247" s="124"/>
      <c r="AJ247" s="124"/>
      <c r="AK247" s="124"/>
      <c r="AL247" s="124"/>
      <c r="AM247" s="124"/>
      <c r="AN247" s="125"/>
      <c r="AO247" s="125"/>
      <c r="AP247" s="81"/>
      <c r="AQ247" s="82"/>
      <c r="AR247" s="96"/>
      <c r="AS247" s="96"/>
      <c r="AT247" s="96"/>
      <c r="AU247" s="82"/>
      <c r="AW247" s="95"/>
      <c r="BD247" s="95"/>
      <c r="BE247" s="95"/>
      <c r="BF247" s="95"/>
      <c r="BG247" s="95"/>
    </row>
    <row r="248" spans="1:59" s="83" customFormat="1">
      <c r="A248" s="124"/>
      <c r="B248" s="124"/>
      <c r="C248" s="124"/>
      <c r="D248" s="124"/>
      <c r="E248" s="124"/>
      <c r="F248" s="124"/>
      <c r="G248" s="124"/>
      <c r="H248" s="124"/>
      <c r="I248" s="124"/>
      <c r="J248" s="124"/>
      <c r="K248" s="124"/>
      <c r="L248" s="124"/>
      <c r="M248" s="124"/>
      <c r="N248" s="124"/>
      <c r="O248" s="124"/>
      <c r="P248" s="124"/>
      <c r="Q248" s="124"/>
      <c r="R248" s="124"/>
      <c r="S248" s="124"/>
      <c r="T248" s="124"/>
      <c r="U248" s="125"/>
      <c r="V248" s="124"/>
      <c r="W248" s="124"/>
      <c r="X248" s="124"/>
      <c r="Y248" s="124"/>
      <c r="Z248" s="124"/>
      <c r="AA248" s="124"/>
      <c r="AB248" s="124"/>
      <c r="AC248" s="124"/>
      <c r="AD248" s="124"/>
      <c r="AE248" s="124"/>
      <c r="AF248" s="124"/>
      <c r="AG248" s="124"/>
      <c r="AH248" s="124"/>
      <c r="AI248" s="124"/>
      <c r="AJ248" s="124"/>
      <c r="AK248" s="124"/>
      <c r="AL248" s="124"/>
      <c r="AM248" s="124"/>
      <c r="AN248" s="125"/>
      <c r="AO248" s="125"/>
      <c r="AP248" s="81"/>
      <c r="AQ248" s="82"/>
      <c r="AR248" s="96"/>
      <c r="AS248" s="96"/>
      <c r="AT248" s="96"/>
      <c r="AU248" s="82"/>
      <c r="AW248" s="95"/>
      <c r="BD248" s="95"/>
      <c r="BE248" s="95"/>
      <c r="BF248" s="95"/>
      <c r="BG248" s="95"/>
    </row>
    <row r="249" spans="1:59" s="83" customFormat="1">
      <c r="A249" s="124"/>
      <c r="B249" s="124"/>
      <c r="C249" s="124"/>
      <c r="D249" s="124"/>
      <c r="E249" s="124"/>
      <c r="F249" s="124"/>
      <c r="G249" s="124"/>
      <c r="H249" s="124"/>
      <c r="I249" s="124"/>
      <c r="J249" s="124"/>
      <c r="K249" s="124"/>
      <c r="L249" s="124"/>
      <c r="M249" s="124"/>
      <c r="N249" s="124"/>
      <c r="O249" s="124"/>
      <c r="P249" s="124"/>
      <c r="Q249" s="124"/>
      <c r="R249" s="124"/>
      <c r="S249" s="124"/>
      <c r="T249" s="124"/>
      <c r="U249" s="125"/>
      <c r="V249" s="124"/>
      <c r="W249" s="124"/>
      <c r="X249" s="124"/>
      <c r="Y249" s="124"/>
      <c r="Z249" s="124"/>
      <c r="AA249" s="124"/>
      <c r="AB249" s="124"/>
      <c r="AC249" s="124"/>
      <c r="AD249" s="124"/>
      <c r="AE249" s="124"/>
      <c r="AF249" s="124"/>
      <c r="AG249" s="124"/>
      <c r="AH249" s="124"/>
      <c r="AI249" s="124"/>
      <c r="AJ249" s="124"/>
      <c r="AK249" s="124"/>
      <c r="AL249" s="124"/>
      <c r="AM249" s="124"/>
      <c r="AN249" s="125"/>
      <c r="AO249" s="125"/>
      <c r="AP249" s="81"/>
      <c r="AQ249" s="82"/>
      <c r="AR249" s="96"/>
      <c r="AS249" s="96"/>
      <c r="AT249" s="96"/>
      <c r="AU249" s="82"/>
      <c r="AW249" s="95"/>
      <c r="BD249" s="95"/>
      <c r="BE249" s="95"/>
      <c r="BF249" s="95"/>
      <c r="BG249" s="95"/>
    </row>
    <row r="250" spans="1:59" s="83" customFormat="1">
      <c r="A250" s="124"/>
      <c r="B250" s="124"/>
      <c r="C250" s="124"/>
      <c r="D250" s="124"/>
      <c r="E250" s="124"/>
      <c r="F250" s="124"/>
      <c r="G250" s="124"/>
      <c r="H250" s="124"/>
      <c r="I250" s="124"/>
      <c r="J250" s="124"/>
      <c r="K250" s="124"/>
      <c r="L250" s="124"/>
      <c r="M250" s="124"/>
      <c r="N250" s="124"/>
      <c r="O250" s="124"/>
      <c r="P250" s="124"/>
      <c r="Q250" s="124"/>
      <c r="R250" s="124"/>
      <c r="S250" s="124"/>
      <c r="T250" s="124"/>
      <c r="U250" s="125"/>
      <c r="V250" s="124"/>
      <c r="W250" s="124"/>
      <c r="X250" s="124"/>
      <c r="Y250" s="124"/>
      <c r="Z250" s="124"/>
      <c r="AA250" s="124"/>
      <c r="AB250" s="124"/>
      <c r="AC250" s="124"/>
      <c r="AD250" s="124"/>
      <c r="AE250" s="124"/>
      <c r="AF250" s="124"/>
      <c r="AG250" s="124"/>
      <c r="AH250" s="124"/>
      <c r="AI250" s="124"/>
      <c r="AJ250" s="124"/>
      <c r="AK250" s="124"/>
      <c r="AL250" s="124"/>
      <c r="AM250" s="124"/>
      <c r="AN250" s="125"/>
      <c r="AO250" s="125"/>
      <c r="AP250" s="81"/>
      <c r="AQ250" s="82"/>
      <c r="AR250" s="96"/>
      <c r="AS250" s="96"/>
      <c r="AT250" s="96"/>
      <c r="AU250" s="82"/>
      <c r="AW250" s="95"/>
      <c r="BD250" s="95"/>
      <c r="BE250" s="95"/>
      <c r="BF250" s="95"/>
      <c r="BG250" s="95"/>
    </row>
    <row r="251" spans="1:59" s="83" customFormat="1">
      <c r="A251" s="124"/>
      <c r="B251" s="124"/>
      <c r="C251" s="124"/>
      <c r="D251" s="124"/>
      <c r="E251" s="124"/>
      <c r="F251" s="124"/>
      <c r="G251" s="124"/>
      <c r="H251" s="124"/>
      <c r="I251" s="124"/>
      <c r="J251" s="124"/>
      <c r="K251" s="124"/>
      <c r="L251" s="124"/>
      <c r="M251" s="124"/>
      <c r="N251" s="124"/>
      <c r="O251" s="124"/>
      <c r="P251" s="124"/>
      <c r="Q251" s="124"/>
      <c r="R251" s="124"/>
      <c r="S251" s="124"/>
      <c r="T251" s="124"/>
      <c r="U251" s="125"/>
      <c r="V251" s="124"/>
      <c r="W251" s="124"/>
      <c r="X251" s="124"/>
      <c r="Y251" s="124"/>
      <c r="Z251" s="124"/>
      <c r="AA251" s="124"/>
      <c r="AB251" s="124"/>
      <c r="AC251" s="124"/>
      <c r="AD251" s="124"/>
      <c r="AE251" s="124"/>
      <c r="AF251" s="124"/>
      <c r="AG251" s="124"/>
      <c r="AH251" s="124"/>
      <c r="AI251" s="124"/>
      <c r="AJ251" s="124"/>
      <c r="AK251" s="124"/>
      <c r="AL251" s="124"/>
      <c r="AM251" s="124"/>
      <c r="AN251" s="125"/>
      <c r="AO251" s="125"/>
      <c r="AP251" s="81"/>
      <c r="AQ251" s="82"/>
      <c r="AR251" s="96"/>
      <c r="AS251" s="96"/>
      <c r="AT251" s="96"/>
      <c r="AU251" s="82"/>
      <c r="AW251" s="95"/>
      <c r="BD251" s="95"/>
      <c r="BE251" s="95"/>
      <c r="BF251" s="95"/>
      <c r="BG251" s="95"/>
    </row>
    <row r="252" spans="1:59" s="83" customFormat="1">
      <c r="A252" s="124"/>
      <c r="B252" s="124"/>
      <c r="C252" s="124"/>
      <c r="D252" s="124"/>
      <c r="E252" s="124"/>
      <c r="F252" s="124"/>
      <c r="G252" s="124"/>
      <c r="H252" s="124"/>
      <c r="I252" s="124"/>
      <c r="J252" s="124"/>
      <c r="K252" s="124"/>
      <c r="L252" s="124"/>
      <c r="M252" s="124"/>
      <c r="N252" s="124"/>
      <c r="O252" s="124"/>
      <c r="P252" s="124"/>
      <c r="Q252" s="124"/>
      <c r="R252" s="124"/>
      <c r="S252" s="124"/>
      <c r="T252" s="124"/>
      <c r="U252" s="125"/>
      <c r="V252" s="124"/>
      <c r="W252" s="124"/>
      <c r="X252" s="124"/>
      <c r="Y252" s="124"/>
      <c r="Z252" s="124"/>
      <c r="AA252" s="124"/>
      <c r="AB252" s="124"/>
      <c r="AC252" s="124"/>
      <c r="AD252" s="124"/>
      <c r="AE252" s="124"/>
      <c r="AF252" s="124"/>
      <c r="AG252" s="124"/>
      <c r="AH252" s="124"/>
      <c r="AI252" s="124"/>
      <c r="AJ252" s="124"/>
      <c r="AK252" s="124"/>
      <c r="AL252" s="124"/>
      <c r="AM252" s="124"/>
      <c r="AN252" s="125"/>
      <c r="AO252" s="125"/>
      <c r="AP252" s="81"/>
      <c r="AQ252" s="82"/>
      <c r="AR252" s="96"/>
      <c r="AS252" s="96"/>
      <c r="AT252" s="96"/>
      <c r="AU252" s="82"/>
      <c r="AW252" s="95"/>
      <c r="BD252" s="95"/>
      <c r="BE252" s="95"/>
      <c r="BF252" s="95"/>
      <c r="BG252" s="95"/>
    </row>
    <row r="253" spans="1:59" s="83" customFormat="1">
      <c r="A253" s="124"/>
      <c r="B253" s="124"/>
      <c r="C253" s="124"/>
      <c r="D253" s="124"/>
      <c r="E253" s="124"/>
      <c r="F253" s="124"/>
      <c r="G253" s="124"/>
      <c r="H253" s="124"/>
      <c r="I253" s="124"/>
      <c r="J253" s="124"/>
      <c r="K253" s="124"/>
      <c r="L253" s="124"/>
      <c r="M253" s="124"/>
      <c r="N253" s="124"/>
      <c r="O253" s="124"/>
      <c r="P253" s="124"/>
      <c r="Q253" s="124"/>
      <c r="R253" s="124"/>
      <c r="S253" s="124"/>
      <c r="T253" s="124"/>
      <c r="U253" s="125"/>
      <c r="V253" s="124"/>
      <c r="W253" s="124"/>
      <c r="X253" s="124"/>
      <c r="Y253" s="124"/>
      <c r="Z253" s="124"/>
      <c r="AA253" s="124"/>
      <c r="AB253" s="124"/>
      <c r="AC253" s="124"/>
      <c r="AD253" s="124"/>
      <c r="AE253" s="124"/>
      <c r="AF253" s="124"/>
      <c r="AG253" s="124"/>
      <c r="AH253" s="124"/>
      <c r="AI253" s="124"/>
      <c r="AJ253" s="124"/>
      <c r="AK253" s="124"/>
      <c r="AL253" s="124"/>
      <c r="AM253" s="124"/>
      <c r="AN253" s="125"/>
      <c r="AO253" s="125"/>
      <c r="AP253" s="81"/>
      <c r="AQ253" s="82"/>
      <c r="AR253" s="96"/>
      <c r="AS253" s="96"/>
      <c r="AT253" s="96"/>
      <c r="AU253" s="82"/>
      <c r="AW253" s="95"/>
      <c r="BD253" s="95"/>
      <c r="BE253" s="95"/>
      <c r="BF253" s="95"/>
      <c r="BG253" s="95"/>
    </row>
    <row r="254" spans="1:59" s="83" customFormat="1">
      <c r="A254" s="124"/>
      <c r="B254" s="124"/>
      <c r="C254" s="124"/>
      <c r="D254" s="124"/>
      <c r="E254" s="124"/>
      <c r="F254" s="124"/>
      <c r="G254" s="124"/>
      <c r="H254" s="124"/>
      <c r="I254" s="124"/>
      <c r="J254" s="124"/>
      <c r="K254" s="124"/>
      <c r="L254" s="124"/>
      <c r="M254" s="124"/>
      <c r="N254" s="124"/>
      <c r="O254" s="124"/>
      <c r="P254" s="124"/>
      <c r="Q254" s="124"/>
      <c r="R254" s="124"/>
      <c r="S254" s="124"/>
      <c r="T254" s="124"/>
      <c r="U254" s="125"/>
      <c r="V254" s="124"/>
      <c r="W254" s="124"/>
      <c r="X254" s="124"/>
      <c r="Y254" s="124"/>
      <c r="Z254" s="124"/>
      <c r="AA254" s="124"/>
      <c r="AB254" s="124"/>
      <c r="AC254" s="124"/>
      <c r="AD254" s="124"/>
      <c r="AE254" s="124"/>
      <c r="AF254" s="124"/>
      <c r="AG254" s="124"/>
      <c r="AH254" s="124"/>
      <c r="AI254" s="124"/>
      <c r="AJ254" s="124"/>
      <c r="AK254" s="124"/>
      <c r="AL254" s="124"/>
      <c r="AM254" s="124"/>
      <c r="AN254" s="125"/>
      <c r="AO254" s="125"/>
      <c r="AP254" s="81"/>
      <c r="AQ254" s="82"/>
      <c r="AR254" s="96"/>
      <c r="AS254" s="96"/>
      <c r="AT254" s="96"/>
      <c r="AU254" s="82"/>
      <c r="AW254" s="95"/>
      <c r="BD254" s="95"/>
      <c r="BE254" s="95"/>
      <c r="BF254" s="95"/>
      <c r="BG254" s="95"/>
    </row>
    <row r="255" spans="1:59" s="83" customFormat="1">
      <c r="A255" s="124"/>
      <c r="B255" s="124"/>
      <c r="C255" s="124"/>
      <c r="D255" s="124"/>
      <c r="E255" s="124"/>
      <c r="F255" s="124"/>
      <c r="G255" s="124"/>
      <c r="H255" s="124"/>
      <c r="I255" s="124"/>
      <c r="J255" s="124"/>
      <c r="K255" s="124"/>
      <c r="L255" s="124"/>
      <c r="M255" s="124"/>
      <c r="N255" s="124"/>
      <c r="O255" s="124"/>
      <c r="P255" s="124"/>
      <c r="Q255" s="124"/>
      <c r="R255" s="124"/>
      <c r="S255" s="124"/>
      <c r="T255" s="124"/>
      <c r="U255" s="125"/>
      <c r="V255" s="124"/>
      <c r="W255" s="124"/>
      <c r="X255" s="124"/>
      <c r="Y255" s="124"/>
      <c r="Z255" s="124"/>
      <c r="AA255" s="124"/>
      <c r="AB255" s="124"/>
      <c r="AC255" s="124"/>
      <c r="AD255" s="124"/>
      <c r="AE255" s="124"/>
      <c r="AF255" s="124"/>
      <c r="AG255" s="124"/>
      <c r="AH255" s="124"/>
      <c r="AI255" s="124"/>
      <c r="AJ255" s="124"/>
      <c r="AK255" s="124"/>
      <c r="AL255" s="124"/>
      <c r="AM255" s="124"/>
      <c r="AN255" s="125"/>
      <c r="AO255" s="125"/>
      <c r="AP255" s="81"/>
      <c r="AQ255" s="82"/>
      <c r="AR255" s="96"/>
      <c r="AS255" s="96"/>
      <c r="AT255" s="96"/>
      <c r="AU255" s="82"/>
      <c r="AW255" s="95"/>
      <c r="BD255" s="95"/>
      <c r="BE255" s="95"/>
      <c r="BF255" s="95"/>
      <c r="BG255" s="95"/>
    </row>
    <row r="256" spans="1:59" s="83" customFormat="1">
      <c r="A256" s="124"/>
      <c r="B256" s="124"/>
      <c r="C256" s="124"/>
      <c r="D256" s="124"/>
      <c r="E256" s="124"/>
      <c r="F256" s="124"/>
      <c r="G256" s="124"/>
      <c r="H256" s="124"/>
      <c r="I256" s="124"/>
      <c r="J256" s="124"/>
      <c r="K256" s="124"/>
      <c r="L256" s="124"/>
      <c r="M256" s="124"/>
      <c r="N256" s="124"/>
      <c r="O256" s="124"/>
      <c r="P256" s="124"/>
      <c r="Q256" s="124"/>
      <c r="R256" s="124"/>
      <c r="S256" s="124"/>
      <c r="T256" s="124"/>
      <c r="U256" s="125"/>
      <c r="V256" s="124"/>
      <c r="W256" s="124"/>
      <c r="X256" s="124"/>
      <c r="Y256" s="124"/>
      <c r="Z256" s="124"/>
      <c r="AA256" s="124"/>
      <c r="AB256" s="124"/>
      <c r="AC256" s="124"/>
      <c r="AD256" s="124"/>
      <c r="AE256" s="124"/>
      <c r="AF256" s="124"/>
      <c r="AG256" s="124"/>
      <c r="AH256" s="124"/>
      <c r="AI256" s="124"/>
      <c r="AJ256" s="124"/>
      <c r="AK256" s="124"/>
      <c r="AL256" s="124"/>
      <c r="AM256" s="124"/>
      <c r="AN256" s="125"/>
      <c r="AO256" s="125"/>
      <c r="AP256" s="81"/>
      <c r="AQ256" s="82"/>
      <c r="AR256" s="96"/>
      <c r="AS256" s="96"/>
      <c r="AT256" s="96"/>
      <c r="AU256" s="82"/>
      <c r="AW256" s="95"/>
      <c r="BD256" s="95"/>
      <c r="BE256" s="95"/>
      <c r="BF256" s="95"/>
      <c r="BG256" s="95"/>
    </row>
    <row r="257" spans="1:59" s="83" customFormat="1">
      <c r="A257" s="124"/>
      <c r="B257" s="124"/>
      <c r="C257" s="124"/>
      <c r="D257" s="124"/>
      <c r="E257" s="124"/>
      <c r="F257" s="124"/>
      <c r="G257" s="124"/>
      <c r="H257" s="124"/>
      <c r="I257" s="124"/>
      <c r="J257" s="124"/>
      <c r="K257" s="124"/>
      <c r="L257" s="124"/>
      <c r="M257" s="124"/>
      <c r="N257" s="124"/>
      <c r="O257" s="124"/>
      <c r="P257" s="124"/>
      <c r="Q257" s="124"/>
      <c r="R257" s="124"/>
      <c r="S257" s="124"/>
      <c r="T257" s="124"/>
      <c r="U257" s="125"/>
      <c r="V257" s="124"/>
      <c r="W257" s="124"/>
      <c r="X257" s="124"/>
      <c r="Y257" s="124"/>
      <c r="Z257" s="124"/>
      <c r="AA257" s="124"/>
      <c r="AB257" s="124"/>
      <c r="AC257" s="124"/>
      <c r="AD257" s="124"/>
      <c r="AE257" s="124"/>
      <c r="AF257" s="124"/>
      <c r="AG257" s="124"/>
      <c r="AH257" s="124"/>
      <c r="AI257" s="124"/>
      <c r="AJ257" s="124"/>
      <c r="AK257" s="124"/>
      <c r="AL257" s="124"/>
      <c r="AM257" s="124"/>
      <c r="AN257" s="125"/>
      <c r="AO257" s="125"/>
      <c r="AP257" s="81"/>
      <c r="AQ257" s="82"/>
      <c r="AR257" s="96"/>
      <c r="AS257" s="96"/>
      <c r="AT257" s="96"/>
      <c r="AU257" s="82"/>
      <c r="AW257" s="95"/>
      <c r="BD257" s="95"/>
      <c r="BE257" s="95"/>
      <c r="BF257" s="95"/>
      <c r="BG257" s="95"/>
    </row>
    <row r="258" spans="1:59" s="83" customFormat="1">
      <c r="A258" s="124"/>
      <c r="B258" s="124"/>
      <c r="C258" s="124"/>
      <c r="D258" s="124"/>
      <c r="E258" s="124"/>
      <c r="F258" s="124"/>
      <c r="G258" s="124"/>
      <c r="H258" s="124"/>
      <c r="I258" s="124"/>
      <c r="J258" s="124"/>
      <c r="K258" s="124"/>
      <c r="L258" s="124"/>
      <c r="M258" s="124"/>
      <c r="N258" s="124"/>
      <c r="O258" s="124"/>
      <c r="P258" s="124"/>
      <c r="Q258" s="124"/>
      <c r="R258" s="124"/>
      <c r="S258" s="124"/>
      <c r="T258" s="124"/>
      <c r="U258" s="125"/>
      <c r="V258" s="124"/>
      <c r="W258" s="124"/>
      <c r="X258" s="124"/>
      <c r="Y258" s="124"/>
      <c r="Z258" s="124"/>
      <c r="AA258" s="124"/>
      <c r="AB258" s="124"/>
      <c r="AC258" s="124"/>
      <c r="AD258" s="124"/>
      <c r="AE258" s="124"/>
      <c r="AF258" s="124"/>
      <c r="AG258" s="124"/>
      <c r="AH258" s="124"/>
      <c r="AI258" s="124"/>
      <c r="AJ258" s="124"/>
      <c r="AK258" s="124"/>
      <c r="AL258" s="124"/>
      <c r="AM258" s="124"/>
      <c r="AN258" s="125"/>
      <c r="AO258" s="125"/>
      <c r="AP258" s="81"/>
      <c r="AQ258" s="82"/>
      <c r="AR258" s="96"/>
      <c r="AS258" s="96"/>
      <c r="AT258" s="96"/>
      <c r="AU258" s="82"/>
      <c r="AW258" s="95"/>
      <c r="BD258" s="95"/>
      <c r="BE258" s="95"/>
      <c r="BF258" s="95"/>
      <c r="BG258" s="95"/>
    </row>
    <row r="259" spans="1:59" s="83" customFormat="1">
      <c r="A259" s="124"/>
      <c r="B259" s="124"/>
      <c r="C259" s="124"/>
      <c r="D259" s="124"/>
      <c r="E259" s="124"/>
      <c r="F259" s="124"/>
      <c r="G259" s="124"/>
      <c r="H259" s="124"/>
      <c r="I259" s="124"/>
      <c r="J259" s="124"/>
      <c r="K259" s="124"/>
      <c r="L259" s="124"/>
      <c r="M259" s="124"/>
      <c r="N259" s="124"/>
      <c r="O259" s="124"/>
      <c r="P259" s="124"/>
      <c r="Q259" s="124"/>
      <c r="R259" s="124"/>
      <c r="S259" s="124"/>
      <c r="T259" s="124"/>
      <c r="U259" s="125"/>
      <c r="V259" s="124"/>
      <c r="W259" s="124"/>
      <c r="X259" s="124"/>
      <c r="Y259" s="124"/>
      <c r="Z259" s="124"/>
      <c r="AA259" s="124"/>
      <c r="AB259" s="124"/>
      <c r="AC259" s="124"/>
      <c r="AD259" s="124"/>
      <c r="AE259" s="124"/>
      <c r="AF259" s="124"/>
      <c r="AG259" s="124"/>
      <c r="AH259" s="124"/>
      <c r="AI259" s="124"/>
      <c r="AJ259" s="124"/>
      <c r="AK259" s="124"/>
      <c r="AL259" s="124"/>
      <c r="AM259" s="124"/>
      <c r="AN259" s="125"/>
      <c r="AO259" s="125"/>
      <c r="AP259" s="81"/>
      <c r="AQ259" s="82"/>
      <c r="AR259" s="96"/>
      <c r="AS259" s="96"/>
      <c r="AT259" s="96"/>
      <c r="AU259" s="82"/>
      <c r="AW259" s="95"/>
      <c r="BD259" s="95"/>
      <c r="BE259" s="95"/>
      <c r="BF259" s="95"/>
      <c r="BG259" s="95"/>
    </row>
    <row r="260" spans="1:59" s="83" customFormat="1">
      <c r="A260" s="124"/>
      <c r="B260" s="124"/>
      <c r="C260" s="124"/>
      <c r="D260" s="124"/>
      <c r="E260" s="124"/>
      <c r="F260" s="124"/>
      <c r="G260" s="124"/>
      <c r="H260" s="124"/>
      <c r="I260" s="124"/>
      <c r="J260" s="124"/>
      <c r="K260" s="124"/>
      <c r="L260" s="124"/>
      <c r="M260" s="124"/>
      <c r="N260" s="124"/>
      <c r="O260" s="124"/>
      <c r="P260" s="124"/>
      <c r="Q260" s="124"/>
      <c r="R260" s="124"/>
      <c r="S260" s="124"/>
      <c r="T260" s="124"/>
      <c r="U260" s="125"/>
      <c r="V260" s="124"/>
      <c r="W260" s="124"/>
      <c r="X260" s="124"/>
      <c r="Y260" s="124"/>
      <c r="Z260" s="124"/>
      <c r="AA260" s="124"/>
      <c r="AB260" s="124"/>
      <c r="AC260" s="124"/>
      <c r="AD260" s="124"/>
      <c r="AE260" s="124"/>
      <c r="AF260" s="124"/>
      <c r="AG260" s="124"/>
      <c r="AH260" s="124"/>
      <c r="AI260" s="124"/>
      <c r="AJ260" s="124"/>
      <c r="AK260" s="124"/>
      <c r="AL260" s="124"/>
      <c r="AM260" s="124"/>
      <c r="AN260" s="125"/>
      <c r="AO260" s="125"/>
      <c r="AP260" s="81"/>
      <c r="AQ260" s="82"/>
      <c r="AR260" s="96"/>
      <c r="AS260" s="96"/>
      <c r="AT260" s="96"/>
      <c r="AU260" s="82"/>
      <c r="AW260" s="95"/>
      <c r="BD260" s="95"/>
      <c r="BE260" s="95"/>
      <c r="BF260" s="95"/>
      <c r="BG260" s="95"/>
    </row>
    <row r="261" spans="1:59" s="83" customFormat="1">
      <c r="A261" s="124"/>
      <c r="B261" s="124"/>
      <c r="C261" s="124"/>
      <c r="D261" s="124"/>
      <c r="E261" s="124"/>
      <c r="F261" s="124"/>
      <c r="G261" s="124"/>
      <c r="H261" s="124"/>
      <c r="I261" s="124"/>
      <c r="J261" s="124"/>
      <c r="K261" s="124"/>
      <c r="L261" s="124"/>
      <c r="M261" s="124"/>
      <c r="N261" s="124"/>
      <c r="O261" s="124"/>
      <c r="P261" s="124"/>
      <c r="Q261" s="124"/>
      <c r="R261" s="124"/>
      <c r="S261" s="124"/>
      <c r="T261" s="124"/>
      <c r="U261" s="125"/>
      <c r="V261" s="124"/>
      <c r="W261" s="124"/>
      <c r="X261" s="124"/>
      <c r="Y261" s="124"/>
      <c r="Z261" s="124"/>
      <c r="AA261" s="124"/>
      <c r="AB261" s="124"/>
      <c r="AC261" s="124"/>
      <c r="AD261" s="124"/>
      <c r="AE261" s="124"/>
      <c r="AF261" s="124"/>
      <c r="AG261" s="124"/>
      <c r="AH261" s="124"/>
      <c r="AI261" s="124"/>
      <c r="AJ261" s="124"/>
      <c r="AK261" s="124"/>
      <c r="AL261" s="124"/>
      <c r="AM261" s="124"/>
      <c r="AN261" s="125"/>
      <c r="AO261" s="125"/>
      <c r="AP261" s="81"/>
      <c r="AQ261" s="82"/>
      <c r="AR261" s="96"/>
      <c r="AS261" s="96"/>
      <c r="AT261" s="96"/>
      <c r="AU261" s="82"/>
      <c r="AW261" s="95"/>
      <c r="BD261" s="95"/>
      <c r="BE261" s="95"/>
      <c r="BF261" s="95"/>
      <c r="BG261" s="95"/>
    </row>
    <row r="262" spans="1:59" s="83" customFormat="1">
      <c r="A262" s="124"/>
      <c r="B262" s="124"/>
      <c r="C262" s="124"/>
      <c r="D262" s="124"/>
      <c r="E262" s="124"/>
      <c r="F262" s="124"/>
      <c r="G262" s="124"/>
      <c r="H262" s="124"/>
      <c r="I262" s="124"/>
      <c r="J262" s="124"/>
      <c r="K262" s="124"/>
      <c r="L262" s="124"/>
      <c r="M262" s="124"/>
      <c r="N262" s="124"/>
      <c r="O262" s="124"/>
      <c r="P262" s="124"/>
      <c r="Q262" s="124"/>
      <c r="R262" s="124"/>
      <c r="S262" s="124"/>
      <c r="T262" s="124"/>
      <c r="U262" s="125"/>
      <c r="V262" s="124"/>
      <c r="W262" s="124"/>
      <c r="X262" s="124"/>
      <c r="Y262" s="124"/>
      <c r="Z262" s="124"/>
      <c r="AA262" s="124"/>
      <c r="AB262" s="124"/>
      <c r="AC262" s="124"/>
      <c r="AD262" s="124"/>
      <c r="AE262" s="124"/>
      <c r="AF262" s="124"/>
      <c r="AG262" s="124"/>
      <c r="AH262" s="124"/>
      <c r="AI262" s="124"/>
      <c r="AJ262" s="124"/>
      <c r="AK262" s="124"/>
      <c r="AL262" s="124"/>
      <c r="AM262" s="124"/>
      <c r="AN262" s="125"/>
      <c r="AO262" s="125"/>
      <c r="AP262" s="81"/>
      <c r="AQ262" s="82"/>
      <c r="AR262" s="96"/>
      <c r="AS262" s="96"/>
      <c r="AT262" s="96"/>
      <c r="AU262" s="82"/>
      <c r="AW262" s="95"/>
      <c r="BD262" s="95"/>
      <c r="BE262" s="95"/>
      <c r="BF262" s="95"/>
      <c r="BG262" s="95"/>
    </row>
    <row r="263" spans="1:59" s="83" customFormat="1">
      <c r="A263" s="124"/>
      <c r="B263" s="124"/>
      <c r="C263" s="124"/>
      <c r="D263" s="124"/>
      <c r="E263" s="124"/>
      <c r="F263" s="124"/>
      <c r="G263" s="124"/>
      <c r="H263" s="124"/>
      <c r="I263" s="124"/>
      <c r="J263" s="124"/>
      <c r="K263" s="124"/>
      <c r="L263" s="124"/>
      <c r="M263" s="124"/>
      <c r="N263" s="124"/>
      <c r="O263" s="124"/>
      <c r="P263" s="124"/>
      <c r="Q263" s="124"/>
      <c r="R263" s="124"/>
      <c r="S263" s="124"/>
      <c r="T263" s="124"/>
      <c r="U263" s="125"/>
      <c r="V263" s="124"/>
      <c r="W263" s="124"/>
      <c r="X263" s="124"/>
      <c r="Y263" s="124"/>
      <c r="Z263" s="124"/>
      <c r="AA263" s="124"/>
      <c r="AB263" s="124"/>
      <c r="AC263" s="124"/>
      <c r="AD263" s="124"/>
      <c r="AE263" s="124"/>
      <c r="AF263" s="124"/>
      <c r="AG263" s="124"/>
      <c r="AH263" s="124"/>
      <c r="AI263" s="124"/>
      <c r="AJ263" s="124"/>
      <c r="AK263" s="124"/>
      <c r="AL263" s="124"/>
      <c r="AM263" s="124"/>
      <c r="AN263" s="125"/>
      <c r="AO263" s="125"/>
      <c r="AP263" s="81"/>
      <c r="AQ263" s="82"/>
      <c r="AR263" s="96"/>
      <c r="AS263" s="96"/>
      <c r="AT263" s="96"/>
      <c r="AU263" s="82"/>
      <c r="AW263" s="95"/>
      <c r="BD263" s="95"/>
      <c r="BE263" s="95"/>
      <c r="BF263" s="95"/>
      <c r="BG263" s="95"/>
    </row>
    <row r="264" spans="1:59" s="83" customFormat="1">
      <c r="A264" s="124"/>
      <c r="B264" s="124"/>
      <c r="C264" s="124"/>
      <c r="D264" s="124"/>
      <c r="E264" s="124"/>
      <c r="F264" s="124"/>
      <c r="G264" s="124"/>
      <c r="H264" s="124"/>
      <c r="I264" s="124"/>
      <c r="J264" s="124"/>
      <c r="K264" s="124"/>
      <c r="L264" s="124"/>
      <c r="M264" s="124"/>
      <c r="N264" s="124"/>
      <c r="O264" s="124"/>
      <c r="P264" s="124"/>
      <c r="Q264" s="124"/>
      <c r="R264" s="124"/>
      <c r="S264" s="124"/>
      <c r="T264" s="124"/>
      <c r="U264" s="125"/>
      <c r="V264" s="124"/>
      <c r="W264" s="124"/>
      <c r="X264" s="124"/>
      <c r="Y264" s="124"/>
      <c r="Z264" s="124"/>
      <c r="AA264" s="124"/>
      <c r="AB264" s="124"/>
      <c r="AC264" s="124"/>
      <c r="AD264" s="124"/>
      <c r="AE264" s="124"/>
      <c r="AF264" s="124"/>
      <c r="AG264" s="124"/>
      <c r="AH264" s="124"/>
      <c r="AI264" s="124"/>
      <c r="AJ264" s="124"/>
      <c r="AK264" s="124"/>
      <c r="AL264" s="124"/>
      <c r="AM264" s="124"/>
      <c r="AN264" s="125"/>
      <c r="AO264" s="125"/>
      <c r="AP264" s="81"/>
      <c r="AQ264" s="82"/>
      <c r="AR264" s="96"/>
      <c r="AS264" s="96"/>
      <c r="AT264" s="96"/>
      <c r="AU264" s="82"/>
      <c r="AW264" s="95"/>
      <c r="BD264" s="95"/>
      <c r="BE264" s="95"/>
      <c r="BF264" s="95"/>
      <c r="BG264" s="95"/>
    </row>
    <row r="265" spans="1:59" s="83" customFormat="1">
      <c r="A265" s="124"/>
      <c r="B265" s="124"/>
      <c r="C265" s="124"/>
      <c r="D265" s="124"/>
      <c r="E265" s="124"/>
      <c r="F265" s="124"/>
      <c r="G265" s="124"/>
      <c r="H265" s="124"/>
      <c r="I265" s="124"/>
      <c r="J265" s="124"/>
      <c r="K265" s="124"/>
      <c r="L265" s="124"/>
      <c r="M265" s="124"/>
      <c r="N265" s="124"/>
      <c r="O265" s="124"/>
      <c r="P265" s="124"/>
      <c r="Q265" s="124"/>
      <c r="R265" s="124"/>
      <c r="S265" s="124"/>
      <c r="T265" s="124"/>
      <c r="U265" s="125"/>
      <c r="V265" s="124"/>
      <c r="W265" s="124"/>
      <c r="X265" s="124"/>
      <c r="Y265" s="124"/>
      <c r="Z265" s="124"/>
      <c r="AA265" s="124"/>
      <c r="AB265" s="124"/>
      <c r="AC265" s="124"/>
      <c r="AD265" s="124"/>
      <c r="AE265" s="124"/>
      <c r="AF265" s="124"/>
      <c r="AG265" s="124"/>
      <c r="AH265" s="124"/>
      <c r="AI265" s="124"/>
      <c r="AJ265" s="124"/>
      <c r="AK265" s="124"/>
      <c r="AL265" s="124"/>
      <c r="AM265" s="124"/>
      <c r="AN265" s="125"/>
      <c r="AO265" s="125"/>
      <c r="AP265" s="81"/>
      <c r="AQ265" s="82"/>
      <c r="AR265" s="96"/>
      <c r="AS265" s="96"/>
      <c r="AT265" s="96"/>
      <c r="AU265" s="82"/>
      <c r="AW265" s="95"/>
      <c r="BD265" s="95"/>
      <c r="BE265" s="95"/>
      <c r="BF265" s="95"/>
      <c r="BG265" s="95"/>
    </row>
    <row r="266" spans="1:59" s="83" customFormat="1">
      <c r="A266" s="124"/>
      <c r="B266" s="124"/>
      <c r="C266" s="124"/>
      <c r="D266" s="124"/>
      <c r="E266" s="124"/>
      <c r="F266" s="124"/>
      <c r="G266" s="124"/>
      <c r="H266" s="124"/>
      <c r="I266" s="124"/>
      <c r="J266" s="124"/>
      <c r="K266" s="124"/>
      <c r="L266" s="124"/>
      <c r="M266" s="124"/>
      <c r="N266" s="124"/>
      <c r="O266" s="124"/>
      <c r="P266" s="124"/>
      <c r="Q266" s="124"/>
      <c r="R266" s="124"/>
      <c r="S266" s="124"/>
      <c r="T266" s="124"/>
      <c r="U266" s="125"/>
      <c r="V266" s="124"/>
      <c r="W266" s="124"/>
      <c r="X266" s="124"/>
      <c r="Y266" s="124"/>
      <c r="Z266" s="124"/>
      <c r="AA266" s="124"/>
      <c r="AB266" s="124"/>
      <c r="AC266" s="124"/>
      <c r="AD266" s="124"/>
      <c r="AE266" s="124"/>
      <c r="AF266" s="124"/>
      <c r="AG266" s="124"/>
      <c r="AH266" s="124"/>
      <c r="AI266" s="124"/>
      <c r="AJ266" s="124"/>
      <c r="AK266" s="124"/>
      <c r="AL266" s="124"/>
      <c r="AM266" s="124"/>
      <c r="AN266" s="125"/>
      <c r="AO266" s="125"/>
      <c r="AP266" s="81"/>
      <c r="AQ266" s="82"/>
      <c r="AR266" s="96"/>
      <c r="AS266" s="96"/>
      <c r="AT266" s="96"/>
      <c r="AU266" s="82"/>
      <c r="AW266" s="95"/>
      <c r="BD266" s="95"/>
      <c r="BE266" s="95"/>
      <c r="BF266" s="95"/>
      <c r="BG266" s="95"/>
    </row>
    <row r="267" spans="1:59" s="83" customFormat="1">
      <c r="A267" s="124"/>
      <c r="B267" s="124"/>
      <c r="C267" s="124"/>
      <c r="D267" s="124"/>
      <c r="E267" s="124"/>
      <c r="F267" s="124"/>
      <c r="G267" s="124"/>
      <c r="H267" s="124"/>
      <c r="I267" s="124"/>
      <c r="J267" s="124"/>
      <c r="K267" s="124"/>
      <c r="L267" s="124"/>
      <c r="M267" s="124"/>
      <c r="N267" s="124"/>
      <c r="O267" s="124"/>
      <c r="P267" s="124"/>
      <c r="Q267" s="124"/>
      <c r="R267" s="124"/>
      <c r="S267" s="124"/>
      <c r="T267" s="124"/>
      <c r="U267" s="125"/>
      <c r="V267" s="124"/>
      <c r="W267" s="124"/>
      <c r="X267" s="124"/>
      <c r="Y267" s="124"/>
      <c r="Z267" s="124"/>
      <c r="AA267" s="124"/>
      <c r="AB267" s="124"/>
      <c r="AC267" s="124"/>
      <c r="AD267" s="124"/>
      <c r="AE267" s="124"/>
      <c r="AF267" s="124"/>
      <c r="AG267" s="124"/>
      <c r="AH267" s="124"/>
      <c r="AI267" s="124"/>
      <c r="AJ267" s="124"/>
      <c r="AK267" s="124"/>
      <c r="AL267" s="124"/>
      <c r="AM267" s="124"/>
      <c r="AN267" s="125"/>
      <c r="AO267" s="125"/>
      <c r="AP267" s="81"/>
      <c r="AQ267" s="82"/>
      <c r="AR267" s="96"/>
      <c r="AS267" s="96"/>
      <c r="AT267" s="96"/>
      <c r="AU267" s="82"/>
      <c r="AW267" s="95"/>
      <c r="BD267" s="95"/>
      <c r="BE267" s="95"/>
      <c r="BF267" s="95"/>
      <c r="BG267" s="95"/>
    </row>
    <row r="268" spans="1:59" s="83" customFormat="1">
      <c r="A268" s="124"/>
      <c r="B268" s="124"/>
      <c r="C268" s="124"/>
      <c r="D268" s="124"/>
      <c r="E268" s="124"/>
      <c r="F268" s="124"/>
      <c r="G268" s="124"/>
      <c r="H268" s="124"/>
      <c r="I268" s="124"/>
      <c r="J268" s="124"/>
      <c r="K268" s="124"/>
      <c r="L268" s="124"/>
      <c r="M268" s="124"/>
      <c r="N268" s="124"/>
      <c r="O268" s="124"/>
      <c r="P268" s="124"/>
      <c r="Q268" s="124"/>
      <c r="R268" s="124"/>
      <c r="S268" s="124"/>
      <c r="T268" s="124"/>
      <c r="U268" s="125"/>
      <c r="V268" s="124"/>
      <c r="W268" s="124"/>
      <c r="X268" s="124"/>
      <c r="Y268" s="124"/>
      <c r="Z268" s="124"/>
      <c r="AA268" s="124"/>
      <c r="AB268" s="124"/>
      <c r="AC268" s="124"/>
      <c r="AD268" s="124"/>
      <c r="AE268" s="124"/>
      <c r="AF268" s="124"/>
      <c r="AG268" s="124"/>
      <c r="AH268" s="124"/>
      <c r="AI268" s="124"/>
      <c r="AJ268" s="124"/>
      <c r="AK268" s="124"/>
      <c r="AL268" s="124"/>
      <c r="AM268" s="124"/>
      <c r="AN268" s="125"/>
      <c r="AO268" s="125"/>
      <c r="AP268" s="81"/>
      <c r="AQ268" s="82"/>
      <c r="AR268" s="96"/>
      <c r="AS268" s="96"/>
      <c r="AT268" s="96"/>
      <c r="AU268" s="82"/>
      <c r="AW268" s="95"/>
      <c r="BD268" s="95"/>
      <c r="BE268" s="95"/>
      <c r="BF268" s="95"/>
      <c r="BG268" s="95"/>
    </row>
    <row r="269" spans="1:59" s="83" customFormat="1">
      <c r="A269" s="124"/>
      <c r="B269" s="124"/>
      <c r="C269" s="124"/>
      <c r="D269" s="124"/>
      <c r="E269" s="124"/>
      <c r="F269" s="124"/>
      <c r="G269" s="124"/>
      <c r="H269" s="124"/>
      <c r="I269" s="124"/>
      <c r="J269" s="124"/>
      <c r="K269" s="124"/>
      <c r="L269" s="124"/>
      <c r="M269" s="124"/>
      <c r="N269" s="124"/>
      <c r="O269" s="124"/>
      <c r="P269" s="124"/>
      <c r="Q269" s="124"/>
      <c r="R269" s="124"/>
      <c r="S269" s="124"/>
      <c r="T269" s="124"/>
      <c r="U269" s="125"/>
      <c r="V269" s="124"/>
      <c r="W269" s="124"/>
      <c r="X269" s="124"/>
      <c r="Y269" s="124"/>
      <c r="Z269" s="124"/>
      <c r="AA269" s="124"/>
      <c r="AB269" s="124"/>
      <c r="AC269" s="124"/>
      <c r="AD269" s="124"/>
      <c r="AE269" s="124"/>
      <c r="AF269" s="124"/>
      <c r="AG269" s="124"/>
      <c r="AH269" s="124"/>
      <c r="AI269" s="124"/>
      <c r="AJ269" s="124"/>
      <c r="AK269" s="124"/>
      <c r="AL269" s="124"/>
      <c r="AM269" s="124"/>
      <c r="AN269" s="125"/>
      <c r="AO269" s="125"/>
      <c r="AP269" s="81"/>
      <c r="AQ269" s="82"/>
      <c r="AR269" s="96"/>
      <c r="AS269" s="96"/>
      <c r="AT269" s="96"/>
      <c r="AU269" s="82"/>
      <c r="AW269" s="95"/>
      <c r="BD269" s="95"/>
      <c r="BE269" s="95"/>
      <c r="BF269" s="95"/>
      <c r="BG269" s="95"/>
    </row>
    <row r="270" spans="1:59" s="83" customFormat="1">
      <c r="A270" s="124"/>
      <c r="B270" s="124"/>
      <c r="C270" s="124"/>
      <c r="D270" s="124"/>
      <c r="E270" s="124"/>
      <c r="F270" s="124"/>
      <c r="G270" s="124"/>
      <c r="H270" s="124"/>
      <c r="I270" s="124"/>
      <c r="J270" s="124"/>
      <c r="K270" s="124"/>
      <c r="L270" s="124"/>
      <c r="M270" s="124"/>
      <c r="N270" s="124"/>
      <c r="O270" s="124"/>
      <c r="P270" s="124"/>
      <c r="Q270" s="124"/>
      <c r="R270" s="124"/>
      <c r="S270" s="124"/>
      <c r="T270" s="124"/>
      <c r="U270" s="125"/>
      <c r="V270" s="124"/>
      <c r="W270" s="124"/>
      <c r="X270" s="124"/>
      <c r="Y270" s="124"/>
      <c r="Z270" s="124"/>
      <c r="AA270" s="124"/>
      <c r="AB270" s="124"/>
      <c r="AC270" s="124"/>
      <c r="AD270" s="124"/>
      <c r="AE270" s="124"/>
      <c r="AF270" s="124"/>
      <c r="AG270" s="124"/>
      <c r="AH270" s="124"/>
      <c r="AI270" s="124"/>
      <c r="AJ270" s="124"/>
      <c r="AK270" s="124"/>
      <c r="AL270" s="124"/>
      <c r="AM270" s="124"/>
      <c r="AN270" s="125"/>
      <c r="AO270" s="125"/>
      <c r="AP270" s="81"/>
      <c r="AQ270" s="82"/>
      <c r="AR270" s="96"/>
      <c r="AS270" s="96"/>
      <c r="AT270" s="96"/>
      <c r="AU270" s="82"/>
      <c r="AW270" s="95"/>
      <c r="BD270" s="95"/>
      <c r="BE270" s="95"/>
      <c r="BF270" s="95"/>
      <c r="BG270" s="95"/>
    </row>
    <row r="271" spans="1:59" s="83" customFormat="1">
      <c r="A271" s="124"/>
      <c r="B271" s="124"/>
      <c r="C271" s="124"/>
      <c r="D271" s="124"/>
      <c r="E271" s="124"/>
      <c r="F271" s="124"/>
      <c r="G271" s="124"/>
      <c r="H271" s="124"/>
      <c r="I271" s="124"/>
      <c r="J271" s="124"/>
      <c r="K271" s="124"/>
      <c r="L271" s="124"/>
      <c r="M271" s="124"/>
      <c r="N271" s="124"/>
      <c r="O271" s="124"/>
      <c r="P271" s="124"/>
      <c r="Q271" s="124"/>
      <c r="R271" s="124"/>
      <c r="S271" s="124"/>
      <c r="T271" s="124"/>
      <c r="U271" s="125"/>
      <c r="V271" s="124"/>
      <c r="W271" s="124"/>
      <c r="X271" s="124"/>
      <c r="Y271" s="124"/>
      <c r="Z271" s="124"/>
      <c r="AA271" s="124"/>
      <c r="AB271" s="124"/>
      <c r="AC271" s="124"/>
      <c r="AD271" s="124"/>
      <c r="AE271" s="124"/>
      <c r="AF271" s="124"/>
      <c r="AG271" s="124"/>
      <c r="AH271" s="124"/>
      <c r="AI271" s="124"/>
      <c r="AJ271" s="124"/>
      <c r="AK271" s="124"/>
      <c r="AL271" s="124"/>
      <c r="AM271" s="124"/>
      <c r="AN271" s="125"/>
      <c r="AO271" s="125"/>
      <c r="AP271" s="81"/>
      <c r="AQ271" s="82"/>
      <c r="AR271" s="96"/>
      <c r="AS271" s="96"/>
      <c r="AT271" s="96"/>
      <c r="AU271" s="82"/>
      <c r="AW271" s="95"/>
      <c r="BD271" s="95"/>
      <c r="BE271" s="95"/>
      <c r="BF271" s="95"/>
      <c r="BG271" s="95"/>
    </row>
    <row r="272" spans="1:59" s="83" customFormat="1">
      <c r="A272" s="124"/>
      <c r="B272" s="124"/>
      <c r="C272" s="124"/>
      <c r="D272" s="124"/>
      <c r="E272" s="124"/>
      <c r="F272" s="124"/>
      <c r="G272" s="124"/>
      <c r="H272" s="124"/>
      <c r="I272" s="124"/>
      <c r="J272" s="124"/>
      <c r="K272" s="124"/>
      <c r="L272" s="124"/>
      <c r="M272" s="124"/>
      <c r="N272" s="124"/>
      <c r="O272" s="124"/>
      <c r="P272" s="124"/>
      <c r="Q272" s="124"/>
      <c r="R272" s="124"/>
      <c r="S272" s="124"/>
      <c r="T272" s="124"/>
      <c r="U272" s="125"/>
      <c r="V272" s="124"/>
      <c r="W272" s="124"/>
      <c r="X272" s="124"/>
      <c r="Y272" s="124"/>
      <c r="Z272" s="124"/>
      <c r="AA272" s="124"/>
      <c r="AB272" s="124"/>
      <c r="AC272" s="124"/>
      <c r="AD272" s="124"/>
      <c r="AE272" s="124"/>
      <c r="AF272" s="124"/>
      <c r="AG272" s="124"/>
      <c r="AH272" s="124"/>
      <c r="AI272" s="124"/>
      <c r="AJ272" s="124"/>
      <c r="AK272" s="124"/>
      <c r="AL272" s="124"/>
      <c r="AM272" s="124"/>
      <c r="AN272" s="125"/>
      <c r="AO272" s="125"/>
      <c r="AP272" s="81"/>
      <c r="AQ272" s="82"/>
      <c r="AR272" s="96"/>
      <c r="AS272" s="96"/>
      <c r="AT272" s="96"/>
      <c r="AU272" s="82"/>
      <c r="AW272" s="95"/>
      <c r="BD272" s="95"/>
      <c r="BE272" s="95"/>
      <c r="BF272" s="95"/>
      <c r="BG272" s="95"/>
    </row>
    <row r="273" spans="1:59" s="83" customFormat="1">
      <c r="A273" s="124"/>
      <c r="B273" s="124"/>
      <c r="C273" s="124"/>
      <c r="D273" s="124"/>
      <c r="E273" s="124"/>
      <c r="F273" s="124"/>
      <c r="G273" s="124"/>
      <c r="H273" s="124"/>
      <c r="I273" s="124"/>
      <c r="J273" s="124"/>
      <c r="K273" s="124"/>
      <c r="L273" s="124"/>
      <c r="M273" s="124"/>
      <c r="N273" s="124"/>
      <c r="O273" s="124"/>
      <c r="P273" s="124"/>
      <c r="Q273" s="124"/>
      <c r="R273" s="124"/>
      <c r="S273" s="124"/>
      <c r="T273" s="124"/>
      <c r="U273" s="125"/>
      <c r="V273" s="124"/>
      <c r="W273" s="124"/>
      <c r="X273" s="124"/>
      <c r="Y273" s="124"/>
      <c r="Z273" s="124"/>
      <c r="AA273" s="124"/>
      <c r="AB273" s="124"/>
      <c r="AC273" s="124"/>
      <c r="AD273" s="124"/>
      <c r="AE273" s="124"/>
      <c r="AF273" s="124"/>
      <c r="AG273" s="124"/>
      <c r="AH273" s="124"/>
      <c r="AI273" s="124"/>
      <c r="AJ273" s="124"/>
      <c r="AK273" s="124"/>
      <c r="AL273" s="124"/>
      <c r="AM273" s="124"/>
      <c r="AN273" s="125"/>
      <c r="AO273" s="125"/>
      <c r="AP273" s="81"/>
      <c r="AQ273" s="82"/>
      <c r="AR273" s="96"/>
      <c r="AS273" s="96"/>
      <c r="AT273" s="96"/>
      <c r="AU273" s="82"/>
      <c r="AW273" s="95"/>
      <c r="BD273" s="95"/>
      <c r="BE273" s="95"/>
      <c r="BF273" s="95"/>
      <c r="BG273" s="95"/>
    </row>
    <row r="274" spans="1:59" s="83" customFormat="1">
      <c r="A274" s="124"/>
      <c r="B274" s="124"/>
      <c r="C274" s="124"/>
      <c r="D274" s="124"/>
      <c r="E274" s="124"/>
      <c r="F274" s="124"/>
      <c r="G274" s="124"/>
      <c r="H274" s="124"/>
      <c r="I274" s="124"/>
      <c r="J274" s="124"/>
      <c r="K274" s="124"/>
      <c r="L274" s="124"/>
      <c r="M274" s="124"/>
      <c r="N274" s="124"/>
      <c r="O274" s="124"/>
      <c r="P274" s="124"/>
      <c r="Q274" s="124"/>
      <c r="R274" s="124"/>
      <c r="S274" s="124"/>
      <c r="T274" s="124"/>
      <c r="U274" s="125"/>
      <c r="V274" s="124"/>
      <c r="W274" s="124"/>
      <c r="X274" s="124"/>
      <c r="Y274" s="124"/>
      <c r="Z274" s="124"/>
      <c r="AA274" s="124"/>
      <c r="AB274" s="124"/>
      <c r="AC274" s="124"/>
      <c r="AD274" s="124"/>
      <c r="AE274" s="124"/>
      <c r="AF274" s="124"/>
      <c r="AG274" s="124"/>
      <c r="AH274" s="124"/>
      <c r="AI274" s="124"/>
      <c r="AJ274" s="124"/>
      <c r="AK274" s="124"/>
      <c r="AL274" s="124"/>
      <c r="AM274" s="124"/>
      <c r="AN274" s="125"/>
      <c r="AO274" s="125"/>
      <c r="AP274" s="81"/>
      <c r="AQ274" s="82"/>
      <c r="AR274" s="96"/>
      <c r="AS274" s="96"/>
      <c r="AT274" s="96"/>
      <c r="AU274" s="82"/>
      <c r="AW274" s="95"/>
      <c r="BD274" s="95"/>
      <c r="BE274" s="95"/>
      <c r="BF274" s="95"/>
      <c r="BG274" s="95"/>
    </row>
    <row r="275" spans="1:59" s="83" customFormat="1">
      <c r="A275" s="124"/>
      <c r="B275" s="124"/>
      <c r="C275" s="124"/>
      <c r="D275" s="124"/>
      <c r="E275" s="124"/>
      <c r="F275" s="124"/>
      <c r="G275" s="124"/>
      <c r="H275" s="124"/>
      <c r="I275" s="124"/>
      <c r="J275" s="124"/>
      <c r="K275" s="124"/>
      <c r="L275" s="124"/>
      <c r="M275" s="124"/>
      <c r="N275" s="124"/>
      <c r="O275" s="124"/>
      <c r="P275" s="124"/>
      <c r="Q275" s="124"/>
      <c r="R275" s="124"/>
      <c r="S275" s="124"/>
      <c r="T275" s="124"/>
      <c r="U275" s="125"/>
      <c r="V275" s="124"/>
      <c r="W275" s="124"/>
      <c r="X275" s="124"/>
      <c r="Y275" s="124"/>
      <c r="Z275" s="124"/>
      <c r="AA275" s="124"/>
      <c r="AB275" s="124"/>
      <c r="AC275" s="124"/>
      <c r="AD275" s="124"/>
      <c r="AE275" s="124"/>
      <c r="AF275" s="124"/>
      <c r="AG275" s="124"/>
      <c r="AH275" s="124"/>
      <c r="AI275" s="124"/>
      <c r="AJ275" s="124"/>
      <c r="AK275" s="124"/>
      <c r="AL275" s="124"/>
      <c r="AM275" s="124"/>
      <c r="AN275" s="125"/>
      <c r="AO275" s="125"/>
      <c r="AP275" s="81"/>
      <c r="AQ275" s="82"/>
      <c r="AR275" s="96"/>
      <c r="AS275" s="96"/>
      <c r="AT275" s="96"/>
      <c r="AU275" s="82"/>
      <c r="AW275" s="95"/>
      <c r="BD275" s="95"/>
      <c r="BE275" s="95"/>
      <c r="BF275" s="95"/>
      <c r="BG275" s="95"/>
    </row>
    <row r="276" spans="1:59" s="83" customFormat="1">
      <c r="A276" s="124"/>
      <c r="B276" s="124"/>
      <c r="C276" s="124"/>
      <c r="D276" s="124"/>
      <c r="E276" s="124"/>
      <c r="F276" s="124"/>
      <c r="G276" s="124"/>
      <c r="H276" s="124"/>
      <c r="I276" s="124"/>
      <c r="J276" s="124"/>
      <c r="K276" s="124"/>
      <c r="L276" s="124"/>
      <c r="M276" s="124"/>
      <c r="N276" s="124"/>
      <c r="O276" s="124"/>
      <c r="P276" s="124"/>
      <c r="Q276" s="124"/>
      <c r="R276" s="124"/>
      <c r="S276" s="124"/>
      <c r="T276" s="124"/>
      <c r="U276" s="125"/>
      <c r="V276" s="124"/>
      <c r="W276" s="124"/>
      <c r="X276" s="124"/>
      <c r="Y276" s="124"/>
      <c r="Z276" s="124"/>
      <c r="AA276" s="124"/>
      <c r="AB276" s="124"/>
      <c r="AC276" s="124"/>
      <c r="AD276" s="124"/>
      <c r="AE276" s="124"/>
      <c r="AF276" s="124"/>
      <c r="AG276" s="124"/>
      <c r="AH276" s="124"/>
      <c r="AI276" s="124"/>
      <c r="AJ276" s="124"/>
      <c r="AK276" s="124"/>
      <c r="AL276" s="124"/>
      <c r="AM276" s="124"/>
      <c r="AN276" s="125"/>
      <c r="AO276" s="125"/>
      <c r="AP276" s="81"/>
      <c r="AQ276" s="82"/>
      <c r="AR276" s="96"/>
      <c r="AS276" s="96"/>
      <c r="AT276" s="96"/>
      <c r="AU276" s="82"/>
      <c r="AW276" s="95"/>
      <c r="BD276" s="95"/>
      <c r="BE276" s="95"/>
      <c r="BF276" s="95"/>
      <c r="BG276" s="95"/>
    </row>
    <row r="277" spans="1:59" s="83" customFormat="1">
      <c r="A277" s="124"/>
      <c r="B277" s="124"/>
      <c r="C277" s="124"/>
      <c r="D277" s="124"/>
      <c r="E277" s="124"/>
      <c r="F277" s="124"/>
      <c r="G277" s="124"/>
      <c r="H277" s="124"/>
      <c r="I277" s="124"/>
      <c r="J277" s="124"/>
      <c r="K277" s="124"/>
      <c r="L277" s="124"/>
      <c r="M277" s="124"/>
      <c r="N277" s="124"/>
      <c r="O277" s="124"/>
      <c r="P277" s="124"/>
      <c r="Q277" s="124"/>
      <c r="R277" s="124"/>
      <c r="S277" s="124"/>
      <c r="T277" s="124"/>
      <c r="U277" s="125"/>
      <c r="V277" s="124"/>
      <c r="W277" s="124"/>
      <c r="X277" s="124"/>
      <c r="Y277" s="124"/>
      <c r="Z277" s="124"/>
      <c r="AA277" s="124"/>
      <c r="AB277" s="124"/>
      <c r="AC277" s="124"/>
      <c r="AD277" s="124"/>
      <c r="AE277" s="124"/>
      <c r="AF277" s="124"/>
      <c r="AG277" s="124"/>
      <c r="AH277" s="124"/>
      <c r="AI277" s="124"/>
      <c r="AJ277" s="124"/>
      <c r="AK277" s="124"/>
      <c r="AL277" s="124"/>
      <c r="AM277" s="124"/>
      <c r="AN277" s="125"/>
      <c r="AO277" s="125"/>
      <c r="AP277" s="81"/>
      <c r="AQ277" s="82"/>
      <c r="AR277" s="96"/>
      <c r="AS277" s="96"/>
      <c r="AT277" s="96"/>
      <c r="AU277" s="82"/>
      <c r="AW277" s="95"/>
      <c r="BD277" s="95"/>
      <c r="BE277" s="95"/>
      <c r="BF277" s="95"/>
      <c r="BG277" s="95"/>
    </row>
    <row r="278" spans="1:59" s="83" customFormat="1">
      <c r="A278" s="124"/>
      <c r="B278" s="124"/>
      <c r="C278" s="124"/>
      <c r="D278" s="124"/>
      <c r="E278" s="124"/>
      <c r="F278" s="124"/>
      <c r="G278" s="124"/>
      <c r="H278" s="124"/>
      <c r="I278" s="124"/>
      <c r="J278" s="124"/>
      <c r="K278" s="124"/>
      <c r="L278" s="124"/>
      <c r="M278" s="124"/>
      <c r="N278" s="124"/>
      <c r="O278" s="124"/>
      <c r="P278" s="124"/>
      <c r="Q278" s="124"/>
      <c r="R278" s="124"/>
      <c r="S278" s="124"/>
      <c r="T278" s="124"/>
      <c r="U278" s="125"/>
      <c r="V278" s="124"/>
      <c r="W278" s="124"/>
      <c r="X278" s="124"/>
      <c r="Y278" s="124"/>
      <c r="Z278" s="124"/>
      <c r="AA278" s="124"/>
      <c r="AB278" s="124"/>
      <c r="AC278" s="124"/>
      <c r="AD278" s="124"/>
      <c r="AE278" s="124"/>
      <c r="AF278" s="124"/>
      <c r="AG278" s="124"/>
      <c r="AH278" s="124"/>
      <c r="AI278" s="124"/>
      <c r="AJ278" s="124"/>
      <c r="AK278" s="124"/>
      <c r="AL278" s="124"/>
      <c r="AM278" s="124"/>
      <c r="AN278" s="125"/>
      <c r="AO278" s="125"/>
      <c r="AP278" s="81"/>
      <c r="AQ278" s="82"/>
      <c r="AR278" s="96"/>
      <c r="AS278" s="96"/>
      <c r="AT278" s="96"/>
      <c r="AU278" s="82"/>
      <c r="AW278" s="95"/>
      <c r="BD278" s="95"/>
      <c r="BE278" s="95"/>
      <c r="BF278" s="95"/>
      <c r="BG278" s="95"/>
    </row>
    <row r="279" spans="1:59" s="83" customFormat="1">
      <c r="A279" s="124"/>
      <c r="B279" s="124"/>
      <c r="C279" s="124"/>
      <c r="D279" s="124"/>
      <c r="E279" s="124"/>
      <c r="F279" s="124"/>
      <c r="G279" s="124"/>
      <c r="H279" s="124"/>
      <c r="I279" s="124"/>
      <c r="J279" s="124"/>
      <c r="K279" s="124"/>
      <c r="L279" s="124"/>
      <c r="M279" s="124"/>
      <c r="N279" s="124"/>
      <c r="O279" s="124"/>
      <c r="P279" s="124"/>
      <c r="Q279" s="124"/>
      <c r="R279" s="124"/>
      <c r="S279" s="124"/>
      <c r="T279" s="124"/>
      <c r="U279" s="125"/>
      <c r="V279" s="124"/>
      <c r="W279" s="124"/>
      <c r="X279" s="124"/>
      <c r="Y279" s="124"/>
      <c r="Z279" s="124"/>
      <c r="AA279" s="124"/>
      <c r="AB279" s="124"/>
      <c r="AC279" s="124"/>
      <c r="AD279" s="124"/>
      <c r="AE279" s="124"/>
      <c r="AF279" s="124"/>
      <c r="AG279" s="124"/>
      <c r="AH279" s="124"/>
      <c r="AI279" s="124"/>
      <c r="AJ279" s="124"/>
      <c r="AK279" s="124"/>
      <c r="AL279" s="124"/>
      <c r="AM279" s="124"/>
      <c r="AN279" s="125"/>
      <c r="AO279" s="125"/>
      <c r="AP279" s="81"/>
      <c r="AQ279" s="82"/>
      <c r="AR279" s="96"/>
      <c r="AS279" s="96"/>
      <c r="AT279" s="96"/>
      <c r="AU279" s="82"/>
      <c r="AW279" s="95"/>
      <c r="BD279" s="95"/>
      <c r="BE279" s="95"/>
      <c r="BF279" s="95"/>
      <c r="BG279" s="95"/>
    </row>
    <row r="280" spans="1:59" s="83" customFormat="1">
      <c r="A280" s="124"/>
      <c r="B280" s="124"/>
      <c r="C280" s="124"/>
      <c r="D280" s="124"/>
      <c r="E280" s="124"/>
      <c r="F280" s="124"/>
      <c r="G280" s="124"/>
      <c r="H280" s="124"/>
      <c r="I280" s="124"/>
      <c r="J280" s="124"/>
      <c r="K280" s="124"/>
      <c r="L280" s="124"/>
      <c r="M280" s="124"/>
      <c r="N280" s="124"/>
      <c r="O280" s="124"/>
      <c r="P280" s="124"/>
      <c r="Q280" s="124"/>
      <c r="R280" s="124"/>
      <c r="S280" s="124"/>
      <c r="T280" s="124"/>
      <c r="U280" s="125"/>
      <c r="V280" s="124"/>
      <c r="W280" s="124"/>
      <c r="X280" s="124"/>
      <c r="Y280" s="124"/>
      <c r="Z280" s="124"/>
      <c r="AA280" s="124"/>
      <c r="AB280" s="124"/>
      <c r="AC280" s="124"/>
      <c r="AD280" s="124"/>
      <c r="AE280" s="124"/>
      <c r="AF280" s="124"/>
      <c r="AG280" s="124"/>
      <c r="AH280" s="124"/>
      <c r="AI280" s="124"/>
      <c r="AJ280" s="124"/>
      <c r="AK280" s="124"/>
      <c r="AL280" s="124"/>
      <c r="AM280" s="124"/>
      <c r="AN280" s="125"/>
      <c r="AO280" s="125"/>
      <c r="AP280" s="81"/>
      <c r="AQ280" s="82"/>
      <c r="AR280" s="96"/>
      <c r="AS280" s="96"/>
      <c r="AT280" s="96"/>
      <c r="AU280" s="82"/>
      <c r="AW280" s="95"/>
      <c r="BD280" s="95"/>
      <c r="BE280" s="95"/>
      <c r="BF280" s="95"/>
      <c r="BG280" s="95"/>
    </row>
    <row r="281" spans="1:59" s="83" customFormat="1">
      <c r="A281" s="124"/>
      <c r="B281" s="124"/>
      <c r="C281" s="124"/>
      <c r="D281" s="124"/>
      <c r="E281" s="124"/>
      <c r="F281" s="124"/>
      <c r="G281" s="124"/>
      <c r="H281" s="124"/>
      <c r="I281" s="124"/>
      <c r="J281" s="124"/>
      <c r="K281" s="124"/>
      <c r="L281" s="124"/>
      <c r="M281" s="124"/>
      <c r="N281" s="124"/>
      <c r="O281" s="124"/>
      <c r="P281" s="124"/>
      <c r="Q281" s="124"/>
      <c r="R281" s="124"/>
      <c r="S281" s="124"/>
      <c r="T281" s="124"/>
      <c r="U281" s="125"/>
      <c r="V281" s="124"/>
      <c r="W281" s="124"/>
      <c r="X281" s="124"/>
      <c r="Y281" s="124"/>
      <c r="Z281" s="124"/>
      <c r="AA281" s="124"/>
      <c r="AB281" s="124"/>
      <c r="AC281" s="124"/>
      <c r="AD281" s="124"/>
      <c r="AE281" s="124"/>
      <c r="AF281" s="124"/>
      <c r="AG281" s="124"/>
      <c r="AH281" s="124"/>
      <c r="AI281" s="124"/>
      <c r="AJ281" s="124"/>
      <c r="AK281" s="124"/>
      <c r="AL281" s="124"/>
      <c r="AM281" s="124"/>
      <c r="AN281" s="125"/>
      <c r="AO281" s="125"/>
      <c r="AP281" s="81"/>
      <c r="AQ281" s="82"/>
      <c r="AR281" s="96"/>
      <c r="AS281" s="96"/>
      <c r="AT281" s="96"/>
      <c r="AU281" s="82"/>
      <c r="AW281" s="95"/>
      <c r="BD281" s="95"/>
      <c r="BE281" s="95"/>
      <c r="BF281" s="95"/>
      <c r="BG281" s="95"/>
    </row>
    <row r="282" spans="1:59" s="83" customFormat="1">
      <c r="A282" s="124"/>
      <c r="B282" s="124"/>
      <c r="C282" s="124"/>
      <c r="D282" s="124"/>
      <c r="E282" s="124"/>
      <c r="F282" s="124"/>
      <c r="G282" s="124"/>
      <c r="H282" s="124"/>
      <c r="I282" s="124"/>
      <c r="J282" s="124"/>
      <c r="K282" s="124"/>
      <c r="L282" s="124"/>
      <c r="M282" s="124"/>
      <c r="N282" s="124"/>
      <c r="O282" s="124"/>
      <c r="P282" s="124"/>
      <c r="Q282" s="124"/>
      <c r="R282" s="124"/>
      <c r="S282" s="124"/>
      <c r="T282" s="124"/>
      <c r="U282" s="125"/>
      <c r="V282" s="124"/>
      <c r="W282" s="124"/>
      <c r="X282" s="124"/>
      <c r="Y282" s="124"/>
      <c r="Z282" s="124"/>
      <c r="AA282" s="124"/>
      <c r="AB282" s="124"/>
      <c r="AC282" s="124"/>
      <c r="AD282" s="124"/>
      <c r="AE282" s="124"/>
      <c r="AF282" s="124"/>
      <c r="AG282" s="124"/>
      <c r="AH282" s="124"/>
      <c r="AI282" s="124"/>
      <c r="AJ282" s="124"/>
      <c r="AK282" s="124"/>
      <c r="AL282" s="124"/>
      <c r="AM282" s="124"/>
      <c r="AN282" s="125"/>
      <c r="AO282" s="125"/>
      <c r="AP282" s="81"/>
      <c r="AQ282" s="82"/>
      <c r="AR282" s="96"/>
      <c r="AS282" s="96"/>
      <c r="AT282" s="96"/>
      <c r="AU282" s="82"/>
      <c r="AW282" s="95"/>
      <c r="BD282" s="95"/>
      <c r="BE282" s="95"/>
      <c r="BF282" s="95"/>
      <c r="BG282" s="95"/>
    </row>
    <row r="283" spans="1:59" s="83" customFormat="1">
      <c r="A283" s="124"/>
      <c r="B283" s="124"/>
      <c r="C283" s="124"/>
      <c r="D283" s="124"/>
      <c r="E283" s="124"/>
      <c r="F283" s="124"/>
      <c r="G283" s="124"/>
      <c r="H283" s="124"/>
      <c r="I283" s="124"/>
      <c r="J283" s="124"/>
      <c r="K283" s="124"/>
      <c r="L283" s="124"/>
      <c r="M283" s="124"/>
      <c r="N283" s="124"/>
      <c r="O283" s="124"/>
      <c r="P283" s="124"/>
      <c r="Q283" s="124"/>
      <c r="R283" s="124"/>
      <c r="S283" s="124"/>
      <c r="T283" s="124"/>
      <c r="U283" s="125"/>
      <c r="V283" s="124"/>
      <c r="W283" s="124"/>
      <c r="X283" s="124"/>
      <c r="Y283" s="124"/>
      <c r="Z283" s="124"/>
      <c r="AA283" s="124"/>
      <c r="AB283" s="124"/>
      <c r="AC283" s="124"/>
      <c r="AD283" s="124"/>
      <c r="AE283" s="124"/>
      <c r="AF283" s="124"/>
      <c r="AG283" s="124"/>
      <c r="AH283" s="124"/>
      <c r="AI283" s="124"/>
      <c r="AJ283" s="124"/>
      <c r="AK283" s="124"/>
      <c r="AL283" s="124"/>
      <c r="AM283" s="124"/>
      <c r="AN283" s="125"/>
      <c r="AO283" s="125"/>
      <c r="AP283" s="81"/>
      <c r="AQ283" s="82"/>
      <c r="AR283" s="96"/>
      <c r="AS283" s="96"/>
      <c r="AT283" s="96"/>
      <c r="AU283" s="82"/>
      <c r="AW283" s="95"/>
      <c r="BD283" s="95"/>
      <c r="BE283" s="95"/>
      <c r="BF283" s="95"/>
      <c r="BG283" s="95"/>
    </row>
    <row r="284" spans="1:59" s="83" customFormat="1">
      <c r="A284" s="124"/>
      <c r="B284" s="124"/>
      <c r="C284" s="124"/>
      <c r="D284" s="124"/>
      <c r="E284" s="124"/>
      <c r="F284" s="124"/>
      <c r="G284" s="124"/>
      <c r="H284" s="124"/>
      <c r="I284" s="124"/>
      <c r="J284" s="124"/>
      <c r="K284" s="124"/>
      <c r="L284" s="124"/>
      <c r="M284" s="124"/>
      <c r="N284" s="124"/>
      <c r="O284" s="124"/>
      <c r="P284" s="124"/>
      <c r="Q284" s="124"/>
      <c r="R284" s="124"/>
      <c r="S284" s="124"/>
      <c r="T284" s="124"/>
      <c r="U284" s="125"/>
      <c r="V284" s="124"/>
      <c r="W284" s="124"/>
      <c r="X284" s="124"/>
      <c r="Y284" s="124"/>
      <c r="Z284" s="124"/>
      <c r="AA284" s="124"/>
      <c r="AB284" s="124"/>
      <c r="AC284" s="124"/>
      <c r="AD284" s="124"/>
      <c r="AE284" s="124"/>
      <c r="AF284" s="124"/>
      <c r="AG284" s="124"/>
      <c r="AH284" s="124"/>
      <c r="AI284" s="124"/>
      <c r="AJ284" s="124"/>
      <c r="AK284" s="124"/>
      <c r="AL284" s="124"/>
      <c r="AM284" s="124"/>
      <c r="AN284" s="125"/>
      <c r="AO284" s="125"/>
      <c r="AP284" s="81"/>
      <c r="AQ284" s="82"/>
      <c r="AR284" s="96"/>
      <c r="AS284" s="96"/>
      <c r="AT284" s="96"/>
      <c r="AU284" s="82"/>
      <c r="AW284" s="95"/>
      <c r="BD284" s="95"/>
      <c r="BE284" s="95"/>
      <c r="BF284" s="95"/>
      <c r="BG284" s="95"/>
    </row>
    <row r="285" spans="1:59" s="83" customFormat="1">
      <c r="A285" s="124"/>
      <c r="B285" s="124"/>
      <c r="C285" s="124"/>
      <c r="D285" s="124"/>
      <c r="E285" s="124"/>
      <c r="F285" s="124"/>
      <c r="G285" s="124"/>
      <c r="H285" s="124"/>
      <c r="I285" s="124"/>
      <c r="J285" s="124"/>
      <c r="K285" s="124"/>
      <c r="L285" s="124"/>
      <c r="M285" s="124"/>
      <c r="N285" s="124"/>
      <c r="O285" s="124"/>
      <c r="P285" s="124"/>
      <c r="Q285" s="124"/>
      <c r="R285" s="124"/>
      <c r="S285" s="124"/>
      <c r="T285" s="124"/>
      <c r="U285" s="125"/>
      <c r="V285" s="124"/>
      <c r="W285" s="124"/>
      <c r="X285" s="124"/>
      <c r="Y285" s="124"/>
      <c r="Z285" s="124"/>
      <c r="AA285" s="124"/>
      <c r="AB285" s="124"/>
      <c r="AC285" s="124"/>
      <c r="AD285" s="124"/>
      <c r="AE285" s="124"/>
      <c r="AF285" s="124"/>
      <c r="AG285" s="124"/>
      <c r="AH285" s="124"/>
      <c r="AI285" s="124"/>
      <c r="AJ285" s="124"/>
      <c r="AK285" s="124"/>
      <c r="AL285" s="124"/>
      <c r="AM285" s="124"/>
      <c r="AN285" s="125"/>
      <c r="AO285" s="125"/>
      <c r="AP285" s="81"/>
      <c r="AQ285" s="82"/>
      <c r="AR285" s="96"/>
      <c r="AS285" s="96"/>
      <c r="AT285" s="96"/>
      <c r="AU285" s="82"/>
      <c r="AW285" s="95"/>
      <c r="BD285" s="95"/>
      <c r="BE285" s="95"/>
      <c r="BF285" s="95"/>
      <c r="BG285" s="95"/>
    </row>
    <row r="286" spans="1:59" s="83" customFormat="1">
      <c r="A286" s="124"/>
      <c r="B286" s="124"/>
      <c r="C286" s="124"/>
      <c r="D286" s="124"/>
      <c r="E286" s="124"/>
      <c r="F286" s="124"/>
      <c r="G286" s="124"/>
      <c r="H286" s="124"/>
      <c r="I286" s="124"/>
      <c r="J286" s="124"/>
      <c r="K286" s="124"/>
      <c r="L286" s="124"/>
      <c r="M286" s="124"/>
      <c r="N286" s="124"/>
      <c r="O286" s="124"/>
      <c r="P286" s="124"/>
      <c r="Q286" s="124"/>
      <c r="R286" s="124"/>
      <c r="S286" s="124"/>
      <c r="T286" s="124"/>
      <c r="U286" s="125"/>
      <c r="V286" s="124"/>
      <c r="W286" s="124"/>
      <c r="X286" s="124"/>
      <c r="Y286" s="124"/>
      <c r="Z286" s="124"/>
      <c r="AA286" s="124"/>
      <c r="AB286" s="124"/>
      <c r="AC286" s="124"/>
      <c r="AD286" s="124"/>
      <c r="AE286" s="124"/>
      <c r="AF286" s="124"/>
      <c r="AG286" s="124"/>
      <c r="AH286" s="124"/>
      <c r="AI286" s="124"/>
      <c r="AJ286" s="124"/>
      <c r="AK286" s="124"/>
      <c r="AL286" s="124"/>
      <c r="AM286" s="124"/>
      <c r="AN286" s="125"/>
      <c r="AO286" s="125"/>
      <c r="AP286" s="81"/>
      <c r="AQ286" s="82"/>
      <c r="AR286" s="96"/>
      <c r="AS286" s="96"/>
      <c r="AT286" s="96"/>
      <c r="AU286" s="82"/>
      <c r="AW286" s="95"/>
      <c r="BD286" s="95"/>
      <c r="BE286" s="95"/>
      <c r="BF286" s="95"/>
      <c r="BG286" s="95"/>
    </row>
    <row r="287" spans="1:59" s="83" customFormat="1">
      <c r="A287" s="124"/>
      <c r="B287" s="124"/>
      <c r="C287" s="124"/>
      <c r="D287" s="124"/>
      <c r="E287" s="124"/>
      <c r="F287" s="124"/>
      <c r="G287" s="124"/>
      <c r="H287" s="124"/>
      <c r="I287" s="124"/>
      <c r="J287" s="124"/>
      <c r="K287" s="124"/>
      <c r="L287" s="124"/>
      <c r="M287" s="124"/>
      <c r="N287" s="124"/>
      <c r="O287" s="124"/>
      <c r="P287" s="124"/>
      <c r="Q287" s="124"/>
      <c r="R287" s="124"/>
      <c r="S287" s="124"/>
      <c r="T287" s="124"/>
      <c r="U287" s="125"/>
      <c r="V287" s="124"/>
      <c r="W287" s="124"/>
      <c r="X287" s="124"/>
      <c r="Y287" s="124"/>
      <c r="Z287" s="124"/>
      <c r="AA287" s="124"/>
      <c r="AB287" s="124"/>
      <c r="AC287" s="124"/>
      <c r="AD287" s="124"/>
      <c r="AE287" s="124"/>
      <c r="AF287" s="124"/>
      <c r="AG287" s="124"/>
      <c r="AH287" s="124"/>
      <c r="AI287" s="124"/>
      <c r="AJ287" s="124"/>
      <c r="AK287" s="124"/>
      <c r="AL287" s="124"/>
      <c r="AM287" s="124"/>
      <c r="AN287" s="125"/>
      <c r="AO287" s="125"/>
      <c r="AP287" s="81"/>
      <c r="AQ287" s="82"/>
      <c r="AR287" s="96"/>
      <c r="AS287" s="96"/>
      <c r="AT287" s="96"/>
      <c r="AU287" s="82"/>
      <c r="AW287" s="95"/>
      <c r="BD287" s="95"/>
      <c r="BE287" s="95"/>
      <c r="BF287" s="95"/>
      <c r="BG287" s="95"/>
    </row>
    <row r="288" spans="1:59" s="83" customFormat="1">
      <c r="A288" s="124"/>
      <c r="B288" s="124"/>
      <c r="C288" s="124"/>
      <c r="D288" s="124"/>
      <c r="E288" s="124"/>
      <c r="F288" s="124"/>
      <c r="G288" s="124"/>
      <c r="H288" s="124"/>
      <c r="I288" s="124"/>
      <c r="J288" s="124"/>
      <c r="K288" s="124"/>
      <c r="L288" s="124"/>
      <c r="M288" s="124"/>
      <c r="N288" s="124"/>
      <c r="O288" s="124"/>
      <c r="P288" s="124"/>
      <c r="Q288" s="124"/>
      <c r="R288" s="124"/>
      <c r="S288" s="124"/>
      <c r="T288" s="124"/>
      <c r="U288" s="125"/>
      <c r="V288" s="124"/>
      <c r="W288" s="124"/>
      <c r="X288" s="124"/>
      <c r="Y288" s="124"/>
      <c r="Z288" s="124"/>
      <c r="AA288" s="124"/>
      <c r="AB288" s="124"/>
      <c r="AC288" s="124"/>
      <c r="AD288" s="124"/>
      <c r="AE288" s="124"/>
      <c r="AF288" s="124"/>
      <c r="AG288" s="124"/>
      <c r="AH288" s="124"/>
      <c r="AI288" s="124"/>
      <c r="AJ288" s="124"/>
      <c r="AK288" s="124"/>
      <c r="AL288" s="124"/>
      <c r="AM288" s="124"/>
      <c r="AN288" s="125"/>
      <c r="AO288" s="125"/>
      <c r="AP288" s="81"/>
      <c r="AQ288" s="82"/>
      <c r="AR288" s="96"/>
      <c r="AS288" s="96"/>
      <c r="AT288" s="96"/>
      <c r="AU288" s="82"/>
      <c r="AW288" s="95"/>
      <c r="BD288" s="95"/>
      <c r="BE288" s="95"/>
      <c r="BF288" s="95"/>
      <c r="BG288" s="95"/>
    </row>
    <row r="289" spans="1:59" s="83" customFormat="1">
      <c r="A289" s="124"/>
      <c r="B289" s="124"/>
      <c r="C289" s="124"/>
      <c r="D289" s="124"/>
      <c r="E289" s="124"/>
      <c r="F289" s="124"/>
      <c r="G289" s="124"/>
      <c r="H289" s="124"/>
      <c r="I289" s="124"/>
      <c r="J289" s="124"/>
      <c r="K289" s="124"/>
      <c r="L289" s="124"/>
      <c r="M289" s="124"/>
      <c r="N289" s="124"/>
      <c r="O289" s="124"/>
      <c r="P289" s="124"/>
      <c r="Q289" s="124"/>
      <c r="R289" s="124"/>
      <c r="S289" s="124"/>
      <c r="T289" s="124"/>
      <c r="U289" s="125"/>
      <c r="V289" s="124"/>
      <c r="W289" s="124"/>
      <c r="X289" s="124"/>
      <c r="Y289" s="124"/>
      <c r="Z289" s="124"/>
      <c r="AA289" s="124"/>
      <c r="AB289" s="124"/>
      <c r="AC289" s="124"/>
      <c r="AD289" s="124"/>
      <c r="AE289" s="124"/>
      <c r="AF289" s="124"/>
      <c r="AG289" s="124"/>
      <c r="AH289" s="124"/>
      <c r="AI289" s="124"/>
      <c r="AJ289" s="124"/>
      <c r="AK289" s="124"/>
      <c r="AL289" s="124"/>
      <c r="AM289" s="124"/>
      <c r="AN289" s="125"/>
      <c r="AO289" s="125"/>
      <c r="AP289" s="81"/>
      <c r="AQ289" s="82"/>
      <c r="AR289" s="96"/>
      <c r="AS289" s="96"/>
      <c r="AT289" s="96"/>
      <c r="AU289" s="82"/>
      <c r="AW289" s="95"/>
      <c r="BD289" s="95"/>
      <c r="BE289" s="95"/>
      <c r="BF289" s="95"/>
      <c r="BG289" s="95"/>
    </row>
    <row r="290" spans="1:59" s="83" customFormat="1">
      <c r="A290" s="124"/>
      <c r="B290" s="124"/>
      <c r="C290" s="124"/>
      <c r="D290" s="124"/>
      <c r="E290" s="124"/>
      <c r="F290" s="124"/>
      <c r="G290" s="124"/>
      <c r="H290" s="124"/>
      <c r="I290" s="124"/>
      <c r="J290" s="124"/>
      <c r="K290" s="124"/>
      <c r="L290" s="124"/>
      <c r="M290" s="124"/>
      <c r="N290" s="124"/>
      <c r="O290" s="124"/>
      <c r="P290" s="124"/>
      <c r="Q290" s="124"/>
      <c r="R290" s="124"/>
      <c r="S290" s="124"/>
      <c r="T290" s="124"/>
      <c r="U290" s="125"/>
      <c r="V290" s="124"/>
      <c r="W290" s="124"/>
      <c r="X290" s="124"/>
      <c r="Y290" s="124"/>
      <c r="Z290" s="124"/>
      <c r="AA290" s="124"/>
      <c r="AB290" s="124"/>
      <c r="AC290" s="124"/>
      <c r="AD290" s="124"/>
      <c r="AE290" s="124"/>
      <c r="AF290" s="124"/>
      <c r="AG290" s="124"/>
      <c r="AH290" s="124"/>
      <c r="AI290" s="124"/>
      <c r="AJ290" s="124"/>
      <c r="AK290" s="124"/>
      <c r="AL290" s="124"/>
      <c r="AM290" s="124"/>
      <c r="AN290" s="125"/>
      <c r="AO290" s="125"/>
      <c r="AP290" s="81"/>
      <c r="AQ290" s="82"/>
      <c r="AR290" s="96"/>
      <c r="AS290" s="96"/>
      <c r="AT290" s="96"/>
      <c r="AU290" s="82"/>
      <c r="AW290" s="95"/>
      <c r="BD290" s="95"/>
      <c r="BE290" s="95"/>
      <c r="BF290" s="95"/>
      <c r="BG290" s="95"/>
    </row>
    <row r="291" spans="1:59" s="83" customFormat="1">
      <c r="A291" s="124"/>
      <c r="B291" s="124"/>
      <c r="C291" s="124"/>
      <c r="D291" s="124"/>
      <c r="E291" s="124"/>
      <c r="F291" s="124"/>
      <c r="G291" s="124"/>
      <c r="H291" s="124"/>
      <c r="I291" s="124"/>
      <c r="J291" s="124"/>
      <c r="K291" s="124"/>
      <c r="L291" s="124"/>
      <c r="M291" s="124"/>
      <c r="N291" s="124"/>
      <c r="O291" s="124"/>
      <c r="P291" s="124"/>
      <c r="Q291" s="124"/>
      <c r="R291" s="124"/>
      <c r="S291" s="124"/>
      <c r="T291" s="124"/>
      <c r="U291" s="125"/>
      <c r="V291" s="124"/>
      <c r="W291" s="124"/>
      <c r="X291" s="124"/>
      <c r="Y291" s="124"/>
      <c r="Z291" s="124"/>
      <c r="AA291" s="124"/>
      <c r="AB291" s="124"/>
      <c r="AC291" s="124"/>
      <c r="AD291" s="124"/>
      <c r="AE291" s="124"/>
      <c r="AF291" s="124"/>
      <c r="AG291" s="124"/>
      <c r="AH291" s="124"/>
      <c r="AI291" s="124"/>
      <c r="AJ291" s="124"/>
      <c r="AK291" s="124"/>
      <c r="AL291" s="124"/>
      <c r="AM291" s="124"/>
      <c r="AN291" s="125"/>
      <c r="AO291" s="125"/>
      <c r="AP291" s="81"/>
      <c r="AQ291" s="82"/>
      <c r="AR291" s="96"/>
      <c r="AS291" s="96"/>
      <c r="AT291" s="96"/>
      <c r="AU291" s="82"/>
      <c r="AW291" s="95"/>
      <c r="BD291" s="95"/>
      <c r="BE291" s="95"/>
      <c r="BF291" s="95"/>
      <c r="BG291" s="95"/>
    </row>
    <row r="292" spans="1:59" s="83" customFormat="1">
      <c r="A292" s="124"/>
      <c r="B292" s="124"/>
      <c r="C292" s="124"/>
      <c r="D292" s="124"/>
      <c r="E292" s="124"/>
      <c r="F292" s="124"/>
      <c r="G292" s="124"/>
      <c r="H292" s="124"/>
      <c r="I292" s="124"/>
      <c r="J292" s="124"/>
      <c r="K292" s="124"/>
      <c r="L292" s="124"/>
      <c r="M292" s="124"/>
      <c r="N292" s="124"/>
      <c r="O292" s="124"/>
      <c r="P292" s="124"/>
      <c r="Q292" s="124"/>
      <c r="R292" s="124"/>
      <c r="S292" s="124"/>
      <c r="T292" s="124"/>
      <c r="U292" s="125"/>
      <c r="V292" s="124"/>
      <c r="W292" s="124"/>
      <c r="X292" s="124"/>
      <c r="Y292" s="124"/>
      <c r="Z292" s="124"/>
      <c r="AA292" s="124"/>
      <c r="AB292" s="124"/>
      <c r="AC292" s="124"/>
      <c r="AD292" s="124"/>
      <c r="AE292" s="124"/>
      <c r="AF292" s="124"/>
      <c r="AG292" s="124"/>
      <c r="AH292" s="124"/>
      <c r="AI292" s="124"/>
      <c r="AJ292" s="124"/>
      <c r="AK292" s="124"/>
      <c r="AL292" s="124"/>
      <c r="AM292" s="124"/>
      <c r="AN292" s="125"/>
      <c r="AO292" s="125"/>
      <c r="AP292" s="81"/>
      <c r="AQ292" s="82"/>
      <c r="AR292" s="96"/>
      <c r="AS292" s="96"/>
      <c r="AT292" s="96"/>
      <c r="AU292" s="82"/>
      <c r="AW292" s="95"/>
      <c r="BD292" s="95"/>
      <c r="BE292" s="95"/>
      <c r="BF292" s="95"/>
      <c r="BG292" s="95"/>
    </row>
    <row r="293" spans="1:59" s="83" customFormat="1">
      <c r="A293" s="124"/>
      <c r="B293" s="124"/>
      <c r="C293" s="124"/>
      <c r="D293" s="124"/>
      <c r="E293" s="124"/>
      <c r="F293" s="124"/>
      <c r="G293" s="124"/>
      <c r="H293" s="124"/>
      <c r="I293" s="124"/>
      <c r="J293" s="124"/>
      <c r="K293" s="124"/>
      <c r="L293" s="124"/>
      <c r="M293" s="124"/>
      <c r="N293" s="124"/>
      <c r="O293" s="124"/>
      <c r="P293" s="124"/>
      <c r="Q293" s="124"/>
      <c r="R293" s="124"/>
      <c r="S293" s="124"/>
      <c r="T293" s="124"/>
      <c r="U293" s="125"/>
      <c r="V293" s="124"/>
      <c r="W293" s="124"/>
      <c r="X293" s="124"/>
      <c r="Y293" s="124"/>
      <c r="Z293" s="124"/>
      <c r="AA293" s="124"/>
      <c r="AB293" s="124"/>
      <c r="AC293" s="124"/>
      <c r="AD293" s="124"/>
      <c r="AE293" s="124"/>
      <c r="AF293" s="124"/>
      <c r="AG293" s="124"/>
      <c r="AH293" s="124"/>
      <c r="AI293" s="124"/>
      <c r="AJ293" s="124"/>
      <c r="AK293" s="124"/>
      <c r="AL293" s="124"/>
      <c r="AM293" s="124"/>
      <c r="AN293" s="125"/>
      <c r="AO293" s="125"/>
      <c r="AP293" s="81"/>
      <c r="AQ293" s="82"/>
      <c r="AR293" s="96"/>
      <c r="AS293" s="96"/>
      <c r="AT293" s="96"/>
      <c r="AU293" s="82"/>
      <c r="AW293" s="95"/>
      <c r="BD293" s="95"/>
      <c r="BE293" s="95"/>
      <c r="BF293" s="95"/>
      <c r="BG293" s="95"/>
    </row>
    <row r="294" spans="1:59" s="83" customFormat="1">
      <c r="A294" s="124"/>
      <c r="B294" s="124"/>
      <c r="C294" s="124"/>
      <c r="D294" s="124"/>
      <c r="E294" s="124"/>
      <c r="F294" s="124"/>
      <c r="G294" s="124"/>
      <c r="H294" s="124"/>
      <c r="I294" s="124"/>
      <c r="J294" s="124"/>
      <c r="K294" s="124"/>
      <c r="L294" s="124"/>
      <c r="M294" s="124"/>
      <c r="N294" s="124"/>
      <c r="O294" s="124"/>
      <c r="P294" s="124"/>
      <c r="Q294" s="124"/>
      <c r="R294" s="124"/>
      <c r="S294" s="124"/>
      <c r="T294" s="124"/>
      <c r="U294" s="125"/>
      <c r="V294" s="124"/>
      <c r="W294" s="124"/>
      <c r="X294" s="124"/>
      <c r="Y294" s="124"/>
      <c r="Z294" s="124"/>
      <c r="AA294" s="124"/>
      <c r="AB294" s="124"/>
      <c r="AC294" s="124"/>
      <c r="AD294" s="124"/>
      <c r="AE294" s="124"/>
      <c r="AF294" s="124"/>
      <c r="AG294" s="124"/>
      <c r="AH294" s="124"/>
      <c r="AI294" s="124"/>
      <c r="AJ294" s="124"/>
      <c r="AK294" s="124"/>
      <c r="AL294" s="124"/>
      <c r="AM294" s="124"/>
      <c r="AN294" s="125"/>
      <c r="AO294" s="125"/>
      <c r="AP294" s="81"/>
      <c r="AQ294" s="82"/>
      <c r="AR294" s="96"/>
      <c r="AS294" s="96"/>
      <c r="AT294" s="96"/>
      <c r="AU294" s="82"/>
      <c r="AW294" s="95"/>
      <c r="BD294" s="95"/>
      <c r="BE294" s="95"/>
      <c r="BF294" s="95"/>
      <c r="BG294" s="95"/>
    </row>
    <row r="295" spans="1:59" s="83" customFormat="1">
      <c r="A295" s="124"/>
      <c r="B295" s="124"/>
      <c r="C295" s="124"/>
      <c r="D295" s="124"/>
      <c r="E295" s="124"/>
      <c r="F295" s="124"/>
      <c r="G295" s="124"/>
      <c r="H295" s="124"/>
      <c r="I295" s="124"/>
      <c r="J295" s="124"/>
      <c r="K295" s="124"/>
      <c r="L295" s="124"/>
      <c r="M295" s="124"/>
      <c r="N295" s="124"/>
      <c r="O295" s="124"/>
      <c r="P295" s="124"/>
      <c r="Q295" s="124"/>
      <c r="R295" s="124"/>
      <c r="S295" s="124"/>
      <c r="T295" s="124"/>
      <c r="U295" s="125"/>
      <c r="V295" s="124"/>
      <c r="W295" s="124"/>
      <c r="X295" s="124"/>
      <c r="Y295" s="124"/>
      <c r="Z295" s="124"/>
      <c r="AA295" s="124"/>
      <c r="AB295" s="124"/>
      <c r="AC295" s="124"/>
      <c r="AD295" s="124"/>
      <c r="AE295" s="124"/>
      <c r="AF295" s="124"/>
      <c r="AG295" s="124"/>
      <c r="AH295" s="124"/>
      <c r="AI295" s="124"/>
      <c r="AJ295" s="124"/>
      <c r="AK295" s="124"/>
      <c r="AL295" s="124"/>
      <c r="AM295" s="124"/>
      <c r="AN295" s="125"/>
      <c r="AO295" s="125"/>
      <c r="AP295" s="81"/>
      <c r="AQ295" s="82"/>
      <c r="AR295" s="96"/>
      <c r="AS295" s="96"/>
      <c r="AT295" s="96"/>
      <c r="AU295" s="82"/>
      <c r="AW295" s="95"/>
      <c r="BD295" s="95"/>
      <c r="BE295" s="95"/>
      <c r="BF295" s="95"/>
      <c r="BG295" s="95"/>
    </row>
    <row r="296" spans="1:59" s="83" customFormat="1">
      <c r="A296" s="124"/>
      <c r="B296" s="124"/>
      <c r="C296" s="124"/>
      <c r="D296" s="124"/>
      <c r="E296" s="124"/>
      <c r="F296" s="124"/>
      <c r="G296" s="124"/>
      <c r="H296" s="124"/>
      <c r="I296" s="124"/>
      <c r="J296" s="124"/>
      <c r="K296" s="124"/>
      <c r="L296" s="124"/>
      <c r="M296" s="124"/>
      <c r="N296" s="124"/>
      <c r="O296" s="124"/>
      <c r="P296" s="124"/>
      <c r="Q296" s="124"/>
      <c r="R296" s="124"/>
      <c r="S296" s="124"/>
      <c r="T296" s="124"/>
      <c r="U296" s="125"/>
      <c r="V296" s="124"/>
      <c r="W296" s="124"/>
      <c r="X296" s="124"/>
      <c r="Y296" s="124"/>
      <c r="Z296" s="124"/>
      <c r="AA296" s="124"/>
      <c r="AB296" s="124"/>
      <c r="AC296" s="124"/>
      <c r="AD296" s="124"/>
      <c r="AE296" s="124"/>
      <c r="AF296" s="124"/>
      <c r="AG296" s="124"/>
      <c r="AH296" s="124"/>
      <c r="AI296" s="124"/>
      <c r="AJ296" s="124"/>
      <c r="AK296" s="124"/>
      <c r="AL296" s="124"/>
      <c r="AM296" s="124"/>
      <c r="AN296" s="125"/>
      <c r="AO296" s="125"/>
      <c r="AP296" s="81"/>
      <c r="AQ296" s="82"/>
      <c r="AR296" s="96"/>
      <c r="AS296" s="96"/>
      <c r="AT296" s="96"/>
      <c r="AU296" s="82"/>
      <c r="AW296" s="95"/>
      <c r="BD296" s="95"/>
      <c r="BE296" s="95"/>
      <c r="BF296" s="95"/>
      <c r="BG296" s="95"/>
    </row>
    <row r="297" spans="1:59" s="83" customFormat="1">
      <c r="A297" s="124"/>
      <c r="B297" s="124"/>
      <c r="C297" s="124"/>
      <c r="D297" s="124"/>
      <c r="E297" s="124"/>
      <c r="F297" s="124"/>
      <c r="G297" s="124"/>
      <c r="H297" s="124"/>
      <c r="I297" s="124"/>
      <c r="J297" s="124"/>
      <c r="K297" s="124"/>
      <c r="L297" s="124"/>
      <c r="M297" s="124"/>
      <c r="N297" s="124"/>
      <c r="O297" s="124"/>
      <c r="P297" s="124"/>
      <c r="Q297" s="124"/>
      <c r="R297" s="124"/>
      <c r="S297" s="124"/>
      <c r="T297" s="124"/>
      <c r="U297" s="125"/>
      <c r="V297" s="124"/>
      <c r="W297" s="124"/>
      <c r="X297" s="124"/>
      <c r="Y297" s="124"/>
      <c r="Z297" s="124"/>
      <c r="AA297" s="124"/>
      <c r="AB297" s="124"/>
      <c r="AC297" s="124"/>
      <c r="AD297" s="124"/>
      <c r="AE297" s="124"/>
      <c r="AF297" s="124"/>
      <c r="AG297" s="124"/>
      <c r="AH297" s="124"/>
      <c r="AI297" s="124"/>
      <c r="AJ297" s="124"/>
      <c r="AK297" s="124"/>
      <c r="AL297" s="124"/>
      <c r="AM297" s="124"/>
      <c r="AN297" s="125"/>
      <c r="AO297" s="125"/>
      <c r="AP297" s="81"/>
      <c r="AQ297" s="82"/>
      <c r="AR297" s="96"/>
      <c r="AS297" s="96"/>
      <c r="AT297" s="96"/>
      <c r="AU297" s="82"/>
      <c r="AW297" s="95"/>
      <c r="BD297" s="95"/>
      <c r="BE297" s="95"/>
      <c r="BF297" s="95"/>
      <c r="BG297" s="95"/>
    </row>
    <row r="298" spans="1:59" s="83" customFormat="1">
      <c r="A298" s="124"/>
      <c r="B298" s="124"/>
      <c r="C298" s="124"/>
      <c r="D298" s="124"/>
      <c r="E298" s="124"/>
      <c r="F298" s="124"/>
      <c r="G298" s="124"/>
      <c r="H298" s="124"/>
      <c r="I298" s="124"/>
      <c r="J298" s="124"/>
      <c r="K298" s="124"/>
      <c r="L298" s="124"/>
      <c r="M298" s="124"/>
      <c r="N298" s="124"/>
      <c r="O298" s="124"/>
      <c r="P298" s="124"/>
      <c r="Q298" s="124"/>
      <c r="R298" s="124"/>
      <c r="S298" s="124"/>
      <c r="T298" s="124"/>
      <c r="U298" s="125"/>
      <c r="V298" s="124"/>
      <c r="W298" s="124"/>
      <c r="X298" s="124"/>
      <c r="Y298" s="124"/>
      <c r="Z298" s="124"/>
      <c r="AA298" s="124"/>
      <c r="AB298" s="124"/>
      <c r="AC298" s="124"/>
      <c r="AD298" s="124"/>
      <c r="AE298" s="124"/>
      <c r="AF298" s="124"/>
      <c r="AG298" s="124"/>
      <c r="AH298" s="124"/>
      <c r="AI298" s="124"/>
      <c r="AJ298" s="124"/>
      <c r="AK298" s="124"/>
      <c r="AL298" s="124"/>
      <c r="AM298" s="124"/>
      <c r="AN298" s="125"/>
      <c r="AO298" s="125"/>
      <c r="AP298" s="81"/>
      <c r="AQ298" s="82"/>
      <c r="AR298" s="96"/>
      <c r="AS298" s="96"/>
      <c r="AT298" s="96"/>
      <c r="AU298" s="82"/>
      <c r="AW298" s="95"/>
      <c r="BD298" s="95"/>
      <c r="BE298" s="95"/>
      <c r="BF298" s="95"/>
      <c r="BG298" s="95"/>
    </row>
    <row r="299" spans="1:59" s="83" customFormat="1">
      <c r="A299" s="124"/>
      <c r="B299" s="124"/>
      <c r="C299" s="124"/>
      <c r="D299" s="124"/>
      <c r="E299" s="124"/>
      <c r="F299" s="124"/>
      <c r="G299" s="124"/>
      <c r="H299" s="124"/>
      <c r="I299" s="124"/>
      <c r="J299" s="124"/>
      <c r="K299" s="124"/>
      <c r="L299" s="124"/>
      <c r="M299" s="124"/>
      <c r="N299" s="124"/>
      <c r="O299" s="124"/>
      <c r="P299" s="124"/>
      <c r="Q299" s="124"/>
      <c r="R299" s="124"/>
      <c r="S299" s="124"/>
      <c r="T299" s="124"/>
      <c r="U299" s="125"/>
      <c r="V299" s="124"/>
      <c r="W299" s="124"/>
      <c r="X299" s="124"/>
      <c r="Y299" s="124"/>
      <c r="Z299" s="124"/>
      <c r="AA299" s="124"/>
      <c r="AB299" s="124"/>
      <c r="AC299" s="124"/>
      <c r="AD299" s="124"/>
      <c r="AE299" s="124"/>
      <c r="AF299" s="124"/>
      <c r="AG299" s="124"/>
      <c r="AH299" s="124"/>
      <c r="AI299" s="124"/>
      <c r="AJ299" s="124"/>
      <c r="AK299" s="124"/>
      <c r="AL299" s="124"/>
      <c r="AM299" s="124"/>
      <c r="AN299" s="125"/>
      <c r="AO299" s="125"/>
      <c r="AP299" s="81"/>
      <c r="AQ299" s="82"/>
      <c r="AR299" s="96"/>
      <c r="AS299" s="96"/>
      <c r="AT299" s="96"/>
      <c r="AU299" s="82"/>
      <c r="AW299" s="95"/>
      <c r="BD299" s="95"/>
      <c r="BE299" s="95"/>
      <c r="BF299" s="95"/>
      <c r="BG299" s="95"/>
    </row>
    <row r="300" spans="1:59" s="83" customFormat="1">
      <c r="A300" s="124"/>
      <c r="B300" s="124"/>
      <c r="C300" s="124"/>
      <c r="D300" s="124"/>
      <c r="E300" s="124"/>
      <c r="F300" s="124"/>
      <c r="G300" s="124"/>
      <c r="H300" s="124"/>
      <c r="I300" s="124"/>
      <c r="J300" s="124"/>
      <c r="K300" s="124"/>
      <c r="L300" s="124"/>
      <c r="M300" s="124"/>
      <c r="N300" s="124"/>
      <c r="O300" s="124"/>
      <c r="P300" s="124"/>
      <c r="Q300" s="124"/>
      <c r="R300" s="124"/>
      <c r="S300" s="124"/>
      <c r="T300" s="124"/>
      <c r="U300" s="125"/>
      <c r="V300" s="124"/>
      <c r="W300" s="124"/>
      <c r="X300" s="124"/>
      <c r="Y300" s="124"/>
      <c r="Z300" s="124"/>
      <c r="AA300" s="124"/>
      <c r="AB300" s="124"/>
      <c r="AC300" s="124"/>
      <c r="AD300" s="124"/>
      <c r="AE300" s="124"/>
      <c r="AF300" s="124"/>
      <c r="AG300" s="124"/>
      <c r="AH300" s="124"/>
      <c r="AI300" s="124"/>
      <c r="AJ300" s="124"/>
      <c r="AK300" s="124"/>
      <c r="AL300" s="124"/>
      <c r="AM300" s="124"/>
      <c r="AN300" s="125"/>
      <c r="AO300" s="125"/>
      <c r="AP300" s="81"/>
      <c r="AQ300" s="82"/>
      <c r="AR300" s="96"/>
      <c r="AS300" s="96"/>
      <c r="AT300" s="96"/>
      <c r="AU300" s="82"/>
      <c r="AW300" s="95"/>
      <c r="BD300" s="95"/>
      <c r="BE300" s="95"/>
      <c r="BF300" s="95"/>
      <c r="BG300" s="95"/>
    </row>
    <row r="301" spans="1:59" s="83" customFormat="1">
      <c r="A301" s="124"/>
      <c r="B301" s="124"/>
      <c r="C301" s="124"/>
      <c r="D301" s="124"/>
      <c r="E301" s="124"/>
      <c r="F301" s="124"/>
      <c r="G301" s="124"/>
      <c r="H301" s="124"/>
      <c r="I301" s="124"/>
      <c r="J301" s="124"/>
      <c r="K301" s="124"/>
      <c r="L301" s="124"/>
      <c r="M301" s="124"/>
      <c r="N301" s="124"/>
      <c r="O301" s="124"/>
      <c r="P301" s="124"/>
      <c r="Q301" s="124"/>
      <c r="R301" s="124"/>
      <c r="S301" s="124"/>
      <c r="T301" s="124"/>
      <c r="U301" s="125"/>
      <c r="V301" s="124"/>
      <c r="W301" s="124"/>
      <c r="X301" s="124"/>
      <c r="Y301" s="124"/>
      <c r="Z301" s="124"/>
      <c r="AA301" s="124"/>
      <c r="AB301" s="124"/>
      <c r="AC301" s="124"/>
      <c r="AD301" s="124"/>
      <c r="AE301" s="124"/>
      <c r="AF301" s="124"/>
      <c r="AG301" s="124"/>
      <c r="AH301" s="124"/>
      <c r="AI301" s="124"/>
      <c r="AJ301" s="124"/>
      <c r="AK301" s="124"/>
      <c r="AL301" s="124"/>
      <c r="AM301" s="124"/>
      <c r="AN301" s="125"/>
      <c r="AO301" s="125"/>
      <c r="AP301" s="81"/>
      <c r="AQ301" s="82"/>
      <c r="AR301" s="96"/>
      <c r="AS301" s="96"/>
      <c r="AT301" s="96"/>
      <c r="AU301" s="82"/>
      <c r="AW301" s="95"/>
      <c r="BD301" s="95"/>
      <c r="BE301" s="95"/>
      <c r="BF301" s="95"/>
      <c r="BG301" s="95"/>
    </row>
    <row r="302" spans="1:59" s="83" customFormat="1">
      <c r="A302" s="124"/>
      <c r="B302" s="124"/>
      <c r="C302" s="124"/>
      <c r="D302" s="124"/>
      <c r="E302" s="124"/>
      <c r="F302" s="124"/>
      <c r="G302" s="124"/>
      <c r="H302" s="124"/>
      <c r="I302" s="124"/>
      <c r="J302" s="124"/>
      <c r="K302" s="124"/>
      <c r="L302" s="124"/>
      <c r="M302" s="124"/>
      <c r="N302" s="124"/>
      <c r="O302" s="124"/>
      <c r="P302" s="124"/>
      <c r="Q302" s="124"/>
      <c r="R302" s="124"/>
      <c r="S302" s="124"/>
      <c r="T302" s="124"/>
      <c r="U302" s="125"/>
      <c r="V302" s="124"/>
      <c r="W302" s="124"/>
      <c r="X302" s="124"/>
      <c r="Y302" s="124"/>
      <c r="Z302" s="124"/>
      <c r="AA302" s="124"/>
      <c r="AB302" s="124"/>
      <c r="AC302" s="124"/>
      <c r="AD302" s="124"/>
      <c r="AE302" s="124"/>
      <c r="AF302" s="124"/>
      <c r="AG302" s="124"/>
      <c r="AH302" s="124"/>
      <c r="AI302" s="124"/>
      <c r="AJ302" s="124"/>
      <c r="AK302" s="124"/>
      <c r="AL302" s="124"/>
      <c r="AM302" s="124"/>
      <c r="AN302" s="125"/>
      <c r="AO302" s="125"/>
      <c r="AP302" s="81"/>
      <c r="AQ302" s="82"/>
      <c r="AR302" s="96"/>
      <c r="AS302" s="96"/>
      <c r="AT302" s="96"/>
      <c r="AU302" s="82"/>
      <c r="AW302" s="95"/>
      <c r="BD302" s="95"/>
      <c r="BE302" s="95"/>
      <c r="BF302" s="95"/>
      <c r="BG302" s="95"/>
    </row>
    <row r="303" spans="1:59" s="83" customFormat="1">
      <c r="A303" s="124"/>
      <c r="B303" s="124"/>
      <c r="C303" s="124"/>
      <c r="D303" s="124"/>
      <c r="E303" s="124"/>
      <c r="F303" s="124"/>
      <c r="G303" s="124"/>
      <c r="H303" s="124"/>
      <c r="I303" s="124"/>
      <c r="J303" s="124"/>
      <c r="K303" s="124"/>
      <c r="L303" s="124"/>
      <c r="M303" s="124"/>
      <c r="N303" s="124"/>
      <c r="O303" s="124"/>
      <c r="P303" s="124"/>
      <c r="Q303" s="124"/>
      <c r="R303" s="124"/>
      <c r="S303" s="124"/>
      <c r="T303" s="124"/>
      <c r="U303" s="125"/>
      <c r="V303" s="124"/>
      <c r="W303" s="124"/>
      <c r="X303" s="124"/>
      <c r="Y303" s="124"/>
      <c r="Z303" s="124"/>
      <c r="AA303" s="124"/>
      <c r="AB303" s="124"/>
      <c r="AC303" s="124"/>
      <c r="AD303" s="124"/>
      <c r="AE303" s="124"/>
      <c r="AF303" s="124"/>
      <c r="AG303" s="124"/>
      <c r="AH303" s="124"/>
      <c r="AI303" s="124"/>
      <c r="AJ303" s="124"/>
      <c r="AK303" s="124"/>
      <c r="AL303" s="124"/>
      <c r="AM303" s="124"/>
      <c r="AN303" s="125"/>
      <c r="AO303" s="125"/>
      <c r="AP303" s="81"/>
      <c r="AQ303" s="82"/>
      <c r="AR303" s="96"/>
      <c r="AS303" s="96"/>
      <c r="AT303" s="96"/>
      <c r="AU303" s="82"/>
      <c r="AW303" s="95"/>
      <c r="BD303" s="95"/>
      <c r="BE303" s="95"/>
      <c r="BF303" s="95"/>
      <c r="BG303" s="95"/>
    </row>
    <row r="304" spans="1:59" s="83" customFormat="1">
      <c r="A304" s="124"/>
      <c r="B304" s="124"/>
      <c r="C304" s="124"/>
      <c r="D304" s="124"/>
      <c r="E304" s="124"/>
      <c r="F304" s="124"/>
      <c r="G304" s="124"/>
      <c r="H304" s="124"/>
      <c r="I304" s="124"/>
      <c r="J304" s="124"/>
      <c r="K304" s="124"/>
      <c r="L304" s="124"/>
      <c r="M304" s="124"/>
      <c r="N304" s="124"/>
      <c r="O304" s="124"/>
      <c r="P304" s="124"/>
      <c r="Q304" s="124"/>
      <c r="R304" s="124"/>
      <c r="S304" s="124"/>
      <c r="T304" s="124"/>
      <c r="U304" s="125"/>
      <c r="V304" s="124"/>
      <c r="W304" s="124"/>
      <c r="X304" s="124"/>
      <c r="Y304" s="124"/>
      <c r="Z304" s="124"/>
      <c r="AA304" s="124"/>
      <c r="AB304" s="124"/>
      <c r="AC304" s="124"/>
      <c r="AD304" s="124"/>
      <c r="AE304" s="124"/>
      <c r="AF304" s="124"/>
      <c r="AG304" s="124"/>
      <c r="AH304" s="124"/>
      <c r="AI304" s="124"/>
      <c r="AJ304" s="124"/>
      <c r="AK304" s="124"/>
      <c r="AL304" s="124"/>
      <c r="AM304" s="124"/>
      <c r="AN304" s="125"/>
      <c r="AO304" s="125"/>
      <c r="AP304" s="81"/>
      <c r="AQ304" s="82"/>
      <c r="AR304" s="96"/>
      <c r="AS304" s="96"/>
      <c r="AT304" s="96"/>
      <c r="AU304" s="82"/>
      <c r="AW304" s="95"/>
      <c r="BD304" s="95"/>
      <c r="BE304" s="95"/>
      <c r="BF304" s="95"/>
      <c r="BG304" s="95"/>
    </row>
    <row r="305" spans="1:59" s="83" customFormat="1">
      <c r="A305" s="124"/>
      <c r="B305" s="124"/>
      <c r="C305" s="124"/>
      <c r="D305" s="124"/>
      <c r="E305" s="124"/>
      <c r="F305" s="124"/>
      <c r="G305" s="124"/>
      <c r="H305" s="124"/>
      <c r="I305" s="124"/>
      <c r="J305" s="124"/>
      <c r="K305" s="124"/>
      <c r="L305" s="124"/>
      <c r="M305" s="124"/>
      <c r="N305" s="124"/>
      <c r="O305" s="124"/>
      <c r="P305" s="124"/>
      <c r="Q305" s="124"/>
      <c r="R305" s="124"/>
      <c r="S305" s="124"/>
      <c r="T305" s="124"/>
      <c r="U305" s="125"/>
      <c r="V305" s="124"/>
      <c r="W305" s="124"/>
      <c r="X305" s="124"/>
      <c r="Y305" s="124"/>
      <c r="Z305" s="124"/>
      <c r="AA305" s="124"/>
      <c r="AB305" s="124"/>
      <c r="AC305" s="124"/>
      <c r="AD305" s="124"/>
      <c r="AE305" s="124"/>
      <c r="AF305" s="124"/>
      <c r="AG305" s="124"/>
      <c r="AH305" s="124"/>
      <c r="AI305" s="124"/>
      <c r="AJ305" s="124"/>
      <c r="AK305" s="124"/>
      <c r="AL305" s="124"/>
      <c r="AM305" s="124"/>
      <c r="AN305" s="125"/>
      <c r="AO305" s="125"/>
      <c r="AP305" s="81"/>
      <c r="AQ305" s="82"/>
      <c r="AR305" s="96"/>
      <c r="AS305" s="96"/>
      <c r="AT305" s="96"/>
      <c r="AU305" s="82"/>
      <c r="AW305" s="95"/>
      <c r="BD305" s="95"/>
      <c r="BE305" s="95"/>
      <c r="BF305" s="95"/>
      <c r="BG305" s="95"/>
    </row>
    <row r="306" spans="1:59" s="83" customFormat="1">
      <c r="A306" s="124"/>
      <c r="B306" s="124"/>
      <c r="C306" s="124"/>
      <c r="D306" s="124"/>
      <c r="E306" s="124"/>
      <c r="F306" s="124"/>
      <c r="G306" s="124"/>
      <c r="H306" s="124"/>
      <c r="I306" s="124"/>
      <c r="J306" s="124"/>
      <c r="K306" s="124"/>
      <c r="L306" s="124"/>
      <c r="M306" s="124"/>
      <c r="N306" s="124"/>
      <c r="O306" s="124"/>
      <c r="P306" s="124"/>
      <c r="Q306" s="124"/>
      <c r="R306" s="124"/>
      <c r="S306" s="124"/>
      <c r="T306" s="124"/>
      <c r="U306" s="125"/>
      <c r="V306" s="124"/>
      <c r="W306" s="124"/>
      <c r="X306" s="124"/>
      <c r="Y306" s="124"/>
      <c r="Z306" s="124"/>
      <c r="AA306" s="124"/>
      <c r="AB306" s="124"/>
      <c r="AC306" s="124"/>
      <c r="AD306" s="124"/>
      <c r="AE306" s="124"/>
      <c r="AF306" s="124"/>
      <c r="AG306" s="124"/>
      <c r="AH306" s="124"/>
      <c r="AI306" s="124"/>
      <c r="AJ306" s="124"/>
      <c r="AK306" s="124"/>
      <c r="AL306" s="124"/>
      <c r="AM306" s="124"/>
      <c r="AN306" s="125"/>
      <c r="AO306" s="125"/>
      <c r="AP306" s="81"/>
      <c r="AQ306" s="82"/>
      <c r="AR306" s="96"/>
      <c r="AS306" s="96"/>
      <c r="AT306" s="96"/>
      <c r="AU306" s="82"/>
      <c r="AW306" s="95"/>
      <c r="BD306" s="95"/>
      <c r="BE306" s="95"/>
      <c r="BF306" s="95"/>
      <c r="BG306" s="95"/>
    </row>
    <row r="307" spans="1:59" s="83" customFormat="1">
      <c r="A307" s="124"/>
      <c r="B307" s="124"/>
      <c r="C307" s="124"/>
      <c r="D307" s="124"/>
      <c r="E307" s="124"/>
      <c r="F307" s="124"/>
      <c r="G307" s="124"/>
      <c r="H307" s="124"/>
      <c r="I307" s="124"/>
      <c r="J307" s="124"/>
      <c r="K307" s="124"/>
      <c r="L307" s="124"/>
      <c r="M307" s="124"/>
      <c r="N307" s="124"/>
      <c r="O307" s="124"/>
      <c r="P307" s="124"/>
      <c r="Q307" s="124"/>
      <c r="R307" s="124"/>
      <c r="S307" s="124"/>
      <c r="T307" s="124"/>
      <c r="U307" s="125"/>
      <c r="V307" s="124"/>
      <c r="W307" s="124"/>
      <c r="X307" s="124"/>
      <c r="Y307" s="124"/>
      <c r="Z307" s="124"/>
      <c r="AA307" s="124"/>
      <c r="AB307" s="124"/>
      <c r="AC307" s="124"/>
      <c r="AD307" s="124"/>
      <c r="AE307" s="124"/>
      <c r="AF307" s="124"/>
      <c r="AG307" s="124"/>
      <c r="AH307" s="124"/>
      <c r="AI307" s="124"/>
      <c r="AJ307" s="124"/>
      <c r="AK307" s="124"/>
      <c r="AL307" s="124"/>
      <c r="AM307" s="124"/>
      <c r="AN307" s="125"/>
      <c r="AO307" s="125"/>
      <c r="AP307" s="81"/>
      <c r="AQ307" s="82"/>
      <c r="AR307" s="96"/>
      <c r="AS307" s="96"/>
      <c r="AT307" s="96"/>
      <c r="AU307" s="82"/>
      <c r="AW307" s="95"/>
      <c r="BD307" s="95"/>
      <c r="BE307" s="95"/>
      <c r="BF307" s="95"/>
      <c r="BG307" s="95"/>
    </row>
    <row r="308" spans="1:59" s="83" customFormat="1">
      <c r="A308" s="124"/>
      <c r="B308" s="124"/>
      <c r="C308" s="124"/>
      <c r="D308" s="124"/>
      <c r="E308" s="124"/>
      <c r="F308" s="124"/>
      <c r="G308" s="124"/>
      <c r="H308" s="124"/>
      <c r="I308" s="124"/>
      <c r="J308" s="124"/>
      <c r="K308" s="124"/>
      <c r="L308" s="124"/>
      <c r="M308" s="124"/>
      <c r="N308" s="124"/>
      <c r="O308" s="124"/>
      <c r="P308" s="124"/>
      <c r="Q308" s="124"/>
      <c r="R308" s="124"/>
      <c r="S308" s="124"/>
      <c r="T308" s="124"/>
      <c r="U308" s="125"/>
      <c r="V308" s="124"/>
      <c r="W308" s="124"/>
      <c r="X308" s="124"/>
      <c r="Y308" s="124"/>
      <c r="Z308" s="124"/>
      <c r="AA308" s="124"/>
      <c r="AB308" s="124"/>
      <c r="AC308" s="124"/>
      <c r="AD308" s="124"/>
      <c r="AE308" s="124"/>
      <c r="AF308" s="124"/>
      <c r="AG308" s="124"/>
      <c r="AH308" s="124"/>
      <c r="AI308" s="124"/>
      <c r="AJ308" s="124"/>
      <c r="AK308" s="124"/>
      <c r="AL308" s="124"/>
      <c r="AM308" s="124"/>
      <c r="AN308" s="125"/>
      <c r="AO308" s="125"/>
      <c r="AP308" s="81"/>
      <c r="AQ308" s="82"/>
      <c r="AR308" s="96"/>
      <c r="AS308" s="96"/>
      <c r="AT308" s="96"/>
      <c r="AU308" s="82"/>
      <c r="AW308" s="95"/>
      <c r="BD308" s="95"/>
      <c r="BE308" s="95"/>
      <c r="BF308" s="95"/>
      <c r="BG308" s="95"/>
    </row>
    <row r="309" spans="1:59" s="83" customFormat="1">
      <c r="A309" s="124"/>
      <c r="B309" s="124"/>
      <c r="C309" s="124"/>
      <c r="D309" s="124"/>
      <c r="E309" s="124"/>
      <c r="F309" s="124"/>
      <c r="G309" s="124"/>
      <c r="H309" s="124"/>
      <c r="I309" s="124"/>
      <c r="J309" s="124"/>
      <c r="K309" s="124"/>
      <c r="L309" s="124"/>
      <c r="M309" s="124"/>
      <c r="N309" s="124"/>
      <c r="O309" s="124"/>
      <c r="P309" s="124"/>
      <c r="Q309" s="124"/>
      <c r="R309" s="124"/>
      <c r="S309" s="124"/>
      <c r="T309" s="124"/>
      <c r="U309" s="125"/>
      <c r="V309" s="124"/>
      <c r="W309" s="124"/>
      <c r="X309" s="124"/>
      <c r="Y309" s="124"/>
      <c r="Z309" s="124"/>
      <c r="AA309" s="124"/>
      <c r="AB309" s="124"/>
      <c r="AC309" s="124"/>
      <c r="AD309" s="124"/>
      <c r="AE309" s="124"/>
      <c r="AF309" s="124"/>
      <c r="AG309" s="124"/>
      <c r="AH309" s="124"/>
      <c r="AI309" s="124"/>
      <c r="AJ309" s="124"/>
      <c r="AK309" s="124"/>
      <c r="AL309" s="124"/>
      <c r="AM309" s="124"/>
      <c r="AN309" s="125"/>
      <c r="AO309" s="125"/>
      <c r="AP309" s="81"/>
      <c r="AQ309" s="82"/>
      <c r="AR309" s="96"/>
      <c r="AS309" s="96"/>
      <c r="AT309" s="96"/>
      <c r="AU309" s="82"/>
      <c r="AW309" s="95"/>
      <c r="BD309" s="95"/>
      <c r="BE309" s="95"/>
      <c r="BF309" s="95"/>
      <c r="BG309" s="95"/>
    </row>
    <row r="310" spans="1:59" s="83" customFormat="1">
      <c r="A310" s="124"/>
      <c r="B310" s="124"/>
      <c r="C310" s="124"/>
      <c r="D310" s="124"/>
      <c r="E310" s="124"/>
      <c r="F310" s="124"/>
      <c r="G310" s="124"/>
      <c r="H310" s="124"/>
      <c r="I310" s="124"/>
      <c r="J310" s="124"/>
      <c r="K310" s="124"/>
      <c r="L310" s="124"/>
      <c r="M310" s="124"/>
      <c r="N310" s="124"/>
      <c r="O310" s="124"/>
      <c r="P310" s="124"/>
      <c r="Q310" s="124"/>
      <c r="R310" s="124"/>
      <c r="S310" s="124"/>
      <c r="T310" s="124"/>
      <c r="U310" s="125"/>
      <c r="V310" s="124"/>
      <c r="W310" s="124"/>
      <c r="X310" s="124"/>
      <c r="Y310" s="124"/>
      <c r="Z310" s="124"/>
      <c r="AA310" s="124"/>
      <c r="AB310" s="124"/>
      <c r="AC310" s="124"/>
      <c r="AD310" s="124"/>
      <c r="AE310" s="124"/>
      <c r="AF310" s="124"/>
      <c r="AG310" s="124"/>
      <c r="AH310" s="124"/>
      <c r="AI310" s="124"/>
      <c r="AJ310" s="124"/>
      <c r="AK310" s="124"/>
      <c r="AL310" s="124"/>
      <c r="AM310" s="124"/>
      <c r="AN310" s="125"/>
      <c r="AO310" s="125"/>
      <c r="AP310" s="81"/>
      <c r="AQ310" s="82"/>
      <c r="AR310" s="96"/>
      <c r="AS310" s="96"/>
      <c r="AT310" s="96"/>
      <c r="AU310" s="82"/>
      <c r="AW310" s="95"/>
      <c r="BD310" s="95"/>
      <c r="BE310" s="95"/>
      <c r="BF310" s="95"/>
      <c r="BG310" s="95"/>
    </row>
    <row r="311" spans="1:59" s="83" customFormat="1">
      <c r="A311" s="124"/>
      <c r="B311" s="124"/>
      <c r="C311" s="124"/>
      <c r="D311" s="124"/>
      <c r="E311" s="124"/>
      <c r="F311" s="124"/>
      <c r="G311" s="124"/>
      <c r="H311" s="124"/>
      <c r="I311" s="124"/>
      <c r="J311" s="124"/>
      <c r="K311" s="124"/>
      <c r="L311" s="124"/>
      <c r="M311" s="124"/>
      <c r="N311" s="124"/>
      <c r="O311" s="124"/>
      <c r="P311" s="124"/>
      <c r="Q311" s="124"/>
      <c r="R311" s="124"/>
      <c r="S311" s="124"/>
      <c r="T311" s="124"/>
      <c r="U311" s="125"/>
      <c r="V311" s="124"/>
      <c r="W311" s="124"/>
      <c r="X311" s="124"/>
      <c r="Y311" s="124"/>
      <c r="Z311" s="124"/>
      <c r="AA311" s="124"/>
      <c r="AB311" s="124"/>
      <c r="AC311" s="124"/>
      <c r="AD311" s="124"/>
      <c r="AE311" s="124"/>
      <c r="AF311" s="124"/>
      <c r="AG311" s="124"/>
      <c r="AH311" s="124"/>
      <c r="AI311" s="124"/>
      <c r="AJ311" s="124"/>
      <c r="AK311" s="124"/>
      <c r="AL311" s="124"/>
      <c r="AM311" s="124"/>
      <c r="AN311" s="125"/>
      <c r="AO311" s="125"/>
      <c r="AP311" s="81"/>
      <c r="AQ311" s="82"/>
      <c r="AR311" s="96"/>
      <c r="AS311" s="96"/>
      <c r="AT311" s="96"/>
      <c r="AU311" s="82"/>
      <c r="AW311" s="95"/>
      <c r="BD311" s="95"/>
      <c r="BE311" s="95"/>
      <c r="BF311" s="95"/>
      <c r="BG311" s="95"/>
    </row>
    <row r="312" spans="1:59" s="83" customFormat="1">
      <c r="A312" s="124"/>
      <c r="B312" s="124"/>
      <c r="C312" s="124"/>
      <c r="D312" s="124"/>
      <c r="E312" s="124"/>
      <c r="F312" s="124"/>
      <c r="G312" s="124"/>
      <c r="H312" s="124"/>
      <c r="I312" s="124"/>
      <c r="J312" s="124"/>
      <c r="K312" s="124"/>
      <c r="L312" s="124"/>
      <c r="M312" s="124"/>
      <c r="N312" s="124"/>
      <c r="O312" s="124"/>
      <c r="P312" s="124"/>
      <c r="Q312" s="124"/>
      <c r="R312" s="124"/>
      <c r="S312" s="124"/>
      <c r="T312" s="124"/>
      <c r="U312" s="125"/>
      <c r="V312" s="124"/>
      <c r="W312" s="124"/>
      <c r="X312" s="124"/>
      <c r="Y312" s="124"/>
      <c r="Z312" s="124"/>
      <c r="AA312" s="124"/>
      <c r="AB312" s="124"/>
      <c r="AC312" s="124"/>
      <c r="AD312" s="124"/>
      <c r="AE312" s="124"/>
      <c r="AF312" s="124"/>
      <c r="AG312" s="124"/>
      <c r="AH312" s="124"/>
      <c r="AI312" s="124"/>
      <c r="AJ312" s="124"/>
      <c r="AK312" s="124"/>
      <c r="AL312" s="124"/>
      <c r="AM312" s="124"/>
      <c r="AN312" s="125"/>
      <c r="AO312" s="125"/>
      <c r="AP312" s="81"/>
      <c r="AQ312" s="82"/>
      <c r="AR312" s="96"/>
      <c r="AS312" s="96"/>
      <c r="AT312" s="96"/>
      <c r="AU312" s="82"/>
      <c r="AW312" s="95"/>
      <c r="BD312" s="95"/>
      <c r="BE312" s="95"/>
      <c r="BF312" s="95"/>
      <c r="BG312" s="95"/>
    </row>
    <row r="313" spans="1:59" s="83" customFormat="1">
      <c r="A313" s="124"/>
      <c r="B313" s="124"/>
      <c r="C313" s="124"/>
      <c r="D313" s="124"/>
      <c r="E313" s="124"/>
      <c r="F313" s="124"/>
      <c r="G313" s="124"/>
      <c r="H313" s="124"/>
      <c r="I313" s="124"/>
      <c r="J313" s="124"/>
      <c r="K313" s="124"/>
      <c r="L313" s="124"/>
      <c r="M313" s="124"/>
      <c r="N313" s="124"/>
      <c r="O313" s="124"/>
      <c r="P313" s="124"/>
      <c r="Q313" s="124"/>
      <c r="R313" s="124"/>
      <c r="S313" s="124"/>
      <c r="T313" s="124"/>
      <c r="U313" s="125"/>
      <c r="V313" s="124"/>
      <c r="W313" s="124"/>
      <c r="X313" s="124"/>
      <c r="Y313" s="124"/>
      <c r="Z313" s="124"/>
      <c r="AA313" s="124"/>
      <c r="AB313" s="124"/>
      <c r="AC313" s="124"/>
      <c r="AD313" s="124"/>
      <c r="AE313" s="124"/>
      <c r="AF313" s="124"/>
      <c r="AG313" s="124"/>
      <c r="AH313" s="124"/>
      <c r="AI313" s="124"/>
      <c r="AJ313" s="124"/>
      <c r="AK313" s="124"/>
      <c r="AL313" s="124"/>
      <c r="AM313" s="124"/>
      <c r="AN313" s="125"/>
      <c r="AO313" s="125"/>
      <c r="AP313" s="81"/>
      <c r="AQ313" s="82"/>
      <c r="AR313" s="96"/>
      <c r="AS313" s="96"/>
      <c r="AT313" s="96"/>
      <c r="AU313" s="82"/>
      <c r="AW313" s="95"/>
      <c r="BD313" s="95"/>
      <c r="BE313" s="95"/>
      <c r="BF313" s="95"/>
      <c r="BG313" s="95"/>
    </row>
    <row r="314" spans="1:59" s="83" customFormat="1">
      <c r="A314" s="124"/>
      <c r="B314" s="124"/>
      <c r="C314" s="124"/>
      <c r="D314" s="124"/>
      <c r="E314" s="124"/>
      <c r="F314" s="124"/>
      <c r="G314" s="124"/>
      <c r="H314" s="124"/>
      <c r="I314" s="124"/>
      <c r="J314" s="124"/>
      <c r="K314" s="124"/>
      <c r="L314" s="124"/>
      <c r="M314" s="124"/>
      <c r="N314" s="124"/>
      <c r="O314" s="124"/>
      <c r="P314" s="124"/>
      <c r="Q314" s="124"/>
      <c r="R314" s="124"/>
      <c r="S314" s="124"/>
      <c r="T314" s="124"/>
      <c r="U314" s="125"/>
      <c r="V314" s="124"/>
      <c r="W314" s="124"/>
      <c r="X314" s="124"/>
      <c r="Y314" s="124"/>
      <c r="Z314" s="124"/>
      <c r="AA314" s="124"/>
      <c r="AB314" s="124"/>
      <c r="AC314" s="124"/>
      <c r="AD314" s="124"/>
      <c r="AE314" s="124"/>
      <c r="AF314" s="124"/>
      <c r="AG314" s="124"/>
      <c r="AH314" s="124"/>
      <c r="AI314" s="124"/>
      <c r="AJ314" s="124"/>
      <c r="AK314" s="124"/>
      <c r="AL314" s="124"/>
      <c r="AM314" s="124"/>
      <c r="AN314" s="125"/>
      <c r="AO314" s="125"/>
      <c r="AP314" s="81"/>
      <c r="AQ314" s="82"/>
      <c r="AR314" s="96"/>
      <c r="AS314" s="96"/>
      <c r="AT314" s="96"/>
      <c r="AU314" s="82"/>
      <c r="AW314" s="95"/>
      <c r="BD314" s="95"/>
      <c r="BE314" s="95"/>
      <c r="BF314" s="95"/>
      <c r="BG314" s="95"/>
    </row>
    <row r="315" spans="1:59" s="83" customFormat="1">
      <c r="A315" s="124"/>
      <c r="B315" s="124"/>
      <c r="C315" s="124"/>
      <c r="D315" s="124"/>
      <c r="E315" s="124"/>
      <c r="F315" s="124"/>
      <c r="G315" s="124"/>
      <c r="H315" s="124"/>
      <c r="I315" s="124"/>
      <c r="J315" s="124"/>
      <c r="K315" s="124"/>
      <c r="L315" s="124"/>
      <c r="M315" s="124"/>
      <c r="N315" s="124"/>
      <c r="O315" s="124"/>
      <c r="P315" s="124"/>
      <c r="Q315" s="124"/>
      <c r="R315" s="124"/>
      <c r="S315" s="124"/>
      <c r="T315" s="124"/>
      <c r="U315" s="125"/>
      <c r="V315" s="124"/>
      <c r="W315" s="124"/>
      <c r="X315" s="124"/>
      <c r="Y315" s="124"/>
      <c r="Z315" s="124"/>
      <c r="AA315" s="124"/>
      <c r="AB315" s="124"/>
      <c r="AC315" s="124"/>
      <c r="AD315" s="124"/>
      <c r="AE315" s="124"/>
      <c r="AF315" s="124"/>
      <c r="AG315" s="124"/>
      <c r="AH315" s="124"/>
      <c r="AI315" s="124"/>
      <c r="AJ315" s="124"/>
      <c r="AK315" s="124"/>
      <c r="AL315" s="124"/>
      <c r="AM315" s="124"/>
      <c r="AN315" s="125"/>
      <c r="AO315" s="125"/>
      <c r="AP315" s="81"/>
      <c r="AQ315" s="82"/>
      <c r="AR315" s="96"/>
      <c r="AS315" s="96"/>
      <c r="AT315" s="96"/>
      <c r="AU315" s="82"/>
      <c r="AW315" s="95"/>
      <c r="BD315" s="95"/>
      <c r="BE315" s="95"/>
      <c r="BF315" s="95"/>
      <c r="BG315" s="95"/>
    </row>
    <row r="316" spans="1:59" s="83" customFormat="1">
      <c r="A316" s="124"/>
      <c r="B316" s="124"/>
      <c r="C316" s="124"/>
      <c r="D316" s="124"/>
      <c r="E316" s="124"/>
      <c r="F316" s="124"/>
      <c r="G316" s="124"/>
      <c r="H316" s="124"/>
      <c r="I316" s="124"/>
      <c r="J316" s="124"/>
      <c r="K316" s="124"/>
      <c r="L316" s="124"/>
      <c r="M316" s="124"/>
      <c r="N316" s="124"/>
      <c r="O316" s="124"/>
      <c r="P316" s="124"/>
      <c r="Q316" s="124"/>
      <c r="R316" s="124"/>
      <c r="S316" s="124"/>
      <c r="T316" s="124"/>
      <c r="U316" s="125"/>
      <c r="V316" s="124"/>
      <c r="W316" s="124"/>
      <c r="X316" s="124"/>
      <c r="Y316" s="124"/>
      <c r="Z316" s="124"/>
      <c r="AA316" s="124"/>
      <c r="AB316" s="124"/>
      <c r="AC316" s="124"/>
      <c r="AD316" s="124"/>
      <c r="AE316" s="124"/>
      <c r="AF316" s="124"/>
      <c r="AG316" s="124"/>
      <c r="AH316" s="124"/>
      <c r="AI316" s="124"/>
      <c r="AJ316" s="124"/>
      <c r="AK316" s="124"/>
      <c r="AL316" s="124"/>
      <c r="AM316" s="124"/>
      <c r="AN316" s="125"/>
      <c r="AO316" s="125"/>
      <c r="AP316" s="81"/>
      <c r="AQ316" s="82"/>
      <c r="AR316" s="96"/>
      <c r="AS316" s="96"/>
      <c r="AT316" s="96"/>
      <c r="AU316" s="82"/>
      <c r="AW316" s="95"/>
      <c r="BD316" s="95"/>
      <c r="BE316" s="95"/>
      <c r="BF316" s="95"/>
      <c r="BG316" s="95"/>
    </row>
    <row r="317" spans="1:59" s="83" customFormat="1">
      <c r="A317" s="124"/>
      <c r="B317" s="124"/>
      <c r="C317" s="124"/>
      <c r="D317" s="124"/>
      <c r="E317" s="124"/>
      <c r="F317" s="124"/>
      <c r="G317" s="124"/>
      <c r="H317" s="124"/>
      <c r="I317" s="124"/>
      <c r="J317" s="124"/>
      <c r="K317" s="124"/>
      <c r="L317" s="124"/>
      <c r="M317" s="124"/>
      <c r="N317" s="124"/>
      <c r="O317" s="124"/>
      <c r="P317" s="124"/>
      <c r="Q317" s="124"/>
      <c r="R317" s="124"/>
      <c r="S317" s="124"/>
      <c r="T317" s="124"/>
      <c r="U317" s="125"/>
      <c r="V317" s="124"/>
      <c r="W317" s="124"/>
      <c r="X317" s="124"/>
      <c r="Y317" s="124"/>
      <c r="Z317" s="124"/>
      <c r="AA317" s="124"/>
      <c r="AB317" s="124"/>
      <c r="AC317" s="124"/>
      <c r="AD317" s="124"/>
      <c r="AE317" s="124"/>
      <c r="AF317" s="124"/>
      <c r="AG317" s="124"/>
      <c r="AH317" s="124"/>
      <c r="AI317" s="124"/>
      <c r="AJ317" s="124"/>
      <c r="AK317" s="124"/>
      <c r="AL317" s="124"/>
      <c r="AM317" s="124"/>
      <c r="AN317" s="125"/>
      <c r="AO317" s="125"/>
      <c r="AP317" s="81"/>
      <c r="AQ317" s="82"/>
      <c r="AR317" s="96"/>
      <c r="AS317" s="96"/>
      <c r="AT317" s="96"/>
      <c r="AU317" s="82"/>
      <c r="AW317" s="95"/>
      <c r="BD317" s="95"/>
      <c r="BE317" s="95"/>
      <c r="BF317" s="95"/>
      <c r="BG317" s="95"/>
    </row>
    <row r="318" spans="1:59" s="83" customFormat="1">
      <c r="A318" s="124"/>
      <c r="B318" s="124"/>
      <c r="C318" s="124"/>
      <c r="D318" s="124"/>
      <c r="E318" s="124"/>
      <c r="F318" s="124"/>
      <c r="G318" s="124"/>
      <c r="H318" s="124"/>
      <c r="I318" s="124"/>
      <c r="J318" s="124"/>
      <c r="K318" s="124"/>
      <c r="L318" s="124"/>
      <c r="M318" s="124"/>
      <c r="N318" s="124"/>
      <c r="O318" s="124"/>
      <c r="P318" s="124"/>
      <c r="Q318" s="124"/>
      <c r="R318" s="124"/>
      <c r="S318" s="124"/>
      <c r="T318" s="124"/>
      <c r="U318" s="125"/>
      <c r="V318" s="124"/>
      <c r="W318" s="124"/>
      <c r="X318" s="124"/>
      <c r="Y318" s="124"/>
      <c r="Z318" s="124"/>
      <c r="AA318" s="124"/>
      <c r="AB318" s="124"/>
      <c r="AC318" s="124"/>
      <c r="AD318" s="124"/>
      <c r="AE318" s="124"/>
      <c r="AF318" s="124"/>
      <c r="AG318" s="124"/>
      <c r="AH318" s="124"/>
      <c r="AI318" s="124"/>
      <c r="AJ318" s="124"/>
      <c r="AK318" s="124"/>
      <c r="AL318" s="124"/>
      <c r="AM318" s="124"/>
      <c r="AN318" s="125"/>
      <c r="AO318" s="125"/>
      <c r="AP318" s="81"/>
      <c r="AQ318" s="82"/>
      <c r="AR318" s="96"/>
      <c r="AS318" s="96"/>
      <c r="AT318" s="96"/>
      <c r="AU318" s="82"/>
      <c r="AW318" s="95"/>
      <c r="BD318" s="95"/>
      <c r="BE318" s="95"/>
      <c r="BF318" s="95"/>
      <c r="BG318" s="95"/>
    </row>
    <row r="319" spans="1:59" s="83" customFormat="1">
      <c r="A319" s="124"/>
      <c r="B319" s="124"/>
      <c r="C319" s="124"/>
      <c r="D319" s="124"/>
      <c r="E319" s="124"/>
      <c r="F319" s="124"/>
      <c r="G319" s="124"/>
      <c r="H319" s="124"/>
      <c r="I319" s="124"/>
      <c r="J319" s="124"/>
      <c r="K319" s="124"/>
      <c r="L319" s="124"/>
      <c r="M319" s="124"/>
      <c r="N319" s="124"/>
      <c r="O319" s="124"/>
      <c r="P319" s="124"/>
      <c r="Q319" s="124"/>
      <c r="R319" s="124"/>
      <c r="S319" s="124"/>
      <c r="T319" s="124"/>
      <c r="U319" s="125"/>
      <c r="V319" s="124"/>
      <c r="W319" s="124"/>
      <c r="X319" s="124"/>
      <c r="Y319" s="124"/>
      <c r="Z319" s="124"/>
      <c r="AA319" s="124"/>
      <c r="AB319" s="124"/>
      <c r="AC319" s="124"/>
      <c r="AD319" s="124"/>
      <c r="AE319" s="124"/>
      <c r="AF319" s="124"/>
      <c r="AG319" s="124"/>
      <c r="AH319" s="124"/>
      <c r="AI319" s="124"/>
      <c r="AJ319" s="124"/>
      <c r="AK319" s="124"/>
      <c r="AL319" s="124"/>
      <c r="AM319" s="124"/>
      <c r="AN319" s="125"/>
      <c r="AO319" s="125"/>
      <c r="AP319" s="81"/>
      <c r="AQ319" s="82"/>
      <c r="AR319" s="96"/>
      <c r="AS319" s="96"/>
      <c r="AT319" s="96"/>
      <c r="AU319" s="82"/>
      <c r="AW319" s="95"/>
      <c r="BD319" s="95"/>
      <c r="BE319" s="95"/>
      <c r="BF319" s="95"/>
      <c r="BG319" s="95"/>
    </row>
    <row r="320" spans="1:59" s="83" customFormat="1">
      <c r="A320" s="124"/>
      <c r="B320" s="124"/>
      <c r="C320" s="124"/>
      <c r="D320" s="124"/>
      <c r="E320" s="124"/>
      <c r="F320" s="124"/>
      <c r="G320" s="124"/>
      <c r="H320" s="124"/>
      <c r="I320" s="124"/>
      <c r="J320" s="124"/>
      <c r="K320" s="124"/>
      <c r="L320" s="124"/>
      <c r="M320" s="124"/>
      <c r="N320" s="124"/>
      <c r="O320" s="124"/>
      <c r="P320" s="124"/>
      <c r="Q320" s="124"/>
      <c r="R320" s="124"/>
      <c r="S320" s="124"/>
      <c r="T320" s="124"/>
      <c r="U320" s="125"/>
      <c r="V320" s="124"/>
      <c r="W320" s="124"/>
      <c r="X320" s="124"/>
      <c r="Y320" s="124"/>
      <c r="Z320" s="124"/>
      <c r="AA320" s="124"/>
      <c r="AB320" s="124"/>
      <c r="AC320" s="124"/>
      <c r="AD320" s="124"/>
      <c r="AE320" s="124"/>
      <c r="AF320" s="124"/>
      <c r="AG320" s="124"/>
      <c r="AH320" s="124"/>
      <c r="AI320" s="124"/>
      <c r="AJ320" s="124"/>
      <c r="AK320" s="124"/>
      <c r="AL320" s="124"/>
      <c r="AM320" s="124"/>
      <c r="AN320" s="125"/>
      <c r="AO320" s="125"/>
      <c r="AP320" s="81"/>
      <c r="AQ320" s="82"/>
      <c r="AR320" s="96"/>
      <c r="AS320" s="96"/>
      <c r="AT320" s="96"/>
      <c r="AU320" s="82"/>
      <c r="AW320" s="95"/>
      <c r="BD320" s="95"/>
      <c r="BE320" s="95"/>
      <c r="BF320" s="95"/>
      <c r="BG320" s="95"/>
    </row>
    <row r="321" spans="1:59" s="83" customFormat="1">
      <c r="A321" s="124"/>
      <c r="B321" s="124"/>
      <c r="C321" s="124"/>
      <c r="D321" s="124"/>
      <c r="E321" s="124"/>
      <c r="F321" s="124"/>
      <c r="G321" s="124"/>
      <c r="H321" s="124"/>
      <c r="I321" s="124"/>
      <c r="J321" s="124"/>
      <c r="K321" s="124"/>
      <c r="L321" s="124"/>
      <c r="M321" s="124"/>
      <c r="N321" s="124"/>
      <c r="O321" s="124"/>
      <c r="P321" s="124"/>
      <c r="Q321" s="124"/>
      <c r="R321" s="124"/>
      <c r="S321" s="124"/>
      <c r="T321" s="124"/>
      <c r="U321" s="125"/>
      <c r="V321" s="124"/>
      <c r="W321" s="124"/>
      <c r="X321" s="124"/>
      <c r="Y321" s="124"/>
      <c r="Z321" s="124"/>
      <c r="AA321" s="124"/>
      <c r="AB321" s="124"/>
      <c r="AC321" s="124"/>
      <c r="AD321" s="124"/>
      <c r="AE321" s="124"/>
      <c r="AF321" s="124"/>
      <c r="AG321" s="124"/>
      <c r="AH321" s="124"/>
      <c r="AI321" s="124"/>
      <c r="AJ321" s="124"/>
      <c r="AK321" s="124"/>
      <c r="AL321" s="124"/>
      <c r="AM321" s="124"/>
      <c r="AN321" s="125"/>
      <c r="AO321" s="125"/>
      <c r="AP321" s="81"/>
      <c r="AQ321" s="82"/>
      <c r="AR321" s="96"/>
      <c r="AS321" s="96"/>
      <c r="AT321" s="96"/>
      <c r="AU321" s="82"/>
      <c r="AW321" s="95"/>
      <c r="BD321" s="95"/>
      <c r="BE321" s="95"/>
      <c r="BF321" s="95"/>
      <c r="BG321" s="95"/>
    </row>
    <row r="322" spans="1:59" s="83" customFormat="1">
      <c r="A322" s="124"/>
      <c r="B322" s="124"/>
      <c r="C322" s="124"/>
      <c r="D322" s="124"/>
      <c r="E322" s="124"/>
      <c r="F322" s="124"/>
      <c r="G322" s="124"/>
      <c r="H322" s="124"/>
      <c r="I322" s="124"/>
      <c r="J322" s="124"/>
      <c r="K322" s="124"/>
      <c r="L322" s="124"/>
      <c r="M322" s="124"/>
      <c r="N322" s="124"/>
      <c r="O322" s="124"/>
      <c r="P322" s="124"/>
      <c r="Q322" s="124"/>
      <c r="R322" s="124"/>
      <c r="S322" s="124"/>
      <c r="T322" s="124"/>
      <c r="U322" s="125"/>
      <c r="V322" s="124"/>
      <c r="W322" s="124"/>
      <c r="X322" s="124"/>
      <c r="Y322" s="124"/>
      <c r="Z322" s="124"/>
      <c r="AA322" s="124"/>
      <c r="AB322" s="124"/>
      <c r="AC322" s="124"/>
      <c r="AD322" s="124"/>
      <c r="AE322" s="124"/>
      <c r="AF322" s="124"/>
      <c r="AG322" s="124"/>
      <c r="AH322" s="124"/>
      <c r="AI322" s="124"/>
      <c r="AJ322" s="124"/>
      <c r="AK322" s="124"/>
      <c r="AL322" s="124"/>
      <c r="AM322" s="124"/>
      <c r="AN322" s="125"/>
      <c r="AO322" s="125"/>
      <c r="AP322" s="81"/>
      <c r="AQ322" s="82"/>
      <c r="AR322" s="96"/>
      <c r="AS322" s="96"/>
      <c r="AT322" s="96"/>
      <c r="AU322" s="82"/>
      <c r="AW322" s="95"/>
      <c r="BD322" s="95"/>
      <c r="BE322" s="95"/>
      <c r="BF322" s="95"/>
      <c r="BG322" s="95"/>
    </row>
    <row r="323" spans="1:59" s="83" customFormat="1">
      <c r="A323" s="124"/>
      <c r="B323" s="124"/>
      <c r="C323" s="124"/>
      <c r="D323" s="124"/>
      <c r="E323" s="124"/>
      <c r="F323" s="124"/>
      <c r="G323" s="124"/>
      <c r="H323" s="124"/>
      <c r="I323" s="124"/>
      <c r="J323" s="124"/>
      <c r="K323" s="124"/>
      <c r="L323" s="124"/>
      <c r="M323" s="124"/>
      <c r="N323" s="124"/>
      <c r="O323" s="124"/>
      <c r="P323" s="124"/>
      <c r="Q323" s="124"/>
      <c r="R323" s="124"/>
      <c r="S323" s="124"/>
      <c r="T323" s="124"/>
      <c r="U323" s="125"/>
      <c r="V323" s="124"/>
      <c r="W323" s="124"/>
      <c r="X323" s="124"/>
      <c r="Y323" s="124"/>
      <c r="Z323" s="124"/>
      <c r="AA323" s="124"/>
      <c r="AB323" s="124"/>
      <c r="AC323" s="124"/>
      <c r="AD323" s="124"/>
      <c r="AE323" s="124"/>
      <c r="AF323" s="124"/>
      <c r="AG323" s="124"/>
      <c r="AH323" s="124"/>
      <c r="AI323" s="124"/>
      <c r="AJ323" s="124"/>
      <c r="AK323" s="124"/>
      <c r="AL323" s="124"/>
      <c r="AM323" s="124"/>
      <c r="AN323" s="125"/>
      <c r="AO323" s="125"/>
      <c r="AP323" s="81"/>
      <c r="AQ323" s="82"/>
      <c r="AR323" s="96"/>
      <c r="AS323" s="96"/>
      <c r="AT323" s="96"/>
      <c r="AU323" s="82"/>
      <c r="AW323" s="95"/>
      <c r="BD323" s="95"/>
      <c r="BE323" s="95"/>
      <c r="BF323" s="95"/>
      <c r="BG323" s="95"/>
    </row>
    <row r="324" spans="1:59" s="83" customFormat="1">
      <c r="A324" s="124"/>
      <c r="B324" s="124"/>
      <c r="C324" s="124"/>
      <c r="D324" s="124"/>
      <c r="E324" s="124"/>
      <c r="F324" s="124"/>
      <c r="G324" s="124"/>
      <c r="H324" s="124"/>
      <c r="I324" s="124"/>
      <c r="J324" s="124"/>
      <c r="K324" s="124"/>
      <c r="L324" s="124"/>
      <c r="M324" s="124"/>
      <c r="N324" s="124"/>
      <c r="O324" s="124"/>
      <c r="P324" s="124"/>
      <c r="Q324" s="124"/>
      <c r="R324" s="124"/>
      <c r="S324" s="124"/>
      <c r="T324" s="124"/>
      <c r="U324" s="125"/>
      <c r="V324" s="124"/>
      <c r="W324" s="124"/>
      <c r="X324" s="124"/>
      <c r="Y324" s="124"/>
      <c r="Z324" s="124"/>
      <c r="AA324" s="124"/>
      <c r="AB324" s="124"/>
      <c r="AC324" s="124"/>
      <c r="AD324" s="124"/>
      <c r="AE324" s="124"/>
      <c r="AF324" s="124"/>
      <c r="AG324" s="124"/>
      <c r="AH324" s="124"/>
      <c r="AI324" s="124"/>
      <c r="AJ324" s="124"/>
      <c r="AK324" s="124"/>
      <c r="AL324" s="124"/>
      <c r="AM324" s="124"/>
      <c r="AN324" s="125"/>
      <c r="AO324" s="125"/>
      <c r="AP324" s="81"/>
      <c r="AQ324" s="82"/>
      <c r="AR324" s="96"/>
      <c r="AS324" s="96"/>
      <c r="AT324" s="96"/>
      <c r="AU324" s="82"/>
      <c r="AW324" s="95"/>
      <c r="BD324" s="95"/>
      <c r="BE324" s="95"/>
      <c r="BF324" s="95"/>
      <c r="BG324" s="95"/>
    </row>
    <row r="325" spans="1:59" s="83" customFormat="1">
      <c r="A325" s="124"/>
      <c r="B325" s="124"/>
      <c r="C325" s="124"/>
      <c r="D325" s="124"/>
      <c r="E325" s="124"/>
      <c r="F325" s="124"/>
      <c r="G325" s="124"/>
      <c r="H325" s="124"/>
      <c r="I325" s="124"/>
      <c r="J325" s="124"/>
      <c r="K325" s="124"/>
      <c r="L325" s="124"/>
      <c r="M325" s="124"/>
      <c r="N325" s="124"/>
      <c r="O325" s="124"/>
      <c r="P325" s="124"/>
      <c r="Q325" s="124"/>
      <c r="R325" s="124"/>
      <c r="S325" s="124"/>
      <c r="T325" s="124"/>
      <c r="U325" s="125"/>
      <c r="V325" s="124"/>
      <c r="W325" s="124"/>
      <c r="X325" s="124"/>
      <c r="Y325" s="124"/>
      <c r="Z325" s="124"/>
      <c r="AA325" s="124"/>
      <c r="AB325" s="124"/>
      <c r="AC325" s="124"/>
      <c r="AD325" s="124"/>
      <c r="AE325" s="124"/>
      <c r="AF325" s="124"/>
      <c r="AG325" s="124"/>
      <c r="AH325" s="124"/>
      <c r="AI325" s="124"/>
      <c r="AJ325" s="124"/>
      <c r="AK325" s="124"/>
      <c r="AL325" s="124"/>
      <c r="AM325" s="124"/>
      <c r="AN325" s="125"/>
      <c r="AO325" s="125"/>
      <c r="AP325" s="81"/>
      <c r="AQ325" s="82"/>
      <c r="AR325" s="96"/>
      <c r="AS325" s="96"/>
      <c r="AT325" s="96"/>
      <c r="AU325" s="82"/>
      <c r="AW325" s="95"/>
      <c r="BD325" s="95"/>
      <c r="BE325" s="95"/>
      <c r="BF325" s="95"/>
      <c r="BG325" s="95"/>
    </row>
    <row r="326" spans="1:59" s="83" customFormat="1">
      <c r="A326" s="124"/>
      <c r="B326" s="124"/>
      <c r="C326" s="124"/>
      <c r="D326" s="124"/>
      <c r="E326" s="124"/>
      <c r="F326" s="124"/>
      <c r="G326" s="124"/>
      <c r="H326" s="124"/>
      <c r="I326" s="124"/>
      <c r="J326" s="124"/>
      <c r="K326" s="124"/>
      <c r="L326" s="124"/>
      <c r="M326" s="124"/>
      <c r="N326" s="124"/>
      <c r="O326" s="124"/>
      <c r="P326" s="124"/>
      <c r="Q326" s="124"/>
      <c r="R326" s="124"/>
      <c r="S326" s="124"/>
      <c r="T326" s="124"/>
      <c r="U326" s="125"/>
      <c r="V326" s="124"/>
      <c r="W326" s="124"/>
      <c r="X326" s="124"/>
      <c r="Y326" s="124"/>
      <c r="Z326" s="124"/>
      <c r="AA326" s="124"/>
      <c r="AB326" s="124"/>
      <c r="AC326" s="124"/>
      <c r="AD326" s="124"/>
      <c r="AE326" s="124"/>
      <c r="AF326" s="124"/>
      <c r="AG326" s="124"/>
      <c r="AH326" s="124"/>
      <c r="AI326" s="124"/>
      <c r="AJ326" s="124"/>
      <c r="AK326" s="124"/>
      <c r="AL326" s="124"/>
      <c r="AM326" s="124"/>
      <c r="AN326" s="125"/>
      <c r="AO326" s="125"/>
      <c r="AP326" s="81"/>
      <c r="AQ326" s="82"/>
      <c r="AR326" s="96"/>
      <c r="AS326" s="96"/>
      <c r="AT326" s="96"/>
      <c r="AU326" s="82"/>
      <c r="AW326" s="95"/>
      <c r="BD326" s="95"/>
      <c r="BE326" s="95"/>
      <c r="BF326" s="95"/>
      <c r="BG326" s="95"/>
    </row>
    <row r="327" spans="1:59" s="83" customFormat="1">
      <c r="A327" s="124"/>
      <c r="B327" s="124"/>
      <c r="C327" s="124"/>
      <c r="D327" s="124"/>
      <c r="E327" s="124"/>
      <c r="F327" s="124"/>
      <c r="G327" s="124"/>
      <c r="H327" s="124"/>
      <c r="I327" s="124"/>
      <c r="J327" s="124"/>
      <c r="K327" s="124"/>
      <c r="L327" s="124"/>
      <c r="M327" s="124"/>
      <c r="N327" s="124"/>
      <c r="O327" s="124"/>
      <c r="P327" s="124"/>
      <c r="Q327" s="124"/>
      <c r="R327" s="124"/>
      <c r="S327" s="124"/>
      <c r="T327" s="124"/>
      <c r="U327" s="125"/>
      <c r="V327" s="124"/>
      <c r="W327" s="124"/>
      <c r="X327" s="124"/>
      <c r="Y327" s="124"/>
      <c r="Z327" s="124"/>
      <c r="AA327" s="124"/>
      <c r="AB327" s="124"/>
      <c r="AC327" s="124"/>
      <c r="AD327" s="124"/>
      <c r="AE327" s="124"/>
      <c r="AF327" s="124"/>
      <c r="AG327" s="124"/>
      <c r="AH327" s="124"/>
      <c r="AI327" s="124"/>
      <c r="AJ327" s="124"/>
      <c r="AK327" s="124"/>
      <c r="AL327" s="124"/>
      <c r="AM327" s="124"/>
      <c r="AN327" s="125"/>
      <c r="AO327" s="125"/>
      <c r="AP327" s="81"/>
      <c r="AQ327" s="82"/>
      <c r="AR327" s="96"/>
      <c r="AS327" s="96"/>
      <c r="AT327" s="96"/>
      <c r="AU327" s="82"/>
      <c r="AW327" s="95"/>
      <c r="BD327" s="95"/>
      <c r="BE327" s="95"/>
      <c r="BF327" s="95"/>
      <c r="BG327" s="95"/>
    </row>
    <row r="328" spans="1:59" s="83" customFormat="1">
      <c r="A328" s="124"/>
      <c r="B328" s="124"/>
      <c r="C328" s="124"/>
      <c r="D328" s="124"/>
      <c r="E328" s="124"/>
      <c r="F328" s="124"/>
      <c r="G328" s="124"/>
      <c r="H328" s="124"/>
      <c r="I328" s="124"/>
      <c r="J328" s="124"/>
      <c r="K328" s="124"/>
      <c r="L328" s="124"/>
      <c r="M328" s="124"/>
      <c r="N328" s="124"/>
      <c r="O328" s="124"/>
      <c r="P328" s="124"/>
      <c r="Q328" s="124"/>
      <c r="R328" s="124"/>
      <c r="S328" s="124"/>
      <c r="T328" s="124"/>
      <c r="U328" s="125"/>
      <c r="V328" s="124"/>
      <c r="W328" s="124"/>
      <c r="X328" s="124"/>
      <c r="Y328" s="124"/>
      <c r="Z328" s="124"/>
      <c r="AA328" s="124"/>
      <c r="AB328" s="124"/>
      <c r="AC328" s="124"/>
      <c r="AD328" s="124"/>
      <c r="AE328" s="124"/>
      <c r="AF328" s="124"/>
      <c r="AG328" s="124"/>
      <c r="AH328" s="124"/>
      <c r="AI328" s="124"/>
      <c r="AJ328" s="124"/>
      <c r="AK328" s="124"/>
      <c r="AL328" s="124"/>
      <c r="AM328" s="124"/>
      <c r="AN328" s="125"/>
      <c r="AO328" s="125"/>
      <c r="AP328" s="81"/>
      <c r="AQ328" s="82"/>
      <c r="AR328" s="96"/>
      <c r="AS328" s="96"/>
      <c r="AT328" s="96"/>
      <c r="AU328" s="82"/>
      <c r="AW328" s="95"/>
      <c r="BD328" s="95"/>
      <c r="BE328" s="95"/>
      <c r="BF328" s="95"/>
      <c r="BG328" s="95"/>
    </row>
    <row r="329" spans="1:59" s="83" customFormat="1">
      <c r="A329" s="124"/>
      <c r="B329" s="124"/>
      <c r="C329" s="124"/>
      <c r="D329" s="124"/>
      <c r="E329" s="124"/>
      <c r="F329" s="124"/>
      <c r="G329" s="124"/>
      <c r="H329" s="124"/>
      <c r="I329" s="124"/>
      <c r="J329" s="124"/>
      <c r="K329" s="124"/>
      <c r="L329" s="124"/>
      <c r="M329" s="124"/>
      <c r="N329" s="124"/>
      <c r="O329" s="124"/>
      <c r="P329" s="124"/>
      <c r="Q329" s="124"/>
      <c r="R329" s="124"/>
      <c r="S329" s="124"/>
      <c r="T329" s="124"/>
      <c r="U329" s="125"/>
      <c r="V329" s="124"/>
      <c r="W329" s="124"/>
      <c r="X329" s="124"/>
      <c r="Y329" s="124"/>
      <c r="Z329" s="124"/>
      <c r="AA329" s="124"/>
      <c r="AB329" s="124"/>
      <c r="AC329" s="124"/>
      <c r="AD329" s="124"/>
      <c r="AE329" s="124"/>
      <c r="AF329" s="124"/>
      <c r="AG329" s="124"/>
      <c r="AH329" s="124"/>
      <c r="AI329" s="124"/>
      <c r="AJ329" s="124"/>
      <c r="AK329" s="124"/>
      <c r="AL329" s="124"/>
      <c r="AM329" s="124"/>
      <c r="AN329" s="125"/>
      <c r="AO329" s="125"/>
      <c r="AP329" s="81"/>
      <c r="AQ329" s="82"/>
      <c r="AR329" s="96"/>
      <c r="AS329" s="96"/>
      <c r="AT329" s="96"/>
      <c r="AU329" s="82"/>
      <c r="AW329" s="95"/>
      <c r="BD329" s="95"/>
      <c r="BE329" s="95"/>
      <c r="BF329" s="95"/>
      <c r="BG329" s="95"/>
    </row>
    <row r="330" spans="1:59" s="83" customFormat="1">
      <c r="A330" s="124"/>
      <c r="B330" s="124"/>
      <c r="C330" s="124"/>
      <c r="D330" s="124"/>
      <c r="E330" s="124"/>
      <c r="F330" s="124"/>
      <c r="G330" s="124"/>
      <c r="H330" s="124"/>
      <c r="I330" s="124"/>
      <c r="J330" s="124"/>
      <c r="K330" s="124"/>
      <c r="L330" s="124"/>
      <c r="M330" s="124"/>
      <c r="N330" s="124"/>
      <c r="O330" s="124"/>
      <c r="P330" s="124"/>
      <c r="Q330" s="124"/>
      <c r="R330" s="124"/>
      <c r="S330" s="124"/>
      <c r="T330" s="124"/>
      <c r="U330" s="125"/>
      <c r="V330" s="124"/>
      <c r="W330" s="124"/>
      <c r="X330" s="124"/>
      <c r="Y330" s="124"/>
      <c r="Z330" s="124"/>
      <c r="AA330" s="124"/>
      <c r="AB330" s="124"/>
      <c r="AC330" s="124"/>
      <c r="AD330" s="124"/>
      <c r="AE330" s="124"/>
      <c r="AF330" s="124"/>
      <c r="AG330" s="124"/>
      <c r="AH330" s="124"/>
      <c r="AI330" s="124"/>
      <c r="AJ330" s="124"/>
      <c r="AK330" s="124"/>
      <c r="AL330" s="124"/>
      <c r="AM330" s="124"/>
      <c r="AN330" s="125"/>
      <c r="AO330" s="125"/>
      <c r="AP330" s="81"/>
      <c r="AQ330" s="82"/>
      <c r="AR330" s="96"/>
      <c r="AS330" s="96"/>
      <c r="AT330" s="96"/>
      <c r="AU330" s="82"/>
      <c r="AW330" s="95"/>
      <c r="BD330" s="95"/>
      <c r="BE330" s="95"/>
      <c r="BF330" s="95"/>
      <c r="BG330" s="95"/>
    </row>
    <row r="331" spans="1:59" s="83" customFormat="1">
      <c r="A331" s="124"/>
      <c r="B331" s="124"/>
      <c r="C331" s="124"/>
      <c r="D331" s="124"/>
      <c r="E331" s="124"/>
      <c r="F331" s="124"/>
      <c r="G331" s="124"/>
      <c r="H331" s="124"/>
      <c r="I331" s="124"/>
      <c r="J331" s="124"/>
      <c r="K331" s="124"/>
      <c r="L331" s="124"/>
      <c r="M331" s="124"/>
      <c r="N331" s="124"/>
      <c r="O331" s="124"/>
      <c r="P331" s="124"/>
      <c r="Q331" s="124"/>
      <c r="R331" s="124"/>
      <c r="S331" s="124"/>
      <c r="T331" s="124"/>
      <c r="U331" s="125"/>
      <c r="V331" s="124"/>
      <c r="W331" s="124"/>
      <c r="X331" s="124"/>
      <c r="Y331" s="124"/>
      <c r="Z331" s="124"/>
      <c r="AA331" s="124"/>
      <c r="AB331" s="124"/>
      <c r="AC331" s="124"/>
      <c r="AD331" s="124"/>
      <c r="AE331" s="124"/>
      <c r="AF331" s="124"/>
      <c r="AG331" s="124"/>
      <c r="AH331" s="124"/>
      <c r="AI331" s="124"/>
      <c r="AJ331" s="124"/>
      <c r="AK331" s="124"/>
      <c r="AL331" s="124"/>
      <c r="AM331" s="124"/>
      <c r="AN331" s="125"/>
      <c r="AO331" s="125"/>
      <c r="AP331" s="81"/>
      <c r="AQ331" s="82"/>
      <c r="AR331" s="96"/>
      <c r="AS331" s="96"/>
      <c r="AT331" s="96"/>
      <c r="AU331" s="82"/>
      <c r="AW331" s="95"/>
      <c r="BD331" s="95"/>
      <c r="BE331" s="95"/>
      <c r="BF331" s="95"/>
      <c r="BG331" s="95"/>
    </row>
    <row r="332" spans="1:59" s="83" customFormat="1">
      <c r="A332" s="124"/>
      <c r="B332" s="124"/>
      <c r="C332" s="124"/>
      <c r="D332" s="124"/>
      <c r="E332" s="124"/>
      <c r="F332" s="124"/>
      <c r="G332" s="124"/>
      <c r="H332" s="124"/>
      <c r="I332" s="124"/>
      <c r="J332" s="124"/>
      <c r="K332" s="124"/>
      <c r="L332" s="124"/>
      <c r="M332" s="124"/>
      <c r="N332" s="124"/>
      <c r="O332" s="124"/>
      <c r="P332" s="124"/>
      <c r="Q332" s="124"/>
      <c r="R332" s="124"/>
      <c r="S332" s="124"/>
      <c r="T332" s="124"/>
      <c r="U332" s="125"/>
      <c r="V332" s="124"/>
      <c r="W332" s="124"/>
      <c r="X332" s="124"/>
      <c r="Y332" s="124"/>
      <c r="Z332" s="124"/>
      <c r="AA332" s="124"/>
      <c r="AB332" s="124"/>
      <c r="AC332" s="124"/>
      <c r="AD332" s="124"/>
      <c r="AE332" s="124"/>
      <c r="AF332" s="124"/>
      <c r="AG332" s="124"/>
      <c r="AH332" s="124"/>
      <c r="AI332" s="124"/>
      <c r="AJ332" s="124"/>
      <c r="AK332" s="124"/>
      <c r="AL332" s="124"/>
      <c r="AM332" s="124"/>
      <c r="AN332" s="125"/>
      <c r="AO332" s="125"/>
      <c r="AP332" s="81"/>
      <c r="AQ332" s="82"/>
      <c r="AR332" s="96"/>
      <c r="AS332" s="96"/>
      <c r="AT332" s="96"/>
      <c r="AU332" s="82"/>
      <c r="AW332" s="95"/>
      <c r="BD332" s="95"/>
      <c r="BE332" s="95"/>
      <c r="BF332" s="95"/>
      <c r="BG332" s="95"/>
    </row>
    <row r="333" spans="1:59" s="83" customFormat="1">
      <c r="A333" s="124"/>
      <c r="B333" s="124"/>
      <c r="C333" s="124"/>
      <c r="D333" s="124"/>
      <c r="E333" s="124"/>
      <c r="F333" s="124"/>
      <c r="G333" s="124"/>
      <c r="H333" s="124"/>
      <c r="I333" s="124"/>
      <c r="J333" s="124"/>
      <c r="K333" s="124"/>
      <c r="L333" s="124"/>
      <c r="M333" s="124"/>
      <c r="N333" s="124"/>
      <c r="O333" s="124"/>
      <c r="P333" s="124"/>
      <c r="Q333" s="124"/>
      <c r="R333" s="124"/>
      <c r="S333" s="124"/>
      <c r="T333" s="124"/>
      <c r="U333" s="125"/>
      <c r="V333" s="124"/>
      <c r="W333" s="124"/>
      <c r="X333" s="124"/>
      <c r="Y333" s="124"/>
      <c r="Z333" s="124"/>
      <c r="AA333" s="124"/>
      <c r="AB333" s="124"/>
      <c r="AC333" s="124"/>
      <c r="AD333" s="124"/>
      <c r="AE333" s="124"/>
      <c r="AF333" s="124"/>
      <c r="AG333" s="124"/>
      <c r="AH333" s="124"/>
      <c r="AI333" s="124"/>
      <c r="AJ333" s="124"/>
      <c r="AK333" s="124"/>
      <c r="AL333" s="124"/>
      <c r="AM333" s="124"/>
      <c r="AN333" s="125"/>
      <c r="AO333" s="125"/>
      <c r="AP333" s="81"/>
      <c r="AQ333" s="82"/>
      <c r="AR333" s="96"/>
      <c r="AS333" s="96"/>
      <c r="AT333" s="96"/>
      <c r="AU333" s="82"/>
      <c r="AW333" s="95"/>
      <c r="BD333" s="95"/>
      <c r="BE333" s="95"/>
      <c r="BF333" s="95"/>
      <c r="BG333" s="95"/>
    </row>
    <row r="334" spans="1:59" s="83" customFormat="1">
      <c r="A334" s="124"/>
      <c r="B334" s="124"/>
      <c r="C334" s="124"/>
      <c r="D334" s="124"/>
      <c r="E334" s="124"/>
      <c r="F334" s="124"/>
      <c r="G334" s="124"/>
      <c r="H334" s="124"/>
      <c r="I334" s="124"/>
      <c r="J334" s="124"/>
      <c r="K334" s="124"/>
      <c r="L334" s="124"/>
      <c r="M334" s="124"/>
      <c r="N334" s="124"/>
      <c r="O334" s="124"/>
      <c r="P334" s="124"/>
      <c r="Q334" s="124"/>
      <c r="R334" s="124"/>
      <c r="S334" s="124"/>
      <c r="T334" s="124"/>
      <c r="U334" s="125"/>
      <c r="V334" s="124"/>
      <c r="W334" s="124"/>
      <c r="X334" s="124"/>
      <c r="Y334" s="124"/>
      <c r="Z334" s="124"/>
      <c r="AA334" s="124"/>
      <c r="AB334" s="124"/>
      <c r="AC334" s="124"/>
      <c r="AD334" s="124"/>
      <c r="AE334" s="124"/>
      <c r="AF334" s="124"/>
      <c r="AG334" s="124"/>
      <c r="AH334" s="124"/>
      <c r="AI334" s="124"/>
      <c r="AJ334" s="124"/>
      <c r="AK334" s="124"/>
      <c r="AL334" s="124"/>
      <c r="AM334" s="124"/>
      <c r="AN334" s="125"/>
      <c r="AO334" s="125"/>
      <c r="AP334" s="81"/>
      <c r="AQ334" s="82"/>
      <c r="AR334" s="96"/>
      <c r="AS334" s="96"/>
      <c r="AT334" s="96"/>
      <c r="AU334" s="82"/>
      <c r="AW334" s="95"/>
      <c r="BD334" s="95"/>
      <c r="BE334" s="95"/>
      <c r="BF334" s="95"/>
      <c r="BG334" s="95"/>
    </row>
    <row r="335" spans="1:59" s="83" customFormat="1">
      <c r="A335" s="124"/>
      <c r="B335" s="124"/>
      <c r="C335" s="124"/>
      <c r="D335" s="124"/>
      <c r="E335" s="124"/>
      <c r="F335" s="124"/>
      <c r="G335" s="124"/>
      <c r="H335" s="124"/>
      <c r="I335" s="124"/>
      <c r="J335" s="124"/>
      <c r="K335" s="124"/>
      <c r="L335" s="124"/>
      <c r="M335" s="124"/>
      <c r="N335" s="124"/>
      <c r="O335" s="124"/>
      <c r="P335" s="124"/>
      <c r="Q335" s="124"/>
      <c r="R335" s="124"/>
      <c r="S335" s="124"/>
      <c r="T335" s="124"/>
      <c r="U335" s="125"/>
      <c r="V335" s="124"/>
      <c r="W335" s="124"/>
      <c r="X335" s="124"/>
      <c r="Y335" s="124"/>
      <c r="Z335" s="124"/>
      <c r="AA335" s="124"/>
      <c r="AB335" s="124"/>
      <c r="AC335" s="124"/>
      <c r="AD335" s="124"/>
      <c r="AE335" s="124"/>
      <c r="AF335" s="124"/>
      <c r="AG335" s="124"/>
      <c r="AH335" s="124"/>
      <c r="AI335" s="124"/>
      <c r="AJ335" s="124"/>
      <c r="AK335" s="124"/>
      <c r="AL335" s="124"/>
      <c r="AM335" s="124"/>
      <c r="AN335" s="125"/>
      <c r="AO335" s="125"/>
      <c r="AP335" s="81"/>
      <c r="AQ335" s="82"/>
      <c r="AR335" s="96"/>
      <c r="AS335" s="96"/>
      <c r="AT335" s="96"/>
      <c r="AU335" s="82"/>
      <c r="AW335" s="95"/>
      <c r="BD335" s="95"/>
      <c r="BE335" s="95"/>
      <c r="BF335" s="95"/>
      <c r="BG335" s="95"/>
    </row>
    <row r="336" spans="1:59" s="83" customFormat="1">
      <c r="A336" s="124"/>
      <c r="B336" s="124"/>
      <c r="C336" s="124"/>
      <c r="D336" s="124"/>
      <c r="E336" s="124"/>
      <c r="F336" s="124"/>
      <c r="G336" s="124"/>
      <c r="H336" s="124"/>
      <c r="I336" s="124"/>
      <c r="J336" s="124"/>
      <c r="K336" s="124"/>
      <c r="L336" s="124"/>
      <c r="M336" s="124"/>
      <c r="N336" s="124"/>
      <c r="O336" s="124"/>
      <c r="P336" s="124"/>
      <c r="Q336" s="124"/>
      <c r="R336" s="124"/>
      <c r="S336" s="124"/>
      <c r="T336" s="124"/>
      <c r="U336" s="125"/>
      <c r="V336" s="124"/>
      <c r="W336" s="124"/>
      <c r="X336" s="124"/>
      <c r="Y336" s="124"/>
      <c r="Z336" s="124"/>
      <c r="AA336" s="124"/>
      <c r="AB336" s="124"/>
      <c r="AC336" s="124"/>
      <c r="AD336" s="124"/>
      <c r="AE336" s="124"/>
      <c r="AF336" s="124"/>
      <c r="AG336" s="124"/>
      <c r="AH336" s="124"/>
      <c r="AI336" s="124"/>
      <c r="AJ336" s="124"/>
      <c r="AK336" s="124"/>
      <c r="AL336" s="124"/>
      <c r="AM336" s="124"/>
      <c r="AN336" s="125"/>
      <c r="AO336" s="125"/>
      <c r="AP336" s="81"/>
      <c r="AQ336" s="82"/>
      <c r="AR336" s="96"/>
      <c r="AS336" s="96"/>
      <c r="AT336" s="96"/>
      <c r="AU336" s="82"/>
      <c r="AW336" s="95"/>
      <c r="BD336" s="95"/>
      <c r="BE336" s="95"/>
      <c r="BF336" s="95"/>
      <c r="BG336" s="95"/>
    </row>
    <row r="337" spans="1:59" s="83" customFormat="1">
      <c r="A337" s="124"/>
      <c r="B337" s="124"/>
      <c r="C337" s="124"/>
      <c r="D337" s="124"/>
      <c r="E337" s="124"/>
      <c r="F337" s="124"/>
      <c r="G337" s="124"/>
      <c r="H337" s="124"/>
      <c r="I337" s="124"/>
      <c r="J337" s="124"/>
      <c r="K337" s="124"/>
      <c r="L337" s="124"/>
      <c r="M337" s="124"/>
      <c r="N337" s="124"/>
      <c r="O337" s="124"/>
      <c r="P337" s="124"/>
      <c r="Q337" s="124"/>
      <c r="R337" s="124"/>
      <c r="S337" s="124"/>
      <c r="T337" s="124"/>
      <c r="U337" s="125"/>
      <c r="V337" s="124"/>
      <c r="W337" s="124"/>
      <c r="X337" s="124"/>
      <c r="Y337" s="124"/>
      <c r="Z337" s="124"/>
      <c r="AA337" s="124"/>
      <c r="AB337" s="124"/>
      <c r="AC337" s="124"/>
      <c r="AD337" s="124"/>
      <c r="AE337" s="124"/>
      <c r="AF337" s="124"/>
      <c r="AG337" s="124"/>
      <c r="AH337" s="124"/>
      <c r="AI337" s="124"/>
      <c r="AJ337" s="124"/>
      <c r="AK337" s="124"/>
      <c r="AL337" s="124"/>
      <c r="AM337" s="124"/>
      <c r="AN337" s="125"/>
      <c r="AO337" s="125"/>
      <c r="AP337" s="81"/>
      <c r="AQ337" s="82"/>
      <c r="AR337" s="96"/>
      <c r="AS337" s="96"/>
      <c r="AT337" s="96"/>
      <c r="AU337" s="82"/>
      <c r="AW337" s="95"/>
      <c r="BD337" s="95"/>
      <c r="BE337" s="95"/>
      <c r="BF337" s="95"/>
      <c r="BG337" s="95"/>
    </row>
    <row r="338" spans="1:59" s="83" customFormat="1">
      <c r="A338" s="124"/>
      <c r="B338" s="124"/>
      <c r="C338" s="124"/>
      <c r="D338" s="124"/>
      <c r="E338" s="124"/>
      <c r="F338" s="124"/>
      <c r="G338" s="124"/>
      <c r="H338" s="124"/>
      <c r="I338" s="124"/>
      <c r="J338" s="124"/>
      <c r="K338" s="124"/>
      <c r="L338" s="124"/>
      <c r="M338" s="124"/>
      <c r="N338" s="124"/>
      <c r="O338" s="124"/>
      <c r="P338" s="124"/>
      <c r="Q338" s="124"/>
      <c r="R338" s="124"/>
      <c r="S338" s="124"/>
      <c r="T338" s="124"/>
      <c r="U338" s="125"/>
      <c r="V338" s="124"/>
      <c r="W338" s="124"/>
      <c r="X338" s="124"/>
      <c r="Y338" s="124"/>
      <c r="Z338" s="124"/>
      <c r="AA338" s="124"/>
      <c r="AB338" s="124"/>
      <c r="AC338" s="124"/>
      <c r="AD338" s="124"/>
      <c r="AE338" s="124"/>
      <c r="AF338" s="124"/>
      <c r="AG338" s="124"/>
      <c r="AH338" s="124"/>
      <c r="AI338" s="124"/>
      <c r="AJ338" s="124"/>
      <c r="AK338" s="124"/>
      <c r="AL338" s="124"/>
      <c r="AM338" s="124"/>
      <c r="AN338" s="125"/>
      <c r="AO338" s="125"/>
      <c r="AP338" s="81"/>
      <c r="AQ338" s="82"/>
      <c r="AR338" s="96"/>
      <c r="AS338" s="96"/>
      <c r="AT338" s="96"/>
      <c r="AU338" s="82"/>
      <c r="AW338" s="95"/>
      <c r="BD338" s="95"/>
      <c r="BE338" s="95"/>
      <c r="BF338" s="95"/>
      <c r="BG338" s="95"/>
    </row>
    <row r="339" spans="1:59" s="83" customFormat="1">
      <c r="A339" s="124"/>
      <c r="B339" s="124"/>
      <c r="C339" s="124"/>
      <c r="D339" s="124"/>
      <c r="E339" s="124"/>
      <c r="F339" s="124"/>
      <c r="G339" s="124"/>
      <c r="H339" s="124"/>
      <c r="I339" s="124"/>
      <c r="J339" s="124"/>
      <c r="K339" s="124"/>
      <c r="L339" s="124"/>
      <c r="M339" s="124"/>
      <c r="N339" s="124"/>
      <c r="O339" s="124"/>
      <c r="P339" s="124"/>
      <c r="Q339" s="124"/>
      <c r="R339" s="124"/>
      <c r="S339" s="124"/>
      <c r="T339" s="124"/>
      <c r="U339" s="125"/>
      <c r="V339" s="124"/>
      <c r="W339" s="124"/>
      <c r="X339" s="124"/>
      <c r="Y339" s="124"/>
      <c r="Z339" s="124"/>
      <c r="AA339" s="124"/>
      <c r="AB339" s="124"/>
      <c r="AC339" s="124"/>
      <c r="AD339" s="124"/>
      <c r="AE339" s="124"/>
      <c r="AF339" s="124"/>
      <c r="AG339" s="124"/>
      <c r="AH339" s="124"/>
      <c r="AI339" s="124"/>
      <c r="AJ339" s="124"/>
      <c r="AK339" s="124"/>
      <c r="AL339" s="124"/>
      <c r="AM339" s="124"/>
      <c r="AN339" s="125"/>
      <c r="AO339" s="125"/>
      <c r="AP339" s="81"/>
      <c r="AQ339" s="82"/>
      <c r="AR339" s="96"/>
      <c r="AS339" s="96"/>
      <c r="AT339" s="96"/>
      <c r="AU339" s="82"/>
      <c r="AW339" s="95"/>
      <c r="BD339" s="95"/>
      <c r="BE339" s="95"/>
      <c r="BF339" s="95"/>
      <c r="BG339" s="95"/>
    </row>
    <row r="340" spans="1:59" s="83" customFormat="1">
      <c r="A340" s="124"/>
      <c r="B340" s="124"/>
      <c r="C340" s="124"/>
      <c r="D340" s="124"/>
      <c r="E340" s="124"/>
      <c r="F340" s="124"/>
      <c r="G340" s="124"/>
      <c r="H340" s="124"/>
      <c r="I340" s="124"/>
      <c r="J340" s="124"/>
      <c r="K340" s="124"/>
      <c r="L340" s="124"/>
      <c r="M340" s="124"/>
      <c r="N340" s="124"/>
      <c r="O340" s="124"/>
      <c r="P340" s="124"/>
      <c r="Q340" s="124"/>
      <c r="R340" s="124"/>
      <c r="S340" s="124"/>
      <c r="T340" s="124"/>
      <c r="U340" s="125"/>
      <c r="V340" s="124"/>
      <c r="W340" s="124"/>
      <c r="X340" s="124"/>
      <c r="Y340" s="124"/>
      <c r="Z340" s="124"/>
      <c r="AA340" s="124"/>
      <c r="AB340" s="124"/>
      <c r="AC340" s="124"/>
      <c r="AD340" s="124"/>
      <c r="AE340" s="124"/>
      <c r="AF340" s="124"/>
      <c r="AG340" s="124"/>
      <c r="AH340" s="124"/>
      <c r="AI340" s="124"/>
      <c r="AJ340" s="124"/>
      <c r="AK340" s="124"/>
      <c r="AL340" s="124"/>
      <c r="AM340" s="124"/>
      <c r="AN340" s="125"/>
      <c r="AO340" s="125"/>
      <c r="AP340" s="81"/>
      <c r="AQ340" s="82"/>
      <c r="AR340" s="96"/>
      <c r="AS340" s="96"/>
      <c r="AT340" s="96"/>
      <c r="AU340" s="82"/>
      <c r="AW340" s="95"/>
      <c r="BD340" s="95"/>
      <c r="BE340" s="95"/>
      <c r="BF340" s="95"/>
      <c r="BG340" s="95"/>
    </row>
    <row r="341" spans="1:59" s="83" customFormat="1">
      <c r="A341" s="124"/>
      <c r="B341" s="124"/>
      <c r="C341" s="124"/>
      <c r="D341" s="124"/>
      <c r="E341" s="124"/>
      <c r="F341" s="124"/>
      <c r="G341" s="124"/>
      <c r="H341" s="124"/>
      <c r="I341" s="124"/>
      <c r="J341" s="124"/>
      <c r="K341" s="124"/>
      <c r="L341" s="124"/>
      <c r="M341" s="124"/>
      <c r="N341" s="124"/>
      <c r="O341" s="124"/>
      <c r="P341" s="124"/>
      <c r="Q341" s="124"/>
      <c r="R341" s="124"/>
      <c r="S341" s="124"/>
      <c r="T341" s="124"/>
      <c r="U341" s="125"/>
      <c r="V341" s="124"/>
      <c r="W341" s="124"/>
      <c r="X341" s="124"/>
      <c r="Y341" s="124"/>
      <c r="Z341" s="124"/>
      <c r="AA341" s="124"/>
      <c r="AB341" s="124"/>
      <c r="AC341" s="124"/>
      <c r="AD341" s="124"/>
      <c r="AE341" s="124"/>
      <c r="AF341" s="124"/>
      <c r="AG341" s="124"/>
      <c r="AH341" s="124"/>
      <c r="AI341" s="124"/>
      <c r="AJ341" s="124"/>
      <c r="AK341" s="124"/>
      <c r="AL341" s="124"/>
      <c r="AM341" s="124"/>
      <c r="AN341" s="125"/>
      <c r="AO341" s="125"/>
      <c r="AP341" s="81"/>
      <c r="AQ341" s="82"/>
      <c r="AR341" s="96"/>
      <c r="AS341" s="96"/>
      <c r="AT341" s="96"/>
      <c r="AU341" s="82"/>
      <c r="AW341" s="95"/>
      <c r="BD341" s="95"/>
      <c r="BE341" s="95"/>
      <c r="BF341" s="95"/>
      <c r="BG341" s="95"/>
    </row>
    <row r="342" spans="1:59" s="83" customFormat="1">
      <c r="A342" s="124"/>
      <c r="B342" s="124"/>
      <c r="C342" s="124"/>
      <c r="D342" s="124"/>
      <c r="E342" s="124"/>
      <c r="F342" s="124"/>
      <c r="G342" s="124"/>
      <c r="H342" s="124"/>
      <c r="I342" s="124"/>
      <c r="J342" s="124"/>
      <c r="K342" s="124"/>
      <c r="L342" s="124"/>
      <c r="M342" s="124"/>
      <c r="N342" s="124"/>
      <c r="O342" s="124"/>
      <c r="P342" s="124"/>
      <c r="Q342" s="124"/>
      <c r="R342" s="124"/>
      <c r="S342" s="124"/>
      <c r="T342" s="124"/>
      <c r="U342" s="125"/>
      <c r="V342" s="124"/>
      <c r="W342" s="124"/>
      <c r="X342" s="124"/>
      <c r="Y342" s="124"/>
      <c r="Z342" s="124"/>
      <c r="AA342" s="124"/>
      <c r="AB342" s="124"/>
      <c r="AC342" s="124"/>
      <c r="AD342" s="124"/>
      <c r="AE342" s="124"/>
      <c r="AF342" s="124"/>
      <c r="AG342" s="124"/>
      <c r="AH342" s="124"/>
      <c r="AI342" s="124"/>
      <c r="AJ342" s="124"/>
      <c r="AK342" s="124"/>
      <c r="AL342" s="124"/>
      <c r="AM342" s="124"/>
      <c r="AN342" s="125"/>
      <c r="AO342" s="125"/>
      <c r="AP342" s="81"/>
      <c r="AQ342" s="82"/>
      <c r="AR342" s="96"/>
      <c r="AS342" s="96"/>
      <c r="AT342" s="96"/>
      <c r="AU342" s="82"/>
      <c r="AW342" s="95"/>
      <c r="BD342" s="95"/>
      <c r="BE342" s="95"/>
      <c r="BF342" s="95"/>
      <c r="BG342" s="95"/>
    </row>
    <row r="343" spans="1:59" s="83" customFormat="1">
      <c r="A343" s="124"/>
      <c r="B343" s="124"/>
      <c r="C343" s="124"/>
      <c r="D343" s="124"/>
      <c r="E343" s="124"/>
      <c r="F343" s="124"/>
      <c r="G343" s="124"/>
      <c r="H343" s="124"/>
      <c r="I343" s="124"/>
      <c r="J343" s="124"/>
      <c r="K343" s="124"/>
      <c r="L343" s="124"/>
      <c r="M343" s="124"/>
      <c r="N343" s="124"/>
      <c r="O343" s="124"/>
      <c r="P343" s="124"/>
      <c r="Q343" s="124"/>
      <c r="R343" s="124"/>
      <c r="S343" s="124"/>
      <c r="T343" s="124"/>
      <c r="U343" s="125"/>
      <c r="V343" s="124"/>
      <c r="W343" s="124"/>
      <c r="X343" s="124"/>
      <c r="Y343" s="124"/>
      <c r="Z343" s="124"/>
      <c r="AA343" s="124"/>
      <c r="AB343" s="124"/>
      <c r="AC343" s="124"/>
      <c r="AD343" s="124"/>
      <c r="AE343" s="124"/>
      <c r="AF343" s="124"/>
      <c r="AG343" s="124"/>
      <c r="AH343" s="124"/>
      <c r="AI343" s="124"/>
      <c r="AJ343" s="124"/>
      <c r="AK343" s="124"/>
      <c r="AL343" s="124"/>
      <c r="AM343" s="124"/>
      <c r="AN343" s="125"/>
      <c r="AO343" s="125"/>
      <c r="AP343" s="81"/>
      <c r="AQ343" s="82"/>
      <c r="AR343" s="96"/>
      <c r="AS343" s="96"/>
      <c r="AT343" s="96"/>
      <c r="AU343" s="82"/>
      <c r="AW343" s="95"/>
      <c r="BD343" s="95"/>
      <c r="BE343" s="95"/>
      <c r="BF343" s="95"/>
      <c r="BG343" s="95"/>
    </row>
    <row r="344" spans="1:59" s="83" customFormat="1">
      <c r="A344" s="124"/>
      <c r="B344" s="124"/>
      <c r="C344" s="124"/>
      <c r="D344" s="124"/>
      <c r="E344" s="124"/>
      <c r="F344" s="124"/>
      <c r="G344" s="124"/>
      <c r="H344" s="124"/>
      <c r="I344" s="124"/>
      <c r="J344" s="124"/>
      <c r="K344" s="124"/>
      <c r="L344" s="124"/>
      <c r="M344" s="124"/>
      <c r="N344" s="124"/>
      <c r="O344" s="124"/>
      <c r="P344" s="124"/>
      <c r="Q344" s="124"/>
      <c r="R344" s="124"/>
      <c r="S344" s="124"/>
      <c r="T344" s="124"/>
      <c r="U344" s="125"/>
      <c r="V344" s="124"/>
      <c r="W344" s="124"/>
      <c r="X344" s="124"/>
      <c r="Y344" s="124"/>
      <c r="Z344" s="124"/>
      <c r="AA344" s="124"/>
      <c r="AB344" s="124"/>
      <c r="AC344" s="124"/>
      <c r="AD344" s="124"/>
      <c r="AE344" s="124"/>
      <c r="AF344" s="124"/>
      <c r="AG344" s="124"/>
      <c r="AH344" s="124"/>
      <c r="AI344" s="124"/>
      <c r="AJ344" s="124"/>
      <c r="AK344" s="124"/>
      <c r="AL344" s="124"/>
      <c r="AM344" s="124"/>
      <c r="AN344" s="125"/>
      <c r="AO344" s="125"/>
      <c r="AP344" s="81"/>
      <c r="AQ344" s="82"/>
      <c r="AR344" s="96"/>
      <c r="AS344" s="96"/>
      <c r="AT344" s="96"/>
      <c r="AU344" s="82"/>
      <c r="AW344" s="95"/>
      <c r="BD344" s="95"/>
      <c r="BE344" s="95"/>
      <c r="BF344" s="95"/>
      <c r="BG344" s="95"/>
    </row>
    <row r="345" spans="1:59" s="83" customFormat="1">
      <c r="A345" s="124"/>
      <c r="B345" s="124"/>
      <c r="C345" s="124"/>
      <c r="D345" s="124"/>
      <c r="E345" s="124"/>
      <c r="F345" s="124"/>
      <c r="G345" s="124"/>
      <c r="H345" s="124"/>
      <c r="I345" s="124"/>
      <c r="J345" s="124"/>
      <c r="K345" s="124"/>
      <c r="L345" s="124"/>
      <c r="M345" s="124"/>
      <c r="N345" s="124"/>
      <c r="O345" s="124"/>
      <c r="P345" s="124"/>
      <c r="Q345" s="124"/>
      <c r="R345" s="124"/>
      <c r="S345" s="124"/>
      <c r="T345" s="124"/>
      <c r="U345" s="125"/>
      <c r="V345" s="124"/>
      <c r="W345" s="124"/>
      <c r="X345" s="124"/>
      <c r="Y345" s="124"/>
      <c r="Z345" s="124"/>
      <c r="AA345" s="124"/>
      <c r="AB345" s="124"/>
      <c r="AC345" s="124"/>
      <c r="AD345" s="124"/>
      <c r="AE345" s="124"/>
      <c r="AF345" s="124"/>
      <c r="AG345" s="124"/>
      <c r="AH345" s="124"/>
      <c r="AI345" s="124"/>
      <c r="AJ345" s="124"/>
      <c r="AK345" s="124"/>
      <c r="AL345" s="124"/>
      <c r="AM345" s="124"/>
      <c r="AN345" s="125"/>
      <c r="AO345" s="125"/>
      <c r="AP345" s="81"/>
      <c r="AQ345" s="82"/>
      <c r="AR345" s="96"/>
      <c r="AS345" s="96"/>
      <c r="AT345" s="96"/>
      <c r="AU345" s="82"/>
      <c r="AW345" s="95"/>
      <c r="BD345" s="95"/>
      <c r="BE345" s="95"/>
      <c r="BF345" s="95"/>
      <c r="BG345" s="95"/>
    </row>
    <row r="346" spans="1:59" s="83" customFormat="1">
      <c r="A346" s="124"/>
      <c r="B346" s="124"/>
      <c r="C346" s="124"/>
      <c r="D346" s="124"/>
      <c r="E346" s="124"/>
      <c r="F346" s="124"/>
      <c r="G346" s="124"/>
      <c r="H346" s="124"/>
      <c r="I346" s="124"/>
      <c r="J346" s="124"/>
      <c r="K346" s="124"/>
      <c r="L346" s="124"/>
      <c r="M346" s="124"/>
      <c r="N346" s="124"/>
      <c r="O346" s="124"/>
      <c r="P346" s="124"/>
      <c r="Q346" s="124"/>
      <c r="R346" s="124"/>
      <c r="S346" s="124"/>
      <c r="T346" s="124"/>
      <c r="U346" s="125"/>
      <c r="V346" s="124"/>
      <c r="W346" s="124"/>
      <c r="X346" s="124"/>
      <c r="Y346" s="124"/>
      <c r="Z346" s="124"/>
      <c r="AA346" s="124"/>
      <c r="AB346" s="124"/>
      <c r="AC346" s="124"/>
      <c r="AD346" s="124"/>
      <c r="AE346" s="124"/>
      <c r="AF346" s="124"/>
      <c r="AG346" s="124"/>
      <c r="AH346" s="124"/>
      <c r="AI346" s="124"/>
      <c r="AJ346" s="124"/>
      <c r="AK346" s="124"/>
      <c r="AL346" s="124"/>
      <c r="AM346" s="124"/>
      <c r="AN346" s="125"/>
      <c r="AO346" s="125"/>
      <c r="AP346" s="81"/>
      <c r="AQ346" s="82"/>
      <c r="AR346" s="96"/>
      <c r="AS346" s="96"/>
      <c r="AT346" s="96"/>
      <c r="AU346" s="82"/>
      <c r="AW346" s="95"/>
      <c r="BD346" s="95"/>
      <c r="BE346" s="95"/>
      <c r="BF346" s="95"/>
      <c r="BG346" s="95"/>
    </row>
    <row r="347" spans="1:59" s="83" customFormat="1">
      <c r="A347" s="124"/>
      <c r="B347" s="124"/>
      <c r="C347" s="124"/>
      <c r="D347" s="124"/>
      <c r="E347" s="124"/>
      <c r="F347" s="124"/>
      <c r="G347" s="124"/>
      <c r="H347" s="124"/>
      <c r="I347" s="124"/>
      <c r="J347" s="124"/>
      <c r="K347" s="124"/>
      <c r="L347" s="124"/>
      <c r="M347" s="124"/>
      <c r="N347" s="124"/>
      <c r="O347" s="124"/>
      <c r="P347" s="124"/>
      <c r="Q347" s="124"/>
      <c r="R347" s="124"/>
      <c r="S347" s="124"/>
      <c r="T347" s="124"/>
      <c r="U347" s="125"/>
      <c r="V347" s="124"/>
      <c r="W347" s="124"/>
      <c r="X347" s="124"/>
      <c r="Y347" s="124"/>
      <c r="Z347" s="124"/>
      <c r="AA347" s="124"/>
      <c r="AB347" s="124"/>
      <c r="AC347" s="124"/>
      <c r="AD347" s="124"/>
      <c r="AE347" s="124"/>
      <c r="AF347" s="124"/>
      <c r="AG347" s="124"/>
      <c r="AH347" s="124"/>
      <c r="AI347" s="124"/>
      <c r="AJ347" s="124"/>
      <c r="AK347" s="124"/>
      <c r="AL347" s="124"/>
      <c r="AM347" s="124"/>
      <c r="AN347" s="125"/>
      <c r="AO347" s="125"/>
      <c r="AP347" s="81"/>
      <c r="AQ347" s="82"/>
      <c r="AR347" s="96"/>
      <c r="AS347" s="96"/>
      <c r="AT347" s="96"/>
      <c r="AU347" s="82"/>
      <c r="AW347" s="95"/>
      <c r="BD347" s="95"/>
      <c r="BE347" s="95"/>
      <c r="BF347" s="95"/>
      <c r="BG347" s="95"/>
    </row>
    <row r="348" spans="1:59" s="83" customFormat="1">
      <c r="A348" s="124"/>
      <c r="B348" s="124"/>
      <c r="C348" s="124"/>
      <c r="D348" s="124"/>
      <c r="E348" s="124"/>
      <c r="F348" s="124"/>
      <c r="G348" s="124"/>
      <c r="H348" s="124"/>
      <c r="I348" s="124"/>
      <c r="J348" s="124"/>
      <c r="K348" s="124"/>
      <c r="L348" s="124"/>
      <c r="M348" s="124"/>
      <c r="N348" s="124"/>
      <c r="O348" s="124"/>
      <c r="P348" s="124"/>
      <c r="Q348" s="124"/>
      <c r="R348" s="124"/>
      <c r="S348" s="124"/>
      <c r="T348" s="124"/>
      <c r="U348" s="125"/>
      <c r="V348" s="124"/>
      <c r="W348" s="124"/>
      <c r="X348" s="124"/>
      <c r="Y348" s="124"/>
      <c r="Z348" s="124"/>
      <c r="AA348" s="124"/>
      <c r="AB348" s="124"/>
      <c r="AC348" s="124"/>
      <c r="AD348" s="124"/>
      <c r="AE348" s="124"/>
      <c r="AF348" s="124"/>
      <c r="AG348" s="124"/>
      <c r="AH348" s="124"/>
      <c r="AI348" s="124"/>
      <c r="AJ348" s="124"/>
      <c r="AK348" s="124"/>
      <c r="AL348" s="124"/>
      <c r="AM348" s="124"/>
      <c r="AN348" s="125"/>
      <c r="AO348" s="125"/>
      <c r="AP348" s="81"/>
      <c r="AQ348" s="82"/>
      <c r="AR348" s="96"/>
      <c r="AS348" s="96"/>
      <c r="AT348" s="96"/>
      <c r="AU348" s="82"/>
      <c r="AW348" s="95"/>
      <c r="BD348" s="95"/>
      <c r="BE348" s="95"/>
      <c r="BF348" s="95"/>
      <c r="BG348" s="95"/>
    </row>
    <row r="349" spans="1:59" s="83" customFormat="1">
      <c r="A349" s="124"/>
      <c r="B349" s="124"/>
      <c r="C349" s="124"/>
      <c r="D349" s="124"/>
      <c r="E349" s="124"/>
      <c r="F349" s="124"/>
      <c r="G349" s="124"/>
      <c r="H349" s="124"/>
      <c r="I349" s="124"/>
      <c r="J349" s="124"/>
      <c r="K349" s="124"/>
      <c r="L349" s="124"/>
      <c r="M349" s="124"/>
      <c r="N349" s="124"/>
      <c r="O349" s="124"/>
      <c r="P349" s="124"/>
      <c r="Q349" s="124"/>
      <c r="R349" s="124"/>
      <c r="S349" s="124"/>
      <c r="T349" s="124"/>
      <c r="U349" s="125"/>
      <c r="V349" s="124"/>
      <c r="W349" s="124"/>
      <c r="X349" s="124"/>
      <c r="Y349" s="124"/>
      <c r="Z349" s="124"/>
      <c r="AA349" s="124"/>
      <c r="AB349" s="124"/>
      <c r="AC349" s="124"/>
      <c r="AD349" s="124"/>
      <c r="AE349" s="124"/>
      <c r="AF349" s="124"/>
      <c r="AG349" s="124"/>
      <c r="AH349" s="124"/>
      <c r="AI349" s="124"/>
      <c r="AJ349" s="124"/>
      <c r="AK349" s="124"/>
      <c r="AL349" s="124"/>
      <c r="AM349" s="124"/>
      <c r="AN349" s="125"/>
      <c r="AO349" s="125"/>
      <c r="AP349" s="81"/>
      <c r="AQ349" s="82"/>
      <c r="AR349" s="96"/>
      <c r="AS349" s="96"/>
      <c r="AT349" s="96"/>
      <c r="AU349" s="82"/>
      <c r="AW349" s="95"/>
      <c r="BD349" s="95"/>
      <c r="BE349" s="95"/>
      <c r="BF349" s="95"/>
      <c r="BG349" s="95"/>
    </row>
    <row r="350" spans="1:59" s="83" customFormat="1">
      <c r="A350" s="124"/>
      <c r="B350" s="124"/>
      <c r="C350" s="124"/>
      <c r="D350" s="124"/>
      <c r="E350" s="124"/>
      <c r="F350" s="124"/>
      <c r="G350" s="124"/>
      <c r="H350" s="124"/>
      <c r="I350" s="124"/>
      <c r="J350" s="124"/>
      <c r="K350" s="124"/>
      <c r="L350" s="124"/>
      <c r="M350" s="124"/>
      <c r="N350" s="124"/>
      <c r="O350" s="124"/>
      <c r="P350" s="124"/>
      <c r="Q350" s="124"/>
      <c r="R350" s="124"/>
      <c r="S350" s="124"/>
      <c r="T350" s="124"/>
      <c r="U350" s="125"/>
      <c r="V350" s="124"/>
      <c r="W350" s="124"/>
      <c r="X350" s="124"/>
      <c r="Y350" s="124"/>
      <c r="Z350" s="124"/>
      <c r="AA350" s="124"/>
      <c r="AB350" s="124"/>
      <c r="AC350" s="124"/>
      <c r="AD350" s="124"/>
      <c r="AE350" s="124"/>
      <c r="AF350" s="124"/>
      <c r="AG350" s="124"/>
      <c r="AH350" s="124"/>
      <c r="AI350" s="124"/>
      <c r="AJ350" s="124"/>
      <c r="AK350" s="124"/>
      <c r="AL350" s="124"/>
      <c r="AM350" s="124"/>
      <c r="AN350" s="125"/>
      <c r="AO350" s="125"/>
      <c r="AP350" s="81"/>
      <c r="AQ350" s="82"/>
      <c r="AR350" s="96"/>
      <c r="AS350" s="96"/>
      <c r="AT350" s="96"/>
      <c r="AU350" s="82"/>
      <c r="AW350" s="95"/>
      <c r="BD350" s="95"/>
      <c r="BE350" s="95"/>
      <c r="BF350" s="95"/>
      <c r="BG350" s="95"/>
    </row>
    <row r="351" spans="1:59" s="83" customFormat="1">
      <c r="A351" s="124"/>
      <c r="B351" s="124"/>
      <c r="C351" s="124"/>
      <c r="D351" s="124"/>
      <c r="E351" s="124"/>
      <c r="F351" s="124"/>
      <c r="G351" s="124"/>
      <c r="H351" s="124"/>
      <c r="I351" s="124"/>
      <c r="J351" s="124"/>
      <c r="K351" s="124"/>
      <c r="L351" s="124"/>
      <c r="M351" s="124"/>
      <c r="N351" s="124"/>
      <c r="O351" s="124"/>
      <c r="P351" s="124"/>
      <c r="Q351" s="124"/>
      <c r="R351" s="124"/>
      <c r="S351" s="124"/>
      <c r="T351" s="124"/>
      <c r="U351" s="125"/>
      <c r="V351" s="124"/>
      <c r="W351" s="124"/>
      <c r="X351" s="124"/>
      <c r="Y351" s="124"/>
      <c r="Z351" s="124"/>
      <c r="AA351" s="124"/>
      <c r="AB351" s="124"/>
      <c r="AC351" s="124"/>
      <c r="AD351" s="124"/>
      <c r="AE351" s="124"/>
      <c r="AF351" s="124"/>
      <c r="AG351" s="124"/>
      <c r="AH351" s="124"/>
      <c r="AI351" s="124"/>
      <c r="AJ351" s="124"/>
      <c r="AK351" s="124"/>
      <c r="AL351" s="124"/>
      <c r="AM351" s="124"/>
      <c r="AN351" s="125"/>
      <c r="AO351" s="125"/>
      <c r="AP351" s="81"/>
      <c r="AQ351" s="82"/>
      <c r="AR351" s="96"/>
      <c r="AS351" s="96"/>
      <c r="AT351" s="96"/>
      <c r="AU351" s="82"/>
      <c r="AW351" s="95"/>
      <c r="BD351" s="95"/>
      <c r="BE351" s="95"/>
      <c r="BF351" s="95"/>
      <c r="BG351" s="95"/>
    </row>
    <row r="352" spans="1:59" s="83" customFormat="1">
      <c r="A352" s="124"/>
      <c r="B352" s="124"/>
      <c r="C352" s="124"/>
      <c r="D352" s="124"/>
      <c r="E352" s="124"/>
      <c r="F352" s="124"/>
      <c r="G352" s="124"/>
      <c r="H352" s="124"/>
      <c r="I352" s="124"/>
      <c r="J352" s="124"/>
      <c r="K352" s="124"/>
      <c r="L352" s="124"/>
      <c r="M352" s="124"/>
      <c r="N352" s="124"/>
      <c r="O352" s="124"/>
      <c r="P352" s="124"/>
      <c r="Q352" s="124"/>
      <c r="R352" s="124"/>
      <c r="S352" s="124"/>
      <c r="T352" s="124"/>
      <c r="U352" s="125"/>
      <c r="V352" s="124"/>
      <c r="W352" s="124"/>
      <c r="X352" s="124"/>
      <c r="Y352" s="124"/>
      <c r="Z352" s="124"/>
      <c r="AA352" s="124"/>
      <c r="AB352" s="124"/>
      <c r="AC352" s="124"/>
      <c r="AD352" s="124"/>
      <c r="AE352" s="124"/>
      <c r="AF352" s="124"/>
      <c r="AG352" s="124"/>
      <c r="AH352" s="124"/>
      <c r="AI352" s="124"/>
      <c r="AJ352" s="124"/>
      <c r="AK352" s="124"/>
      <c r="AL352" s="124"/>
      <c r="AM352" s="124"/>
      <c r="AN352" s="125"/>
      <c r="AO352" s="125"/>
      <c r="AP352" s="81"/>
      <c r="AQ352" s="82"/>
      <c r="AR352" s="96"/>
      <c r="AS352" s="96"/>
      <c r="AT352" s="96"/>
      <c r="AU352" s="82"/>
      <c r="AW352" s="95"/>
      <c r="BD352" s="95"/>
      <c r="BE352" s="95"/>
      <c r="BF352" s="95"/>
      <c r="BG352" s="95"/>
    </row>
    <row r="353" spans="1:59" s="83" customFormat="1">
      <c r="A353" s="124"/>
      <c r="B353" s="124"/>
      <c r="C353" s="124"/>
      <c r="D353" s="124"/>
      <c r="E353" s="124"/>
      <c r="F353" s="124"/>
      <c r="G353" s="124"/>
      <c r="H353" s="124"/>
      <c r="I353" s="124"/>
      <c r="J353" s="124"/>
      <c r="K353" s="124"/>
      <c r="L353" s="124"/>
      <c r="M353" s="124"/>
      <c r="N353" s="124"/>
      <c r="O353" s="124"/>
      <c r="P353" s="124"/>
      <c r="Q353" s="124"/>
      <c r="R353" s="124"/>
      <c r="S353" s="124"/>
      <c r="T353" s="124"/>
      <c r="U353" s="125"/>
      <c r="V353" s="124"/>
      <c r="W353" s="124"/>
      <c r="X353" s="124"/>
      <c r="Y353" s="124"/>
      <c r="Z353" s="124"/>
      <c r="AA353" s="124"/>
      <c r="AB353" s="124"/>
      <c r="AC353" s="124"/>
      <c r="AD353" s="124"/>
      <c r="AE353" s="124"/>
      <c r="AF353" s="124"/>
      <c r="AG353" s="124"/>
      <c r="AH353" s="124"/>
      <c r="AI353" s="124"/>
      <c r="AJ353" s="124"/>
      <c r="AK353" s="124"/>
      <c r="AL353" s="124"/>
      <c r="AM353" s="124"/>
      <c r="AN353" s="125"/>
      <c r="AO353" s="125"/>
      <c r="AP353" s="81"/>
      <c r="AQ353" s="82"/>
      <c r="AR353" s="96"/>
      <c r="AS353" s="96"/>
      <c r="AT353" s="96"/>
      <c r="AU353" s="82"/>
      <c r="AW353" s="95"/>
      <c r="BD353" s="95"/>
      <c r="BE353" s="95"/>
      <c r="BF353" s="95"/>
      <c r="BG353" s="95"/>
    </row>
    <row r="354" spans="1:59" s="83" customFormat="1">
      <c r="A354" s="124"/>
      <c r="B354" s="124"/>
      <c r="C354" s="124"/>
      <c r="D354" s="124"/>
      <c r="E354" s="124"/>
      <c r="F354" s="124"/>
      <c r="G354" s="124"/>
      <c r="H354" s="124"/>
      <c r="I354" s="124"/>
      <c r="J354" s="124"/>
      <c r="K354" s="124"/>
      <c r="L354" s="124"/>
      <c r="M354" s="124"/>
      <c r="N354" s="124"/>
      <c r="O354" s="124"/>
      <c r="P354" s="124"/>
      <c r="Q354" s="124"/>
      <c r="R354" s="124"/>
      <c r="S354" s="124"/>
      <c r="T354" s="124"/>
      <c r="U354" s="125"/>
      <c r="V354" s="124"/>
      <c r="W354" s="124"/>
      <c r="X354" s="124"/>
      <c r="Y354" s="124"/>
      <c r="Z354" s="124"/>
      <c r="AA354" s="124"/>
      <c r="AB354" s="124"/>
      <c r="AC354" s="124"/>
      <c r="AD354" s="124"/>
      <c r="AE354" s="124"/>
      <c r="AF354" s="124"/>
      <c r="AG354" s="124"/>
      <c r="AH354" s="124"/>
      <c r="AI354" s="124"/>
      <c r="AJ354" s="124"/>
      <c r="AK354" s="124"/>
      <c r="AL354" s="124"/>
      <c r="AM354" s="124"/>
      <c r="AN354" s="125"/>
      <c r="AO354" s="125"/>
      <c r="AP354" s="81"/>
      <c r="AQ354" s="82"/>
      <c r="AR354" s="96"/>
      <c r="AS354" s="96"/>
      <c r="AT354" s="96"/>
      <c r="AU354" s="82"/>
      <c r="AW354" s="95"/>
      <c r="BD354" s="95"/>
      <c r="BE354" s="95"/>
      <c r="BF354" s="95"/>
      <c r="BG354" s="95"/>
    </row>
    <row r="355" spans="1:59" s="83" customFormat="1">
      <c r="A355" s="124"/>
      <c r="B355" s="124"/>
      <c r="C355" s="124"/>
      <c r="D355" s="124"/>
      <c r="E355" s="124"/>
      <c r="F355" s="124"/>
      <c r="G355" s="124"/>
      <c r="H355" s="124"/>
      <c r="I355" s="124"/>
      <c r="J355" s="124"/>
      <c r="K355" s="124"/>
      <c r="L355" s="124"/>
      <c r="M355" s="124"/>
      <c r="N355" s="124"/>
      <c r="O355" s="124"/>
      <c r="P355" s="124"/>
      <c r="Q355" s="124"/>
      <c r="R355" s="124"/>
      <c r="S355" s="124"/>
      <c r="T355" s="124"/>
      <c r="U355" s="125"/>
      <c r="V355" s="124"/>
      <c r="W355" s="124"/>
      <c r="X355" s="124"/>
      <c r="Y355" s="124"/>
      <c r="Z355" s="124"/>
      <c r="AA355" s="124"/>
      <c r="AB355" s="124"/>
      <c r="AC355" s="124"/>
      <c r="AD355" s="124"/>
      <c r="AE355" s="124"/>
      <c r="AF355" s="124"/>
      <c r="AG355" s="124"/>
      <c r="AH355" s="124"/>
      <c r="AI355" s="124"/>
      <c r="AJ355" s="124"/>
      <c r="AK355" s="124"/>
      <c r="AL355" s="124"/>
      <c r="AM355" s="124"/>
      <c r="AN355" s="125"/>
      <c r="AO355" s="125"/>
      <c r="AP355" s="81"/>
      <c r="AQ355" s="82"/>
      <c r="AR355" s="96"/>
      <c r="AS355" s="96"/>
      <c r="AT355" s="96"/>
      <c r="AU355" s="82"/>
      <c r="AW355" s="95"/>
      <c r="BD355" s="95"/>
      <c r="BE355" s="95"/>
      <c r="BF355" s="95"/>
      <c r="BG355" s="95"/>
    </row>
    <row r="356" spans="1:59" s="83" customFormat="1">
      <c r="A356" s="124"/>
      <c r="B356" s="124"/>
      <c r="C356" s="124"/>
      <c r="D356" s="124"/>
      <c r="E356" s="124"/>
      <c r="F356" s="124"/>
      <c r="G356" s="124"/>
      <c r="H356" s="124"/>
      <c r="I356" s="124"/>
      <c r="J356" s="124"/>
      <c r="K356" s="124"/>
      <c r="L356" s="124"/>
      <c r="M356" s="124"/>
      <c r="N356" s="124"/>
      <c r="O356" s="124"/>
      <c r="P356" s="124"/>
      <c r="Q356" s="124"/>
      <c r="R356" s="124"/>
      <c r="S356" s="124"/>
      <c r="T356" s="124"/>
      <c r="U356" s="125"/>
      <c r="V356" s="124"/>
      <c r="W356" s="124"/>
      <c r="X356" s="124"/>
      <c r="Y356" s="124"/>
      <c r="Z356" s="124"/>
      <c r="AA356" s="124"/>
      <c r="AB356" s="124"/>
      <c r="AC356" s="124"/>
      <c r="AD356" s="124"/>
      <c r="AE356" s="124"/>
      <c r="AF356" s="124"/>
      <c r="AG356" s="124"/>
      <c r="AH356" s="124"/>
      <c r="AI356" s="124"/>
      <c r="AJ356" s="124"/>
      <c r="AK356" s="124"/>
      <c r="AL356" s="124"/>
      <c r="AM356" s="124"/>
      <c r="AN356" s="125"/>
      <c r="AO356" s="125"/>
      <c r="AP356" s="81"/>
      <c r="AQ356" s="82"/>
      <c r="AR356" s="96"/>
      <c r="AS356" s="96"/>
      <c r="AT356" s="96"/>
      <c r="AU356" s="82"/>
      <c r="AW356" s="95"/>
      <c r="BD356" s="95"/>
      <c r="BE356" s="95"/>
      <c r="BF356" s="95"/>
      <c r="BG356" s="95"/>
    </row>
    <row r="357" spans="1:59" s="83" customFormat="1">
      <c r="A357" s="124"/>
      <c r="B357" s="124"/>
      <c r="C357" s="124"/>
      <c r="D357" s="124"/>
      <c r="E357" s="124"/>
      <c r="F357" s="124"/>
      <c r="G357" s="124"/>
      <c r="H357" s="124"/>
      <c r="I357" s="124"/>
      <c r="J357" s="124"/>
      <c r="K357" s="124"/>
      <c r="L357" s="124"/>
      <c r="M357" s="124"/>
      <c r="N357" s="124"/>
      <c r="O357" s="124"/>
      <c r="P357" s="124"/>
      <c r="Q357" s="124"/>
      <c r="R357" s="124"/>
      <c r="S357" s="124"/>
      <c r="T357" s="124"/>
      <c r="U357" s="125"/>
      <c r="V357" s="124"/>
      <c r="W357" s="124"/>
      <c r="X357" s="124"/>
      <c r="Y357" s="124"/>
      <c r="Z357" s="124"/>
      <c r="AA357" s="124"/>
      <c r="AB357" s="124"/>
      <c r="AC357" s="124"/>
      <c r="AD357" s="124"/>
      <c r="AE357" s="124"/>
      <c r="AF357" s="124"/>
      <c r="AG357" s="124"/>
      <c r="AH357" s="124"/>
      <c r="AI357" s="124"/>
      <c r="AJ357" s="124"/>
      <c r="AK357" s="124"/>
      <c r="AL357" s="124"/>
      <c r="AM357" s="124"/>
      <c r="AN357" s="125"/>
      <c r="AO357" s="125"/>
      <c r="AP357" s="81"/>
      <c r="AQ357" s="82"/>
      <c r="AR357" s="96"/>
      <c r="AS357" s="96"/>
      <c r="AT357" s="96"/>
      <c r="AU357" s="82"/>
      <c r="AW357" s="95"/>
      <c r="BD357" s="95"/>
      <c r="BE357" s="95"/>
      <c r="BF357" s="95"/>
      <c r="BG357" s="95"/>
    </row>
    <row r="358" spans="1:59" s="83" customFormat="1">
      <c r="A358" s="124"/>
      <c r="B358" s="124"/>
      <c r="C358" s="124"/>
      <c r="D358" s="124"/>
      <c r="E358" s="124"/>
      <c r="F358" s="124"/>
      <c r="G358" s="124"/>
      <c r="H358" s="124"/>
      <c r="I358" s="124"/>
      <c r="J358" s="124"/>
      <c r="K358" s="124"/>
      <c r="L358" s="124"/>
      <c r="M358" s="124"/>
      <c r="N358" s="124"/>
      <c r="O358" s="124"/>
      <c r="P358" s="124"/>
      <c r="Q358" s="124"/>
      <c r="R358" s="124"/>
      <c r="S358" s="124"/>
      <c r="T358" s="124"/>
      <c r="U358" s="125"/>
      <c r="V358" s="124"/>
      <c r="W358" s="124"/>
      <c r="X358" s="124"/>
      <c r="Y358" s="124"/>
      <c r="Z358" s="124"/>
      <c r="AA358" s="124"/>
      <c r="AB358" s="124"/>
      <c r="AC358" s="124"/>
      <c r="AD358" s="124"/>
      <c r="AE358" s="124"/>
      <c r="AF358" s="124"/>
      <c r="AG358" s="124"/>
      <c r="AH358" s="124"/>
      <c r="AI358" s="124"/>
      <c r="AJ358" s="124"/>
      <c r="AK358" s="124"/>
      <c r="AL358" s="124"/>
      <c r="AM358" s="124"/>
      <c r="AN358" s="125"/>
      <c r="AO358" s="125"/>
      <c r="AP358" s="81"/>
      <c r="AQ358" s="82"/>
      <c r="AR358" s="96"/>
      <c r="AS358" s="96"/>
      <c r="AT358" s="96"/>
      <c r="AU358" s="82"/>
      <c r="AW358" s="95"/>
      <c r="BD358" s="95"/>
      <c r="BE358" s="95"/>
      <c r="BF358" s="95"/>
      <c r="BG358" s="95"/>
    </row>
    <row r="359" spans="1:59" s="83" customFormat="1">
      <c r="A359" s="124"/>
      <c r="B359" s="124"/>
      <c r="C359" s="124"/>
      <c r="D359" s="124"/>
      <c r="E359" s="124"/>
      <c r="F359" s="124"/>
      <c r="G359" s="124"/>
      <c r="H359" s="124"/>
      <c r="I359" s="124"/>
      <c r="J359" s="124"/>
      <c r="K359" s="124"/>
      <c r="L359" s="124"/>
      <c r="M359" s="124"/>
      <c r="N359" s="124"/>
      <c r="O359" s="124"/>
      <c r="P359" s="124"/>
      <c r="Q359" s="124"/>
      <c r="R359" s="124"/>
      <c r="S359" s="124"/>
      <c r="T359" s="124"/>
      <c r="U359" s="125"/>
      <c r="V359" s="124"/>
      <c r="W359" s="124"/>
      <c r="X359" s="124"/>
      <c r="Y359" s="124"/>
      <c r="Z359" s="124"/>
      <c r="AA359" s="124"/>
      <c r="AB359" s="124"/>
      <c r="AC359" s="124"/>
      <c r="AD359" s="124"/>
      <c r="AE359" s="124"/>
      <c r="AF359" s="124"/>
      <c r="AG359" s="124"/>
      <c r="AH359" s="124"/>
      <c r="AI359" s="124"/>
      <c r="AJ359" s="124"/>
      <c r="AK359" s="124"/>
      <c r="AL359" s="124"/>
      <c r="AM359" s="124"/>
      <c r="AN359" s="125"/>
      <c r="AO359" s="125"/>
      <c r="AP359" s="81"/>
      <c r="AQ359" s="82"/>
      <c r="AR359" s="96"/>
      <c r="AS359" s="96"/>
      <c r="AT359" s="96"/>
      <c r="AU359" s="82"/>
      <c r="AW359" s="95"/>
      <c r="BD359" s="95"/>
      <c r="BE359" s="95"/>
      <c r="BF359" s="95"/>
      <c r="BG359" s="95"/>
    </row>
    <row r="360" spans="1:59" s="83" customFormat="1">
      <c r="A360" s="124"/>
      <c r="B360" s="124"/>
      <c r="C360" s="124"/>
      <c r="D360" s="124"/>
      <c r="E360" s="124"/>
      <c r="F360" s="124"/>
      <c r="G360" s="124"/>
      <c r="H360" s="124"/>
      <c r="I360" s="124"/>
      <c r="J360" s="124"/>
      <c r="K360" s="124"/>
      <c r="L360" s="124"/>
      <c r="M360" s="124"/>
      <c r="N360" s="124"/>
      <c r="O360" s="124"/>
      <c r="P360" s="124"/>
      <c r="Q360" s="124"/>
      <c r="R360" s="124"/>
      <c r="S360" s="124"/>
      <c r="T360" s="124"/>
      <c r="U360" s="125"/>
      <c r="V360" s="124"/>
      <c r="W360" s="124"/>
      <c r="X360" s="124"/>
      <c r="Y360" s="124"/>
      <c r="Z360" s="124"/>
      <c r="AA360" s="124"/>
      <c r="AB360" s="124"/>
      <c r="AC360" s="124"/>
      <c r="AD360" s="124"/>
      <c r="AE360" s="124"/>
      <c r="AF360" s="124"/>
      <c r="AG360" s="124"/>
      <c r="AH360" s="124"/>
      <c r="AI360" s="124"/>
      <c r="AJ360" s="124"/>
      <c r="AK360" s="124"/>
      <c r="AL360" s="124"/>
      <c r="AM360" s="124"/>
      <c r="AN360" s="125"/>
      <c r="AO360" s="125"/>
      <c r="AP360" s="81"/>
      <c r="AQ360" s="82"/>
      <c r="AR360" s="96"/>
      <c r="AS360" s="96"/>
      <c r="AT360" s="96"/>
      <c r="AU360" s="82"/>
      <c r="AW360" s="95"/>
      <c r="BD360" s="95"/>
      <c r="BE360" s="95"/>
      <c r="BF360" s="95"/>
      <c r="BG360" s="95"/>
    </row>
    <row r="361" spans="1:59" s="83" customFormat="1">
      <c r="A361" s="124"/>
      <c r="B361" s="124"/>
      <c r="C361" s="124"/>
      <c r="D361" s="124"/>
      <c r="E361" s="124"/>
      <c r="F361" s="124"/>
      <c r="G361" s="124"/>
      <c r="H361" s="124"/>
      <c r="I361" s="124"/>
      <c r="J361" s="124"/>
      <c r="K361" s="124"/>
      <c r="L361" s="124"/>
      <c r="M361" s="124"/>
      <c r="N361" s="124"/>
      <c r="O361" s="124"/>
      <c r="P361" s="124"/>
      <c r="Q361" s="124"/>
      <c r="R361" s="124"/>
      <c r="S361" s="124"/>
      <c r="T361" s="124"/>
      <c r="U361" s="125"/>
      <c r="V361" s="124"/>
      <c r="W361" s="124"/>
      <c r="X361" s="124"/>
      <c r="Y361" s="124"/>
      <c r="Z361" s="124"/>
      <c r="AA361" s="124"/>
      <c r="AB361" s="124"/>
      <c r="AC361" s="124"/>
      <c r="AD361" s="124"/>
      <c r="AE361" s="124"/>
      <c r="AF361" s="124"/>
      <c r="AG361" s="124"/>
      <c r="AH361" s="124"/>
      <c r="AI361" s="124"/>
      <c r="AJ361" s="124"/>
      <c r="AK361" s="124"/>
      <c r="AL361" s="124"/>
      <c r="AM361" s="124"/>
      <c r="AN361" s="125"/>
      <c r="AO361" s="125"/>
      <c r="AP361" s="81"/>
      <c r="AQ361" s="82"/>
      <c r="AR361" s="96"/>
      <c r="AS361" s="96"/>
      <c r="AT361" s="96"/>
      <c r="AU361" s="82"/>
      <c r="AW361" s="95"/>
      <c r="BD361" s="95"/>
      <c r="BE361" s="95"/>
      <c r="BF361" s="95"/>
      <c r="BG361" s="95"/>
    </row>
    <row r="362" spans="1:59" s="83" customFormat="1">
      <c r="A362" s="124"/>
      <c r="B362" s="124"/>
      <c r="C362" s="124"/>
      <c r="D362" s="124"/>
      <c r="E362" s="124"/>
      <c r="F362" s="124"/>
      <c r="G362" s="124"/>
      <c r="H362" s="124"/>
      <c r="I362" s="124"/>
      <c r="J362" s="124"/>
      <c r="K362" s="124"/>
      <c r="L362" s="124"/>
      <c r="M362" s="124"/>
      <c r="N362" s="124"/>
      <c r="O362" s="124"/>
      <c r="P362" s="124"/>
      <c r="Q362" s="124"/>
      <c r="R362" s="124"/>
      <c r="S362" s="124"/>
      <c r="T362" s="124"/>
      <c r="U362" s="125"/>
      <c r="V362" s="124"/>
      <c r="W362" s="124"/>
      <c r="X362" s="124"/>
      <c r="Y362" s="124"/>
      <c r="Z362" s="124"/>
      <c r="AA362" s="124"/>
      <c r="AB362" s="124"/>
      <c r="AC362" s="124"/>
      <c r="AD362" s="124"/>
      <c r="AE362" s="124"/>
      <c r="AF362" s="124"/>
      <c r="AG362" s="124"/>
      <c r="AH362" s="124"/>
      <c r="AI362" s="124"/>
      <c r="AJ362" s="124"/>
      <c r="AK362" s="124"/>
      <c r="AL362" s="124"/>
      <c r="AM362" s="124"/>
      <c r="AN362" s="125"/>
      <c r="AO362" s="125"/>
      <c r="AP362" s="81"/>
      <c r="AQ362" s="82"/>
      <c r="AR362" s="96"/>
      <c r="AS362" s="96"/>
      <c r="AT362" s="96"/>
      <c r="AU362" s="82"/>
      <c r="AW362" s="95"/>
      <c r="BD362" s="95"/>
      <c r="BE362" s="95"/>
      <c r="BF362" s="95"/>
      <c r="BG362" s="95"/>
    </row>
    <row r="363" spans="1:59" s="83" customFormat="1">
      <c r="A363" s="124"/>
      <c r="B363" s="124"/>
      <c r="C363" s="124"/>
      <c r="D363" s="124"/>
      <c r="E363" s="124"/>
      <c r="F363" s="124"/>
      <c r="G363" s="124"/>
      <c r="H363" s="124"/>
      <c r="I363" s="124"/>
      <c r="J363" s="124"/>
      <c r="K363" s="124"/>
      <c r="L363" s="124"/>
      <c r="M363" s="124"/>
      <c r="N363" s="124"/>
      <c r="O363" s="124"/>
      <c r="P363" s="124"/>
      <c r="Q363" s="124"/>
      <c r="R363" s="124"/>
      <c r="S363" s="124"/>
      <c r="T363" s="124"/>
      <c r="U363" s="125"/>
      <c r="V363" s="124"/>
      <c r="W363" s="124"/>
      <c r="X363" s="124"/>
      <c r="Y363" s="124"/>
      <c r="Z363" s="124"/>
      <c r="AA363" s="124"/>
      <c r="AB363" s="124"/>
      <c r="AC363" s="124"/>
      <c r="AD363" s="124"/>
      <c r="AE363" s="124"/>
      <c r="AF363" s="124"/>
      <c r="AG363" s="124"/>
      <c r="AH363" s="124"/>
      <c r="AI363" s="124"/>
      <c r="AJ363" s="124"/>
      <c r="AK363" s="124"/>
      <c r="AL363" s="124"/>
      <c r="AM363" s="124"/>
      <c r="AN363" s="125"/>
      <c r="AO363" s="125"/>
      <c r="AP363" s="81"/>
      <c r="AQ363" s="82"/>
      <c r="AR363" s="96"/>
      <c r="AS363" s="96"/>
      <c r="AT363" s="96"/>
      <c r="AU363" s="82"/>
      <c r="AW363" s="95"/>
      <c r="BD363" s="95"/>
      <c r="BE363" s="95"/>
      <c r="BF363" s="95"/>
      <c r="BG363" s="95"/>
    </row>
    <row r="364" spans="1:59" s="83" customFormat="1">
      <c r="A364" s="124"/>
      <c r="B364" s="124"/>
      <c r="C364" s="124"/>
      <c r="D364" s="124"/>
      <c r="E364" s="124"/>
      <c r="F364" s="124"/>
      <c r="G364" s="124"/>
      <c r="H364" s="124"/>
      <c r="I364" s="124"/>
      <c r="J364" s="124"/>
      <c r="K364" s="124"/>
      <c r="L364" s="124"/>
      <c r="M364" s="124"/>
      <c r="N364" s="124"/>
      <c r="O364" s="124"/>
      <c r="P364" s="124"/>
      <c r="Q364" s="124"/>
      <c r="R364" s="124"/>
      <c r="S364" s="124"/>
      <c r="T364" s="124"/>
      <c r="U364" s="125"/>
      <c r="V364" s="124"/>
      <c r="W364" s="124"/>
      <c r="X364" s="124"/>
      <c r="Y364" s="124"/>
      <c r="Z364" s="124"/>
      <c r="AA364" s="124"/>
      <c r="AB364" s="124"/>
      <c r="AC364" s="124"/>
      <c r="AD364" s="124"/>
      <c r="AE364" s="124"/>
      <c r="AF364" s="124"/>
      <c r="AG364" s="124"/>
      <c r="AH364" s="124"/>
      <c r="AI364" s="124"/>
      <c r="AJ364" s="124"/>
      <c r="AK364" s="124"/>
      <c r="AL364" s="124"/>
      <c r="AM364" s="124"/>
      <c r="AN364" s="125"/>
      <c r="AO364" s="125"/>
      <c r="AP364" s="81"/>
      <c r="AQ364" s="82"/>
      <c r="AR364" s="96"/>
      <c r="AS364" s="96"/>
      <c r="AT364" s="96"/>
      <c r="AU364" s="82"/>
      <c r="AW364" s="95"/>
      <c r="BD364" s="95"/>
      <c r="BE364" s="95"/>
      <c r="BF364" s="95"/>
      <c r="BG364" s="95"/>
    </row>
    <row r="365" spans="1:59" s="83" customFormat="1">
      <c r="A365" s="124"/>
      <c r="B365" s="124"/>
      <c r="C365" s="124"/>
      <c r="D365" s="124"/>
      <c r="E365" s="124"/>
      <c r="F365" s="124"/>
      <c r="G365" s="124"/>
      <c r="H365" s="124"/>
      <c r="I365" s="124"/>
      <c r="J365" s="124"/>
      <c r="K365" s="124"/>
      <c r="L365" s="124"/>
      <c r="M365" s="124"/>
      <c r="N365" s="124"/>
      <c r="O365" s="124"/>
      <c r="P365" s="124"/>
      <c r="Q365" s="124"/>
      <c r="R365" s="124"/>
      <c r="S365" s="124"/>
      <c r="T365" s="124"/>
      <c r="U365" s="125"/>
      <c r="V365" s="124"/>
      <c r="W365" s="124"/>
      <c r="X365" s="124"/>
      <c r="Y365" s="124"/>
      <c r="Z365" s="124"/>
      <c r="AA365" s="124"/>
      <c r="AB365" s="124"/>
      <c r="AC365" s="124"/>
      <c r="AD365" s="124"/>
      <c r="AE365" s="124"/>
      <c r="AF365" s="124"/>
      <c r="AG365" s="124"/>
      <c r="AH365" s="124"/>
      <c r="AI365" s="124"/>
      <c r="AJ365" s="124"/>
      <c r="AK365" s="124"/>
      <c r="AL365" s="124"/>
      <c r="AM365" s="124"/>
      <c r="AN365" s="125"/>
      <c r="AO365" s="125"/>
      <c r="AP365" s="81"/>
      <c r="AQ365" s="82"/>
      <c r="AR365" s="96"/>
      <c r="AS365" s="96"/>
      <c r="AT365" s="96"/>
      <c r="AU365" s="82"/>
      <c r="AW365" s="95"/>
      <c r="BD365" s="95"/>
      <c r="BE365" s="95"/>
      <c r="BF365" s="95"/>
      <c r="BG365" s="95"/>
    </row>
    <row r="366" spans="1:59" s="83" customFormat="1">
      <c r="A366" s="124"/>
      <c r="B366" s="124"/>
      <c r="C366" s="124"/>
      <c r="D366" s="124"/>
      <c r="E366" s="124"/>
      <c r="F366" s="124"/>
      <c r="G366" s="124"/>
      <c r="H366" s="124"/>
      <c r="I366" s="124"/>
      <c r="J366" s="124"/>
      <c r="K366" s="124"/>
      <c r="L366" s="124"/>
      <c r="M366" s="124"/>
      <c r="N366" s="124"/>
      <c r="O366" s="124"/>
      <c r="P366" s="124"/>
      <c r="Q366" s="124"/>
      <c r="R366" s="124"/>
      <c r="S366" s="124"/>
      <c r="T366" s="124"/>
      <c r="U366" s="125"/>
      <c r="V366" s="124"/>
      <c r="W366" s="124"/>
      <c r="X366" s="124"/>
      <c r="Y366" s="124"/>
      <c r="Z366" s="124"/>
      <c r="AA366" s="124"/>
      <c r="AB366" s="124"/>
      <c r="AC366" s="124"/>
      <c r="AD366" s="124"/>
      <c r="AE366" s="124"/>
      <c r="AF366" s="124"/>
      <c r="AG366" s="124"/>
      <c r="AH366" s="124"/>
      <c r="AI366" s="124"/>
      <c r="AJ366" s="124"/>
      <c r="AK366" s="124"/>
      <c r="AL366" s="124"/>
      <c r="AM366" s="124"/>
      <c r="AN366" s="125"/>
      <c r="AO366" s="125"/>
      <c r="AP366" s="81"/>
      <c r="AQ366" s="82"/>
      <c r="AR366" s="96"/>
      <c r="AS366" s="96"/>
      <c r="AT366" s="96"/>
      <c r="AU366" s="82"/>
      <c r="AW366" s="95"/>
      <c r="BD366" s="95"/>
      <c r="BE366" s="95"/>
      <c r="BF366" s="95"/>
      <c r="BG366" s="95"/>
    </row>
    <row r="367" spans="1:59" s="83" customFormat="1">
      <c r="A367" s="124"/>
      <c r="B367" s="124"/>
      <c r="C367" s="124"/>
      <c r="D367" s="124"/>
      <c r="E367" s="124"/>
      <c r="F367" s="124"/>
      <c r="G367" s="124"/>
      <c r="H367" s="124"/>
      <c r="I367" s="124"/>
      <c r="J367" s="124"/>
      <c r="K367" s="124"/>
      <c r="L367" s="124"/>
      <c r="M367" s="124"/>
      <c r="N367" s="124"/>
      <c r="O367" s="124"/>
      <c r="P367" s="124"/>
      <c r="Q367" s="124"/>
      <c r="R367" s="124"/>
      <c r="S367" s="124"/>
      <c r="T367" s="124"/>
      <c r="U367" s="125"/>
      <c r="V367" s="124"/>
      <c r="W367" s="124"/>
      <c r="X367" s="124"/>
      <c r="Y367" s="124"/>
      <c r="Z367" s="124"/>
      <c r="AA367" s="124"/>
      <c r="AB367" s="124"/>
      <c r="AC367" s="124"/>
      <c r="AD367" s="124"/>
      <c r="AE367" s="124"/>
      <c r="AF367" s="124"/>
      <c r="AG367" s="124"/>
      <c r="AH367" s="124"/>
      <c r="AI367" s="124"/>
      <c r="AJ367" s="124"/>
      <c r="AK367" s="124"/>
      <c r="AL367" s="124"/>
      <c r="AM367" s="124"/>
      <c r="AN367" s="125"/>
      <c r="AO367" s="125"/>
      <c r="AP367" s="81"/>
      <c r="AQ367" s="82"/>
      <c r="AR367" s="96"/>
      <c r="AS367" s="96"/>
      <c r="AT367" s="96"/>
      <c r="AU367" s="82"/>
      <c r="AW367" s="95"/>
      <c r="BD367" s="95"/>
      <c r="BE367" s="95"/>
      <c r="BF367" s="95"/>
      <c r="BG367" s="95"/>
    </row>
    <row r="368" spans="1:59" s="83" customFormat="1">
      <c r="A368" s="124"/>
      <c r="B368" s="124"/>
      <c r="C368" s="124"/>
      <c r="D368" s="124"/>
      <c r="E368" s="124"/>
      <c r="F368" s="124"/>
      <c r="G368" s="124"/>
      <c r="H368" s="124"/>
      <c r="I368" s="124"/>
      <c r="J368" s="124"/>
      <c r="K368" s="124"/>
      <c r="L368" s="124"/>
      <c r="M368" s="124"/>
      <c r="N368" s="124"/>
      <c r="O368" s="124"/>
      <c r="P368" s="124"/>
      <c r="Q368" s="124"/>
      <c r="R368" s="124"/>
      <c r="S368" s="124"/>
      <c r="T368" s="124"/>
      <c r="U368" s="125"/>
      <c r="V368" s="124"/>
      <c r="W368" s="124"/>
      <c r="X368" s="124"/>
      <c r="Y368" s="124"/>
      <c r="Z368" s="124"/>
      <c r="AA368" s="124"/>
      <c r="AB368" s="124"/>
      <c r="AC368" s="124"/>
      <c r="AD368" s="124"/>
      <c r="AE368" s="124"/>
      <c r="AF368" s="124"/>
      <c r="AG368" s="124"/>
      <c r="AH368" s="124"/>
      <c r="AI368" s="124"/>
      <c r="AJ368" s="124"/>
      <c r="AK368" s="124"/>
      <c r="AL368" s="124"/>
      <c r="AM368" s="124"/>
      <c r="AN368" s="125"/>
      <c r="AO368" s="125"/>
      <c r="AP368" s="81"/>
      <c r="AQ368" s="82"/>
      <c r="AR368" s="96"/>
      <c r="AS368" s="96"/>
      <c r="AT368" s="96"/>
      <c r="AU368" s="82"/>
      <c r="AW368" s="95"/>
      <c r="BD368" s="95"/>
      <c r="BE368" s="95"/>
      <c r="BF368" s="95"/>
      <c r="BG368" s="95"/>
    </row>
    <row r="369" spans="1:59" s="83" customFormat="1">
      <c r="A369" s="124"/>
      <c r="B369" s="124"/>
      <c r="C369" s="124"/>
      <c r="D369" s="124"/>
      <c r="E369" s="124"/>
      <c r="F369" s="124"/>
      <c r="G369" s="124"/>
      <c r="H369" s="124"/>
      <c r="I369" s="124"/>
      <c r="J369" s="124"/>
      <c r="K369" s="124"/>
      <c r="L369" s="124"/>
      <c r="M369" s="124"/>
      <c r="N369" s="124"/>
      <c r="O369" s="124"/>
      <c r="P369" s="124"/>
      <c r="Q369" s="124"/>
      <c r="R369" s="124"/>
      <c r="S369" s="124"/>
      <c r="T369" s="124"/>
      <c r="U369" s="125"/>
      <c r="V369" s="124"/>
      <c r="W369" s="124"/>
      <c r="X369" s="124"/>
      <c r="Y369" s="124"/>
      <c r="Z369" s="124"/>
      <c r="AA369" s="124"/>
      <c r="AB369" s="124"/>
      <c r="AC369" s="124"/>
      <c r="AD369" s="124"/>
      <c r="AE369" s="124"/>
      <c r="AF369" s="124"/>
      <c r="AG369" s="124"/>
      <c r="AH369" s="124"/>
      <c r="AI369" s="124"/>
      <c r="AJ369" s="124"/>
      <c r="AK369" s="124"/>
      <c r="AL369" s="124"/>
      <c r="AM369" s="124"/>
      <c r="AN369" s="125"/>
      <c r="AO369" s="125"/>
      <c r="AP369" s="81"/>
      <c r="AQ369" s="82"/>
      <c r="AR369" s="96"/>
      <c r="AS369" s="96"/>
      <c r="AT369" s="96"/>
      <c r="AU369" s="82"/>
      <c r="AW369" s="95"/>
      <c r="BD369" s="95"/>
      <c r="BE369" s="95"/>
      <c r="BF369" s="95"/>
      <c r="BG369" s="95"/>
    </row>
    <row r="370" spans="1:59" s="83" customFormat="1">
      <c r="A370" s="124"/>
      <c r="B370" s="124"/>
      <c r="C370" s="124"/>
      <c r="D370" s="124"/>
      <c r="E370" s="124"/>
      <c r="F370" s="124"/>
      <c r="G370" s="124"/>
      <c r="H370" s="124"/>
      <c r="I370" s="124"/>
      <c r="J370" s="124"/>
      <c r="K370" s="124"/>
      <c r="L370" s="124"/>
      <c r="M370" s="124"/>
      <c r="N370" s="124"/>
      <c r="O370" s="124"/>
      <c r="P370" s="124"/>
      <c r="Q370" s="124"/>
      <c r="R370" s="124"/>
      <c r="S370" s="124"/>
      <c r="T370" s="124"/>
      <c r="U370" s="125"/>
      <c r="V370" s="124"/>
      <c r="W370" s="124"/>
      <c r="X370" s="124"/>
      <c r="Y370" s="124"/>
      <c r="Z370" s="124"/>
      <c r="AA370" s="124"/>
      <c r="AB370" s="124"/>
      <c r="AC370" s="124"/>
      <c r="AD370" s="124"/>
      <c r="AE370" s="124"/>
      <c r="AF370" s="124"/>
      <c r="AG370" s="124"/>
      <c r="AH370" s="124"/>
      <c r="AI370" s="124"/>
      <c r="AJ370" s="124"/>
      <c r="AK370" s="124"/>
      <c r="AL370" s="124"/>
      <c r="AM370" s="124"/>
      <c r="AN370" s="125"/>
      <c r="AO370" s="125"/>
      <c r="AP370" s="81"/>
      <c r="AQ370" s="82"/>
      <c r="AR370" s="96"/>
      <c r="AS370" s="96"/>
      <c r="AT370" s="96"/>
      <c r="AU370" s="82"/>
      <c r="AW370" s="95"/>
      <c r="BD370" s="95"/>
      <c r="BE370" s="95"/>
      <c r="BF370" s="95"/>
      <c r="BG370" s="95"/>
    </row>
    <row r="371" spans="1:59" s="83" customFormat="1">
      <c r="A371" s="124"/>
      <c r="B371" s="124"/>
      <c r="C371" s="124"/>
      <c r="D371" s="124"/>
      <c r="E371" s="124"/>
      <c r="F371" s="124"/>
      <c r="G371" s="124"/>
      <c r="H371" s="124"/>
      <c r="I371" s="124"/>
      <c r="J371" s="124"/>
      <c r="K371" s="124"/>
      <c r="L371" s="124"/>
      <c r="M371" s="124"/>
      <c r="N371" s="124"/>
      <c r="O371" s="124"/>
      <c r="P371" s="124"/>
      <c r="Q371" s="124"/>
      <c r="R371" s="124"/>
      <c r="S371" s="124"/>
      <c r="T371" s="124"/>
      <c r="U371" s="125"/>
      <c r="V371" s="124"/>
      <c r="W371" s="124"/>
      <c r="X371" s="124"/>
      <c r="Y371" s="124"/>
      <c r="Z371" s="124"/>
      <c r="AA371" s="124"/>
      <c r="AB371" s="124"/>
      <c r="AC371" s="124"/>
      <c r="AD371" s="124"/>
      <c r="AE371" s="124"/>
      <c r="AF371" s="124"/>
      <c r="AG371" s="124"/>
      <c r="AH371" s="124"/>
      <c r="AI371" s="124"/>
      <c r="AJ371" s="124"/>
      <c r="AK371" s="124"/>
      <c r="AL371" s="124"/>
      <c r="AM371" s="124"/>
      <c r="AN371" s="125"/>
      <c r="AO371" s="125"/>
      <c r="AP371" s="81"/>
      <c r="AQ371" s="82"/>
      <c r="AR371" s="96"/>
      <c r="AS371" s="96"/>
      <c r="AT371" s="96"/>
      <c r="AU371" s="82"/>
      <c r="AW371" s="95"/>
      <c r="BD371" s="95"/>
      <c r="BE371" s="95"/>
      <c r="BF371" s="95"/>
      <c r="BG371" s="95"/>
    </row>
    <row r="372" spans="1:59" s="83" customFormat="1">
      <c r="A372" s="124"/>
      <c r="B372" s="124"/>
      <c r="C372" s="124"/>
      <c r="D372" s="124"/>
      <c r="E372" s="124"/>
      <c r="F372" s="124"/>
      <c r="G372" s="124"/>
      <c r="H372" s="124"/>
      <c r="I372" s="124"/>
      <c r="J372" s="124"/>
      <c r="K372" s="124"/>
      <c r="L372" s="124"/>
      <c r="M372" s="124"/>
      <c r="N372" s="124"/>
      <c r="O372" s="124"/>
      <c r="P372" s="124"/>
      <c r="Q372" s="124"/>
      <c r="R372" s="124"/>
      <c r="S372" s="124"/>
      <c r="T372" s="124"/>
      <c r="U372" s="125"/>
      <c r="V372" s="124"/>
      <c r="W372" s="124"/>
      <c r="X372" s="124"/>
      <c r="Y372" s="124"/>
      <c r="Z372" s="124"/>
      <c r="AA372" s="124"/>
      <c r="AB372" s="124"/>
      <c r="AC372" s="124"/>
      <c r="AD372" s="124"/>
      <c r="AE372" s="124"/>
      <c r="AF372" s="124"/>
      <c r="AG372" s="124"/>
      <c r="AH372" s="124"/>
      <c r="AI372" s="124"/>
      <c r="AJ372" s="124"/>
      <c r="AK372" s="124"/>
      <c r="AL372" s="124"/>
      <c r="AM372" s="124"/>
      <c r="AN372" s="125"/>
      <c r="AO372" s="125"/>
      <c r="AP372" s="81"/>
      <c r="AQ372" s="82"/>
      <c r="AR372" s="96"/>
      <c r="AS372" s="96"/>
      <c r="AT372" s="96"/>
      <c r="AU372" s="82"/>
      <c r="AW372" s="95"/>
      <c r="BD372" s="95"/>
      <c r="BE372" s="95"/>
      <c r="BF372" s="95"/>
      <c r="BG372" s="95"/>
    </row>
    <row r="373" spans="1:59" s="83" customFormat="1">
      <c r="A373" s="124"/>
      <c r="B373" s="124"/>
      <c r="C373" s="124"/>
      <c r="D373" s="124"/>
      <c r="E373" s="124"/>
      <c r="F373" s="124"/>
      <c r="G373" s="124"/>
      <c r="H373" s="124"/>
      <c r="I373" s="124"/>
      <c r="J373" s="124"/>
      <c r="K373" s="124"/>
      <c r="L373" s="124"/>
      <c r="M373" s="124"/>
      <c r="N373" s="124"/>
      <c r="O373" s="124"/>
      <c r="P373" s="124"/>
      <c r="Q373" s="124"/>
      <c r="R373" s="124"/>
      <c r="S373" s="124"/>
      <c r="T373" s="124"/>
      <c r="U373" s="125"/>
      <c r="V373" s="124"/>
      <c r="W373" s="124"/>
      <c r="X373" s="124"/>
      <c r="Y373" s="124"/>
      <c r="Z373" s="124"/>
      <c r="AA373" s="124"/>
      <c r="AB373" s="124"/>
      <c r="AC373" s="124"/>
      <c r="AD373" s="124"/>
      <c r="AE373" s="124"/>
      <c r="AF373" s="124"/>
      <c r="AG373" s="124"/>
      <c r="AH373" s="124"/>
      <c r="AI373" s="124"/>
      <c r="AJ373" s="124"/>
      <c r="AK373" s="124"/>
      <c r="AL373" s="124"/>
      <c r="AM373" s="124"/>
      <c r="AN373" s="125"/>
      <c r="AO373" s="125"/>
      <c r="AP373" s="81"/>
      <c r="AQ373" s="82"/>
      <c r="AR373" s="96"/>
      <c r="AS373" s="96"/>
      <c r="AT373" s="96"/>
      <c r="AU373" s="82"/>
      <c r="AW373" s="95"/>
      <c r="BD373" s="95"/>
      <c r="BE373" s="95"/>
      <c r="BF373" s="95"/>
      <c r="BG373" s="95"/>
    </row>
    <row r="374" spans="1:59" s="83" customFormat="1">
      <c r="A374" s="124"/>
      <c r="B374" s="124"/>
      <c r="C374" s="124"/>
      <c r="D374" s="124"/>
      <c r="E374" s="124"/>
      <c r="F374" s="124"/>
      <c r="G374" s="124"/>
      <c r="H374" s="124"/>
      <c r="I374" s="124"/>
      <c r="J374" s="124"/>
      <c r="K374" s="124"/>
      <c r="L374" s="124"/>
      <c r="M374" s="124"/>
      <c r="N374" s="124"/>
      <c r="O374" s="124"/>
      <c r="P374" s="124"/>
      <c r="Q374" s="124"/>
      <c r="R374" s="124"/>
      <c r="S374" s="124"/>
      <c r="T374" s="124"/>
      <c r="U374" s="125"/>
      <c r="V374" s="124"/>
      <c r="W374" s="124"/>
      <c r="X374" s="124"/>
      <c r="Y374" s="124"/>
      <c r="Z374" s="124"/>
      <c r="AA374" s="124"/>
      <c r="AB374" s="124"/>
      <c r="AC374" s="124"/>
      <c r="AD374" s="124"/>
      <c r="AE374" s="124"/>
      <c r="AF374" s="124"/>
      <c r="AG374" s="124"/>
      <c r="AH374" s="124"/>
      <c r="AI374" s="124"/>
      <c r="AJ374" s="124"/>
      <c r="AK374" s="124"/>
      <c r="AL374" s="124"/>
      <c r="AM374" s="124"/>
      <c r="AN374" s="125"/>
      <c r="AO374" s="125"/>
      <c r="AP374" s="81"/>
      <c r="AQ374" s="82"/>
      <c r="AR374" s="96"/>
      <c r="AS374" s="96"/>
      <c r="AT374" s="96"/>
      <c r="AU374" s="82"/>
      <c r="AW374" s="95"/>
      <c r="BD374" s="95"/>
      <c r="BE374" s="95"/>
      <c r="BF374" s="95"/>
      <c r="BG374" s="95"/>
    </row>
    <row r="375" spans="1:59" s="83" customFormat="1">
      <c r="A375" s="124"/>
      <c r="B375" s="124"/>
      <c r="C375" s="124"/>
      <c r="D375" s="124"/>
      <c r="E375" s="124"/>
      <c r="F375" s="124"/>
      <c r="G375" s="124"/>
      <c r="H375" s="124"/>
      <c r="I375" s="124"/>
      <c r="J375" s="124"/>
      <c r="K375" s="124"/>
      <c r="L375" s="124"/>
      <c r="M375" s="124"/>
      <c r="N375" s="124"/>
      <c r="O375" s="124"/>
      <c r="P375" s="124"/>
      <c r="Q375" s="124"/>
      <c r="R375" s="124"/>
      <c r="S375" s="124"/>
      <c r="T375" s="124"/>
      <c r="U375" s="125"/>
      <c r="V375" s="124"/>
      <c r="W375" s="124"/>
      <c r="X375" s="124"/>
      <c r="Y375" s="124"/>
      <c r="Z375" s="124"/>
      <c r="AA375" s="124"/>
      <c r="AB375" s="124"/>
      <c r="AC375" s="124"/>
      <c r="AD375" s="124"/>
      <c r="AE375" s="124"/>
      <c r="AF375" s="124"/>
      <c r="AG375" s="124"/>
      <c r="AH375" s="124"/>
      <c r="AI375" s="124"/>
      <c r="AJ375" s="124"/>
      <c r="AK375" s="124"/>
      <c r="AL375" s="124"/>
      <c r="AM375" s="124"/>
      <c r="AN375" s="125"/>
      <c r="AO375" s="125"/>
      <c r="AP375" s="81"/>
      <c r="AQ375" s="82"/>
      <c r="AR375" s="96"/>
      <c r="AS375" s="96"/>
      <c r="AT375" s="96"/>
      <c r="AU375" s="82"/>
      <c r="AW375" s="95"/>
      <c r="BD375" s="95"/>
      <c r="BE375" s="95"/>
      <c r="BF375" s="95"/>
      <c r="BG375" s="95"/>
    </row>
    <row r="376" spans="1:59" s="83" customFormat="1">
      <c r="A376" s="124"/>
      <c r="B376" s="124"/>
      <c r="C376" s="124"/>
      <c r="D376" s="124"/>
      <c r="E376" s="124"/>
      <c r="F376" s="124"/>
      <c r="G376" s="124"/>
      <c r="H376" s="124"/>
      <c r="I376" s="124"/>
      <c r="J376" s="124"/>
      <c r="K376" s="124"/>
      <c r="L376" s="124"/>
      <c r="M376" s="124"/>
      <c r="N376" s="124"/>
      <c r="O376" s="124"/>
      <c r="P376" s="124"/>
      <c r="Q376" s="124"/>
      <c r="R376" s="124"/>
      <c r="S376" s="124"/>
      <c r="T376" s="124"/>
      <c r="U376" s="125"/>
      <c r="V376" s="124"/>
      <c r="W376" s="124"/>
      <c r="X376" s="124"/>
      <c r="Y376" s="124"/>
      <c r="Z376" s="124"/>
      <c r="AA376" s="124"/>
      <c r="AB376" s="124"/>
      <c r="AC376" s="124"/>
      <c r="AD376" s="124"/>
      <c r="AE376" s="124"/>
      <c r="AF376" s="124"/>
      <c r="AG376" s="124"/>
      <c r="AH376" s="124"/>
      <c r="AI376" s="124"/>
      <c r="AJ376" s="124"/>
      <c r="AK376" s="124"/>
      <c r="AL376" s="124"/>
      <c r="AM376" s="124"/>
      <c r="AN376" s="125"/>
      <c r="AO376" s="125"/>
      <c r="AP376" s="81"/>
      <c r="AQ376" s="82"/>
      <c r="AR376" s="96"/>
      <c r="AS376" s="96"/>
      <c r="AT376" s="96"/>
      <c r="AU376" s="82"/>
      <c r="AW376" s="95"/>
      <c r="BD376" s="95"/>
      <c r="BE376" s="95"/>
      <c r="BF376" s="95"/>
      <c r="BG376" s="95"/>
    </row>
    <row r="377" spans="1:59" s="83" customFormat="1">
      <c r="A377" s="124"/>
      <c r="B377" s="124"/>
      <c r="C377" s="124"/>
      <c r="D377" s="124"/>
      <c r="E377" s="124"/>
      <c r="F377" s="124"/>
      <c r="G377" s="124"/>
      <c r="H377" s="124"/>
      <c r="I377" s="124"/>
      <c r="J377" s="124"/>
      <c r="K377" s="124"/>
      <c r="L377" s="124"/>
      <c r="M377" s="124"/>
      <c r="N377" s="124"/>
      <c r="O377" s="124"/>
      <c r="P377" s="124"/>
      <c r="Q377" s="124"/>
      <c r="R377" s="124"/>
      <c r="S377" s="124"/>
      <c r="T377" s="124"/>
      <c r="U377" s="125"/>
      <c r="V377" s="124"/>
      <c r="W377" s="124"/>
      <c r="X377" s="124"/>
      <c r="Y377" s="124"/>
      <c r="Z377" s="124"/>
      <c r="AA377" s="124"/>
      <c r="AB377" s="124"/>
      <c r="AC377" s="124"/>
      <c r="AD377" s="124"/>
      <c r="AE377" s="124"/>
      <c r="AF377" s="124"/>
      <c r="AG377" s="124"/>
      <c r="AH377" s="124"/>
      <c r="AI377" s="124"/>
      <c r="AJ377" s="124"/>
      <c r="AK377" s="124"/>
      <c r="AL377" s="124"/>
      <c r="AM377" s="124"/>
      <c r="AN377" s="125"/>
      <c r="AO377" s="125"/>
      <c r="AP377" s="81"/>
      <c r="AQ377" s="82"/>
      <c r="AR377" s="96"/>
      <c r="AS377" s="96"/>
      <c r="AT377" s="96"/>
      <c r="AU377" s="82"/>
      <c r="AW377" s="95"/>
      <c r="BD377" s="95"/>
      <c r="BE377" s="95"/>
      <c r="BF377" s="95"/>
      <c r="BG377" s="95"/>
    </row>
    <row r="378" spans="1:59" s="83" customFormat="1">
      <c r="A378" s="124"/>
      <c r="B378" s="124"/>
      <c r="C378" s="124"/>
      <c r="D378" s="124"/>
      <c r="E378" s="124"/>
      <c r="F378" s="124"/>
      <c r="G378" s="124"/>
      <c r="H378" s="124"/>
      <c r="I378" s="124"/>
      <c r="J378" s="124"/>
      <c r="K378" s="124"/>
      <c r="L378" s="124"/>
      <c r="M378" s="124"/>
      <c r="N378" s="124"/>
      <c r="O378" s="124"/>
      <c r="P378" s="124"/>
      <c r="Q378" s="124"/>
      <c r="R378" s="124"/>
      <c r="S378" s="124"/>
      <c r="T378" s="124"/>
      <c r="U378" s="125"/>
      <c r="V378" s="124"/>
      <c r="W378" s="124"/>
      <c r="X378" s="124"/>
      <c r="Y378" s="124"/>
      <c r="Z378" s="124"/>
      <c r="AA378" s="124"/>
      <c r="AB378" s="124"/>
      <c r="AC378" s="124"/>
      <c r="AD378" s="124"/>
      <c r="AE378" s="124"/>
      <c r="AF378" s="124"/>
      <c r="AG378" s="124"/>
      <c r="AH378" s="124"/>
      <c r="AI378" s="124"/>
      <c r="AJ378" s="124"/>
      <c r="AK378" s="124"/>
      <c r="AL378" s="124"/>
      <c r="AM378" s="124"/>
      <c r="AN378" s="125"/>
      <c r="AO378" s="125"/>
      <c r="AP378" s="81"/>
      <c r="AQ378" s="82"/>
      <c r="AR378" s="96"/>
      <c r="AS378" s="96"/>
      <c r="AT378" s="96"/>
      <c r="AU378" s="82"/>
      <c r="AW378" s="95"/>
      <c r="BD378" s="95"/>
      <c r="BE378" s="95"/>
      <c r="BF378" s="95"/>
      <c r="BG378" s="95"/>
    </row>
    <row r="379" spans="1:59" s="83" customFormat="1">
      <c r="A379" s="124"/>
      <c r="B379" s="124"/>
      <c r="C379" s="124"/>
      <c r="D379" s="124"/>
      <c r="E379" s="124"/>
      <c r="F379" s="124"/>
      <c r="G379" s="124"/>
      <c r="H379" s="124"/>
      <c r="I379" s="124"/>
      <c r="J379" s="124"/>
      <c r="K379" s="124"/>
      <c r="L379" s="124"/>
      <c r="M379" s="124"/>
      <c r="N379" s="124"/>
      <c r="O379" s="124"/>
      <c r="P379" s="124"/>
      <c r="Q379" s="124"/>
      <c r="R379" s="124"/>
      <c r="S379" s="124"/>
      <c r="T379" s="124"/>
      <c r="U379" s="125"/>
      <c r="V379" s="124"/>
      <c r="W379" s="124"/>
      <c r="X379" s="124"/>
      <c r="Y379" s="124"/>
      <c r="Z379" s="124"/>
      <c r="AA379" s="124"/>
      <c r="AB379" s="124"/>
      <c r="AC379" s="124"/>
      <c r="AD379" s="124"/>
      <c r="AE379" s="124"/>
      <c r="AF379" s="124"/>
      <c r="AG379" s="124"/>
      <c r="AH379" s="124"/>
      <c r="AI379" s="124"/>
      <c r="AJ379" s="124"/>
      <c r="AK379" s="124"/>
      <c r="AL379" s="124"/>
      <c r="AM379" s="124"/>
      <c r="AN379" s="125"/>
      <c r="AO379" s="125"/>
      <c r="AP379" s="81"/>
      <c r="AQ379" s="82"/>
      <c r="AR379" s="96"/>
      <c r="AS379" s="96"/>
      <c r="AT379" s="96"/>
      <c r="AU379" s="82"/>
      <c r="AW379" s="95"/>
      <c r="BD379" s="95"/>
      <c r="BE379" s="95"/>
      <c r="BF379" s="95"/>
      <c r="BG379" s="95"/>
    </row>
    <row r="380" spans="1:59" s="83" customFormat="1">
      <c r="A380" s="124"/>
      <c r="B380" s="124"/>
      <c r="C380" s="124"/>
      <c r="D380" s="124"/>
      <c r="E380" s="124"/>
      <c r="F380" s="124"/>
      <c r="G380" s="124"/>
      <c r="H380" s="124"/>
      <c r="I380" s="124"/>
      <c r="J380" s="124"/>
      <c r="K380" s="124"/>
      <c r="L380" s="124"/>
      <c r="M380" s="124"/>
      <c r="N380" s="124"/>
      <c r="O380" s="124"/>
      <c r="P380" s="124"/>
      <c r="Q380" s="124"/>
      <c r="R380" s="124"/>
      <c r="S380" s="124"/>
      <c r="T380" s="124"/>
      <c r="U380" s="125"/>
      <c r="V380" s="124"/>
      <c r="W380" s="124"/>
      <c r="X380" s="124"/>
      <c r="Y380" s="124"/>
      <c r="Z380" s="124"/>
      <c r="AA380" s="124"/>
      <c r="AB380" s="124"/>
      <c r="AC380" s="124"/>
      <c r="AD380" s="124"/>
      <c r="AE380" s="124"/>
      <c r="AF380" s="124"/>
      <c r="AG380" s="124"/>
      <c r="AH380" s="124"/>
      <c r="AI380" s="124"/>
      <c r="AJ380" s="124"/>
      <c r="AK380" s="124"/>
      <c r="AL380" s="124"/>
      <c r="AM380" s="124"/>
      <c r="AN380" s="125"/>
      <c r="AO380" s="125"/>
      <c r="AP380" s="81"/>
      <c r="AQ380" s="82"/>
      <c r="AR380" s="96"/>
      <c r="AS380" s="96"/>
      <c r="AT380" s="96"/>
      <c r="AU380" s="82"/>
      <c r="AW380" s="95"/>
      <c r="BD380" s="95"/>
      <c r="BE380" s="95"/>
      <c r="BF380" s="95"/>
      <c r="BG380" s="95"/>
    </row>
    <row r="381" spans="1:59" s="83" customFormat="1">
      <c r="A381" s="124"/>
      <c r="B381" s="124"/>
      <c r="C381" s="124"/>
      <c r="D381" s="124"/>
      <c r="E381" s="124"/>
      <c r="F381" s="124"/>
      <c r="G381" s="124"/>
      <c r="H381" s="124"/>
      <c r="I381" s="124"/>
      <c r="J381" s="124"/>
      <c r="K381" s="124"/>
      <c r="L381" s="124"/>
      <c r="M381" s="124"/>
      <c r="N381" s="124"/>
      <c r="O381" s="124"/>
      <c r="P381" s="124"/>
      <c r="Q381" s="124"/>
      <c r="R381" s="124"/>
      <c r="S381" s="124"/>
      <c r="T381" s="124"/>
      <c r="U381" s="125"/>
      <c r="V381" s="124"/>
      <c r="W381" s="124"/>
      <c r="X381" s="124"/>
      <c r="Y381" s="124"/>
      <c r="Z381" s="124"/>
      <c r="AA381" s="124"/>
      <c r="AB381" s="124"/>
      <c r="AC381" s="124"/>
      <c r="AD381" s="124"/>
      <c r="AE381" s="124"/>
      <c r="AF381" s="124"/>
      <c r="AG381" s="124"/>
      <c r="AH381" s="124"/>
      <c r="AI381" s="124"/>
      <c r="AJ381" s="124"/>
      <c r="AK381" s="124"/>
      <c r="AL381" s="124"/>
      <c r="AM381" s="124"/>
      <c r="AN381" s="125"/>
      <c r="AO381" s="125"/>
      <c r="AP381" s="81"/>
      <c r="AQ381" s="82"/>
      <c r="AR381" s="96"/>
      <c r="AS381" s="96"/>
      <c r="AT381" s="96"/>
      <c r="AU381" s="82"/>
      <c r="AW381" s="95"/>
      <c r="BD381" s="95"/>
      <c r="BE381" s="95"/>
      <c r="BF381" s="95"/>
      <c r="BG381" s="95"/>
    </row>
    <row r="382" spans="1:59" s="83" customFormat="1">
      <c r="A382" s="124"/>
      <c r="B382" s="124"/>
      <c r="C382" s="124"/>
      <c r="D382" s="124"/>
      <c r="E382" s="124"/>
      <c r="F382" s="124"/>
      <c r="G382" s="124"/>
      <c r="H382" s="124"/>
      <c r="I382" s="124"/>
      <c r="J382" s="124"/>
      <c r="K382" s="124"/>
      <c r="L382" s="124"/>
      <c r="M382" s="124"/>
      <c r="N382" s="124"/>
      <c r="O382" s="124"/>
      <c r="P382" s="124"/>
      <c r="Q382" s="124"/>
      <c r="R382" s="124"/>
      <c r="S382" s="124"/>
      <c r="T382" s="124"/>
      <c r="U382" s="125"/>
      <c r="V382" s="124"/>
      <c r="W382" s="124"/>
      <c r="X382" s="124"/>
      <c r="Y382" s="124"/>
      <c r="Z382" s="124"/>
      <c r="AA382" s="124"/>
      <c r="AB382" s="124"/>
      <c r="AC382" s="124"/>
      <c r="AD382" s="124"/>
      <c r="AE382" s="124"/>
      <c r="AF382" s="124"/>
      <c r="AG382" s="124"/>
      <c r="AH382" s="124"/>
      <c r="AI382" s="124"/>
      <c r="AJ382" s="124"/>
      <c r="AK382" s="124"/>
      <c r="AL382" s="124"/>
      <c r="AM382" s="124"/>
      <c r="AN382" s="125"/>
      <c r="AO382" s="125"/>
      <c r="AP382" s="81"/>
      <c r="AQ382" s="82"/>
      <c r="AR382" s="96"/>
      <c r="AS382" s="96"/>
      <c r="AT382" s="96"/>
      <c r="AU382" s="82"/>
      <c r="AW382" s="95"/>
      <c r="BD382" s="95"/>
      <c r="BE382" s="95"/>
      <c r="BF382" s="95"/>
      <c r="BG382" s="95"/>
    </row>
    <row r="383" spans="1:59" s="83" customFormat="1">
      <c r="A383" s="124"/>
      <c r="B383" s="124"/>
      <c r="C383" s="124"/>
      <c r="D383" s="124"/>
      <c r="E383" s="124"/>
      <c r="F383" s="124"/>
      <c r="G383" s="124"/>
      <c r="H383" s="124"/>
      <c r="I383" s="124"/>
      <c r="J383" s="124"/>
      <c r="K383" s="124"/>
      <c r="L383" s="124"/>
      <c r="M383" s="124"/>
      <c r="N383" s="124"/>
      <c r="O383" s="124"/>
      <c r="P383" s="124"/>
      <c r="Q383" s="124"/>
      <c r="R383" s="124"/>
      <c r="S383" s="124"/>
      <c r="T383" s="124"/>
      <c r="U383" s="125"/>
      <c r="V383" s="124"/>
      <c r="W383" s="124"/>
      <c r="X383" s="124"/>
      <c r="Y383" s="124"/>
      <c r="Z383" s="124"/>
      <c r="AA383" s="124"/>
      <c r="AB383" s="124"/>
      <c r="AC383" s="124"/>
      <c r="AD383" s="124"/>
      <c r="AE383" s="124"/>
      <c r="AF383" s="124"/>
      <c r="AG383" s="124"/>
      <c r="AH383" s="124"/>
      <c r="AI383" s="124"/>
      <c r="AJ383" s="124"/>
      <c r="AK383" s="124"/>
      <c r="AL383" s="124"/>
      <c r="AM383" s="124"/>
      <c r="AN383" s="125"/>
      <c r="AO383" s="125"/>
      <c r="AP383" s="81"/>
      <c r="AQ383" s="82"/>
      <c r="AR383" s="96"/>
      <c r="AS383" s="96"/>
      <c r="AT383" s="96"/>
      <c r="AU383" s="82"/>
      <c r="AW383" s="95"/>
      <c r="BD383" s="95"/>
      <c r="BE383" s="95"/>
      <c r="BF383" s="95"/>
      <c r="BG383" s="95"/>
    </row>
    <row r="384" spans="1:59" s="83" customFormat="1">
      <c r="A384" s="124"/>
      <c r="B384" s="124"/>
      <c r="C384" s="124"/>
      <c r="D384" s="124"/>
      <c r="E384" s="124"/>
      <c r="F384" s="124"/>
      <c r="G384" s="124"/>
      <c r="H384" s="124"/>
      <c r="I384" s="124"/>
      <c r="J384" s="124"/>
      <c r="K384" s="124"/>
      <c r="L384" s="124"/>
      <c r="M384" s="124"/>
      <c r="N384" s="124"/>
      <c r="O384" s="124"/>
      <c r="P384" s="124"/>
      <c r="Q384" s="124"/>
      <c r="R384" s="124"/>
      <c r="S384" s="124"/>
      <c r="T384" s="124"/>
      <c r="U384" s="125"/>
      <c r="V384" s="124"/>
      <c r="W384" s="124"/>
      <c r="X384" s="124"/>
      <c r="Y384" s="124"/>
      <c r="Z384" s="124"/>
      <c r="AA384" s="124"/>
      <c r="AB384" s="124"/>
      <c r="AC384" s="124"/>
      <c r="AD384" s="124"/>
      <c r="AE384" s="124"/>
      <c r="AF384" s="124"/>
      <c r="AG384" s="124"/>
      <c r="AH384" s="124"/>
      <c r="AI384" s="124"/>
      <c r="AJ384" s="124"/>
      <c r="AK384" s="124"/>
      <c r="AL384" s="124"/>
      <c r="AM384" s="124"/>
      <c r="AN384" s="125"/>
      <c r="AO384" s="125"/>
      <c r="AP384" s="81"/>
      <c r="AQ384" s="82"/>
      <c r="AR384" s="96"/>
      <c r="AS384" s="96"/>
      <c r="AT384" s="96"/>
      <c r="AU384" s="82"/>
      <c r="AW384" s="95"/>
      <c r="BD384" s="95"/>
      <c r="BE384" s="95"/>
      <c r="BF384" s="95"/>
      <c r="BG384" s="95"/>
    </row>
    <row r="385" spans="1:59" s="83" customFormat="1">
      <c r="A385" s="124"/>
      <c r="B385" s="124"/>
      <c r="C385" s="124"/>
      <c r="D385" s="124"/>
      <c r="E385" s="124"/>
      <c r="F385" s="124"/>
      <c r="G385" s="124"/>
      <c r="H385" s="124"/>
      <c r="I385" s="124"/>
      <c r="J385" s="124"/>
      <c r="K385" s="124"/>
      <c r="L385" s="124"/>
      <c r="M385" s="124"/>
      <c r="N385" s="124"/>
      <c r="O385" s="124"/>
      <c r="P385" s="124"/>
      <c r="Q385" s="124"/>
      <c r="R385" s="124"/>
      <c r="S385" s="124"/>
      <c r="T385" s="124"/>
      <c r="U385" s="125"/>
      <c r="V385" s="124"/>
      <c r="W385" s="124"/>
      <c r="X385" s="124"/>
      <c r="Y385" s="124"/>
      <c r="Z385" s="124"/>
      <c r="AA385" s="124"/>
      <c r="AB385" s="124"/>
      <c r="AC385" s="124"/>
      <c r="AD385" s="124"/>
      <c r="AE385" s="124"/>
      <c r="AF385" s="124"/>
      <c r="AG385" s="124"/>
      <c r="AH385" s="124"/>
      <c r="AI385" s="124"/>
      <c r="AJ385" s="124"/>
      <c r="AK385" s="124"/>
      <c r="AL385" s="124"/>
      <c r="AM385" s="124"/>
      <c r="AN385" s="125"/>
      <c r="AO385" s="125"/>
      <c r="AP385" s="81"/>
      <c r="AQ385" s="82"/>
      <c r="AR385" s="96"/>
      <c r="AS385" s="96"/>
      <c r="AT385" s="96"/>
      <c r="AU385" s="82"/>
      <c r="AW385" s="95"/>
      <c r="BD385" s="95"/>
      <c r="BE385" s="95"/>
      <c r="BF385" s="95"/>
      <c r="BG385" s="95"/>
    </row>
    <row r="386" spans="1:59" s="83" customFormat="1">
      <c r="A386" s="124"/>
      <c r="B386" s="124"/>
      <c r="C386" s="124"/>
      <c r="D386" s="124"/>
      <c r="E386" s="124"/>
      <c r="F386" s="124"/>
      <c r="G386" s="124"/>
      <c r="H386" s="124"/>
      <c r="I386" s="124"/>
      <c r="J386" s="124"/>
      <c r="K386" s="124"/>
      <c r="L386" s="124"/>
      <c r="M386" s="124"/>
      <c r="N386" s="124"/>
      <c r="O386" s="124"/>
      <c r="P386" s="124"/>
      <c r="Q386" s="124"/>
      <c r="R386" s="124"/>
      <c r="S386" s="124"/>
      <c r="T386" s="124"/>
      <c r="U386" s="125"/>
      <c r="V386" s="124"/>
      <c r="W386" s="124"/>
      <c r="X386" s="124"/>
      <c r="Y386" s="124"/>
      <c r="Z386" s="124"/>
      <c r="AA386" s="124"/>
      <c r="AB386" s="124"/>
      <c r="AC386" s="124"/>
      <c r="AD386" s="124"/>
      <c r="AE386" s="124"/>
      <c r="AF386" s="124"/>
      <c r="AG386" s="124"/>
      <c r="AH386" s="124"/>
      <c r="AI386" s="124"/>
      <c r="AJ386" s="124"/>
      <c r="AK386" s="124"/>
      <c r="AL386" s="124"/>
      <c r="AM386" s="124"/>
      <c r="AN386" s="125"/>
      <c r="AO386" s="125"/>
      <c r="AP386" s="81"/>
      <c r="AQ386" s="82"/>
      <c r="AR386" s="96"/>
      <c r="AS386" s="96"/>
      <c r="AT386" s="96"/>
      <c r="AU386" s="82"/>
      <c r="AW386" s="95"/>
      <c r="BD386" s="95"/>
      <c r="BE386" s="95"/>
      <c r="BF386" s="95"/>
      <c r="BG386" s="95"/>
    </row>
    <row r="387" spans="1:59" s="83" customFormat="1">
      <c r="A387" s="124"/>
      <c r="B387" s="124"/>
      <c r="C387" s="124"/>
      <c r="D387" s="124"/>
      <c r="E387" s="124"/>
      <c r="F387" s="124"/>
      <c r="G387" s="124"/>
      <c r="H387" s="124"/>
      <c r="I387" s="124"/>
      <c r="J387" s="124"/>
      <c r="K387" s="124"/>
      <c r="L387" s="124"/>
      <c r="M387" s="124"/>
      <c r="N387" s="124"/>
      <c r="O387" s="124"/>
      <c r="P387" s="124"/>
      <c r="Q387" s="124"/>
      <c r="R387" s="124"/>
      <c r="S387" s="124"/>
      <c r="T387" s="124"/>
      <c r="U387" s="125"/>
      <c r="V387" s="124"/>
      <c r="W387" s="124"/>
      <c r="X387" s="124"/>
      <c r="Y387" s="124"/>
      <c r="Z387" s="124"/>
      <c r="AA387" s="124"/>
      <c r="AB387" s="124"/>
      <c r="AC387" s="124"/>
      <c r="AD387" s="124"/>
      <c r="AE387" s="124"/>
      <c r="AF387" s="124"/>
      <c r="AG387" s="124"/>
      <c r="AH387" s="124"/>
      <c r="AI387" s="124"/>
      <c r="AJ387" s="124"/>
      <c r="AK387" s="124"/>
      <c r="AL387" s="124"/>
      <c r="AM387" s="124"/>
      <c r="AN387" s="125"/>
      <c r="AO387" s="125"/>
      <c r="AP387" s="81"/>
      <c r="AQ387" s="82"/>
      <c r="AR387" s="96"/>
      <c r="AS387" s="96"/>
      <c r="AT387" s="96"/>
      <c r="AU387" s="82"/>
      <c r="AW387" s="95"/>
      <c r="BD387" s="95"/>
      <c r="BE387" s="95"/>
      <c r="BF387" s="95"/>
      <c r="BG387" s="95"/>
    </row>
    <row r="388" spans="1:59" s="83" customFormat="1">
      <c r="A388" s="124"/>
      <c r="B388" s="124"/>
      <c r="C388" s="124"/>
      <c r="D388" s="124"/>
      <c r="E388" s="124"/>
      <c r="F388" s="124"/>
      <c r="G388" s="124"/>
      <c r="H388" s="124"/>
      <c r="I388" s="124"/>
      <c r="J388" s="124"/>
      <c r="K388" s="124"/>
      <c r="L388" s="124"/>
      <c r="M388" s="124"/>
      <c r="N388" s="124"/>
      <c r="O388" s="124"/>
      <c r="P388" s="124"/>
      <c r="Q388" s="124"/>
      <c r="R388" s="124"/>
      <c r="S388" s="124"/>
      <c r="T388" s="124"/>
      <c r="U388" s="125"/>
      <c r="V388" s="124"/>
      <c r="W388" s="124"/>
      <c r="X388" s="124"/>
      <c r="Y388" s="124"/>
      <c r="Z388" s="124"/>
      <c r="AA388" s="124"/>
      <c r="AB388" s="124"/>
      <c r="AC388" s="124"/>
      <c r="AD388" s="124"/>
      <c r="AE388" s="124"/>
      <c r="AF388" s="124"/>
      <c r="AG388" s="124"/>
      <c r="AH388" s="124"/>
      <c r="AI388" s="124"/>
      <c r="AJ388" s="124"/>
      <c r="AK388" s="124"/>
      <c r="AL388" s="124"/>
      <c r="AM388" s="124"/>
      <c r="AN388" s="125"/>
      <c r="AO388" s="125"/>
      <c r="AP388" s="81"/>
      <c r="AQ388" s="82"/>
      <c r="AR388" s="96"/>
      <c r="AS388" s="96"/>
      <c r="AT388" s="96"/>
      <c r="AU388" s="82"/>
      <c r="AW388" s="95"/>
      <c r="BD388" s="95"/>
      <c r="BE388" s="95"/>
      <c r="BF388" s="95"/>
      <c r="BG388" s="95"/>
    </row>
    <row r="389" spans="1:59" s="83" customFormat="1">
      <c r="A389" s="124"/>
      <c r="B389" s="124"/>
      <c r="C389" s="124"/>
      <c r="D389" s="124"/>
      <c r="E389" s="124"/>
      <c r="F389" s="124"/>
      <c r="G389" s="124"/>
      <c r="H389" s="124"/>
      <c r="I389" s="124"/>
      <c r="J389" s="124"/>
      <c r="K389" s="124"/>
      <c r="L389" s="124"/>
      <c r="M389" s="124"/>
      <c r="N389" s="124"/>
      <c r="O389" s="124"/>
      <c r="P389" s="124"/>
      <c r="Q389" s="124"/>
      <c r="R389" s="124"/>
      <c r="S389" s="124"/>
      <c r="T389" s="124"/>
      <c r="U389" s="125"/>
      <c r="V389" s="124"/>
      <c r="W389" s="124"/>
      <c r="X389" s="124"/>
      <c r="Y389" s="124"/>
      <c r="Z389" s="124"/>
      <c r="AA389" s="124"/>
      <c r="AB389" s="124"/>
      <c r="AC389" s="124"/>
      <c r="AD389" s="124"/>
      <c r="AE389" s="124"/>
      <c r="AF389" s="124"/>
      <c r="AG389" s="124"/>
      <c r="AH389" s="124"/>
      <c r="AI389" s="124"/>
      <c r="AJ389" s="124"/>
      <c r="AK389" s="124"/>
      <c r="AL389" s="124"/>
      <c r="AM389" s="124"/>
      <c r="AN389" s="125"/>
      <c r="AO389" s="125"/>
      <c r="AP389" s="81"/>
      <c r="AQ389" s="82"/>
      <c r="AR389" s="96"/>
      <c r="AS389" s="96"/>
      <c r="AT389" s="96"/>
      <c r="AU389" s="82"/>
      <c r="AW389" s="95"/>
      <c r="BD389" s="95"/>
      <c r="BE389" s="95"/>
      <c r="BF389" s="95"/>
      <c r="BG389" s="95"/>
    </row>
    <row r="390" spans="1:59" s="83" customFormat="1">
      <c r="A390" s="124"/>
      <c r="B390" s="124"/>
      <c r="C390" s="124"/>
      <c r="D390" s="124"/>
      <c r="E390" s="124"/>
      <c r="F390" s="124"/>
      <c r="G390" s="124"/>
      <c r="H390" s="124"/>
      <c r="I390" s="124"/>
      <c r="J390" s="124"/>
      <c r="K390" s="124"/>
      <c r="L390" s="124"/>
      <c r="M390" s="124"/>
      <c r="N390" s="124"/>
      <c r="O390" s="124"/>
      <c r="P390" s="124"/>
      <c r="Q390" s="124"/>
      <c r="R390" s="124"/>
      <c r="S390" s="124"/>
      <c r="T390" s="124"/>
      <c r="U390" s="125"/>
      <c r="V390" s="124"/>
      <c r="W390" s="124"/>
      <c r="X390" s="124"/>
      <c r="Y390" s="124"/>
      <c r="Z390" s="124"/>
      <c r="AA390" s="124"/>
      <c r="AB390" s="124"/>
      <c r="AC390" s="124"/>
      <c r="AD390" s="124"/>
      <c r="AE390" s="124"/>
      <c r="AF390" s="124"/>
      <c r="AG390" s="124"/>
      <c r="AH390" s="124"/>
      <c r="AI390" s="124"/>
      <c r="AJ390" s="124"/>
      <c r="AK390" s="124"/>
      <c r="AL390" s="124"/>
      <c r="AM390" s="124"/>
      <c r="AN390" s="125"/>
      <c r="AO390" s="125"/>
      <c r="AP390" s="81"/>
      <c r="AQ390" s="82"/>
      <c r="AR390" s="96"/>
      <c r="AS390" s="96"/>
      <c r="AT390" s="96"/>
      <c r="AU390" s="82"/>
      <c r="AW390" s="95"/>
      <c r="BD390" s="95"/>
      <c r="BE390" s="95"/>
      <c r="BF390" s="95"/>
      <c r="BG390" s="95"/>
    </row>
    <row r="391" spans="1:59" s="83" customFormat="1">
      <c r="A391" s="124"/>
      <c r="B391" s="124"/>
      <c r="C391" s="124"/>
      <c r="D391" s="124"/>
      <c r="E391" s="124"/>
      <c r="F391" s="124"/>
      <c r="G391" s="124"/>
      <c r="H391" s="124"/>
      <c r="I391" s="124"/>
      <c r="J391" s="124"/>
      <c r="K391" s="124"/>
      <c r="L391" s="124"/>
      <c r="M391" s="124"/>
      <c r="N391" s="124"/>
      <c r="O391" s="124"/>
      <c r="P391" s="124"/>
      <c r="Q391" s="124"/>
      <c r="R391" s="124"/>
      <c r="S391" s="124"/>
      <c r="T391" s="124"/>
      <c r="U391" s="125"/>
      <c r="V391" s="124"/>
      <c r="W391" s="124"/>
      <c r="X391" s="124"/>
      <c r="Y391" s="124"/>
      <c r="Z391" s="124"/>
      <c r="AA391" s="124"/>
      <c r="AB391" s="124"/>
      <c r="AC391" s="124"/>
      <c r="AD391" s="124"/>
      <c r="AE391" s="124"/>
      <c r="AF391" s="124"/>
      <c r="AG391" s="124"/>
      <c r="AH391" s="124"/>
      <c r="AI391" s="124"/>
      <c r="AJ391" s="124"/>
      <c r="AK391" s="124"/>
      <c r="AL391" s="124"/>
      <c r="AM391" s="124"/>
      <c r="AN391" s="125"/>
      <c r="AO391" s="125"/>
      <c r="AP391" s="81"/>
      <c r="AQ391" s="82"/>
      <c r="AR391" s="96"/>
      <c r="AS391" s="96"/>
      <c r="AT391" s="96"/>
      <c r="AU391" s="82"/>
      <c r="AW391" s="95"/>
      <c r="BD391" s="95"/>
      <c r="BE391" s="95"/>
      <c r="BF391" s="95"/>
      <c r="BG391" s="95"/>
    </row>
    <row r="392" spans="1:59" s="83" customFormat="1">
      <c r="A392" s="124"/>
      <c r="B392" s="124"/>
      <c r="C392" s="124"/>
      <c r="D392" s="124"/>
      <c r="E392" s="124"/>
      <c r="F392" s="124"/>
      <c r="G392" s="124"/>
      <c r="H392" s="124"/>
      <c r="I392" s="124"/>
      <c r="J392" s="124"/>
      <c r="K392" s="124"/>
      <c r="L392" s="124"/>
      <c r="M392" s="124"/>
      <c r="N392" s="124"/>
      <c r="O392" s="124"/>
      <c r="P392" s="124"/>
      <c r="Q392" s="124"/>
      <c r="R392" s="124"/>
      <c r="S392" s="124"/>
      <c r="T392" s="124"/>
      <c r="U392" s="125"/>
      <c r="V392" s="124"/>
      <c r="W392" s="124"/>
      <c r="X392" s="124"/>
      <c r="Y392" s="124"/>
      <c r="Z392" s="124"/>
      <c r="AA392" s="124"/>
      <c r="AB392" s="124"/>
      <c r="AC392" s="124"/>
      <c r="AD392" s="124"/>
      <c r="AE392" s="124"/>
      <c r="AF392" s="124"/>
      <c r="AG392" s="124"/>
      <c r="AH392" s="124"/>
      <c r="AI392" s="124"/>
      <c r="AJ392" s="124"/>
      <c r="AK392" s="124"/>
      <c r="AL392" s="124"/>
      <c r="AM392" s="124"/>
      <c r="AN392" s="125"/>
      <c r="AO392" s="125"/>
      <c r="AP392" s="81"/>
      <c r="AQ392" s="82"/>
      <c r="AR392" s="96"/>
      <c r="AS392" s="96"/>
      <c r="AT392" s="96"/>
      <c r="AU392" s="82"/>
      <c r="AW392" s="95"/>
      <c r="BD392" s="95"/>
      <c r="BE392" s="95"/>
      <c r="BF392" s="95"/>
      <c r="BG392" s="95"/>
    </row>
    <row r="393" spans="1:59" s="83" customFormat="1">
      <c r="A393" s="124"/>
      <c r="B393" s="124"/>
      <c r="C393" s="124"/>
      <c r="D393" s="124"/>
      <c r="E393" s="124"/>
      <c r="F393" s="124"/>
      <c r="G393" s="124"/>
      <c r="H393" s="124"/>
      <c r="I393" s="124"/>
      <c r="J393" s="124"/>
      <c r="K393" s="124"/>
      <c r="L393" s="124"/>
      <c r="M393" s="124"/>
      <c r="N393" s="124"/>
      <c r="O393" s="124"/>
      <c r="P393" s="124"/>
      <c r="Q393" s="124"/>
      <c r="R393" s="124"/>
      <c r="S393" s="124"/>
      <c r="T393" s="124"/>
      <c r="U393" s="125"/>
      <c r="V393" s="124"/>
      <c r="W393" s="124"/>
      <c r="X393" s="124"/>
      <c r="Y393" s="124"/>
      <c r="Z393" s="124"/>
      <c r="AA393" s="124"/>
      <c r="AB393" s="124"/>
      <c r="AC393" s="124"/>
      <c r="AD393" s="124"/>
      <c r="AE393" s="124"/>
      <c r="AF393" s="124"/>
      <c r="AG393" s="124"/>
      <c r="AH393" s="124"/>
      <c r="AI393" s="124"/>
      <c r="AJ393" s="124"/>
      <c r="AK393" s="124"/>
      <c r="AL393" s="124"/>
      <c r="AM393" s="124"/>
      <c r="AN393" s="125"/>
      <c r="AO393" s="125"/>
      <c r="AP393" s="81"/>
      <c r="AQ393" s="82"/>
      <c r="AR393" s="96"/>
      <c r="AS393" s="96"/>
      <c r="AT393" s="96"/>
      <c r="AU393" s="82"/>
      <c r="AW393" s="95"/>
      <c r="BD393" s="95"/>
      <c r="BE393" s="95"/>
      <c r="BF393" s="95"/>
      <c r="BG393" s="95"/>
    </row>
    <row r="394" spans="1:59" s="83" customFormat="1">
      <c r="A394" s="124"/>
      <c r="B394" s="124"/>
      <c r="C394" s="124"/>
      <c r="D394" s="124"/>
      <c r="E394" s="124"/>
      <c r="F394" s="124"/>
      <c r="G394" s="124"/>
      <c r="H394" s="124"/>
      <c r="I394" s="124"/>
      <c r="J394" s="124"/>
      <c r="K394" s="124"/>
      <c r="L394" s="124"/>
      <c r="M394" s="124"/>
      <c r="N394" s="124"/>
      <c r="O394" s="124"/>
      <c r="P394" s="124"/>
      <c r="Q394" s="124"/>
      <c r="R394" s="124"/>
      <c r="S394" s="124"/>
      <c r="T394" s="124"/>
      <c r="U394" s="125"/>
      <c r="V394" s="124"/>
      <c r="W394" s="124"/>
      <c r="X394" s="124"/>
      <c r="Y394" s="124"/>
      <c r="Z394" s="124"/>
      <c r="AA394" s="124"/>
      <c r="AB394" s="124"/>
      <c r="AC394" s="124"/>
      <c r="AD394" s="124"/>
      <c r="AE394" s="124"/>
      <c r="AF394" s="124"/>
      <c r="AG394" s="124"/>
      <c r="AH394" s="124"/>
      <c r="AI394" s="124"/>
      <c r="AJ394" s="124"/>
      <c r="AK394" s="124"/>
      <c r="AL394" s="124"/>
      <c r="AM394" s="124"/>
      <c r="AN394" s="125"/>
      <c r="AO394" s="125"/>
      <c r="AP394" s="81"/>
      <c r="AQ394" s="82"/>
      <c r="AR394" s="96"/>
      <c r="AS394" s="96"/>
      <c r="AT394" s="96"/>
      <c r="AU394" s="82"/>
      <c r="AW394" s="95"/>
      <c r="BD394" s="95"/>
      <c r="BE394" s="95"/>
      <c r="BF394" s="95"/>
      <c r="BG394" s="95"/>
    </row>
    <row r="395" spans="1:59" s="83" customFormat="1">
      <c r="A395" s="124"/>
      <c r="B395" s="124"/>
      <c r="C395" s="124"/>
      <c r="D395" s="124"/>
      <c r="E395" s="124"/>
      <c r="F395" s="124"/>
      <c r="G395" s="124"/>
      <c r="H395" s="124"/>
      <c r="I395" s="124"/>
      <c r="J395" s="124"/>
      <c r="K395" s="124"/>
      <c r="L395" s="124"/>
      <c r="M395" s="124"/>
      <c r="N395" s="124"/>
      <c r="O395" s="124"/>
      <c r="P395" s="124"/>
      <c r="Q395" s="124"/>
      <c r="R395" s="124"/>
      <c r="S395" s="124"/>
      <c r="T395" s="124"/>
      <c r="U395" s="125"/>
      <c r="V395" s="124"/>
      <c r="W395" s="124"/>
      <c r="X395" s="124"/>
      <c r="Y395" s="124"/>
      <c r="Z395" s="124"/>
      <c r="AA395" s="124"/>
      <c r="AB395" s="124"/>
      <c r="AC395" s="124"/>
      <c r="AD395" s="124"/>
      <c r="AE395" s="124"/>
      <c r="AF395" s="124"/>
      <c r="AG395" s="124"/>
      <c r="AH395" s="124"/>
      <c r="AI395" s="124"/>
      <c r="AJ395" s="124"/>
      <c r="AK395" s="124"/>
      <c r="AL395" s="124"/>
      <c r="AM395" s="124"/>
      <c r="AN395" s="125"/>
      <c r="AO395" s="125"/>
      <c r="AP395" s="81"/>
      <c r="AQ395" s="82"/>
      <c r="AR395" s="96"/>
      <c r="AS395" s="96"/>
      <c r="AT395" s="96"/>
      <c r="AU395" s="82"/>
      <c r="AW395" s="95"/>
      <c r="BD395" s="95"/>
      <c r="BE395" s="95"/>
      <c r="BF395" s="95"/>
      <c r="BG395" s="95"/>
    </row>
    <row r="396" spans="1:59" s="83" customFormat="1">
      <c r="A396" s="124"/>
      <c r="B396" s="124"/>
      <c r="C396" s="124"/>
      <c r="D396" s="124"/>
      <c r="E396" s="124"/>
      <c r="F396" s="124"/>
      <c r="G396" s="124"/>
      <c r="H396" s="124"/>
      <c r="I396" s="124"/>
      <c r="J396" s="124"/>
      <c r="K396" s="124"/>
      <c r="L396" s="124"/>
      <c r="M396" s="124"/>
      <c r="N396" s="124"/>
      <c r="O396" s="124"/>
      <c r="P396" s="124"/>
      <c r="Q396" s="124"/>
      <c r="R396" s="124"/>
      <c r="S396" s="124"/>
      <c r="T396" s="124"/>
      <c r="U396" s="125"/>
      <c r="V396" s="124"/>
      <c r="W396" s="124"/>
      <c r="X396" s="124"/>
      <c r="Y396" s="124"/>
      <c r="Z396" s="124"/>
      <c r="AA396" s="124"/>
      <c r="AB396" s="124"/>
      <c r="AC396" s="124"/>
      <c r="AD396" s="124"/>
      <c r="AE396" s="124"/>
      <c r="AF396" s="124"/>
      <c r="AG396" s="124"/>
      <c r="AH396" s="124"/>
      <c r="AI396" s="124"/>
      <c r="AJ396" s="124"/>
      <c r="AK396" s="124"/>
      <c r="AL396" s="124"/>
      <c r="AM396" s="124"/>
      <c r="AN396" s="125"/>
      <c r="AO396" s="125"/>
      <c r="AP396" s="81"/>
      <c r="AQ396" s="82"/>
      <c r="AR396" s="96"/>
      <c r="AS396" s="96"/>
      <c r="AT396" s="96"/>
      <c r="AU396" s="82"/>
      <c r="AW396" s="95"/>
      <c r="BD396" s="95"/>
      <c r="BE396" s="95"/>
      <c r="BF396" s="95"/>
      <c r="BG396" s="95"/>
    </row>
    <row r="397" spans="1:59" s="83" customFormat="1">
      <c r="A397" s="124"/>
      <c r="B397" s="124"/>
      <c r="C397" s="124"/>
      <c r="D397" s="124"/>
      <c r="E397" s="124"/>
      <c r="F397" s="124"/>
      <c r="G397" s="124"/>
      <c r="H397" s="124"/>
      <c r="I397" s="124"/>
      <c r="J397" s="124"/>
      <c r="K397" s="124"/>
      <c r="L397" s="124"/>
      <c r="M397" s="124"/>
      <c r="N397" s="124"/>
      <c r="O397" s="124"/>
      <c r="P397" s="124"/>
      <c r="Q397" s="124"/>
      <c r="R397" s="124"/>
      <c r="S397" s="124"/>
      <c r="T397" s="124"/>
      <c r="U397" s="125"/>
      <c r="V397" s="124"/>
      <c r="W397" s="124"/>
      <c r="X397" s="124"/>
      <c r="Y397" s="124"/>
      <c r="Z397" s="124"/>
      <c r="AA397" s="124"/>
      <c r="AB397" s="124"/>
      <c r="AC397" s="124"/>
      <c r="AD397" s="124"/>
      <c r="AE397" s="124"/>
      <c r="AF397" s="124"/>
      <c r="AG397" s="124"/>
      <c r="AH397" s="124"/>
      <c r="AI397" s="124"/>
      <c r="AJ397" s="124"/>
      <c r="AK397" s="124"/>
      <c r="AL397" s="124"/>
      <c r="AM397" s="124"/>
      <c r="AN397" s="125"/>
      <c r="AO397" s="125"/>
      <c r="AP397" s="81"/>
      <c r="AQ397" s="82"/>
      <c r="AR397" s="96"/>
      <c r="AS397" s="96"/>
      <c r="AT397" s="96"/>
      <c r="AU397" s="82"/>
      <c r="AW397" s="95"/>
      <c r="BD397" s="95"/>
      <c r="BE397" s="95"/>
      <c r="BF397" s="95"/>
      <c r="BG397" s="95"/>
    </row>
    <row r="398" spans="1:59" s="83" customFormat="1">
      <c r="A398" s="124"/>
      <c r="B398" s="124"/>
      <c r="C398" s="124"/>
      <c r="D398" s="124"/>
      <c r="E398" s="124"/>
      <c r="F398" s="124"/>
      <c r="G398" s="124"/>
      <c r="H398" s="124"/>
      <c r="I398" s="124"/>
      <c r="J398" s="124"/>
      <c r="K398" s="124"/>
      <c r="L398" s="124"/>
      <c r="M398" s="124"/>
      <c r="N398" s="124"/>
      <c r="O398" s="124"/>
      <c r="P398" s="124"/>
      <c r="Q398" s="124"/>
      <c r="R398" s="124"/>
      <c r="S398" s="124"/>
      <c r="T398" s="124"/>
      <c r="U398" s="125"/>
      <c r="V398" s="124"/>
      <c r="W398" s="124"/>
      <c r="X398" s="124"/>
      <c r="Y398" s="124"/>
      <c r="Z398" s="124"/>
      <c r="AA398" s="124"/>
      <c r="AB398" s="124"/>
      <c r="AC398" s="124"/>
      <c r="AD398" s="124"/>
      <c r="AE398" s="124"/>
      <c r="AF398" s="124"/>
      <c r="AG398" s="124"/>
      <c r="AH398" s="124"/>
      <c r="AI398" s="124"/>
      <c r="AJ398" s="124"/>
      <c r="AK398" s="124"/>
      <c r="AL398" s="124"/>
      <c r="AM398" s="124"/>
      <c r="AN398" s="125"/>
      <c r="AO398" s="125"/>
      <c r="AP398" s="81"/>
      <c r="AQ398" s="82"/>
      <c r="AR398" s="96"/>
      <c r="AS398" s="96"/>
      <c r="AT398" s="96"/>
      <c r="AU398" s="82"/>
      <c r="AW398" s="95"/>
      <c r="BD398" s="95"/>
      <c r="BE398" s="95"/>
      <c r="BF398" s="95"/>
      <c r="BG398" s="95"/>
    </row>
    <row r="399" spans="1:59" s="83" customFormat="1">
      <c r="A399" s="124"/>
      <c r="B399" s="124"/>
      <c r="C399" s="124"/>
      <c r="D399" s="124"/>
      <c r="E399" s="124"/>
      <c r="F399" s="124"/>
      <c r="G399" s="124"/>
      <c r="H399" s="124"/>
      <c r="I399" s="124"/>
      <c r="J399" s="124"/>
      <c r="K399" s="124"/>
      <c r="L399" s="124"/>
      <c r="M399" s="124"/>
      <c r="N399" s="124"/>
      <c r="O399" s="124"/>
      <c r="P399" s="124"/>
      <c r="Q399" s="124"/>
      <c r="R399" s="124"/>
      <c r="S399" s="124"/>
      <c r="T399" s="124"/>
      <c r="U399" s="125"/>
      <c r="V399" s="124"/>
      <c r="W399" s="124"/>
      <c r="X399" s="124"/>
      <c r="Y399" s="124"/>
      <c r="Z399" s="124"/>
      <c r="AA399" s="124"/>
      <c r="AB399" s="124"/>
      <c r="AC399" s="124"/>
      <c r="AD399" s="124"/>
      <c r="AE399" s="124"/>
      <c r="AF399" s="124"/>
      <c r="AG399" s="124"/>
      <c r="AH399" s="124"/>
      <c r="AI399" s="124"/>
      <c r="AJ399" s="124"/>
      <c r="AK399" s="124"/>
      <c r="AL399" s="124"/>
      <c r="AM399" s="124"/>
      <c r="AN399" s="125"/>
      <c r="AO399" s="125"/>
      <c r="AP399" s="81"/>
      <c r="AQ399" s="82"/>
      <c r="AR399" s="96"/>
      <c r="AS399" s="96"/>
      <c r="AT399" s="96"/>
      <c r="AU399" s="82"/>
      <c r="AW399" s="95"/>
      <c r="BD399" s="95"/>
      <c r="BE399" s="95"/>
      <c r="BF399" s="95"/>
      <c r="BG399" s="95"/>
    </row>
    <row r="400" spans="1:59" s="83" customFormat="1">
      <c r="A400" s="124"/>
      <c r="B400" s="124"/>
      <c r="C400" s="124"/>
      <c r="D400" s="124"/>
      <c r="E400" s="124"/>
      <c r="F400" s="124"/>
      <c r="G400" s="124"/>
      <c r="H400" s="124"/>
      <c r="I400" s="124"/>
      <c r="J400" s="124"/>
      <c r="K400" s="124"/>
      <c r="L400" s="124"/>
      <c r="M400" s="124"/>
      <c r="N400" s="124"/>
      <c r="O400" s="124"/>
      <c r="P400" s="124"/>
      <c r="Q400" s="124"/>
      <c r="R400" s="124"/>
      <c r="S400" s="124"/>
      <c r="T400" s="124"/>
      <c r="U400" s="125"/>
      <c r="V400" s="124"/>
      <c r="W400" s="124"/>
      <c r="X400" s="124"/>
      <c r="Y400" s="124"/>
      <c r="Z400" s="124"/>
      <c r="AA400" s="124"/>
      <c r="AB400" s="124"/>
      <c r="AC400" s="124"/>
      <c r="AD400" s="124"/>
      <c r="AE400" s="124"/>
      <c r="AF400" s="124"/>
      <c r="AG400" s="124"/>
      <c r="AH400" s="124"/>
      <c r="AI400" s="124"/>
      <c r="AJ400" s="124"/>
      <c r="AK400" s="124"/>
      <c r="AL400" s="124"/>
      <c r="AM400" s="124"/>
      <c r="AN400" s="125"/>
      <c r="AO400" s="125"/>
      <c r="AP400" s="81"/>
      <c r="AQ400" s="82"/>
      <c r="AR400" s="96"/>
      <c r="AS400" s="96"/>
      <c r="AT400" s="96"/>
      <c r="AU400" s="82"/>
      <c r="AW400" s="95"/>
      <c r="BD400" s="95"/>
      <c r="BE400" s="95"/>
      <c r="BF400" s="95"/>
      <c r="BG400" s="95"/>
    </row>
    <row r="401" spans="1:59" s="83" customFormat="1">
      <c r="A401" s="124"/>
      <c r="B401" s="124"/>
      <c r="C401" s="124"/>
      <c r="D401" s="124"/>
      <c r="E401" s="124"/>
      <c r="F401" s="124"/>
      <c r="G401" s="124"/>
      <c r="H401" s="124"/>
      <c r="I401" s="124"/>
      <c r="J401" s="124"/>
      <c r="K401" s="124"/>
      <c r="L401" s="124"/>
      <c r="M401" s="124"/>
      <c r="N401" s="124"/>
      <c r="O401" s="124"/>
      <c r="P401" s="124"/>
      <c r="Q401" s="124"/>
      <c r="R401" s="124"/>
      <c r="S401" s="124"/>
      <c r="T401" s="124"/>
      <c r="U401" s="125"/>
      <c r="V401" s="124"/>
      <c r="W401" s="124"/>
      <c r="X401" s="124"/>
      <c r="Y401" s="124"/>
      <c r="Z401" s="124"/>
      <c r="AA401" s="124"/>
      <c r="AB401" s="124"/>
      <c r="AC401" s="124"/>
      <c r="AD401" s="124"/>
      <c r="AE401" s="124"/>
      <c r="AF401" s="124"/>
      <c r="AG401" s="124"/>
      <c r="AH401" s="124"/>
      <c r="AI401" s="124"/>
      <c r="AJ401" s="124"/>
      <c r="AK401" s="124"/>
      <c r="AL401" s="124"/>
      <c r="AM401" s="124"/>
      <c r="AN401" s="125"/>
      <c r="AO401" s="125"/>
      <c r="AP401" s="81"/>
      <c r="AQ401" s="82"/>
      <c r="AR401" s="96"/>
      <c r="AS401" s="96"/>
      <c r="AT401" s="96"/>
      <c r="AU401" s="82"/>
      <c r="AW401" s="95"/>
      <c r="BD401" s="95"/>
      <c r="BE401" s="95"/>
      <c r="BF401" s="95"/>
      <c r="BG401" s="95"/>
    </row>
    <row r="402" spans="1:59" s="83" customFormat="1">
      <c r="A402" s="124"/>
      <c r="B402" s="124"/>
      <c r="C402" s="124"/>
      <c r="D402" s="124"/>
      <c r="E402" s="124"/>
      <c r="F402" s="124"/>
      <c r="G402" s="124"/>
      <c r="H402" s="124"/>
      <c r="I402" s="124"/>
      <c r="J402" s="124"/>
      <c r="K402" s="124"/>
      <c r="L402" s="124"/>
      <c r="M402" s="124"/>
      <c r="N402" s="124"/>
      <c r="O402" s="124"/>
      <c r="P402" s="124"/>
      <c r="Q402" s="124"/>
      <c r="R402" s="124"/>
      <c r="S402" s="124"/>
      <c r="T402" s="124"/>
      <c r="U402" s="125"/>
      <c r="V402" s="124"/>
      <c r="W402" s="124"/>
      <c r="X402" s="124"/>
      <c r="Y402" s="124"/>
      <c r="Z402" s="124"/>
      <c r="AA402" s="124"/>
      <c r="AB402" s="124"/>
      <c r="AC402" s="124"/>
      <c r="AD402" s="124"/>
      <c r="AE402" s="124"/>
      <c r="AF402" s="124"/>
      <c r="AG402" s="124"/>
      <c r="AH402" s="124"/>
      <c r="AI402" s="124"/>
      <c r="AJ402" s="124"/>
      <c r="AK402" s="124"/>
      <c r="AL402" s="124"/>
      <c r="AM402" s="124"/>
      <c r="AN402" s="125"/>
      <c r="AO402" s="125"/>
      <c r="AP402" s="81"/>
      <c r="AQ402" s="82"/>
      <c r="AR402" s="96"/>
      <c r="AS402" s="96"/>
      <c r="AT402" s="96"/>
      <c r="AU402" s="82"/>
      <c r="AW402" s="95"/>
      <c r="BD402" s="95"/>
      <c r="BE402" s="95"/>
      <c r="BF402" s="95"/>
      <c r="BG402" s="95"/>
    </row>
    <row r="403" spans="1:59" s="83" customFormat="1">
      <c r="A403" s="124"/>
      <c r="B403" s="124"/>
      <c r="C403" s="124"/>
      <c r="D403" s="124"/>
      <c r="E403" s="124"/>
      <c r="F403" s="124"/>
      <c r="G403" s="124"/>
      <c r="H403" s="124"/>
      <c r="I403" s="124"/>
      <c r="J403" s="124"/>
      <c r="K403" s="124"/>
      <c r="L403" s="124"/>
      <c r="M403" s="124"/>
      <c r="N403" s="124"/>
      <c r="O403" s="124"/>
      <c r="P403" s="124"/>
      <c r="Q403" s="124"/>
      <c r="R403" s="124"/>
      <c r="S403" s="124"/>
      <c r="T403" s="124"/>
      <c r="U403" s="125"/>
      <c r="V403" s="124"/>
      <c r="W403" s="124"/>
      <c r="X403" s="124"/>
      <c r="Y403" s="124"/>
      <c r="Z403" s="124"/>
      <c r="AA403" s="124"/>
      <c r="AB403" s="124"/>
      <c r="AC403" s="124"/>
      <c r="AD403" s="124"/>
      <c r="AE403" s="124"/>
      <c r="AF403" s="124"/>
      <c r="AG403" s="124"/>
      <c r="AH403" s="124"/>
      <c r="AI403" s="124"/>
      <c r="AJ403" s="124"/>
      <c r="AK403" s="124"/>
      <c r="AL403" s="124"/>
      <c r="AM403" s="124"/>
      <c r="AN403" s="125"/>
      <c r="AO403" s="125"/>
      <c r="AP403" s="81"/>
      <c r="AQ403" s="82"/>
      <c r="AR403" s="96"/>
      <c r="AS403" s="96"/>
      <c r="AT403" s="96"/>
      <c r="AU403" s="82"/>
      <c r="AW403" s="95"/>
      <c r="BD403" s="95"/>
      <c r="BE403" s="95"/>
      <c r="BF403" s="95"/>
      <c r="BG403" s="95"/>
    </row>
    <row r="404" spans="1:59" s="83" customFormat="1">
      <c r="A404" s="124"/>
      <c r="B404" s="124"/>
      <c r="C404" s="124"/>
      <c r="D404" s="124"/>
      <c r="E404" s="124"/>
      <c r="F404" s="124"/>
      <c r="G404" s="124"/>
      <c r="H404" s="124"/>
      <c r="I404" s="124"/>
      <c r="J404" s="124"/>
      <c r="K404" s="124"/>
      <c r="L404" s="124"/>
      <c r="M404" s="124"/>
      <c r="N404" s="124"/>
      <c r="O404" s="124"/>
      <c r="P404" s="124"/>
      <c r="Q404" s="124"/>
      <c r="R404" s="124"/>
      <c r="S404" s="124"/>
      <c r="T404" s="124"/>
      <c r="U404" s="125"/>
      <c r="V404" s="124"/>
      <c r="W404" s="124"/>
      <c r="X404" s="124"/>
      <c r="Y404" s="124"/>
      <c r="Z404" s="124"/>
      <c r="AA404" s="124"/>
      <c r="AB404" s="124"/>
      <c r="AC404" s="124"/>
      <c r="AD404" s="124"/>
      <c r="AE404" s="124"/>
      <c r="AF404" s="124"/>
      <c r="AG404" s="124"/>
      <c r="AH404" s="124"/>
      <c r="AI404" s="124"/>
      <c r="AJ404" s="124"/>
      <c r="AK404" s="124"/>
      <c r="AL404" s="124"/>
      <c r="AM404" s="124"/>
      <c r="AN404" s="125"/>
      <c r="AO404" s="125"/>
      <c r="AP404" s="81"/>
      <c r="AQ404" s="82"/>
      <c r="AR404" s="96"/>
      <c r="AS404" s="96"/>
      <c r="AT404" s="96"/>
      <c r="AU404" s="82"/>
      <c r="AW404" s="95"/>
      <c r="BD404" s="95"/>
      <c r="BE404" s="95"/>
      <c r="BF404" s="95"/>
      <c r="BG404" s="95"/>
    </row>
    <row r="405" spans="1:59" s="83" customFormat="1">
      <c r="A405" s="124"/>
      <c r="B405" s="124"/>
      <c r="C405" s="124"/>
      <c r="D405" s="124"/>
      <c r="E405" s="124"/>
      <c r="F405" s="124"/>
      <c r="G405" s="124"/>
      <c r="H405" s="124"/>
      <c r="I405" s="124"/>
      <c r="J405" s="124"/>
      <c r="K405" s="124"/>
      <c r="L405" s="124"/>
      <c r="M405" s="124"/>
      <c r="N405" s="124"/>
      <c r="O405" s="124"/>
      <c r="P405" s="124"/>
      <c r="Q405" s="124"/>
      <c r="R405" s="124"/>
      <c r="S405" s="124"/>
      <c r="T405" s="124"/>
      <c r="U405" s="125"/>
      <c r="V405" s="124"/>
      <c r="W405" s="124"/>
      <c r="X405" s="124"/>
      <c r="Y405" s="124"/>
      <c r="Z405" s="124"/>
      <c r="AA405" s="124"/>
      <c r="AB405" s="124"/>
      <c r="AC405" s="124"/>
      <c r="AD405" s="124"/>
      <c r="AE405" s="124"/>
      <c r="AF405" s="124"/>
      <c r="AG405" s="124"/>
      <c r="AH405" s="124"/>
      <c r="AI405" s="124"/>
      <c r="AJ405" s="124"/>
      <c r="AK405" s="124"/>
      <c r="AL405" s="124"/>
      <c r="AM405" s="124"/>
      <c r="AN405" s="125"/>
      <c r="AO405" s="125"/>
      <c r="AP405" s="81"/>
      <c r="AQ405" s="82"/>
      <c r="AR405" s="96"/>
      <c r="AS405" s="96"/>
      <c r="AT405" s="96"/>
      <c r="AU405" s="82"/>
      <c r="AW405" s="95"/>
      <c r="BD405" s="95"/>
      <c r="BE405" s="95"/>
      <c r="BF405" s="95"/>
      <c r="BG405" s="95"/>
    </row>
    <row r="406" spans="1:59" s="83" customFormat="1">
      <c r="A406" s="124"/>
      <c r="B406" s="124"/>
      <c r="C406" s="124"/>
      <c r="D406" s="124"/>
      <c r="E406" s="124"/>
      <c r="F406" s="124"/>
      <c r="G406" s="124"/>
      <c r="H406" s="124"/>
      <c r="I406" s="124"/>
      <c r="J406" s="124"/>
      <c r="K406" s="124"/>
      <c r="L406" s="124"/>
      <c r="M406" s="124"/>
      <c r="N406" s="124"/>
      <c r="O406" s="124"/>
      <c r="P406" s="124"/>
      <c r="Q406" s="124"/>
      <c r="R406" s="124"/>
      <c r="S406" s="124"/>
      <c r="T406" s="124"/>
      <c r="U406" s="125"/>
      <c r="V406" s="124"/>
      <c r="W406" s="124"/>
      <c r="X406" s="124"/>
      <c r="Y406" s="124"/>
      <c r="Z406" s="124"/>
      <c r="AA406" s="124"/>
      <c r="AB406" s="124"/>
      <c r="AC406" s="124"/>
      <c r="AD406" s="124"/>
      <c r="AE406" s="124"/>
      <c r="AF406" s="124"/>
      <c r="AG406" s="124"/>
      <c r="AH406" s="124"/>
      <c r="AI406" s="124"/>
      <c r="AJ406" s="124"/>
      <c r="AK406" s="124"/>
      <c r="AL406" s="124"/>
      <c r="AM406" s="124"/>
      <c r="AN406" s="125"/>
      <c r="AO406" s="125"/>
      <c r="AP406" s="81"/>
      <c r="AQ406" s="82"/>
      <c r="AR406" s="96"/>
      <c r="AS406" s="96"/>
      <c r="AT406" s="96"/>
      <c r="AU406" s="82"/>
      <c r="AW406" s="95"/>
      <c r="BD406" s="95"/>
      <c r="BE406" s="95"/>
      <c r="BF406" s="95"/>
      <c r="BG406" s="95"/>
    </row>
    <row r="407" spans="1:59" s="83" customFormat="1">
      <c r="A407" s="124"/>
      <c r="B407" s="124"/>
      <c r="C407" s="124"/>
      <c r="D407" s="124"/>
      <c r="E407" s="124"/>
      <c r="F407" s="124"/>
      <c r="G407" s="124"/>
      <c r="H407" s="124"/>
      <c r="I407" s="124"/>
      <c r="J407" s="124"/>
      <c r="K407" s="124"/>
      <c r="L407" s="124"/>
      <c r="M407" s="124"/>
      <c r="N407" s="124"/>
      <c r="O407" s="124"/>
      <c r="P407" s="124"/>
      <c r="Q407" s="124"/>
      <c r="R407" s="124"/>
      <c r="S407" s="124"/>
      <c r="T407" s="124"/>
      <c r="U407" s="125"/>
      <c r="V407" s="124"/>
      <c r="W407" s="124"/>
      <c r="X407" s="124"/>
      <c r="Y407" s="124"/>
      <c r="Z407" s="124"/>
      <c r="AA407" s="124"/>
      <c r="AB407" s="124"/>
      <c r="AC407" s="124"/>
      <c r="AD407" s="124"/>
      <c r="AE407" s="124"/>
      <c r="AF407" s="124"/>
      <c r="AG407" s="124"/>
      <c r="AH407" s="124"/>
      <c r="AI407" s="124"/>
      <c r="AJ407" s="124"/>
      <c r="AK407" s="124"/>
      <c r="AL407" s="124"/>
      <c r="AM407" s="124"/>
      <c r="AN407" s="125"/>
      <c r="AO407" s="125"/>
      <c r="AP407" s="81"/>
      <c r="AQ407" s="82"/>
      <c r="AR407" s="96"/>
      <c r="AS407" s="96"/>
      <c r="AT407" s="96"/>
      <c r="AU407" s="82"/>
      <c r="AW407" s="95"/>
      <c r="BD407" s="95"/>
      <c r="BE407" s="95"/>
      <c r="BF407" s="95"/>
      <c r="BG407" s="95"/>
    </row>
    <row r="408" spans="1:59" s="83" customFormat="1">
      <c r="A408" s="124"/>
      <c r="B408" s="124"/>
      <c r="C408" s="124"/>
      <c r="D408" s="124"/>
      <c r="E408" s="124"/>
      <c r="F408" s="124"/>
      <c r="G408" s="124"/>
      <c r="H408" s="124"/>
      <c r="I408" s="124"/>
      <c r="J408" s="124"/>
      <c r="K408" s="124"/>
      <c r="L408" s="124"/>
      <c r="M408" s="124"/>
      <c r="N408" s="124"/>
      <c r="O408" s="124"/>
      <c r="P408" s="124"/>
      <c r="Q408" s="124"/>
      <c r="R408" s="124"/>
      <c r="S408" s="124"/>
      <c r="T408" s="124"/>
      <c r="U408" s="125"/>
      <c r="V408" s="124"/>
      <c r="W408" s="124"/>
      <c r="X408" s="124"/>
      <c r="Y408" s="124"/>
      <c r="Z408" s="124"/>
      <c r="AA408" s="124"/>
      <c r="AB408" s="124"/>
      <c r="AC408" s="124"/>
      <c r="AD408" s="124"/>
      <c r="AE408" s="124"/>
      <c r="AF408" s="124"/>
      <c r="AG408" s="124"/>
      <c r="AH408" s="124"/>
      <c r="AI408" s="124"/>
      <c r="AJ408" s="124"/>
      <c r="AK408" s="124"/>
      <c r="AL408" s="124"/>
      <c r="AM408" s="124"/>
      <c r="AN408" s="125"/>
      <c r="AO408" s="125"/>
      <c r="AP408" s="81"/>
      <c r="AQ408" s="82"/>
      <c r="AR408" s="96"/>
      <c r="AS408" s="96"/>
      <c r="AT408" s="96"/>
      <c r="AU408" s="82"/>
      <c r="AW408" s="95"/>
      <c r="BD408" s="95"/>
      <c r="BE408" s="95"/>
      <c r="BF408" s="95"/>
      <c r="BG408" s="95"/>
    </row>
    <row r="409" spans="1:59" s="83" customFormat="1">
      <c r="A409" s="124"/>
      <c r="B409" s="124"/>
      <c r="C409" s="124"/>
      <c r="D409" s="124"/>
      <c r="E409" s="124"/>
      <c r="F409" s="124"/>
      <c r="G409" s="124"/>
      <c r="H409" s="124"/>
      <c r="I409" s="124"/>
      <c r="J409" s="124"/>
      <c r="K409" s="124"/>
      <c r="L409" s="124"/>
      <c r="M409" s="124"/>
      <c r="N409" s="124"/>
      <c r="O409" s="124"/>
      <c r="P409" s="124"/>
      <c r="Q409" s="124"/>
      <c r="R409" s="124"/>
      <c r="S409" s="124"/>
      <c r="T409" s="124"/>
      <c r="U409" s="125"/>
      <c r="V409" s="124"/>
      <c r="W409" s="124"/>
      <c r="X409" s="124"/>
      <c r="Y409" s="124"/>
      <c r="Z409" s="124"/>
      <c r="AA409" s="124"/>
      <c r="AB409" s="124"/>
      <c r="AC409" s="124"/>
      <c r="AD409" s="124"/>
      <c r="AE409" s="124"/>
      <c r="AF409" s="124"/>
      <c r="AG409" s="124"/>
      <c r="AH409" s="124"/>
      <c r="AI409" s="124"/>
      <c r="AJ409" s="124"/>
      <c r="AK409" s="124"/>
      <c r="AL409" s="124"/>
      <c r="AM409" s="124"/>
      <c r="AN409" s="125"/>
      <c r="AO409" s="125"/>
      <c r="AP409" s="81"/>
      <c r="AQ409" s="82"/>
      <c r="AR409" s="96"/>
      <c r="AS409" s="96"/>
      <c r="AT409" s="96"/>
      <c r="AU409" s="82"/>
      <c r="AW409" s="95"/>
      <c r="BD409" s="95"/>
      <c r="BE409" s="95"/>
      <c r="BF409" s="95"/>
      <c r="BG409" s="95"/>
    </row>
    <row r="410" spans="1:59" s="83" customFormat="1">
      <c r="A410" s="124"/>
      <c r="B410" s="124"/>
      <c r="C410" s="124"/>
      <c r="D410" s="124"/>
      <c r="E410" s="124"/>
      <c r="F410" s="124"/>
      <c r="G410" s="124"/>
      <c r="H410" s="124"/>
      <c r="I410" s="124"/>
      <c r="J410" s="124"/>
      <c r="K410" s="124"/>
      <c r="L410" s="124"/>
      <c r="M410" s="124"/>
      <c r="N410" s="124"/>
      <c r="O410" s="124"/>
      <c r="P410" s="124"/>
      <c r="Q410" s="124"/>
      <c r="R410" s="124"/>
      <c r="S410" s="124"/>
      <c r="T410" s="124"/>
      <c r="U410" s="125"/>
      <c r="V410" s="124"/>
      <c r="W410" s="124"/>
      <c r="X410" s="124"/>
      <c r="Y410" s="124"/>
      <c r="Z410" s="124"/>
      <c r="AA410" s="124"/>
      <c r="AB410" s="124"/>
      <c r="AC410" s="124"/>
      <c r="AD410" s="124"/>
      <c r="AE410" s="124"/>
      <c r="AF410" s="124"/>
      <c r="AG410" s="124"/>
      <c r="AH410" s="124"/>
      <c r="AI410" s="124"/>
      <c r="AJ410" s="124"/>
      <c r="AK410" s="124"/>
      <c r="AL410" s="124"/>
      <c r="AM410" s="124"/>
      <c r="AN410" s="125"/>
      <c r="AO410" s="125"/>
      <c r="AP410" s="81"/>
      <c r="AQ410" s="82"/>
      <c r="AR410" s="96"/>
      <c r="AS410" s="96"/>
      <c r="AT410" s="96"/>
      <c r="AU410" s="82"/>
      <c r="AW410" s="95"/>
      <c r="BD410" s="95"/>
      <c r="BE410" s="95"/>
      <c r="BF410" s="95"/>
      <c r="BG410" s="95"/>
    </row>
    <row r="411" spans="1:59" s="83" customFormat="1">
      <c r="A411" s="124"/>
      <c r="B411" s="124"/>
      <c r="C411" s="124"/>
      <c r="D411" s="124"/>
      <c r="E411" s="124"/>
      <c r="F411" s="124"/>
      <c r="G411" s="124"/>
      <c r="H411" s="124"/>
      <c r="I411" s="124"/>
      <c r="J411" s="124"/>
      <c r="K411" s="124"/>
      <c r="L411" s="124"/>
      <c r="M411" s="124"/>
      <c r="N411" s="124"/>
      <c r="O411" s="124"/>
      <c r="P411" s="124"/>
      <c r="Q411" s="124"/>
      <c r="R411" s="124"/>
      <c r="S411" s="124"/>
      <c r="T411" s="124"/>
      <c r="U411" s="125"/>
      <c r="V411" s="124"/>
      <c r="W411" s="124"/>
      <c r="X411" s="124"/>
      <c r="Y411" s="124"/>
      <c r="Z411" s="124"/>
      <c r="AA411" s="124"/>
      <c r="AB411" s="124"/>
      <c r="AC411" s="124"/>
      <c r="AD411" s="124"/>
      <c r="AE411" s="124"/>
      <c r="AF411" s="124"/>
      <c r="AG411" s="124"/>
      <c r="AH411" s="124"/>
      <c r="AI411" s="124"/>
      <c r="AJ411" s="124"/>
      <c r="AK411" s="124"/>
      <c r="AL411" s="124"/>
      <c r="AM411" s="124"/>
      <c r="AN411" s="125"/>
      <c r="AO411" s="125"/>
      <c r="AP411" s="81"/>
      <c r="AQ411" s="82"/>
      <c r="AR411" s="96"/>
      <c r="AS411" s="96"/>
      <c r="AT411" s="96"/>
      <c r="AU411" s="82"/>
      <c r="AW411" s="95"/>
      <c r="BD411" s="95"/>
      <c r="BE411" s="95"/>
      <c r="BF411" s="95"/>
      <c r="BG411" s="95"/>
    </row>
    <row r="412" spans="1:59" s="83" customFormat="1">
      <c r="A412" s="124"/>
      <c r="B412" s="124"/>
      <c r="C412" s="124"/>
      <c r="D412" s="124"/>
      <c r="E412" s="124"/>
      <c r="F412" s="124"/>
      <c r="G412" s="124"/>
      <c r="H412" s="124"/>
      <c r="I412" s="124"/>
      <c r="J412" s="124"/>
      <c r="K412" s="124"/>
      <c r="L412" s="124"/>
      <c r="M412" s="124"/>
      <c r="N412" s="124"/>
      <c r="O412" s="124"/>
      <c r="P412" s="124"/>
      <c r="Q412" s="124"/>
      <c r="R412" s="124"/>
      <c r="S412" s="124"/>
      <c r="T412" s="124"/>
      <c r="U412" s="125"/>
      <c r="V412" s="124"/>
      <c r="W412" s="124"/>
      <c r="X412" s="124"/>
      <c r="Y412" s="124"/>
      <c r="Z412" s="124"/>
      <c r="AA412" s="124"/>
      <c r="AB412" s="124"/>
      <c r="AC412" s="124"/>
      <c r="AD412" s="124"/>
      <c r="AE412" s="124"/>
      <c r="AF412" s="124"/>
      <c r="AG412" s="124"/>
      <c r="AH412" s="124"/>
      <c r="AI412" s="124"/>
      <c r="AJ412" s="124"/>
      <c r="AK412" s="124"/>
      <c r="AL412" s="124"/>
      <c r="AM412" s="124"/>
      <c r="AN412" s="125"/>
      <c r="AO412" s="125"/>
      <c r="AP412" s="81"/>
      <c r="AQ412" s="82"/>
      <c r="AR412" s="96"/>
      <c r="AS412" s="96"/>
      <c r="AT412" s="96"/>
      <c r="AU412" s="82"/>
      <c r="AW412" s="95"/>
      <c r="BD412" s="95"/>
      <c r="BE412" s="95"/>
      <c r="BF412" s="95"/>
      <c r="BG412" s="95"/>
    </row>
    <row r="413" spans="1:59" s="83" customFormat="1">
      <c r="A413" s="124"/>
      <c r="B413" s="124"/>
      <c r="C413" s="124"/>
      <c r="D413" s="124"/>
      <c r="E413" s="124"/>
      <c r="F413" s="124"/>
      <c r="G413" s="124"/>
      <c r="H413" s="124"/>
      <c r="I413" s="124"/>
      <c r="J413" s="124"/>
      <c r="K413" s="124"/>
      <c r="L413" s="124"/>
      <c r="M413" s="124"/>
      <c r="N413" s="124"/>
      <c r="O413" s="124"/>
      <c r="P413" s="124"/>
      <c r="Q413" s="124"/>
      <c r="R413" s="124"/>
      <c r="S413" s="124"/>
      <c r="T413" s="124"/>
      <c r="U413" s="125"/>
      <c r="V413" s="124"/>
      <c r="W413" s="124"/>
      <c r="X413" s="124"/>
      <c r="Y413" s="124"/>
      <c r="Z413" s="124"/>
      <c r="AA413" s="124"/>
      <c r="AB413" s="124"/>
      <c r="AC413" s="124"/>
      <c r="AD413" s="124"/>
      <c r="AE413" s="124"/>
      <c r="AF413" s="124"/>
      <c r="AG413" s="124"/>
      <c r="AH413" s="124"/>
      <c r="AI413" s="124"/>
      <c r="AJ413" s="124"/>
      <c r="AK413" s="124"/>
      <c r="AL413" s="124"/>
      <c r="AM413" s="124"/>
      <c r="AN413" s="125"/>
      <c r="AO413" s="125"/>
      <c r="AP413" s="81"/>
      <c r="AQ413" s="82"/>
      <c r="AR413" s="96"/>
      <c r="AS413" s="96"/>
      <c r="AT413" s="96"/>
      <c r="AU413" s="82"/>
      <c r="AW413" s="95"/>
      <c r="BD413" s="95"/>
      <c r="BE413" s="95"/>
      <c r="BF413" s="95"/>
      <c r="BG413" s="95"/>
    </row>
    <row r="414" spans="1:59" s="83" customFormat="1">
      <c r="A414" s="124"/>
      <c r="B414" s="124"/>
      <c r="C414" s="124"/>
      <c r="D414" s="124"/>
      <c r="E414" s="124"/>
      <c r="F414" s="124"/>
      <c r="G414" s="124"/>
      <c r="H414" s="124"/>
      <c r="I414" s="124"/>
      <c r="J414" s="124"/>
      <c r="K414" s="124"/>
      <c r="L414" s="124"/>
      <c r="M414" s="124"/>
      <c r="N414" s="124"/>
      <c r="O414" s="124"/>
      <c r="P414" s="124"/>
      <c r="Q414" s="124"/>
      <c r="R414" s="124"/>
      <c r="S414" s="124"/>
      <c r="T414" s="124"/>
      <c r="U414" s="125"/>
      <c r="V414" s="124"/>
      <c r="W414" s="124"/>
      <c r="X414" s="124"/>
      <c r="Y414" s="124"/>
      <c r="Z414" s="124"/>
      <c r="AA414" s="124"/>
      <c r="AB414" s="124"/>
      <c r="AC414" s="124"/>
      <c r="AD414" s="124"/>
      <c r="AE414" s="124"/>
      <c r="AF414" s="124"/>
      <c r="AG414" s="124"/>
      <c r="AH414" s="124"/>
      <c r="AI414" s="124"/>
      <c r="AJ414" s="124"/>
      <c r="AK414" s="124"/>
      <c r="AL414" s="124"/>
      <c r="AM414" s="124"/>
      <c r="AN414" s="125"/>
      <c r="AO414" s="125"/>
      <c r="AP414" s="81"/>
      <c r="AQ414" s="82"/>
      <c r="AR414" s="96"/>
      <c r="AS414" s="96"/>
      <c r="AT414" s="96"/>
      <c r="AU414" s="82"/>
      <c r="AW414" s="95"/>
      <c r="BD414" s="95"/>
      <c r="BE414" s="95"/>
      <c r="BF414" s="95"/>
      <c r="BG414" s="95"/>
    </row>
    <row r="415" spans="1:59" s="83" customFormat="1">
      <c r="A415" s="124"/>
      <c r="B415" s="124"/>
      <c r="C415" s="124"/>
      <c r="D415" s="124"/>
      <c r="E415" s="124"/>
      <c r="F415" s="124"/>
      <c r="G415" s="124"/>
      <c r="H415" s="124"/>
      <c r="I415" s="124"/>
      <c r="J415" s="124"/>
      <c r="K415" s="124"/>
      <c r="L415" s="124"/>
      <c r="M415" s="124"/>
      <c r="N415" s="124"/>
      <c r="O415" s="124"/>
      <c r="P415" s="124"/>
      <c r="Q415" s="124"/>
      <c r="R415" s="124"/>
      <c r="S415" s="124"/>
      <c r="T415" s="124"/>
      <c r="U415" s="125"/>
      <c r="V415" s="124"/>
      <c r="W415" s="124"/>
      <c r="X415" s="124"/>
      <c r="Y415" s="124"/>
      <c r="Z415" s="124"/>
      <c r="AA415" s="124"/>
      <c r="AB415" s="124"/>
      <c r="AC415" s="124"/>
      <c r="AD415" s="124"/>
      <c r="AE415" s="124"/>
      <c r="AF415" s="124"/>
      <c r="AG415" s="124"/>
      <c r="AH415" s="124"/>
      <c r="AI415" s="124"/>
      <c r="AJ415" s="124"/>
      <c r="AK415" s="124"/>
      <c r="AL415" s="124"/>
      <c r="AM415" s="124"/>
      <c r="AN415" s="125"/>
      <c r="AO415" s="125"/>
      <c r="AP415" s="81"/>
      <c r="AQ415" s="82"/>
      <c r="AR415" s="96"/>
      <c r="AS415" s="96"/>
      <c r="AT415" s="96"/>
      <c r="AU415" s="82"/>
      <c r="AW415" s="95"/>
      <c r="BD415" s="95"/>
      <c r="BE415" s="95"/>
      <c r="BF415" s="95"/>
      <c r="BG415" s="95"/>
    </row>
    <row r="416" spans="1:59" s="83" customFormat="1">
      <c r="A416" s="124"/>
      <c r="B416" s="124"/>
      <c r="C416" s="124"/>
      <c r="D416" s="124"/>
      <c r="E416" s="124"/>
      <c r="F416" s="124"/>
      <c r="G416" s="124"/>
      <c r="H416" s="124"/>
      <c r="I416" s="124"/>
      <c r="J416" s="124"/>
      <c r="K416" s="124"/>
      <c r="L416" s="124"/>
      <c r="M416" s="124"/>
      <c r="N416" s="124"/>
      <c r="O416" s="124"/>
      <c r="P416" s="124"/>
      <c r="Q416" s="124"/>
      <c r="R416" s="124"/>
      <c r="S416" s="124"/>
      <c r="T416" s="124"/>
      <c r="U416" s="125"/>
      <c r="V416" s="124"/>
      <c r="W416" s="124"/>
      <c r="X416" s="124"/>
      <c r="Y416" s="124"/>
      <c r="Z416" s="124"/>
      <c r="AA416" s="124"/>
      <c r="AB416" s="124"/>
      <c r="AC416" s="124"/>
      <c r="AD416" s="124"/>
      <c r="AE416" s="124"/>
      <c r="AF416" s="124"/>
      <c r="AG416" s="124"/>
      <c r="AH416" s="124"/>
      <c r="AI416" s="124"/>
      <c r="AJ416" s="124"/>
      <c r="AK416" s="124"/>
      <c r="AL416" s="124"/>
      <c r="AM416" s="124"/>
      <c r="AN416" s="125"/>
      <c r="AO416" s="125"/>
      <c r="AP416" s="81"/>
      <c r="AQ416" s="82"/>
      <c r="AR416" s="96"/>
      <c r="AS416" s="96"/>
      <c r="AT416" s="96"/>
      <c r="AU416" s="82"/>
      <c r="AW416" s="95"/>
      <c r="BD416" s="95"/>
      <c r="BE416" s="95"/>
      <c r="BF416" s="95"/>
      <c r="BG416" s="95"/>
    </row>
    <row r="417" spans="1:59" s="83" customFormat="1">
      <c r="A417" s="124"/>
      <c r="B417" s="124"/>
      <c r="C417" s="124"/>
      <c r="D417" s="124"/>
      <c r="E417" s="124"/>
      <c r="F417" s="124"/>
      <c r="G417" s="124"/>
      <c r="H417" s="124"/>
      <c r="I417" s="124"/>
      <c r="J417" s="124"/>
      <c r="K417" s="124"/>
      <c r="L417" s="124"/>
      <c r="M417" s="124"/>
      <c r="N417" s="124"/>
      <c r="O417" s="124"/>
      <c r="P417" s="124"/>
      <c r="Q417" s="124"/>
      <c r="R417" s="124"/>
      <c r="S417" s="124"/>
      <c r="T417" s="124"/>
      <c r="U417" s="125"/>
      <c r="V417" s="124"/>
      <c r="W417" s="124"/>
      <c r="X417" s="124"/>
      <c r="Y417" s="124"/>
      <c r="Z417" s="124"/>
      <c r="AA417" s="124"/>
      <c r="AB417" s="124"/>
      <c r="AC417" s="124"/>
      <c r="AD417" s="124"/>
      <c r="AE417" s="124"/>
      <c r="AF417" s="124"/>
      <c r="AG417" s="124"/>
      <c r="AH417" s="124"/>
      <c r="AI417" s="124"/>
      <c r="AJ417" s="124"/>
      <c r="AK417" s="124"/>
      <c r="AL417" s="124"/>
      <c r="AM417" s="124"/>
      <c r="AN417" s="125"/>
      <c r="AO417" s="125"/>
      <c r="AP417" s="81"/>
      <c r="AQ417" s="82"/>
      <c r="AR417" s="96"/>
      <c r="AS417" s="96"/>
      <c r="AT417" s="96"/>
      <c r="AU417" s="82"/>
      <c r="AW417" s="95"/>
      <c r="BD417" s="95"/>
      <c r="BE417" s="95"/>
      <c r="BF417" s="95"/>
      <c r="BG417" s="95"/>
    </row>
    <row r="418" spans="1:59" s="83" customFormat="1">
      <c r="A418" s="124"/>
      <c r="B418" s="124"/>
      <c r="C418" s="124"/>
      <c r="D418" s="124"/>
      <c r="E418" s="124"/>
      <c r="F418" s="124"/>
      <c r="G418" s="124"/>
      <c r="H418" s="124"/>
      <c r="I418" s="124"/>
      <c r="J418" s="124"/>
      <c r="K418" s="124"/>
      <c r="L418" s="124"/>
      <c r="M418" s="124"/>
      <c r="N418" s="124"/>
      <c r="O418" s="124"/>
      <c r="P418" s="124"/>
      <c r="Q418" s="124"/>
      <c r="R418" s="124"/>
      <c r="S418" s="124"/>
      <c r="T418" s="124"/>
      <c r="U418" s="125"/>
      <c r="V418" s="124"/>
      <c r="W418" s="124"/>
      <c r="X418" s="124"/>
      <c r="Y418" s="124"/>
      <c r="Z418" s="124"/>
      <c r="AA418" s="124"/>
      <c r="AB418" s="124"/>
      <c r="AC418" s="124"/>
      <c r="AD418" s="124"/>
      <c r="AE418" s="124"/>
      <c r="AF418" s="124"/>
      <c r="AG418" s="124"/>
      <c r="AH418" s="124"/>
      <c r="AI418" s="124"/>
      <c r="AJ418" s="124"/>
      <c r="AK418" s="124"/>
      <c r="AL418" s="124"/>
      <c r="AM418" s="124"/>
      <c r="AN418" s="125"/>
      <c r="AO418" s="125"/>
      <c r="AP418" s="81"/>
      <c r="AQ418" s="82"/>
      <c r="AR418" s="96"/>
      <c r="AS418" s="96"/>
      <c r="AT418" s="96"/>
      <c r="AU418" s="82"/>
      <c r="AW418" s="95"/>
      <c r="BD418" s="95"/>
      <c r="BE418" s="95"/>
      <c r="BF418" s="95"/>
      <c r="BG418" s="95"/>
    </row>
    <row r="419" spans="1:59" s="83" customFormat="1">
      <c r="A419" s="124"/>
      <c r="B419" s="124"/>
      <c r="C419" s="124"/>
      <c r="D419" s="124"/>
      <c r="E419" s="124"/>
      <c r="F419" s="124"/>
      <c r="G419" s="124"/>
      <c r="H419" s="124"/>
      <c r="I419" s="124"/>
      <c r="J419" s="124"/>
      <c r="K419" s="124"/>
      <c r="L419" s="124"/>
      <c r="M419" s="124"/>
      <c r="N419" s="124"/>
      <c r="O419" s="124"/>
      <c r="P419" s="124"/>
      <c r="Q419" s="124"/>
      <c r="R419" s="124"/>
      <c r="S419" s="124"/>
      <c r="T419" s="124"/>
      <c r="U419" s="125"/>
      <c r="V419" s="124"/>
      <c r="W419" s="124"/>
      <c r="X419" s="124"/>
      <c r="Y419" s="124"/>
      <c r="Z419" s="124"/>
      <c r="AA419" s="124"/>
      <c r="AB419" s="124"/>
      <c r="AC419" s="124"/>
      <c r="AD419" s="124"/>
      <c r="AE419" s="124"/>
      <c r="AF419" s="124"/>
      <c r="AG419" s="124"/>
      <c r="AH419" s="124"/>
      <c r="AI419" s="124"/>
      <c r="AJ419" s="124"/>
      <c r="AK419" s="124"/>
      <c r="AL419" s="124"/>
      <c r="AM419" s="124"/>
      <c r="AN419" s="125"/>
      <c r="AO419" s="125"/>
      <c r="AP419" s="81"/>
      <c r="AQ419" s="82"/>
      <c r="AR419" s="96"/>
      <c r="AS419" s="96"/>
      <c r="AT419" s="96"/>
      <c r="AU419" s="82"/>
      <c r="AW419" s="95"/>
      <c r="BD419" s="95"/>
      <c r="BE419" s="95"/>
      <c r="BF419" s="95"/>
      <c r="BG419" s="95"/>
    </row>
    <row r="420" spans="1:59" s="83" customFormat="1">
      <c r="A420" s="124"/>
      <c r="B420" s="124"/>
      <c r="C420" s="124"/>
      <c r="D420" s="124"/>
      <c r="E420" s="124"/>
      <c r="F420" s="124"/>
      <c r="G420" s="124"/>
      <c r="H420" s="124"/>
      <c r="I420" s="124"/>
      <c r="J420" s="124"/>
      <c r="K420" s="124"/>
      <c r="L420" s="124"/>
      <c r="M420" s="124"/>
      <c r="N420" s="124"/>
      <c r="O420" s="124"/>
      <c r="P420" s="124"/>
      <c r="Q420" s="124"/>
      <c r="R420" s="124"/>
      <c r="S420" s="124"/>
      <c r="T420" s="124"/>
      <c r="U420" s="125"/>
      <c r="V420" s="124"/>
      <c r="W420" s="124"/>
      <c r="X420" s="124"/>
      <c r="Y420" s="124"/>
      <c r="Z420" s="124"/>
      <c r="AA420" s="124"/>
      <c r="AB420" s="124"/>
      <c r="AC420" s="124"/>
      <c r="AD420" s="124"/>
      <c r="AE420" s="124"/>
      <c r="AF420" s="124"/>
      <c r="AG420" s="124"/>
      <c r="AH420" s="124"/>
      <c r="AI420" s="124"/>
      <c r="AJ420" s="124"/>
      <c r="AK420" s="124"/>
      <c r="AL420" s="124"/>
      <c r="AM420" s="124"/>
      <c r="AN420" s="125"/>
      <c r="AO420" s="125"/>
      <c r="AP420" s="81"/>
      <c r="AQ420" s="82"/>
      <c r="AR420" s="96"/>
      <c r="AS420" s="96"/>
      <c r="AT420" s="96"/>
      <c r="AU420" s="82"/>
      <c r="AW420" s="177"/>
      <c r="BD420" s="95"/>
      <c r="BE420" s="95"/>
      <c r="BF420" s="95"/>
      <c r="BG420" s="95"/>
    </row>
    <row r="421" spans="1:59" s="83" customFormat="1">
      <c r="A421" s="124"/>
      <c r="B421" s="124"/>
      <c r="C421" s="124"/>
      <c r="D421" s="124"/>
      <c r="E421" s="124"/>
      <c r="F421" s="124"/>
      <c r="G421" s="124"/>
      <c r="H421" s="124"/>
      <c r="I421" s="124"/>
      <c r="J421" s="124"/>
      <c r="K421" s="124"/>
      <c r="L421" s="124"/>
      <c r="M421" s="124"/>
      <c r="N421" s="124"/>
      <c r="O421" s="124"/>
      <c r="P421" s="124"/>
      <c r="Q421" s="124"/>
      <c r="R421" s="124"/>
      <c r="S421" s="124"/>
      <c r="T421" s="124"/>
      <c r="U421" s="125"/>
      <c r="V421" s="124"/>
      <c r="W421" s="124"/>
      <c r="X421" s="124"/>
      <c r="Y421" s="124"/>
      <c r="Z421" s="124"/>
      <c r="AA421" s="124"/>
      <c r="AB421" s="124"/>
      <c r="AC421" s="124"/>
      <c r="AD421" s="124"/>
      <c r="AE421" s="124"/>
      <c r="AF421" s="124"/>
      <c r="AG421" s="124"/>
      <c r="AH421" s="124"/>
      <c r="AI421" s="124"/>
      <c r="AJ421" s="124"/>
      <c r="AK421" s="124"/>
      <c r="AL421" s="124"/>
      <c r="AM421" s="124"/>
      <c r="AN421" s="125"/>
      <c r="AO421" s="125"/>
      <c r="AP421" s="81"/>
      <c r="AQ421" s="82"/>
      <c r="AR421" s="96"/>
      <c r="AS421" s="96"/>
      <c r="AT421" s="96"/>
      <c r="AU421" s="82"/>
      <c r="AW421" s="177"/>
      <c r="BD421" s="95"/>
      <c r="BE421" s="95"/>
      <c r="BF421" s="95"/>
      <c r="BG421" s="95"/>
    </row>
    <row r="422" spans="1:59" s="83" customFormat="1">
      <c r="A422" s="124"/>
      <c r="B422" s="124"/>
      <c r="C422" s="124"/>
      <c r="D422" s="124"/>
      <c r="E422" s="124"/>
      <c r="F422" s="124"/>
      <c r="G422" s="124"/>
      <c r="H422" s="124"/>
      <c r="I422" s="124"/>
      <c r="J422" s="124"/>
      <c r="K422" s="124"/>
      <c r="L422" s="124"/>
      <c r="M422" s="124"/>
      <c r="N422" s="124"/>
      <c r="O422" s="124"/>
      <c r="P422" s="124"/>
      <c r="Q422" s="124"/>
      <c r="R422" s="124"/>
      <c r="S422" s="124"/>
      <c r="T422" s="124"/>
      <c r="U422" s="125"/>
      <c r="V422" s="124"/>
      <c r="W422" s="124"/>
      <c r="X422" s="124"/>
      <c r="Y422" s="124"/>
      <c r="Z422" s="124"/>
      <c r="AA422" s="124"/>
      <c r="AB422" s="124"/>
      <c r="AC422" s="124"/>
      <c r="AD422" s="124"/>
      <c r="AE422" s="124"/>
      <c r="AF422" s="124"/>
      <c r="AG422" s="124"/>
      <c r="AH422" s="124"/>
      <c r="AI422" s="124"/>
      <c r="AJ422" s="124"/>
      <c r="AK422" s="124"/>
      <c r="AL422" s="124"/>
      <c r="AM422" s="124"/>
      <c r="AN422" s="125"/>
      <c r="AO422" s="125"/>
      <c r="AP422" s="81"/>
      <c r="AQ422" s="82"/>
      <c r="AR422" s="96"/>
      <c r="AS422" s="96"/>
      <c r="AT422" s="96"/>
      <c r="AU422" s="82"/>
      <c r="AW422" s="177"/>
      <c r="BD422" s="95"/>
      <c r="BE422" s="95"/>
      <c r="BF422" s="95"/>
      <c r="BG422" s="95"/>
    </row>
    <row r="423" spans="1:59" s="83" customFormat="1">
      <c r="A423" s="124"/>
      <c r="B423" s="124"/>
      <c r="C423" s="124"/>
      <c r="D423" s="124"/>
      <c r="E423" s="124"/>
      <c r="F423" s="124"/>
      <c r="G423" s="124"/>
      <c r="H423" s="124"/>
      <c r="I423" s="124"/>
      <c r="J423" s="124"/>
      <c r="K423" s="124"/>
      <c r="L423" s="124"/>
      <c r="M423" s="124"/>
      <c r="N423" s="124"/>
      <c r="O423" s="124"/>
      <c r="P423" s="124"/>
      <c r="Q423" s="124"/>
      <c r="R423" s="124"/>
      <c r="S423" s="124"/>
      <c r="T423" s="124"/>
      <c r="U423" s="125"/>
      <c r="V423" s="124"/>
      <c r="W423" s="124"/>
      <c r="X423" s="124"/>
      <c r="Y423" s="124"/>
      <c r="Z423" s="124"/>
      <c r="AA423" s="124"/>
      <c r="AB423" s="124"/>
      <c r="AC423" s="124"/>
      <c r="AD423" s="124"/>
      <c r="AE423" s="124"/>
      <c r="AF423" s="124"/>
      <c r="AG423" s="124"/>
      <c r="AH423" s="124"/>
      <c r="AI423" s="124"/>
      <c r="AJ423" s="124"/>
      <c r="AK423" s="124"/>
      <c r="AL423" s="124"/>
      <c r="AM423" s="124"/>
      <c r="AN423" s="125"/>
      <c r="AO423" s="125"/>
      <c r="AP423" s="81"/>
      <c r="AQ423" s="82"/>
      <c r="AR423" s="96"/>
      <c r="AS423" s="96"/>
      <c r="AT423" s="96"/>
      <c r="AU423" s="82"/>
      <c r="AW423" s="177"/>
      <c r="BD423" s="95"/>
      <c r="BE423" s="95"/>
      <c r="BF423" s="95"/>
      <c r="BG423" s="95"/>
    </row>
    <row r="424" spans="1:59" s="83" customFormat="1">
      <c r="A424" s="124"/>
      <c r="B424" s="124"/>
      <c r="C424" s="124"/>
      <c r="D424" s="124"/>
      <c r="E424" s="124"/>
      <c r="F424" s="124"/>
      <c r="G424" s="124"/>
      <c r="H424" s="124"/>
      <c r="I424" s="124"/>
      <c r="J424" s="124"/>
      <c r="K424" s="124"/>
      <c r="L424" s="124"/>
      <c r="M424" s="124"/>
      <c r="N424" s="124"/>
      <c r="O424" s="124"/>
      <c r="P424" s="124"/>
      <c r="Q424" s="124"/>
      <c r="R424" s="124"/>
      <c r="S424" s="124"/>
      <c r="T424" s="124"/>
      <c r="U424" s="125"/>
      <c r="V424" s="124"/>
      <c r="W424" s="124"/>
      <c r="X424" s="124"/>
      <c r="Y424" s="124"/>
      <c r="Z424" s="124"/>
      <c r="AA424" s="124"/>
      <c r="AB424" s="124"/>
      <c r="AC424" s="124"/>
      <c r="AD424" s="124"/>
      <c r="AE424" s="124"/>
      <c r="AF424" s="124"/>
      <c r="AG424" s="124"/>
      <c r="AH424" s="124"/>
      <c r="AI424" s="124"/>
      <c r="AJ424" s="124"/>
      <c r="AK424" s="124"/>
      <c r="AL424" s="124"/>
      <c r="AM424" s="124"/>
      <c r="AN424" s="125"/>
      <c r="AO424" s="125"/>
      <c r="AP424" s="81"/>
      <c r="AQ424" s="82"/>
      <c r="AR424" s="96"/>
      <c r="AS424" s="96"/>
      <c r="AT424" s="96"/>
      <c r="AU424" s="82"/>
      <c r="AW424" s="177"/>
      <c r="BD424" s="95"/>
      <c r="BE424" s="95"/>
      <c r="BF424" s="95"/>
      <c r="BG424" s="95"/>
    </row>
    <row r="425" spans="1:59" s="83" customFormat="1">
      <c r="A425" s="124"/>
      <c r="B425" s="124"/>
      <c r="C425" s="124"/>
      <c r="D425" s="124"/>
      <c r="E425" s="124"/>
      <c r="F425" s="124"/>
      <c r="G425" s="124"/>
      <c r="H425" s="124"/>
      <c r="I425" s="124"/>
      <c r="J425" s="124"/>
      <c r="K425" s="124"/>
      <c r="L425" s="124"/>
      <c r="M425" s="124"/>
      <c r="N425" s="124"/>
      <c r="O425" s="124"/>
      <c r="P425" s="124"/>
      <c r="Q425" s="124"/>
      <c r="R425" s="124"/>
      <c r="S425" s="124"/>
      <c r="T425" s="124"/>
      <c r="U425" s="125"/>
      <c r="V425" s="124"/>
      <c r="W425" s="124"/>
      <c r="X425" s="124"/>
      <c r="Y425" s="124"/>
      <c r="Z425" s="124"/>
      <c r="AA425" s="124"/>
      <c r="AB425" s="124"/>
      <c r="AC425" s="124"/>
      <c r="AD425" s="124"/>
      <c r="AE425" s="124"/>
      <c r="AF425" s="124"/>
      <c r="AG425" s="124"/>
      <c r="AH425" s="124"/>
      <c r="AI425" s="124"/>
      <c r="AJ425" s="124"/>
      <c r="AK425" s="124"/>
      <c r="AL425" s="124"/>
      <c r="AM425" s="124"/>
      <c r="AN425" s="125"/>
      <c r="AO425" s="125"/>
      <c r="AP425" s="81"/>
      <c r="AQ425" s="82"/>
      <c r="AR425" s="96"/>
      <c r="AS425" s="96"/>
      <c r="AT425" s="96"/>
      <c r="AU425" s="82"/>
      <c r="AW425" s="177"/>
      <c r="BD425" s="95"/>
      <c r="BE425" s="95"/>
      <c r="BF425" s="95"/>
      <c r="BG425" s="95"/>
    </row>
    <row r="426" spans="1:59" s="83" customFormat="1">
      <c r="A426" s="124"/>
      <c r="B426" s="124"/>
      <c r="C426" s="124"/>
      <c r="D426" s="124"/>
      <c r="E426" s="124"/>
      <c r="F426" s="124"/>
      <c r="G426" s="124"/>
      <c r="H426" s="124"/>
      <c r="I426" s="124"/>
      <c r="J426" s="124"/>
      <c r="K426" s="124"/>
      <c r="L426" s="124"/>
      <c r="M426" s="124"/>
      <c r="N426" s="124"/>
      <c r="O426" s="124"/>
      <c r="P426" s="124"/>
      <c r="Q426" s="124"/>
      <c r="R426" s="124"/>
      <c r="S426" s="124"/>
      <c r="T426" s="124"/>
      <c r="U426" s="125"/>
      <c r="V426" s="124"/>
      <c r="W426" s="124"/>
      <c r="X426" s="124"/>
      <c r="Y426" s="124"/>
      <c r="Z426" s="124"/>
      <c r="AA426" s="124"/>
      <c r="AB426" s="124"/>
      <c r="AC426" s="124"/>
      <c r="AD426" s="124"/>
      <c r="AE426" s="124"/>
      <c r="AF426" s="124"/>
      <c r="AG426" s="124"/>
      <c r="AH426" s="124"/>
      <c r="AI426" s="124"/>
      <c r="AJ426" s="124"/>
      <c r="AK426" s="124"/>
      <c r="AL426" s="124"/>
      <c r="AM426" s="124"/>
      <c r="AN426" s="125"/>
      <c r="AO426" s="125"/>
      <c r="AP426" s="81"/>
      <c r="AQ426" s="82"/>
      <c r="AR426" s="96"/>
      <c r="AS426" s="96"/>
      <c r="AT426" s="96"/>
      <c r="AU426" s="82"/>
      <c r="AW426" s="177"/>
      <c r="BD426" s="95"/>
      <c r="BE426" s="95"/>
      <c r="BF426" s="95"/>
      <c r="BG426" s="95"/>
    </row>
    <row r="427" spans="1:59" s="83" customFormat="1">
      <c r="A427" s="124"/>
      <c r="B427" s="124"/>
      <c r="C427" s="124"/>
      <c r="D427" s="124"/>
      <c r="E427" s="124"/>
      <c r="F427" s="124"/>
      <c r="G427" s="124"/>
      <c r="H427" s="124"/>
      <c r="I427" s="124"/>
      <c r="J427" s="124"/>
      <c r="K427" s="124"/>
      <c r="L427" s="124"/>
      <c r="M427" s="124"/>
      <c r="N427" s="124"/>
      <c r="O427" s="124"/>
      <c r="P427" s="124"/>
      <c r="Q427" s="124"/>
      <c r="R427" s="124"/>
      <c r="S427" s="124"/>
      <c r="T427" s="124"/>
      <c r="U427" s="125"/>
      <c r="V427" s="124"/>
      <c r="W427" s="124"/>
      <c r="X427" s="124"/>
      <c r="Y427" s="124"/>
      <c r="Z427" s="124"/>
      <c r="AA427" s="124"/>
      <c r="AB427" s="124"/>
      <c r="AC427" s="124"/>
      <c r="AD427" s="124"/>
      <c r="AE427" s="124"/>
      <c r="AF427" s="124"/>
      <c r="AG427" s="124"/>
      <c r="AH427" s="124"/>
      <c r="AI427" s="124"/>
      <c r="AJ427" s="124"/>
      <c r="AK427" s="124"/>
      <c r="AL427" s="124"/>
      <c r="AM427" s="124"/>
      <c r="AN427" s="125"/>
      <c r="AO427" s="125"/>
      <c r="AP427" s="81"/>
      <c r="AQ427" s="82"/>
      <c r="AR427" s="96"/>
      <c r="AS427" s="96"/>
      <c r="AT427" s="96"/>
      <c r="AU427" s="82"/>
      <c r="AW427" s="177"/>
      <c r="BD427" s="95"/>
      <c r="BE427" s="95"/>
      <c r="BF427" s="95"/>
      <c r="BG427" s="95"/>
    </row>
    <row r="428" spans="1:59" s="83" customFormat="1">
      <c r="A428" s="124"/>
      <c r="B428" s="124"/>
      <c r="C428" s="124"/>
      <c r="D428" s="124"/>
      <c r="E428" s="124"/>
      <c r="F428" s="124"/>
      <c r="G428" s="124"/>
      <c r="H428" s="124"/>
      <c r="I428" s="124"/>
      <c r="J428" s="124"/>
      <c r="K428" s="124"/>
      <c r="L428" s="124"/>
      <c r="M428" s="124"/>
      <c r="N428" s="124"/>
      <c r="O428" s="124"/>
      <c r="P428" s="124"/>
      <c r="Q428" s="124"/>
      <c r="R428" s="124"/>
      <c r="S428" s="124"/>
      <c r="T428" s="124"/>
      <c r="U428" s="125"/>
      <c r="V428" s="124"/>
      <c r="W428" s="124"/>
      <c r="X428" s="124"/>
      <c r="Y428" s="124"/>
      <c r="Z428" s="124"/>
      <c r="AA428" s="124"/>
      <c r="AB428" s="124"/>
      <c r="AC428" s="124"/>
      <c r="AD428" s="124"/>
      <c r="AE428" s="124"/>
      <c r="AF428" s="124"/>
      <c r="AG428" s="124"/>
      <c r="AH428" s="124"/>
      <c r="AI428" s="124"/>
      <c r="AJ428" s="124"/>
      <c r="AK428" s="124"/>
      <c r="AL428" s="124"/>
      <c r="AM428" s="124"/>
      <c r="AN428" s="125"/>
      <c r="AO428" s="125"/>
      <c r="AP428" s="81"/>
      <c r="AQ428" s="82"/>
      <c r="AR428" s="96"/>
      <c r="AS428" s="96"/>
      <c r="AT428" s="96"/>
      <c r="AU428" s="82"/>
      <c r="AW428" s="177"/>
      <c r="BD428" s="95"/>
      <c r="BE428" s="95"/>
      <c r="BF428" s="95"/>
      <c r="BG428" s="95"/>
    </row>
    <row r="429" spans="1:59" s="83" customFormat="1">
      <c r="A429" s="124"/>
      <c r="B429" s="124"/>
      <c r="C429" s="124"/>
      <c r="D429" s="124"/>
      <c r="E429" s="124"/>
      <c r="F429" s="124"/>
      <c r="G429" s="124"/>
      <c r="H429" s="124"/>
      <c r="I429" s="124"/>
      <c r="J429" s="124"/>
      <c r="K429" s="124"/>
      <c r="L429" s="124"/>
      <c r="M429" s="124"/>
      <c r="N429" s="124"/>
      <c r="O429" s="124"/>
      <c r="P429" s="124"/>
      <c r="Q429" s="124"/>
      <c r="R429" s="124"/>
      <c r="S429" s="124"/>
      <c r="T429" s="124"/>
      <c r="U429" s="125"/>
      <c r="V429" s="124"/>
      <c r="W429" s="124"/>
      <c r="X429" s="124"/>
      <c r="Y429" s="124"/>
      <c r="Z429" s="124"/>
      <c r="AA429" s="124"/>
      <c r="AB429" s="124"/>
      <c r="AC429" s="124"/>
      <c r="AD429" s="124"/>
      <c r="AE429" s="124"/>
      <c r="AF429" s="124"/>
      <c r="AG429" s="124"/>
      <c r="AH429" s="124"/>
      <c r="AI429" s="124"/>
      <c r="AJ429" s="124"/>
      <c r="AK429" s="124"/>
      <c r="AL429" s="124"/>
      <c r="AM429" s="124"/>
      <c r="AN429" s="125"/>
      <c r="AO429" s="125"/>
      <c r="AP429" s="81"/>
      <c r="AQ429" s="82"/>
      <c r="AR429" s="96"/>
      <c r="AS429" s="96"/>
      <c r="AT429" s="96"/>
      <c r="AU429" s="82"/>
      <c r="AW429" s="177"/>
      <c r="BD429" s="95"/>
      <c r="BE429" s="95"/>
      <c r="BF429" s="95"/>
      <c r="BG429" s="95"/>
    </row>
    <row r="430" spans="1:59" s="83" customFormat="1">
      <c r="A430" s="124"/>
      <c r="B430" s="124"/>
      <c r="C430" s="124"/>
      <c r="D430" s="124"/>
      <c r="E430" s="124"/>
      <c r="F430" s="124"/>
      <c r="G430" s="124"/>
      <c r="H430" s="124"/>
      <c r="I430" s="124"/>
      <c r="J430" s="124"/>
      <c r="K430" s="124"/>
      <c r="L430" s="124"/>
      <c r="M430" s="124"/>
      <c r="N430" s="124"/>
      <c r="O430" s="124"/>
      <c r="P430" s="124"/>
      <c r="Q430" s="124"/>
      <c r="R430" s="124"/>
      <c r="S430" s="124"/>
      <c r="T430" s="124"/>
      <c r="U430" s="125"/>
      <c r="V430" s="124"/>
      <c r="W430" s="124"/>
      <c r="X430" s="124"/>
      <c r="Y430" s="124"/>
      <c r="Z430" s="124"/>
      <c r="AA430" s="124"/>
      <c r="AB430" s="124"/>
      <c r="AC430" s="124"/>
      <c r="AD430" s="124"/>
      <c r="AE430" s="124"/>
      <c r="AF430" s="124"/>
      <c r="AG430" s="124"/>
      <c r="AH430" s="124"/>
      <c r="AI430" s="124"/>
      <c r="AJ430" s="124"/>
      <c r="AK430" s="124"/>
      <c r="AL430" s="124"/>
      <c r="AM430" s="124"/>
      <c r="AN430" s="125"/>
      <c r="AO430" s="125"/>
      <c r="AP430" s="81"/>
      <c r="AQ430" s="82"/>
      <c r="AR430" s="96"/>
      <c r="AS430" s="96"/>
      <c r="AT430" s="96"/>
      <c r="AU430" s="82"/>
      <c r="AW430" s="177"/>
      <c r="BD430" s="95"/>
      <c r="BE430" s="95"/>
      <c r="BF430" s="95"/>
      <c r="BG430" s="95"/>
    </row>
    <row r="431" spans="1:59" s="83" customFormat="1">
      <c r="A431" s="124"/>
      <c r="B431" s="124"/>
      <c r="C431" s="124"/>
      <c r="D431" s="124"/>
      <c r="E431" s="124"/>
      <c r="F431" s="124"/>
      <c r="G431" s="124"/>
      <c r="H431" s="124"/>
      <c r="I431" s="124"/>
      <c r="J431" s="124"/>
      <c r="K431" s="124"/>
      <c r="L431" s="124"/>
      <c r="M431" s="124"/>
      <c r="N431" s="124"/>
      <c r="O431" s="124"/>
      <c r="P431" s="124"/>
      <c r="Q431" s="124"/>
      <c r="R431" s="124"/>
      <c r="S431" s="124"/>
      <c r="T431" s="124"/>
      <c r="U431" s="125"/>
      <c r="V431" s="124"/>
      <c r="W431" s="124"/>
      <c r="X431" s="124"/>
      <c r="Y431" s="124"/>
      <c r="Z431" s="124"/>
      <c r="AA431" s="124"/>
      <c r="AB431" s="124"/>
      <c r="AC431" s="124"/>
      <c r="AD431" s="124"/>
      <c r="AE431" s="124"/>
      <c r="AF431" s="124"/>
      <c r="AG431" s="124"/>
      <c r="AH431" s="124"/>
      <c r="AI431" s="124"/>
      <c r="AJ431" s="124"/>
      <c r="AK431" s="124"/>
      <c r="AL431" s="124"/>
      <c r="AM431" s="124"/>
      <c r="AN431" s="125"/>
      <c r="AO431" s="125"/>
      <c r="AP431" s="81"/>
      <c r="AQ431" s="82"/>
      <c r="AR431" s="96"/>
      <c r="AS431" s="96"/>
      <c r="AT431" s="96"/>
      <c r="AU431" s="82"/>
      <c r="AW431" s="177"/>
      <c r="BD431" s="95"/>
      <c r="BE431" s="95"/>
      <c r="BF431" s="95"/>
      <c r="BG431" s="95"/>
    </row>
    <row r="432" spans="1:59" s="83" customFormat="1">
      <c r="A432" s="124"/>
      <c r="B432" s="124"/>
      <c r="C432" s="124"/>
      <c r="D432" s="124"/>
      <c r="E432" s="124"/>
      <c r="F432" s="124"/>
      <c r="G432" s="124"/>
      <c r="H432" s="124"/>
      <c r="I432" s="124"/>
      <c r="J432" s="124"/>
      <c r="K432" s="124"/>
      <c r="L432" s="124"/>
      <c r="M432" s="124"/>
      <c r="N432" s="124"/>
      <c r="O432" s="124"/>
      <c r="P432" s="124"/>
      <c r="Q432" s="124"/>
      <c r="R432" s="124"/>
      <c r="S432" s="124"/>
      <c r="T432" s="124"/>
      <c r="U432" s="125"/>
      <c r="V432" s="124"/>
      <c r="W432" s="124"/>
      <c r="X432" s="124"/>
      <c r="Y432" s="124"/>
      <c r="Z432" s="124"/>
      <c r="AA432" s="124"/>
      <c r="AB432" s="124"/>
      <c r="AC432" s="124"/>
      <c r="AD432" s="124"/>
      <c r="AE432" s="124"/>
      <c r="AF432" s="124"/>
      <c r="AG432" s="124"/>
      <c r="AH432" s="124"/>
      <c r="AI432" s="124"/>
      <c r="AJ432" s="124"/>
      <c r="AK432" s="124"/>
      <c r="AL432" s="124"/>
      <c r="AM432" s="124"/>
      <c r="AN432" s="125"/>
      <c r="AO432" s="125"/>
      <c r="AP432" s="81"/>
      <c r="AQ432" s="82"/>
      <c r="AR432" s="96"/>
      <c r="AS432" s="96"/>
      <c r="AT432" s="96"/>
      <c r="AU432" s="82"/>
      <c r="AW432" s="177"/>
      <c r="BD432" s="95"/>
      <c r="BE432" s="95"/>
      <c r="BF432" s="95"/>
      <c r="BG432" s="95"/>
    </row>
    <row r="433" spans="1:67" s="83" customFormat="1">
      <c r="A433" s="124"/>
      <c r="B433" s="124"/>
      <c r="C433" s="124"/>
      <c r="D433" s="124"/>
      <c r="E433" s="124"/>
      <c r="F433" s="124"/>
      <c r="G433" s="124"/>
      <c r="H433" s="124"/>
      <c r="I433" s="124"/>
      <c r="J433" s="124"/>
      <c r="K433" s="124"/>
      <c r="L433" s="124"/>
      <c r="M433" s="124"/>
      <c r="N433" s="124"/>
      <c r="O433" s="124"/>
      <c r="P433" s="124"/>
      <c r="Q433" s="124"/>
      <c r="R433" s="124"/>
      <c r="S433" s="124"/>
      <c r="T433" s="124"/>
      <c r="U433" s="125"/>
      <c r="V433" s="124"/>
      <c r="W433" s="124"/>
      <c r="X433" s="124"/>
      <c r="Y433" s="124"/>
      <c r="Z433" s="124"/>
      <c r="AA433" s="124"/>
      <c r="AB433" s="124"/>
      <c r="AC433" s="124"/>
      <c r="AD433" s="124"/>
      <c r="AE433" s="124"/>
      <c r="AF433" s="124"/>
      <c r="AG433" s="124"/>
      <c r="AH433" s="124"/>
      <c r="AI433" s="124"/>
      <c r="AJ433" s="124"/>
      <c r="AK433" s="124"/>
      <c r="AL433" s="124"/>
      <c r="AM433" s="124"/>
      <c r="AN433" s="125"/>
      <c r="AO433" s="125"/>
      <c r="AP433" s="81"/>
      <c r="AQ433" s="82"/>
      <c r="AR433" s="96"/>
      <c r="AS433" s="96"/>
      <c r="AT433" s="96"/>
      <c r="AU433" s="82"/>
      <c r="AW433" s="177"/>
      <c r="BD433" s="95"/>
      <c r="BE433" s="95"/>
      <c r="BF433" s="95"/>
      <c r="BG433" s="95"/>
    </row>
    <row r="434" spans="1:67" s="83" customFormat="1">
      <c r="A434" s="124"/>
      <c r="B434" s="124"/>
      <c r="C434" s="124"/>
      <c r="D434" s="124"/>
      <c r="E434" s="124"/>
      <c r="F434" s="124"/>
      <c r="G434" s="124"/>
      <c r="H434" s="124"/>
      <c r="I434" s="124"/>
      <c r="J434" s="124"/>
      <c r="K434" s="124"/>
      <c r="L434" s="124"/>
      <c r="M434" s="124"/>
      <c r="N434" s="124"/>
      <c r="O434" s="124"/>
      <c r="P434" s="124"/>
      <c r="Q434" s="124"/>
      <c r="R434" s="124"/>
      <c r="S434" s="124"/>
      <c r="T434" s="124"/>
      <c r="U434" s="125"/>
      <c r="V434" s="124"/>
      <c r="W434" s="124"/>
      <c r="X434" s="124"/>
      <c r="Y434" s="124"/>
      <c r="Z434" s="124"/>
      <c r="AA434" s="124"/>
      <c r="AB434" s="124"/>
      <c r="AC434" s="124"/>
      <c r="AD434" s="124"/>
      <c r="AE434" s="124"/>
      <c r="AF434" s="124"/>
      <c r="AG434" s="124"/>
      <c r="AH434" s="124"/>
      <c r="AI434" s="124"/>
      <c r="AJ434" s="124"/>
      <c r="AK434" s="124"/>
      <c r="AL434" s="124"/>
      <c r="AM434" s="124"/>
      <c r="AN434" s="125"/>
      <c r="AO434" s="125"/>
      <c r="AP434" s="81"/>
      <c r="AQ434" s="82"/>
      <c r="AR434" s="96"/>
      <c r="AS434" s="96"/>
      <c r="AT434" s="96"/>
      <c r="AU434" s="82"/>
      <c r="AW434" s="177"/>
      <c r="BD434" s="95"/>
      <c r="BE434" s="95"/>
      <c r="BF434" s="95"/>
      <c r="BG434" s="95"/>
    </row>
    <row r="435" spans="1:67" s="83" customFormat="1">
      <c r="A435" s="124"/>
      <c r="B435" s="124"/>
      <c r="C435" s="124"/>
      <c r="D435" s="124"/>
      <c r="E435" s="124"/>
      <c r="F435" s="124"/>
      <c r="G435" s="124"/>
      <c r="H435" s="124"/>
      <c r="I435" s="124"/>
      <c r="J435" s="124"/>
      <c r="K435" s="124"/>
      <c r="L435" s="124"/>
      <c r="M435" s="124"/>
      <c r="N435" s="124"/>
      <c r="O435" s="124"/>
      <c r="P435" s="124"/>
      <c r="Q435" s="124"/>
      <c r="R435" s="124"/>
      <c r="S435" s="124"/>
      <c r="T435" s="124"/>
      <c r="U435" s="125"/>
      <c r="V435" s="124"/>
      <c r="W435" s="124"/>
      <c r="X435" s="124"/>
      <c r="Y435" s="124"/>
      <c r="Z435" s="124"/>
      <c r="AA435" s="124"/>
      <c r="AB435" s="124"/>
      <c r="AC435" s="124"/>
      <c r="AD435" s="124"/>
      <c r="AE435" s="124"/>
      <c r="AF435" s="124"/>
      <c r="AG435" s="124"/>
      <c r="AH435" s="124"/>
      <c r="AI435" s="124"/>
      <c r="AJ435" s="124"/>
      <c r="AK435" s="124"/>
      <c r="AL435" s="124"/>
      <c r="AM435" s="124"/>
      <c r="AN435" s="125"/>
      <c r="AO435" s="125"/>
      <c r="AP435" s="81"/>
      <c r="AQ435" s="82"/>
      <c r="AR435" s="96"/>
      <c r="AS435" s="96"/>
      <c r="AT435" s="96"/>
      <c r="AU435" s="82"/>
      <c r="AW435" s="177"/>
      <c r="BD435" s="95"/>
      <c r="BE435" s="95"/>
      <c r="BF435" s="95"/>
      <c r="BG435" s="95"/>
    </row>
    <row r="436" spans="1:67" s="83" customFormat="1">
      <c r="A436" s="124"/>
      <c r="B436" s="124"/>
      <c r="C436" s="124"/>
      <c r="D436" s="124"/>
      <c r="E436" s="124"/>
      <c r="F436" s="124"/>
      <c r="G436" s="124"/>
      <c r="H436" s="124"/>
      <c r="I436" s="124"/>
      <c r="J436" s="124"/>
      <c r="K436" s="124"/>
      <c r="L436" s="124"/>
      <c r="M436" s="124"/>
      <c r="N436" s="124"/>
      <c r="O436" s="124"/>
      <c r="P436" s="124"/>
      <c r="Q436" s="124"/>
      <c r="R436" s="124"/>
      <c r="S436" s="124"/>
      <c r="T436" s="124"/>
      <c r="U436" s="125"/>
      <c r="V436" s="124"/>
      <c r="W436" s="124"/>
      <c r="X436" s="124"/>
      <c r="Y436" s="124"/>
      <c r="Z436" s="124"/>
      <c r="AA436" s="124"/>
      <c r="AB436" s="124"/>
      <c r="AC436" s="124"/>
      <c r="AD436" s="124"/>
      <c r="AE436" s="124"/>
      <c r="AF436" s="124"/>
      <c r="AG436" s="124"/>
      <c r="AH436" s="124"/>
      <c r="AI436" s="124"/>
      <c r="AJ436" s="124"/>
      <c r="AK436" s="124"/>
      <c r="AL436" s="124"/>
      <c r="AM436" s="124"/>
      <c r="AN436" s="125"/>
      <c r="AO436" s="125"/>
      <c r="AP436" s="81"/>
      <c r="AQ436" s="82"/>
      <c r="AR436" s="96"/>
      <c r="AS436" s="96"/>
      <c r="AT436" s="96"/>
      <c r="AU436" s="82"/>
      <c r="AW436" s="177"/>
      <c r="AX436" s="84"/>
      <c r="BD436" s="95"/>
      <c r="BE436" s="95"/>
      <c r="BF436" s="95"/>
      <c r="BG436" s="95"/>
    </row>
    <row r="437" spans="1:67" s="83" customFormat="1">
      <c r="A437" s="124"/>
      <c r="B437" s="124"/>
      <c r="C437" s="124"/>
      <c r="D437" s="124"/>
      <c r="E437" s="124"/>
      <c r="F437" s="124"/>
      <c r="G437" s="124"/>
      <c r="H437" s="124"/>
      <c r="I437" s="124"/>
      <c r="J437" s="124"/>
      <c r="K437" s="124"/>
      <c r="L437" s="124"/>
      <c r="M437" s="124"/>
      <c r="N437" s="124"/>
      <c r="O437" s="124"/>
      <c r="P437" s="124"/>
      <c r="Q437" s="124"/>
      <c r="R437" s="124"/>
      <c r="S437" s="124"/>
      <c r="T437" s="124"/>
      <c r="U437" s="125"/>
      <c r="V437" s="124"/>
      <c r="W437" s="124"/>
      <c r="X437" s="124"/>
      <c r="Y437" s="124"/>
      <c r="Z437" s="124"/>
      <c r="AA437" s="124"/>
      <c r="AB437" s="124"/>
      <c r="AC437" s="124"/>
      <c r="AD437" s="124"/>
      <c r="AE437" s="124"/>
      <c r="AF437" s="124"/>
      <c r="AG437" s="124"/>
      <c r="AH437" s="124"/>
      <c r="AI437" s="124"/>
      <c r="AJ437" s="124"/>
      <c r="AK437" s="124"/>
      <c r="AL437" s="124"/>
      <c r="AM437" s="124"/>
      <c r="AN437" s="125"/>
      <c r="AO437" s="125"/>
      <c r="AP437" s="81"/>
      <c r="AQ437" s="82"/>
      <c r="AR437" s="96"/>
      <c r="AS437" s="96"/>
      <c r="AT437" s="96"/>
      <c r="AU437" s="82"/>
      <c r="AW437" s="177"/>
      <c r="AX437" s="84"/>
      <c r="BD437" s="95"/>
      <c r="BE437" s="95"/>
      <c r="BF437" s="95"/>
      <c r="BG437" s="95"/>
      <c r="BO437" s="84"/>
    </row>
    <row r="438" spans="1:67">
      <c r="A438" s="124"/>
    </row>
    <row r="439" spans="1:67">
      <c r="A439" s="124"/>
    </row>
    <row r="440" spans="1:67">
      <c r="A440" s="124"/>
    </row>
    <row r="441" spans="1:67">
      <c r="A441" s="124"/>
    </row>
    <row r="442" spans="1:67">
      <c r="A442" s="124"/>
    </row>
    <row r="443" spans="1:67">
      <c r="A443" s="124"/>
    </row>
    <row r="444" spans="1:67">
      <c r="A444" s="124"/>
    </row>
    <row r="445" spans="1:67">
      <c r="A445" s="124"/>
    </row>
    <row r="446" spans="1:67">
      <c r="A446" s="124"/>
    </row>
    <row r="447" spans="1:67">
      <c r="A447" s="124"/>
    </row>
    <row r="448" spans="1:67">
      <c r="A448" s="124"/>
    </row>
    <row r="449" spans="1:1">
      <c r="A449" s="124"/>
    </row>
    <row r="450" spans="1:1">
      <c r="A450" s="124"/>
    </row>
    <row r="451" spans="1:1">
      <c r="A451" s="124"/>
    </row>
    <row r="452" spans="1:1">
      <c r="A452" s="124"/>
    </row>
    <row r="453" spans="1:1">
      <c r="A453" s="124"/>
    </row>
    <row r="454" spans="1:1">
      <c r="A454" s="124"/>
    </row>
    <row r="455" spans="1:1">
      <c r="A455" s="124"/>
    </row>
    <row r="456" spans="1:1">
      <c r="A456" s="124"/>
    </row>
    <row r="457" spans="1:1">
      <c r="A457" s="124"/>
    </row>
    <row r="458" spans="1:1">
      <c r="A458" s="124"/>
    </row>
    <row r="459" spans="1:1">
      <c r="A459" s="124"/>
    </row>
    <row r="460" spans="1:1">
      <c r="A460" s="124"/>
    </row>
    <row r="461" spans="1:1">
      <c r="A461" s="124"/>
    </row>
    <row r="462" spans="1:1">
      <c r="A462" s="124"/>
    </row>
    <row r="463" spans="1:1">
      <c r="A463" s="124"/>
    </row>
    <row r="464" spans="1:1">
      <c r="A464" s="124"/>
    </row>
    <row r="465" spans="1:1">
      <c r="A465" s="124"/>
    </row>
    <row r="466" spans="1:1">
      <c r="A466" s="124"/>
    </row>
    <row r="467" spans="1:1">
      <c r="A467" s="124"/>
    </row>
    <row r="468" spans="1:1">
      <c r="A468" s="124"/>
    </row>
    <row r="469" spans="1:1">
      <c r="A469" s="124"/>
    </row>
    <row r="470" spans="1:1">
      <c r="A470" s="124"/>
    </row>
    <row r="471" spans="1:1">
      <c r="A471" s="124"/>
    </row>
    <row r="472" spans="1:1">
      <c r="A472" s="124"/>
    </row>
    <row r="473" spans="1:1">
      <c r="A473" s="124"/>
    </row>
    <row r="474" spans="1:1">
      <c r="A474" s="124"/>
    </row>
    <row r="475" spans="1:1">
      <c r="A475" s="124"/>
    </row>
    <row r="476" spans="1:1">
      <c r="A476" s="124"/>
    </row>
    <row r="477" spans="1:1">
      <c r="A477" s="124"/>
    </row>
    <row r="478" spans="1:1">
      <c r="A478" s="124"/>
    </row>
    <row r="479" spans="1:1">
      <c r="A479" s="124"/>
    </row>
    <row r="480" spans="1:1">
      <c r="A480" s="124"/>
    </row>
    <row r="481" spans="1:1">
      <c r="A481" s="124"/>
    </row>
    <row r="482" spans="1:1">
      <c r="A482" s="124"/>
    </row>
    <row r="483" spans="1:1">
      <c r="A483" s="124"/>
    </row>
    <row r="484" spans="1:1">
      <c r="A484" s="124"/>
    </row>
    <row r="485" spans="1:1">
      <c r="A485" s="124"/>
    </row>
    <row r="486" spans="1:1">
      <c r="A486" s="124"/>
    </row>
    <row r="487" spans="1:1">
      <c r="A487" s="124"/>
    </row>
    <row r="488" spans="1:1">
      <c r="A488" s="124"/>
    </row>
    <row r="489" spans="1:1">
      <c r="A489" s="124"/>
    </row>
    <row r="490" spans="1:1">
      <c r="A490" s="124"/>
    </row>
    <row r="491" spans="1:1">
      <c r="A491" s="124"/>
    </row>
    <row r="492" spans="1:1">
      <c r="A492" s="124"/>
    </row>
    <row r="493" spans="1:1">
      <c r="A493" s="124"/>
    </row>
    <row r="494" spans="1:1">
      <c r="A494" s="124"/>
    </row>
    <row r="495" spans="1:1">
      <c r="A495" s="124"/>
    </row>
    <row r="496" spans="1:1">
      <c r="A496" s="124"/>
    </row>
    <row r="497" spans="1:1">
      <c r="A497" s="124"/>
    </row>
    <row r="498" spans="1:1">
      <c r="A498" s="124"/>
    </row>
    <row r="499" spans="1:1">
      <c r="A499" s="124"/>
    </row>
    <row r="500" spans="1:1">
      <c r="A500" s="124"/>
    </row>
    <row r="501" spans="1:1">
      <c r="A501" s="124"/>
    </row>
    <row r="502" spans="1:1">
      <c r="A502" s="124"/>
    </row>
    <row r="503" spans="1:1">
      <c r="A503" s="124"/>
    </row>
    <row r="504" spans="1:1">
      <c r="A504" s="124"/>
    </row>
    <row r="505" spans="1:1">
      <c r="A505" s="124"/>
    </row>
    <row r="506" spans="1:1">
      <c r="A506" s="124"/>
    </row>
    <row r="507" spans="1:1">
      <c r="A507" s="124"/>
    </row>
    <row r="508" spans="1:1">
      <c r="A508" s="124"/>
    </row>
    <row r="509" spans="1:1">
      <c r="A509" s="124"/>
    </row>
    <row r="510" spans="1:1">
      <c r="A510" s="124"/>
    </row>
    <row r="511" spans="1:1">
      <c r="A511" s="124"/>
    </row>
    <row r="512" spans="1:1">
      <c r="A512" s="124"/>
    </row>
    <row r="513" spans="1:1">
      <c r="A513" s="124"/>
    </row>
    <row r="514" spans="1:1">
      <c r="A514" s="124"/>
    </row>
    <row r="515" spans="1:1">
      <c r="A515" s="124"/>
    </row>
    <row r="516" spans="1:1">
      <c r="A516" s="124"/>
    </row>
    <row r="517" spans="1:1">
      <c r="A517" s="124"/>
    </row>
    <row r="518" spans="1:1">
      <c r="A518" s="124"/>
    </row>
    <row r="519" spans="1:1">
      <c r="A519" s="124"/>
    </row>
    <row r="520" spans="1:1">
      <c r="A520" s="124"/>
    </row>
    <row r="521" spans="1:1">
      <c r="A521" s="124"/>
    </row>
    <row r="522" spans="1:1">
      <c r="A522" s="124"/>
    </row>
    <row r="523" spans="1:1">
      <c r="A523" s="124"/>
    </row>
    <row r="524" spans="1:1">
      <c r="A524" s="124"/>
    </row>
    <row r="525" spans="1:1">
      <c r="A525" s="124"/>
    </row>
    <row r="526" spans="1:1">
      <c r="A526" s="124"/>
    </row>
    <row r="527" spans="1:1">
      <c r="A527" s="124"/>
    </row>
    <row r="528" spans="1:1">
      <c r="A528" s="124"/>
    </row>
    <row r="529" spans="1:1">
      <c r="A529" s="124"/>
    </row>
    <row r="530" spans="1:1">
      <c r="A530" s="124"/>
    </row>
    <row r="531" spans="1:1">
      <c r="A531" s="124"/>
    </row>
    <row r="532" spans="1:1">
      <c r="A532" s="124"/>
    </row>
    <row r="533" spans="1:1">
      <c r="A533" s="124"/>
    </row>
    <row r="534" spans="1:1">
      <c r="A534" s="124"/>
    </row>
    <row r="535" spans="1:1">
      <c r="A535" s="124"/>
    </row>
    <row r="536" spans="1:1">
      <c r="A536" s="124"/>
    </row>
    <row r="537" spans="1:1">
      <c r="A537" s="124"/>
    </row>
    <row r="538" spans="1:1">
      <c r="A538" s="124"/>
    </row>
    <row r="539" spans="1:1">
      <c r="A539" s="124"/>
    </row>
    <row r="540" spans="1:1">
      <c r="A540" s="124"/>
    </row>
    <row r="541" spans="1:1">
      <c r="A541" s="124"/>
    </row>
    <row r="542" spans="1:1">
      <c r="A542" s="124"/>
    </row>
    <row r="543" spans="1:1">
      <c r="A543" s="124"/>
    </row>
    <row r="544" spans="1:1">
      <c r="A544" s="124"/>
    </row>
    <row r="545" spans="1:1">
      <c r="A545" s="124"/>
    </row>
    <row r="546" spans="1:1">
      <c r="A546" s="124"/>
    </row>
    <row r="547" spans="1:1">
      <c r="A547" s="124"/>
    </row>
    <row r="548" spans="1:1">
      <c r="A548" s="124"/>
    </row>
    <row r="549" spans="1:1">
      <c r="A549" s="124"/>
    </row>
    <row r="550" spans="1:1">
      <c r="A550" s="124"/>
    </row>
    <row r="551" spans="1:1">
      <c r="A551" s="124"/>
    </row>
    <row r="552" spans="1:1">
      <c r="A552" s="124"/>
    </row>
    <row r="553" spans="1:1">
      <c r="A553" s="124"/>
    </row>
    <row r="554" spans="1:1">
      <c r="A554" s="124"/>
    </row>
    <row r="555" spans="1:1">
      <c r="A555" s="124"/>
    </row>
    <row r="556" spans="1:1">
      <c r="A556" s="124"/>
    </row>
    <row r="557" spans="1:1">
      <c r="A557" s="124"/>
    </row>
    <row r="558" spans="1:1">
      <c r="A558" s="124"/>
    </row>
    <row r="559" spans="1:1">
      <c r="A559" s="124"/>
    </row>
    <row r="560" spans="1:1">
      <c r="A560" s="124"/>
    </row>
    <row r="561" spans="1:1">
      <c r="A561" s="124"/>
    </row>
    <row r="562" spans="1:1">
      <c r="A562" s="124"/>
    </row>
    <row r="563" spans="1:1">
      <c r="A563" s="124"/>
    </row>
    <row r="564" spans="1:1">
      <c r="A564" s="124"/>
    </row>
    <row r="565" spans="1:1">
      <c r="A565" s="124"/>
    </row>
    <row r="566" spans="1:1">
      <c r="A566" s="124"/>
    </row>
    <row r="567" spans="1:1">
      <c r="A567" s="124"/>
    </row>
    <row r="568" spans="1:1">
      <c r="A568" s="124"/>
    </row>
    <row r="569" spans="1:1">
      <c r="A569" s="124"/>
    </row>
    <row r="570" spans="1:1">
      <c r="A570" s="124"/>
    </row>
    <row r="571" spans="1:1">
      <c r="A571" s="124"/>
    </row>
    <row r="572" spans="1:1">
      <c r="A572" s="124"/>
    </row>
    <row r="573" spans="1:1">
      <c r="A573" s="124"/>
    </row>
    <row r="574" spans="1:1">
      <c r="A574" s="124"/>
    </row>
    <row r="575" spans="1:1">
      <c r="A575" s="124"/>
    </row>
    <row r="576" spans="1:1">
      <c r="A576" s="124"/>
    </row>
    <row r="577" spans="1:1">
      <c r="A577" s="124"/>
    </row>
    <row r="578" spans="1:1">
      <c r="A578" s="124"/>
    </row>
    <row r="579" spans="1:1">
      <c r="A579" s="124"/>
    </row>
    <row r="580" spans="1:1">
      <c r="A580" s="124"/>
    </row>
    <row r="581" spans="1:1">
      <c r="A581" s="124"/>
    </row>
    <row r="582" spans="1:1">
      <c r="A582" s="124"/>
    </row>
    <row r="583" spans="1:1">
      <c r="A583" s="124"/>
    </row>
    <row r="584" spans="1:1">
      <c r="A584" s="124"/>
    </row>
    <row r="585" spans="1:1">
      <c r="A585" s="124"/>
    </row>
    <row r="586" spans="1:1">
      <c r="A586" s="124"/>
    </row>
    <row r="587" spans="1:1">
      <c r="A587" s="124"/>
    </row>
    <row r="588" spans="1:1">
      <c r="A588" s="124"/>
    </row>
    <row r="589" spans="1:1">
      <c r="A589" s="124"/>
    </row>
    <row r="590" spans="1:1">
      <c r="A590" s="124"/>
    </row>
    <row r="591" spans="1:1">
      <c r="A591" s="124"/>
    </row>
    <row r="592" spans="1:1">
      <c r="A592" s="124"/>
    </row>
    <row r="593" spans="1:1">
      <c r="A593" s="124"/>
    </row>
    <row r="594" spans="1:1">
      <c r="A594" s="124"/>
    </row>
    <row r="595" spans="1:1">
      <c r="A595" s="124"/>
    </row>
    <row r="596" spans="1:1">
      <c r="A596" s="124"/>
    </row>
    <row r="597" spans="1:1">
      <c r="A597" s="124"/>
    </row>
    <row r="598" spans="1:1">
      <c r="A598" s="124"/>
    </row>
    <row r="599" spans="1:1">
      <c r="A599" s="124"/>
    </row>
    <row r="600" spans="1:1">
      <c r="A600" s="124"/>
    </row>
    <row r="601" spans="1:1">
      <c r="A601" s="124"/>
    </row>
    <row r="602" spans="1:1">
      <c r="A602" s="124"/>
    </row>
    <row r="603" spans="1:1">
      <c r="A603" s="124"/>
    </row>
    <row r="604" spans="1:1">
      <c r="A604" s="124"/>
    </row>
    <row r="605" spans="1:1">
      <c r="A605" s="124"/>
    </row>
    <row r="606" spans="1:1">
      <c r="A606" s="124"/>
    </row>
    <row r="607" spans="1:1">
      <c r="A607" s="124"/>
    </row>
    <row r="608" spans="1:1">
      <c r="A608" s="124"/>
    </row>
    <row r="609" spans="1:1">
      <c r="A609" s="124"/>
    </row>
    <row r="610" spans="1:1">
      <c r="A610" s="124"/>
    </row>
    <row r="611" spans="1:1">
      <c r="A611" s="124"/>
    </row>
    <row r="612" spans="1:1">
      <c r="A612" s="124"/>
    </row>
    <row r="613" spans="1:1">
      <c r="A613" s="124"/>
    </row>
    <row r="614" spans="1:1">
      <c r="A614" s="124"/>
    </row>
    <row r="615" spans="1:1">
      <c r="A615" s="124"/>
    </row>
    <row r="616" spans="1:1">
      <c r="A616" s="124"/>
    </row>
    <row r="617" spans="1:1">
      <c r="A617" s="124"/>
    </row>
    <row r="618" spans="1:1">
      <c r="A618" s="124"/>
    </row>
    <row r="619" spans="1:1">
      <c r="A619" s="124"/>
    </row>
    <row r="620" spans="1:1">
      <c r="A620" s="124"/>
    </row>
    <row r="621" spans="1:1">
      <c r="A621" s="124"/>
    </row>
    <row r="622" spans="1:1">
      <c r="A622" s="124"/>
    </row>
    <row r="623" spans="1:1">
      <c r="A623" s="124"/>
    </row>
    <row r="624" spans="1:1">
      <c r="A624" s="124"/>
    </row>
    <row r="625" spans="1:1">
      <c r="A625" s="124"/>
    </row>
    <row r="626" spans="1:1">
      <c r="A626" s="124"/>
    </row>
    <row r="627" spans="1:1">
      <c r="A627" s="124"/>
    </row>
    <row r="628" spans="1:1">
      <c r="A628" s="124"/>
    </row>
    <row r="629" spans="1:1">
      <c r="A629" s="124"/>
    </row>
    <row r="630" spans="1:1">
      <c r="A630" s="124"/>
    </row>
    <row r="631" spans="1:1">
      <c r="A631" s="124"/>
    </row>
    <row r="632" spans="1:1">
      <c r="A632" s="124"/>
    </row>
    <row r="633" spans="1:1">
      <c r="A633" s="124"/>
    </row>
    <row r="634" spans="1:1">
      <c r="A634" s="124"/>
    </row>
    <row r="635" spans="1:1">
      <c r="A635" s="124"/>
    </row>
    <row r="636" spans="1:1">
      <c r="A636" s="124"/>
    </row>
    <row r="637" spans="1:1">
      <c r="A637" s="124"/>
    </row>
    <row r="638" spans="1:1">
      <c r="A638" s="124"/>
    </row>
    <row r="639" spans="1:1">
      <c r="A639" s="124"/>
    </row>
    <row r="640" spans="1:1">
      <c r="A640" s="124"/>
    </row>
    <row r="641" spans="1:1">
      <c r="A641" s="124"/>
    </row>
    <row r="642" spans="1:1">
      <c r="A642" s="124"/>
    </row>
    <row r="643" spans="1:1">
      <c r="A643" s="124"/>
    </row>
    <row r="644" spans="1:1">
      <c r="A644" s="124"/>
    </row>
    <row r="645" spans="1:1">
      <c r="A645" s="124"/>
    </row>
    <row r="646" spans="1:1">
      <c r="A646" s="124"/>
    </row>
    <row r="647" spans="1:1">
      <c r="A647" s="124"/>
    </row>
    <row r="648" spans="1:1">
      <c r="A648" s="124"/>
    </row>
    <row r="649" spans="1:1">
      <c r="A649" s="124"/>
    </row>
    <row r="650" spans="1:1">
      <c r="A650" s="124"/>
    </row>
    <row r="651" spans="1:1">
      <c r="A651" s="124"/>
    </row>
    <row r="652" spans="1:1">
      <c r="A652" s="124"/>
    </row>
    <row r="653" spans="1:1">
      <c r="A653" s="124"/>
    </row>
    <row r="654" spans="1:1">
      <c r="A654" s="124"/>
    </row>
    <row r="655" spans="1:1">
      <c r="A655" s="124"/>
    </row>
    <row r="656" spans="1:1">
      <c r="A656" s="124"/>
    </row>
    <row r="657" spans="1:1">
      <c r="A657" s="124"/>
    </row>
    <row r="658" spans="1:1">
      <c r="A658" s="124"/>
    </row>
    <row r="659" spans="1:1">
      <c r="A659" s="124"/>
    </row>
    <row r="660" spans="1:1">
      <c r="A660" s="124"/>
    </row>
    <row r="661" spans="1:1">
      <c r="A661" s="124"/>
    </row>
    <row r="662" spans="1:1">
      <c r="A662" s="124"/>
    </row>
    <row r="663" spans="1:1">
      <c r="A663" s="124"/>
    </row>
    <row r="664" spans="1:1">
      <c r="A664" s="124"/>
    </row>
    <row r="665" spans="1:1">
      <c r="A665" s="124"/>
    </row>
    <row r="666" spans="1:1">
      <c r="A666" s="124"/>
    </row>
    <row r="667" spans="1:1">
      <c r="A667" s="124"/>
    </row>
    <row r="668" spans="1:1">
      <c r="A668" s="124"/>
    </row>
    <row r="669" spans="1:1">
      <c r="A669" s="124"/>
    </row>
    <row r="670" spans="1:1">
      <c r="A670" s="124"/>
    </row>
    <row r="671" spans="1:1">
      <c r="A671" s="124"/>
    </row>
    <row r="672" spans="1:1">
      <c r="A672" s="124"/>
    </row>
    <row r="673" spans="1:1">
      <c r="A673" s="124"/>
    </row>
    <row r="674" spans="1:1">
      <c r="A674" s="124"/>
    </row>
    <row r="675" spans="1:1">
      <c r="A675" s="124"/>
    </row>
    <row r="676" spans="1:1">
      <c r="A676" s="124"/>
    </row>
    <row r="677" spans="1:1">
      <c r="A677" s="124"/>
    </row>
    <row r="678" spans="1:1">
      <c r="A678" s="124"/>
    </row>
    <row r="679" spans="1:1">
      <c r="A679" s="124"/>
    </row>
    <row r="680" spans="1:1">
      <c r="A680" s="124"/>
    </row>
    <row r="681" spans="1:1">
      <c r="A681" s="124"/>
    </row>
    <row r="682" spans="1:1">
      <c r="A682" s="124"/>
    </row>
    <row r="683" spans="1:1">
      <c r="A683" s="124"/>
    </row>
    <row r="684" spans="1:1">
      <c r="A684" s="124"/>
    </row>
    <row r="685" spans="1:1">
      <c r="A685" s="124"/>
    </row>
    <row r="686" spans="1:1">
      <c r="A686" s="124"/>
    </row>
    <row r="687" spans="1:1">
      <c r="A687" s="124"/>
    </row>
    <row r="688" spans="1:1">
      <c r="A688" s="124"/>
    </row>
    <row r="689" spans="1:1">
      <c r="A689" s="124"/>
    </row>
    <row r="690" spans="1:1">
      <c r="A690" s="124"/>
    </row>
    <row r="691" spans="1:1">
      <c r="A691" s="124"/>
    </row>
    <row r="692" spans="1:1">
      <c r="A692" s="124"/>
    </row>
    <row r="693" spans="1:1">
      <c r="A693" s="124"/>
    </row>
    <row r="694" spans="1:1">
      <c r="A694" s="124"/>
    </row>
    <row r="695" spans="1:1">
      <c r="A695" s="124"/>
    </row>
    <row r="696" spans="1:1">
      <c r="A696" s="124"/>
    </row>
    <row r="697" spans="1:1">
      <c r="A697" s="124"/>
    </row>
    <row r="698" spans="1:1">
      <c r="A698" s="124"/>
    </row>
    <row r="699" spans="1:1">
      <c r="A699" s="124"/>
    </row>
    <row r="700" spans="1:1">
      <c r="A700" s="124"/>
    </row>
    <row r="701" spans="1:1">
      <c r="A701" s="124"/>
    </row>
    <row r="702" spans="1:1">
      <c r="A702" s="124"/>
    </row>
    <row r="703" spans="1:1">
      <c r="A703" s="124"/>
    </row>
    <row r="704" spans="1:1">
      <c r="A704" s="124"/>
    </row>
    <row r="705" spans="1:1">
      <c r="A705" s="124"/>
    </row>
    <row r="706" spans="1:1">
      <c r="A706" s="124"/>
    </row>
    <row r="707" spans="1:1">
      <c r="A707" s="124"/>
    </row>
    <row r="708" spans="1:1">
      <c r="A708" s="124"/>
    </row>
    <row r="709" spans="1:1">
      <c r="A709" s="124"/>
    </row>
    <row r="710" spans="1:1">
      <c r="A710" s="124"/>
    </row>
    <row r="711" spans="1:1">
      <c r="A711" s="124"/>
    </row>
    <row r="712" spans="1:1">
      <c r="A712" s="124"/>
    </row>
    <row r="713" spans="1:1">
      <c r="A713" s="124"/>
    </row>
    <row r="714" spans="1:1">
      <c r="A714" s="124"/>
    </row>
    <row r="715" spans="1:1">
      <c r="A715" s="124"/>
    </row>
    <row r="716" spans="1:1">
      <c r="A716" s="124"/>
    </row>
    <row r="717" spans="1:1">
      <c r="A717" s="124"/>
    </row>
    <row r="718" spans="1:1">
      <c r="A718" s="124"/>
    </row>
    <row r="719" spans="1:1">
      <c r="A719" s="124"/>
    </row>
    <row r="720" spans="1:1">
      <c r="A720" s="124"/>
    </row>
    <row r="721" spans="1:1">
      <c r="A721" s="124"/>
    </row>
    <row r="722" spans="1:1">
      <c r="A722" s="124"/>
    </row>
    <row r="723" spans="1:1">
      <c r="A723" s="124"/>
    </row>
    <row r="724" spans="1:1">
      <c r="A724" s="124"/>
    </row>
    <row r="725" spans="1:1">
      <c r="A725" s="124"/>
    </row>
    <row r="726" spans="1:1">
      <c r="A726" s="124"/>
    </row>
    <row r="727" spans="1:1">
      <c r="A727" s="124"/>
    </row>
    <row r="728" spans="1:1">
      <c r="A728" s="124"/>
    </row>
    <row r="729" spans="1:1">
      <c r="A729" s="124"/>
    </row>
    <row r="730" spans="1:1">
      <c r="A730" s="124"/>
    </row>
    <row r="731" spans="1:1">
      <c r="A731" s="124"/>
    </row>
    <row r="732" spans="1:1">
      <c r="A732" s="124"/>
    </row>
    <row r="733" spans="1:1">
      <c r="A733" s="124"/>
    </row>
    <row r="734" spans="1:1">
      <c r="A734" s="124"/>
    </row>
    <row r="735" spans="1:1">
      <c r="A735" s="124"/>
    </row>
    <row r="736" spans="1:1">
      <c r="A736" s="124"/>
    </row>
    <row r="737" spans="1:1">
      <c r="A737" s="124"/>
    </row>
    <row r="738" spans="1:1">
      <c r="A738" s="124"/>
    </row>
    <row r="739" spans="1:1">
      <c r="A739" s="124"/>
    </row>
    <row r="740" spans="1:1">
      <c r="A740" s="124"/>
    </row>
    <row r="741" spans="1:1">
      <c r="A741" s="124"/>
    </row>
    <row r="742" spans="1:1">
      <c r="A742" s="124"/>
    </row>
    <row r="743" spans="1:1">
      <c r="A743" s="124"/>
    </row>
    <row r="744" spans="1:1">
      <c r="A744" s="124"/>
    </row>
    <row r="745" spans="1:1">
      <c r="A745" s="124"/>
    </row>
    <row r="746" spans="1:1">
      <c r="A746" s="124"/>
    </row>
    <row r="747" spans="1:1">
      <c r="A747" s="124"/>
    </row>
    <row r="748" spans="1:1">
      <c r="A748" s="124"/>
    </row>
    <row r="749" spans="1:1">
      <c r="A749" s="124"/>
    </row>
    <row r="750" spans="1:1">
      <c r="A750" s="124"/>
    </row>
    <row r="751" spans="1:1">
      <c r="A751" s="124"/>
    </row>
    <row r="752" spans="1:1">
      <c r="A752" s="124"/>
    </row>
    <row r="753" spans="1:1">
      <c r="A753" s="124"/>
    </row>
    <row r="754" spans="1:1">
      <c r="A754" s="124"/>
    </row>
    <row r="755" spans="1:1">
      <c r="A755" s="124"/>
    </row>
    <row r="756" spans="1:1">
      <c r="A756" s="124"/>
    </row>
    <row r="757" spans="1:1">
      <c r="A757" s="124"/>
    </row>
    <row r="758" spans="1:1">
      <c r="A758" s="124"/>
    </row>
    <row r="759" spans="1:1">
      <c r="A759" s="124"/>
    </row>
    <row r="760" spans="1:1">
      <c r="A760" s="124"/>
    </row>
    <row r="761" spans="1:1">
      <c r="A761" s="124"/>
    </row>
    <row r="762" spans="1:1">
      <c r="A762" s="124"/>
    </row>
    <row r="763" spans="1:1">
      <c r="A763" s="124"/>
    </row>
    <row r="764" spans="1:1">
      <c r="A764" s="124"/>
    </row>
    <row r="765" spans="1:1">
      <c r="A765" s="124"/>
    </row>
    <row r="766" spans="1:1">
      <c r="A766" s="124"/>
    </row>
    <row r="767" spans="1:1">
      <c r="A767" s="124"/>
    </row>
    <row r="768" spans="1:1">
      <c r="A768" s="124"/>
    </row>
    <row r="769" spans="1:1">
      <c r="A769" s="124"/>
    </row>
    <row r="770" spans="1:1">
      <c r="A770" s="124"/>
    </row>
    <row r="771" spans="1:1">
      <c r="A771" s="124"/>
    </row>
    <row r="772" spans="1:1">
      <c r="A772" s="124"/>
    </row>
    <row r="773" spans="1:1">
      <c r="A773" s="124"/>
    </row>
    <row r="774" spans="1:1">
      <c r="A774" s="124"/>
    </row>
    <row r="775" spans="1:1">
      <c r="A775" s="124"/>
    </row>
    <row r="776" spans="1:1">
      <c r="A776" s="124"/>
    </row>
    <row r="777" spans="1:1">
      <c r="A777" s="124"/>
    </row>
    <row r="778" spans="1:1">
      <c r="A778" s="124"/>
    </row>
    <row r="779" spans="1:1">
      <c r="A779" s="124"/>
    </row>
    <row r="780" spans="1:1">
      <c r="A780" s="124"/>
    </row>
    <row r="781" spans="1:1">
      <c r="A781" s="124"/>
    </row>
    <row r="782" spans="1:1">
      <c r="A782" s="124"/>
    </row>
    <row r="783" spans="1:1">
      <c r="A783" s="124"/>
    </row>
    <row r="784" spans="1:1">
      <c r="A784" s="124"/>
    </row>
    <row r="785" spans="1:1">
      <c r="A785" s="124"/>
    </row>
    <row r="786" spans="1:1">
      <c r="A786" s="124"/>
    </row>
    <row r="787" spans="1:1">
      <c r="A787" s="124"/>
    </row>
    <row r="788" spans="1:1">
      <c r="A788" s="124"/>
    </row>
    <row r="789" spans="1:1">
      <c r="A789" s="124"/>
    </row>
    <row r="790" spans="1:1">
      <c r="A790" s="124"/>
    </row>
    <row r="791" spans="1:1">
      <c r="A791" s="124"/>
    </row>
    <row r="792" spans="1:1">
      <c r="A792" s="124"/>
    </row>
    <row r="793" spans="1:1">
      <c r="A793" s="124"/>
    </row>
    <row r="794" spans="1:1">
      <c r="A794" s="124"/>
    </row>
    <row r="795" spans="1:1">
      <c r="A795" s="124"/>
    </row>
    <row r="796" spans="1:1">
      <c r="A796" s="124"/>
    </row>
    <row r="797" spans="1:1">
      <c r="A797" s="124"/>
    </row>
    <row r="798" spans="1:1">
      <c r="A798" s="124"/>
    </row>
    <row r="799" spans="1:1">
      <c r="A799" s="124"/>
    </row>
    <row r="800" spans="1:1">
      <c r="A800" s="124"/>
    </row>
    <row r="801" spans="1:1">
      <c r="A801" s="124"/>
    </row>
    <row r="802" spans="1:1">
      <c r="A802" s="124"/>
    </row>
    <row r="803" spans="1:1">
      <c r="A803" s="124"/>
    </row>
    <row r="804" spans="1:1">
      <c r="A804" s="124"/>
    </row>
    <row r="805" spans="1:1">
      <c r="A805" s="124"/>
    </row>
    <row r="806" spans="1:1">
      <c r="A806" s="124"/>
    </row>
    <row r="807" spans="1:1">
      <c r="A807" s="124"/>
    </row>
    <row r="808" spans="1:1">
      <c r="A808" s="124"/>
    </row>
    <row r="809" spans="1:1">
      <c r="A809" s="124"/>
    </row>
    <row r="810" spans="1:1">
      <c r="A810" s="124"/>
    </row>
    <row r="811" spans="1:1">
      <c r="A811" s="124"/>
    </row>
    <row r="812" spans="1:1">
      <c r="A812" s="124"/>
    </row>
    <row r="813" spans="1:1">
      <c r="A813" s="124"/>
    </row>
    <row r="814" spans="1:1">
      <c r="A814" s="124"/>
    </row>
    <row r="815" spans="1:1">
      <c r="A815" s="124"/>
    </row>
    <row r="816" spans="1:1">
      <c r="A816" s="124"/>
    </row>
    <row r="817" spans="1:1">
      <c r="A817" s="124"/>
    </row>
    <row r="818" spans="1:1">
      <c r="A818" s="124"/>
    </row>
    <row r="819" spans="1:1">
      <c r="A819" s="124"/>
    </row>
    <row r="820" spans="1:1">
      <c r="A820" s="124"/>
    </row>
    <row r="821" spans="1:1">
      <c r="A821" s="124"/>
    </row>
    <row r="822" spans="1:1">
      <c r="A822" s="124"/>
    </row>
    <row r="823" spans="1:1">
      <c r="A823" s="124"/>
    </row>
    <row r="824" spans="1:1">
      <c r="A824" s="124"/>
    </row>
    <row r="825" spans="1:1">
      <c r="A825" s="124"/>
    </row>
    <row r="826" spans="1:1">
      <c r="A826" s="124"/>
    </row>
    <row r="827" spans="1:1">
      <c r="A827" s="124"/>
    </row>
    <row r="828" spans="1:1">
      <c r="A828" s="124"/>
    </row>
    <row r="829" spans="1:1">
      <c r="A829" s="124"/>
    </row>
    <row r="830" spans="1:1">
      <c r="A830" s="124"/>
    </row>
    <row r="831" spans="1:1">
      <c r="A831" s="124"/>
    </row>
    <row r="832" spans="1:1">
      <c r="A832" s="124"/>
    </row>
    <row r="833" spans="1:1">
      <c r="A833" s="124"/>
    </row>
    <row r="834" spans="1:1">
      <c r="A834" s="124"/>
    </row>
    <row r="835" spans="1:1">
      <c r="A835" s="124"/>
    </row>
    <row r="836" spans="1:1">
      <c r="A836" s="124"/>
    </row>
    <row r="837" spans="1:1">
      <c r="A837" s="124"/>
    </row>
    <row r="838" spans="1:1">
      <c r="A838" s="124"/>
    </row>
    <row r="839" spans="1:1">
      <c r="A839" s="124"/>
    </row>
    <row r="840" spans="1:1">
      <c r="A840" s="124"/>
    </row>
    <row r="841" spans="1:1">
      <c r="A841" s="124"/>
    </row>
    <row r="842" spans="1:1">
      <c r="A842" s="124"/>
    </row>
    <row r="843" spans="1:1">
      <c r="A843" s="124"/>
    </row>
    <row r="844" spans="1:1">
      <c r="A844" s="124"/>
    </row>
    <row r="845" spans="1:1">
      <c r="A845" s="124"/>
    </row>
    <row r="846" spans="1:1">
      <c r="A846" s="124"/>
    </row>
    <row r="847" spans="1:1">
      <c r="A847" s="124"/>
    </row>
    <row r="848" spans="1:1">
      <c r="A848" s="124"/>
    </row>
    <row r="849" spans="1:1">
      <c r="A849" s="124"/>
    </row>
    <row r="850" spans="1:1">
      <c r="A850" s="124"/>
    </row>
    <row r="851" spans="1:1">
      <c r="A851" s="124"/>
    </row>
    <row r="852" spans="1:1">
      <c r="A852" s="124"/>
    </row>
    <row r="853" spans="1:1">
      <c r="A853" s="124"/>
    </row>
    <row r="854" spans="1:1">
      <c r="A854" s="124"/>
    </row>
    <row r="855" spans="1:1">
      <c r="A855" s="124"/>
    </row>
    <row r="856" spans="1:1">
      <c r="A856" s="124"/>
    </row>
    <row r="857" spans="1:1">
      <c r="A857" s="124"/>
    </row>
    <row r="858" spans="1:1">
      <c r="A858" s="124"/>
    </row>
    <row r="859" spans="1:1">
      <c r="A859" s="124"/>
    </row>
    <row r="860" spans="1:1">
      <c r="A860" s="124"/>
    </row>
    <row r="861" spans="1:1">
      <c r="A861" s="124"/>
    </row>
    <row r="862" spans="1:1">
      <c r="A862" s="124"/>
    </row>
    <row r="863" spans="1:1">
      <c r="A863" s="124"/>
    </row>
    <row r="864" spans="1:1">
      <c r="A864" s="124"/>
    </row>
    <row r="865" spans="1:1">
      <c r="A865" s="124"/>
    </row>
    <row r="866" spans="1:1">
      <c r="A866" s="124"/>
    </row>
    <row r="867" spans="1:1">
      <c r="A867" s="124"/>
    </row>
    <row r="868" spans="1:1">
      <c r="A868" s="124"/>
    </row>
    <row r="869" spans="1:1">
      <c r="A869" s="124"/>
    </row>
    <row r="870" spans="1:1">
      <c r="A870" s="124"/>
    </row>
    <row r="871" spans="1:1">
      <c r="A871" s="124"/>
    </row>
    <row r="872" spans="1:1">
      <c r="A872" s="124"/>
    </row>
    <row r="873" spans="1:1">
      <c r="A873" s="124"/>
    </row>
    <row r="874" spans="1:1">
      <c r="A874" s="124"/>
    </row>
    <row r="875" spans="1:1">
      <c r="A875" s="124"/>
    </row>
    <row r="876" spans="1:1">
      <c r="A876" s="124"/>
    </row>
    <row r="877" spans="1:1">
      <c r="A877" s="124"/>
    </row>
    <row r="878" spans="1:1">
      <c r="A878" s="124"/>
    </row>
    <row r="879" spans="1:1">
      <c r="A879" s="124"/>
    </row>
    <row r="880" spans="1:1">
      <c r="A880" s="124"/>
    </row>
    <row r="881" spans="1:1">
      <c r="A881" s="124"/>
    </row>
    <row r="882" spans="1:1">
      <c r="A882" s="124"/>
    </row>
    <row r="883" spans="1:1">
      <c r="A883" s="124"/>
    </row>
    <row r="884" spans="1:1">
      <c r="A884" s="124"/>
    </row>
    <row r="885" spans="1:1">
      <c r="A885" s="124"/>
    </row>
    <row r="886" spans="1:1">
      <c r="A886" s="124"/>
    </row>
    <row r="887" spans="1:1">
      <c r="A887" s="124"/>
    </row>
    <row r="888" spans="1:1">
      <c r="A888" s="124"/>
    </row>
    <row r="889" spans="1:1">
      <c r="A889" s="124"/>
    </row>
    <row r="890" spans="1:1">
      <c r="A890" s="124"/>
    </row>
    <row r="891" spans="1:1">
      <c r="A891" s="124"/>
    </row>
    <row r="892" spans="1:1">
      <c r="A892" s="124"/>
    </row>
    <row r="893" spans="1:1">
      <c r="A893" s="124"/>
    </row>
    <row r="894" spans="1:1">
      <c r="A894" s="124"/>
    </row>
    <row r="895" spans="1:1">
      <c r="A895" s="124"/>
    </row>
    <row r="896" spans="1:1">
      <c r="A896" s="124"/>
    </row>
    <row r="897" spans="1:1">
      <c r="A897" s="124"/>
    </row>
    <row r="898" spans="1:1">
      <c r="A898" s="124"/>
    </row>
    <row r="899" spans="1:1">
      <c r="A899" s="124"/>
    </row>
    <row r="900" spans="1:1">
      <c r="A900" s="124"/>
    </row>
    <row r="901" spans="1:1">
      <c r="A901" s="124"/>
    </row>
    <row r="902" spans="1:1">
      <c r="A902" s="124"/>
    </row>
    <row r="903" spans="1:1">
      <c r="A903" s="124"/>
    </row>
    <row r="904" spans="1:1">
      <c r="A904" s="124"/>
    </row>
    <row r="905" spans="1:1">
      <c r="A905" s="124"/>
    </row>
    <row r="906" spans="1:1">
      <c r="A906" s="124"/>
    </row>
    <row r="907" spans="1:1">
      <c r="A907" s="124"/>
    </row>
    <row r="908" spans="1:1">
      <c r="A908" s="124"/>
    </row>
    <row r="909" spans="1:1">
      <c r="A909" s="124"/>
    </row>
    <row r="910" spans="1:1">
      <c r="A910" s="124"/>
    </row>
    <row r="911" spans="1:1">
      <c r="A911" s="124"/>
    </row>
    <row r="912" spans="1:1">
      <c r="A912" s="124"/>
    </row>
    <row r="913" spans="1:1">
      <c r="A913" s="124"/>
    </row>
    <row r="914" spans="1:1">
      <c r="A914" s="124"/>
    </row>
    <row r="915" spans="1:1">
      <c r="A915" s="124"/>
    </row>
    <row r="916" spans="1:1">
      <c r="A916" s="124"/>
    </row>
    <row r="917" spans="1:1">
      <c r="A917" s="124"/>
    </row>
    <row r="918" spans="1:1">
      <c r="A918" s="124"/>
    </row>
    <row r="919" spans="1:1">
      <c r="A919" s="124"/>
    </row>
    <row r="920" spans="1:1">
      <c r="A920" s="124"/>
    </row>
    <row r="921" spans="1:1">
      <c r="A921" s="124"/>
    </row>
    <row r="922" spans="1:1">
      <c r="A922" s="124"/>
    </row>
    <row r="923" spans="1:1">
      <c r="A923" s="124"/>
    </row>
    <row r="924" spans="1:1">
      <c r="A924" s="124"/>
    </row>
    <row r="925" spans="1:1">
      <c r="A925" s="124"/>
    </row>
    <row r="926" spans="1:1">
      <c r="A926" s="124"/>
    </row>
    <row r="927" spans="1:1">
      <c r="A927" s="124"/>
    </row>
    <row r="928" spans="1:1">
      <c r="A928" s="124"/>
    </row>
    <row r="929" spans="1:1">
      <c r="A929" s="124"/>
    </row>
    <row r="930" spans="1:1">
      <c r="A930" s="124"/>
    </row>
    <row r="931" spans="1:1">
      <c r="A931" s="124"/>
    </row>
    <row r="932" spans="1:1">
      <c r="A932" s="124"/>
    </row>
    <row r="933" spans="1:1">
      <c r="A933" s="124"/>
    </row>
    <row r="934" spans="1:1">
      <c r="A934" s="124"/>
    </row>
    <row r="935" spans="1:1">
      <c r="A935" s="124"/>
    </row>
    <row r="936" spans="1:1">
      <c r="A936" s="124"/>
    </row>
    <row r="937" spans="1:1">
      <c r="A937" s="124"/>
    </row>
    <row r="938" spans="1:1">
      <c r="A938" s="124"/>
    </row>
    <row r="939" spans="1:1">
      <c r="A939" s="124"/>
    </row>
    <row r="940" spans="1:1">
      <c r="A940" s="124"/>
    </row>
    <row r="941" spans="1:1">
      <c r="A941" s="124"/>
    </row>
    <row r="942" spans="1:1">
      <c r="A942" s="124"/>
    </row>
    <row r="943" spans="1:1">
      <c r="A943" s="124"/>
    </row>
    <row r="944" spans="1:1">
      <c r="A944" s="124"/>
    </row>
    <row r="945" spans="1:1">
      <c r="A945" s="124"/>
    </row>
    <row r="946" spans="1:1">
      <c r="A946" s="124"/>
    </row>
    <row r="947" spans="1:1">
      <c r="A947" s="124"/>
    </row>
    <row r="948" spans="1:1">
      <c r="A948" s="124"/>
    </row>
    <row r="949" spans="1:1">
      <c r="A949" s="124"/>
    </row>
    <row r="950" spans="1:1">
      <c r="A950" s="124"/>
    </row>
    <row r="951" spans="1:1">
      <c r="A951" s="124"/>
    </row>
    <row r="952" spans="1:1">
      <c r="A952" s="124"/>
    </row>
    <row r="953" spans="1:1">
      <c r="A953" s="124"/>
    </row>
    <row r="954" spans="1:1">
      <c r="A954" s="124"/>
    </row>
    <row r="955" spans="1:1">
      <c r="A955" s="124"/>
    </row>
    <row r="956" spans="1:1">
      <c r="A956" s="124"/>
    </row>
    <row r="957" spans="1:1">
      <c r="A957" s="124"/>
    </row>
    <row r="958" spans="1:1">
      <c r="A958" s="124"/>
    </row>
    <row r="959" spans="1:1">
      <c r="A959" s="124"/>
    </row>
    <row r="960" spans="1:1">
      <c r="A960" s="124"/>
    </row>
    <row r="961" spans="1:1">
      <c r="A961" s="124"/>
    </row>
    <row r="962" spans="1:1">
      <c r="A962" s="124"/>
    </row>
    <row r="963" spans="1:1">
      <c r="A963" s="124"/>
    </row>
    <row r="964" spans="1:1">
      <c r="A964" s="124"/>
    </row>
    <row r="965" spans="1:1">
      <c r="A965" s="124"/>
    </row>
    <row r="966" spans="1:1">
      <c r="A966" s="124"/>
    </row>
    <row r="967" spans="1:1">
      <c r="A967" s="124"/>
    </row>
    <row r="968" spans="1:1">
      <c r="A968" s="124"/>
    </row>
    <row r="969" spans="1:1">
      <c r="A969" s="124"/>
    </row>
    <row r="970" spans="1:1">
      <c r="A970" s="124"/>
    </row>
    <row r="971" spans="1:1">
      <c r="A971" s="124"/>
    </row>
    <row r="972" spans="1:1">
      <c r="A972" s="124"/>
    </row>
    <row r="973" spans="1:1">
      <c r="A973" s="124"/>
    </row>
    <row r="974" spans="1:1">
      <c r="A974" s="124"/>
    </row>
    <row r="975" spans="1:1">
      <c r="A975" s="124"/>
    </row>
    <row r="976" spans="1:1">
      <c r="A976" s="124"/>
    </row>
    <row r="977" spans="1:1">
      <c r="A977" s="124"/>
    </row>
    <row r="978" spans="1:1">
      <c r="A978" s="124"/>
    </row>
    <row r="979" spans="1:1">
      <c r="A979" s="124"/>
    </row>
    <row r="980" spans="1:1">
      <c r="A980" s="124"/>
    </row>
    <row r="981" spans="1:1">
      <c r="A981" s="124"/>
    </row>
    <row r="982" spans="1:1">
      <c r="A982" s="124"/>
    </row>
    <row r="983" spans="1:1">
      <c r="A983" s="124"/>
    </row>
    <row r="984" spans="1:1">
      <c r="A984" s="124"/>
    </row>
    <row r="985" spans="1:1">
      <c r="A985" s="124"/>
    </row>
    <row r="986" spans="1:1">
      <c r="A986" s="124"/>
    </row>
    <row r="987" spans="1:1">
      <c r="A987" s="124"/>
    </row>
    <row r="988" spans="1:1">
      <c r="A988" s="124"/>
    </row>
    <row r="989" spans="1:1">
      <c r="A989" s="124"/>
    </row>
    <row r="990" spans="1:1">
      <c r="A990" s="124"/>
    </row>
    <row r="991" spans="1:1">
      <c r="A991" s="124"/>
    </row>
    <row r="992" spans="1:1">
      <c r="A992" s="124"/>
    </row>
    <row r="993" spans="1:1">
      <c r="A993" s="124"/>
    </row>
    <row r="994" spans="1:1">
      <c r="A994" s="124"/>
    </row>
    <row r="995" spans="1:1">
      <c r="A995" s="124"/>
    </row>
    <row r="996" spans="1:1">
      <c r="A996" s="124"/>
    </row>
    <row r="997" spans="1:1">
      <c r="A997" s="124"/>
    </row>
    <row r="998" spans="1:1">
      <c r="A998" s="124"/>
    </row>
    <row r="999" spans="1:1">
      <c r="A999" s="124"/>
    </row>
    <row r="1000" spans="1:1">
      <c r="A1000" s="124"/>
    </row>
    <row r="1001" spans="1:1">
      <c r="A1001" s="124"/>
    </row>
    <row r="1002" spans="1:1">
      <c r="A1002" s="124"/>
    </row>
    <row r="1003" spans="1:1">
      <c r="A1003" s="124"/>
    </row>
    <row r="1004" spans="1:1">
      <c r="A1004" s="124"/>
    </row>
    <row r="1005" spans="1:1">
      <c r="A1005" s="124"/>
    </row>
    <row r="1006" spans="1:1">
      <c r="A1006" s="124"/>
    </row>
    <row r="1007" spans="1:1">
      <c r="A1007" s="124"/>
    </row>
    <row r="1008" spans="1:1">
      <c r="A1008" s="124"/>
    </row>
    <row r="1009" spans="1:1">
      <c r="A1009" s="124"/>
    </row>
    <row r="1010" spans="1:1">
      <c r="A1010" s="124"/>
    </row>
    <row r="1011" spans="1:1">
      <c r="A1011" s="124"/>
    </row>
    <row r="1012" spans="1:1">
      <c r="A1012" s="124"/>
    </row>
    <row r="1013" spans="1:1">
      <c r="A1013" s="124"/>
    </row>
    <row r="1014" spans="1:1">
      <c r="A1014" s="124"/>
    </row>
    <row r="1015" spans="1:1">
      <c r="A1015" s="124"/>
    </row>
    <row r="1016" spans="1:1">
      <c r="A1016" s="124"/>
    </row>
    <row r="1017" spans="1:1">
      <c r="A1017" s="124"/>
    </row>
    <row r="1018" spans="1:1">
      <c r="A1018" s="124"/>
    </row>
    <row r="1019" spans="1:1">
      <c r="A1019" s="124"/>
    </row>
    <row r="1020" spans="1:1">
      <c r="A1020" s="124"/>
    </row>
    <row r="1021" spans="1:1">
      <c r="A1021" s="124"/>
    </row>
    <row r="1022" spans="1:1">
      <c r="A1022" s="124"/>
    </row>
    <row r="1023" spans="1:1">
      <c r="A1023" s="124"/>
    </row>
    <row r="1024" spans="1:1">
      <c r="A1024" s="124"/>
    </row>
    <row r="1025" spans="1:1">
      <c r="A1025" s="124"/>
    </row>
    <row r="1026" spans="1:1">
      <c r="A1026" s="124"/>
    </row>
    <row r="1027" spans="1:1">
      <c r="A1027" s="124"/>
    </row>
    <row r="1028" spans="1:1">
      <c r="A1028" s="124"/>
    </row>
    <row r="1029" spans="1:1">
      <c r="A1029" s="124"/>
    </row>
    <row r="1030" spans="1:1">
      <c r="A1030" s="124"/>
    </row>
    <row r="1031" spans="1:1">
      <c r="A1031" s="124"/>
    </row>
    <row r="1032" spans="1:1">
      <c r="A1032" s="124"/>
    </row>
    <row r="1033" spans="1:1">
      <c r="A1033" s="124"/>
    </row>
    <row r="1034" spans="1:1">
      <c r="A1034" s="124"/>
    </row>
    <row r="1035" spans="1:1">
      <c r="A1035" s="124"/>
    </row>
    <row r="1036" spans="1:1">
      <c r="A1036" s="124"/>
    </row>
    <row r="1037" spans="1:1">
      <c r="A1037" s="124"/>
    </row>
    <row r="1038" spans="1:1">
      <c r="A1038" s="124"/>
    </row>
    <row r="1039" spans="1:1">
      <c r="A1039" s="124"/>
    </row>
    <row r="1040" spans="1:1">
      <c r="A1040" s="124"/>
    </row>
    <row r="1041" spans="1:1">
      <c r="A1041" s="124"/>
    </row>
    <row r="1042" spans="1:1">
      <c r="A1042" s="124"/>
    </row>
    <row r="1043" spans="1:1">
      <c r="A1043" s="124"/>
    </row>
    <row r="1044" spans="1:1">
      <c r="A1044" s="124"/>
    </row>
    <row r="1045" spans="1:1">
      <c r="A1045" s="124"/>
    </row>
    <row r="1046" spans="1:1">
      <c r="A1046" s="124"/>
    </row>
    <row r="1047" spans="1:1">
      <c r="A1047" s="124"/>
    </row>
    <row r="1048" spans="1:1">
      <c r="A1048" s="124"/>
    </row>
    <row r="1049" spans="1:1">
      <c r="A1049" s="124"/>
    </row>
    <row r="1050" spans="1:1">
      <c r="A1050" s="124"/>
    </row>
    <row r="1051" spans="1:1">
      <c r="A1051" s="124"/>
    </row>
    <row r="1052" spans="1:1">
      <c r="A1052" s="124"/>
    </row>
    <row r="1053" spans="1:1">
      <c r="A1053" s="124"/>
    </row>
    <row r="1054" spans="1:1">
      <c r="A1054" s="124"/>
    </row>
    <row r="1055" spans="1:1">
      <c r="A1055" s="124"/>
    </row>
    <row r="1056" spans="1:1">
      <c r="A1056" s="124"/>
    </row>
    <row r="1057" spans="1:1">
      <c r="A1057" s="124"/>
    </row>
    <row r="1058" spans="1:1">
      <c r="A1058" s="124"/>
    </row>
    <row r="1059" spans="1:1">
      <c r="A1059" s="124"/>
    </row>
    <row r="1060" spans="1:1">
      <c r="A1060" s="124"/>
    </row>
    <row r="1061" spans="1:1">
      <c r="A1061" s="124"/>
    </row>
    <row r="1062" spans="1:1">
      <c r="A1062" s="124"/>
    </row>
    <row r="1063" spans="1:1">
      <c r="A1063" s="124"/>
    </row>
    <row r="1064" spans="1:1">
      <c r="A1064" s="124"/>
    </row>
    <row r="1065" spans="1:1">
      <c r="A1065" s="124"/>
    </row>
    <row r="1066" spans="1:1">
      <c r="A1066" s="124"/>
    </row>
    <row r="1067" spans="1:1">
      <c r="A1067" s="124"/>
    </row>
    <row r="1068" spans="1:1">
      <c r="A1068" s="124"/>
    </row>
    <row r="1069" spans="1:1">
      <c r="A1069" s="124"/>
    </row>
    <row r="1070" spans="1:1">
      <c r="A1070" s="124"/>
    </row>
    <row r="1071" spans="1:1">
      <c r="A1071" s="124"/>
    </row>
    <row r="1072" spans="1:1">
      <c r="A1072" s="124"/>
    </row>
    <row r="1073" spans="1:1">
      <c r="A1073" s="124"/>
    </row>
    <row r="1074" spans="1:1">
      <c r="A1074" s="124"/>
    </row>
    <row r="1075" spans="1:1">
      <c r="A1075" s="124"/>
    </row>
    <row r="1076" spans="1:1">
      <c r="A1076" s="124"/>
    </row>
    <row r="1077" spans="1:1">
      <c r="A1077" s="124"/>
    </row>
    <row r="1078" spans="1:1">
      <c r="A1078" s="124"/>
    </row>
    <row r="1079" spans="1:1">
      <c r="A1079" s="124"/>
    </row>
    <row r="1080" spans="1:1">
      <c r="A1080" s="124"/>
    </row>
    <row r="1081" spans="1:1">
      <c r="A1081" s="124"/>
    </row>
    <row r="1082" spans="1:1">
      <c r="A1082" s="124"/>
    </row>
    <row r="1083" spans="1:1">
      <c r="A1083" s="124"/>
    </row>
    <row r="1084" spans="1:1">
      <c r="A1084" s="124"/>
    </row>
    <row r="1085" spans="1:1">
      <c r="A1085" s="124"/>
    </row>
    <row r="1086" spans="1:1">
      <c r="A1086" s="124"/>
    </row>
    <row r="1087" spans="1:1">
      <c r="A1087" s="124"/>
    </row>
    <row r="1088" spans="1:1">
      <c r="A1088" s="124"/>
    </row>
    <row r="1089" spans="1:1">
      <c r="A1089" s="124"/>
    </row>
    <row r="1090" spans="1:1">
      <c r="A1090" s="124"/>
    </row>
    <row r="1091" spans="1:1">
      <c r="A1091" s="124"/>
    </row>
    <row r="1092" spans="1:1">
      <c r="A1092" s="124"/>
    </row>
    <row r="1093" spans="1:1">
      <c r="A1093" s="124"/>
    </row>
    <row r="1094" spans="1:1">
      <c r="A1094" s="124"/>
    </row>
    <row r="1095" spans="1:1">
      <c r="A1095" s="124"/>
    </row>
    <row r="1096" spans="1:1">
      <c r="A1096" s="124"/>
    </row>
    <row r="1097" spans="1:1">
      <c r="A1097" s="124"/>
    </row>
    <row r="1098" spans="1:1">
      <c r="A1098" s="124"/>
    </row>
    <row r="1099" spans="1:1">
      <c r="A1099" s="124"/>
    </row>
    <row r="1100" spans="1:1">
      <c r="A1100" s="124"/>
    </row>
    <row r="1101" spans="1:1">
      <c r="A1101" s="124"/>
    </row>
    <row r="1102" spans="1:1">
      <c r="A1102" s="124"/>
    </row>
    <row r="1103" spans="1:1">
      <c r="A1103" s="124"/>
    </row>
    <row r="1104" spans="1:1">
      <c r="A1104" s="124"/>
    </row>
    <row r="1105" spans="1:1">
      <c r="A1105" s="124"/>
    </row>
    <row r="1106" spans="1:1">
      <c r="A1106" s="124"/>
    </row>
    <row r="1107" spans="1:1">
      <c r="A1107" s="124"/>
    </row>
    <row r="1108" spans="1:1">
      <c r="A1108" s="124"/>
    </row>
    <row r="1109" spans="1:1">
      <c r="A1109" s="124"/>
    </row>
    <row r="1110" spans="1:1">
      <c r="A1110" s="124"/>
    </row>
    <row r="1111" spans="1:1">
      <c r="A1111" s="124"/>
    </row>
    <row r="1112" spans="1:1">
      <c r="A1112" s="124"/>
    </row>
    <row r="1113" spans="1:1">
      <c r="A1113" s="124"/>
    </row>
    <row r="1114" spans="1:1">
      <c r="A1114" s="124"/>
    </row>
    <row r="1115" spans="1:1">
      <c r="A1115" s="124"/>
    </row>
    <row r="1116" spans="1:1">
      <c r="A1116" s="124"/>
    </row>
    <row r="1117" spans="1:1">
      <c r="A1117" s="124"/>
    </row>
    <row r="1118" spans="1:1">
      <c r="A1118" s="124"/>
    </row>
    <row r="1119" spans="1:1">
      <c r="A1119" s="124"/>
    </row>
    <row r="1120" spans="1:1">
      <c r="A1120" s="124"/>
    </row>
    <row r="1121" spans="1:1">
      <c r="A1121" s="124"/>
    </row>
    <row r="1122" spans="1:1">
      <c r="A1122" s="124"/>
    </row>
    <row r="1123" spans="1:1">
      <c r="A1123" s="124"/>
    </row>
    <row r="1124" spans="1:1">
      <c r="A1124" s="124"/>
    </row>
    <row r="1125" spans="1:1">
      <c r="A1125" s="124"/>
    </row>
    <row r="1126" spans="1:1">
      <c r="A1126" s="124"/>
    </row>
    <row r="1127" spans="1:1">
      <c r="A1127" s="124"/>
    </row>
    <row r="1128" spans="1:1">
      <c r="A1128" s="124"/>
    </row>
    <row r="1129" spans="1:1">
      <c r="A1129" s="124"/>
    </row>
    <row r="1130" spans="1:1">
      <c r="A1130" s="124"/>
    </row>
    <row r="1131" spans="1:1">
      <c r="A1131" s="124"/>
    </row>
    <row r="1132" spans="1:1">
      <c r="A1132" s="124"/>
    </row>
    <row r="1133" spans="1:1">
      <c r="A1133" s="124"/>
    </row>
    <row r="1134" spans="1:1">
      <c r="A1134" s="124"/>
    </row>
    <row r="1135" spans="1:1">
      <c r="A1135" s="124"/>
    </row>
    <row r="1136" spans="1:1">
      <c r="A1136" s="124"/>
    </row>
    <row r="1137" spans="1:1">
      <c r="A1137" s="124"/>
    </row>
    <row r="1138" spans="1:1">
      <c r="A1138" s="124"/>
    </row>
    <row r="1139" spans="1:1">
      <c r="A1139" s="124"/>
    </row>
    <row r="1140" spans="1:1">
      <c r="A1140" s="124"/>
    </row>
    <row r="1141" spans="1:1">
      <c r="A1141" s="124"/>
    </row>
    <row r="1142" spans="1:1">
      <c r="A1142" s="124"/>
    </row>
    <row r="1143" spans="1:1">
      <c r="A1143" s="124"/>
    </row>
    <row r="1144" spans="1:1">
      <c r="A1144" s="124"/>
    </row>
    <row r="1145" spans="1:1">
      <c r="A1145" s="124"/>
    </row>
    <row r="1146" spans="1:1">
      <c r="A1146" s="124"/>
    </row>
    <row r="1147" spans="1:1">
      <c r="A1147" s="124"/>
    </row>
    <row r="1148" spans="1:1">
      <c r="A1148" s="124"/>
    </row>
    <row r="1149" spans="1:1">
      <c r="A1149" s="124"/>
    </row>
    <row r="1150" spans="1:1">
      <c r="A1150" s="124"/>
    </row>
    <row r="1151" spans="1:1">
      <c r="A1151" s="124"/>
    </row>
    <row r="1152" spans="1:1">
      <c r="A1152" s="124"/>
    </row>
    <row r="1153" spans="1:1">
      <c r="A1153" s="124"/>
    </row>
    <row r="1154" spans="1:1">
      <c r="A1154" s="124"/>
    </row>
    <row r="1155" spans="1:1">
      <c r="A1155" s="124"/>
    </row>
    <row r="1156" spans="1:1">
      <c r="A1156" s="124"/>
    </row>
    <row r="1157" spans="1:1">
      <c r="A1157" s="124"/>
    </row>
    <row r="1158" spans="1:1">
      <c r="A1158" s="124"/>
    </row>
    <row r="1159" spans="1:1">
      <c r="A1159" s="124"/>
    </row>
    <row r="1160" spans="1:1">
      <c r="A1160" s="124"/>
    </row>
    <row r="1161" spans="1:1">
      <c r="A1161" s="124"/>
    </row>
    <row r="1162" spans="1:1">
      <c r="A1162" s="124"/>
    </row>
    <row r="1163" spans="1:1">
      <c r="A1163" s="124"/>
    </row>
    <row r="1164" spans="1:1">
      <c r="A1164" s="124"/>
    </row>
    <row r="1165" spans="1:1">
      <c r="A1165" s="124"/>
    </row>
    <row r="1166" spans="1:1">
      <c r="A1166" s="124"/>
    </row>
    <row r="1167" spans="1:1">
      <c r="A1167" s="124"/>
    </row>
    <row r="1168" spans="1:1">
      <c r="A1168" s="124"/>
    </row>
    <row r="1169" spans="1:1">
      <c r="A1169" s="124"/>
    </row>
    <row r="1170" spans="1:1">
      <c r="A1170" s="124"/>
    </row>
    <row r="1171" spans="1:1">
      <c r="A1171" s="124"/>
    </row>
    <row r="1172" spans="1:1">
      <c r="A1172" s="124"/>
    </row>
    <row r="1173" spans="1:1">
      <c r="A1173" s="124"/>
    </row>
    <row r="1174" spans="1:1">
      <c r="A1174" s="124"/>
    </row>
    <row r="1175" spans="1:1">
      <c r="A1175" s="124"/>
    </row>
    <row r="1176" spans="1:1">
      <c r="A1176" s="124"/>
    </row>
    <row r="1177" spans="1:1">
      <c r="A1177" s="124"/>
    </row>
    <row r="1178" spans="1:1">
      <c r="A1178" s="124"/>
    </row>
    <row r="1179" spans="1:1">
      <c r="A1179" s="124"/>
    </row>
    <row r="1180" spans="1:1">
      <c r="A1180" s="124"/>
    </row>
    <row r="1181" spans="1:1">
      <c r="A1181" s="124"/>
    </row>
    <row r="1182" spans="1:1">
      <c r="A1182" s="124"/>
    </row>
    <row r="1183" spans="1:1">
      <c r="A1183" s="124"/>
    </row>
    <row r="1184" spans="1:1">
      <c r="A1184" s="124"/>
    </row>
    <row r="1185" spans="1:1">
      <c r="A1185" s="124"/>
    </row>
    <row r="1186" spans="1:1">
      <c r="A1186" s="124"/>
    </row>
    <row r="1187" spans="1:1">
      <c r="A1187" s="124"/>
    </row>
    <row r="1188" spans="1:1">
      <c r="A1188" s="124"/>
    </row>
    <row r="1189" spans="1:1">
      <c r="A1189" s="124"/>
    </row>
    <row r="1190" spans="1:1">
      <c r="A1190" s="124"/>
    </row>
    <row r="1191" spans="1:1">
      <c r="A1191" s="124"/>
    </row>
    <row r="1192" spans="1:1">
      <c r="A1192" s="124"/>
    </row>
    <row r="1193" spans="1:1">
      <c r="A1193" s="124"/>
    </row>
    <row r="1194" spans="1:1">
      <c r="A1194" s="124"/>
    </row>
    <row r="1195" spans="1:1">
      <c r="A1195" s="124"/>
    </row>
    <row r="1196" spans="1:1">
      <c r="A1196" s="124"/>
    </row>
    <row r="1197" spans="1:1">
      <c r="A1197" s="124"/>
    </row>
    <row r="1198" spans="1:1">
      <c r="A1198" s="124"/>
    </row>
    <row r="1199" spans="1:1">
      <c r="A1199" s="124"/>
    </row>
    <row r="1200" spans="1:1">
      <c r="A1200" s="124"/>
    </row>
    <row r="1201" spans="1:1">
      <c r="A1201" s="124"/>
    </row>
    <row r="1202" spans="1:1">
      <c r="A1202" s="124"/>
    </row>
    <row r="1203" spans="1:1">
      <c r="A1203" s="124"/>
    </row>
    <row r="1204" spans="1:1">
      <c r="A1204" s="124"/>
    </row>
    <row r="1205" spans="1:1">
      <c r="A1205" s="124"/>
    </row>
    <row r="1206" spans="1:1">
      <c r="A1206" s="124"/>
    </row>
    <row r="1207" spans="1:1">
      <c r="A1207" s="124"/>
    </row>
    <row r="1208" spans="1:1">
      <c r="A1208" s="124"/>
    </row>
    <row r="1209" spans="1:1">
      <c r="A1209" s="124"/>
    </row>
    <row r="1210" spans="1:1">
      <c r="A1210" s="124"/>
    </row>
    <row r="1211" spans="1:1">
      <c r="A1211" s="124"/>
    </row>
    <row r="1212" spans="1:1">
      <c r="A1212" s="124"/>
    </row>
    <row r="1213" spans="1:1">
      <c r="A1213" s="124"/>
    </row>
    <row r="1214" spans="1:1">
      <c r="A1214" s="124"/>
    </row>
    <row r="1215" spans="1:1">
      <c r="A1215" s="124"/>
    </row>
    <row r="1216" spans="1:1">
      <c r="A1216" s="124"/>
    </row>
    <row r="1217" spans="1:1">
      <c r="A1217" s="124"/>
    </row>
    <row r="1218" spans="1:1">
      <c r="A1218" s="124"/>
    </row>
    <row r="1219" spans="1:1">
      <c r="A1219" s="124"/>
    </row>
    <row r="1220" spans="1:1">
      <c r="A1220" s="124"/>
    </row>
    <row r="1221" spans="1:1">
      <c r="A1221" s="124"/>
    </row>
    <row r="1222" spans="1:1">
      <c r="A1222" s="124"/>
    </row>
    <row r="1223" spans="1:1">
      <c r="A1223" s="124"/>
    </row>
    <row r="1224" spans="1:1">
      <c r="A1224" s="124"/>
    </row>
    <row r="1225" spans="1:1">
      <c r="A1225" s="124"/>
    </row>
    <row r="1226" spans="1:1">
      <c r="A1226" s="124"/>
    </row>
    <row r="1227" spans="1:1">
      <c r="A1227" s="124"/>
    </row>
    <row r="1228" spans="1:1">
      <c r="A1228" s="124"/>
    </row>
    <row r="1229" spans="1:1">
      <c r="A1229" s="124"/>
    </row>
    <row r="1230" spans="1:1">
      <c r="A1230" s="124"/>
    </row>
    <row r="1231" spans="1:1">
      <c r="A1231" s="124"/>
    </row>
    <row r="1232" spans="1:1">
      <c r="A1232" s="124"/>
    </row>
    <row r="1233" spans="1:1">
      <c r="A1233" s="124"/>
    </row>
    <row r="1234" spans="1:1">
      <c r="A1234" s="124"/>
    </row>
    <row r="1235" spans="1:1">
      <c r="A1235" s="124"/>
    </row>
    <row r="1236" spans="1:1">
      <c r="A1236" s="124"/>
    </row>
    <row r="1237" spans="1:1">
      <c r="A1237" s="124"/>
    </row>
    <row r="1238" spans="1:1">
      <c r="A1238" s="124"/>
    </row>
    <row r="1239" spans="1:1">
      <c r="A1239" s="124"/>
    </row>
    <row r="1240" spans="1:1">
      <c r="A1240" s="124"/>
    </row>
    <row r="1241" spans="1:1">
      <c r="A1241" s="124"/>
    </row>
    <row r="1242" spans="1:1">
      <c r="A1242" s="124"/>
    </row>
    <row r="1243" spans="1:1">
      <c r="A1243" s="124"/>
    </row>
    <row r="1244" spans="1:1">
      <c r="A1244" s="124"/>
    </row>
    <row r="1245" spans="1:1">
      <c r="A1245" s="124"/>
    </row>
    <row r="1246" spans="1:1">
      <c r="A1246" s="124"/>
    </row>
    <row r="1247" spans="1:1">
      <c r="A1247" s="124"/>
    </row>
    <row r="1248" spans="1:1">
      <c r="A1248" s="124"/>
    </row>
    <row r="1249" spans="1:1">
      <c r="A1249" s="124"/>
    </row>
    <row r="1250" spans="1:1">
      <c r="A1250" s="124"/>
    </row>
    <row r="1251" spans="1:1">
      <c r="A1251" s="124"/>
    </row>
    <row r="1252" spans="1:1">
      <c r="A1252" s="124"/>
    </row>
    <row r="1253" spans="1:1">
      <c r="A1253" s="124"/>
    </row>
    <row r="1254" spans="1:1">
      <c r="A1254" s="124"/>
    </row>
    <row r="1255" spans="1:1">
      <c r="A1255" s="124"/>
    </row>
    <row r="1256" spans="1:1">
      <c r="A1256" s="124"/>
    </row>
    <row r="1257" spans="1:1">
      <c r="A1257" s="124"/>
    </row>
    <row r="1258" spans="1:1">
      <c r="A1258" s="124"/>
    </row>
    <row r="1259" spans="1:1">
      <c r="A1259" s="124"/>
    </row>
    <row r="1260" spans="1:1">
      <c r="A1260" s="124"/>
    </row>
    <row r="1261" spans="1:1">
      <c r="A1261" s="124"/>
    </row>
    <row r="1262" spans="1:1">
      <c r="A1262" s="124"/>
    </row>
    <row r="1263" spans="1:1">
      <c r="A1263" s="124"/>
    </row>
    <row r="1264" spans="1:1">
      <c r="A1264" s="124"/>
    </row>
    <row r="1265" spans="1:1">
      <c r="A1265" s="124"/>
    </row>
    <row r="1266" spans="1:1">
      <c r="A1266" s="124"/>
    </row>
    <row r="1267" spans="1:1">
      <c r="A1267" s="124"/>
    </row>
    <row r="1268" spans="1:1">
      <c r="A1268" s="124"/>
    </row>
    <row r="1269" spans="1:1">
      <c r="A1269" s="124"/>
    </row>
    <row r="1270" spans="1:1">
      <c r="A1270" s="124"/>
    </row>
    <row r="1271" spans="1:1">
      <c r="A1271" s="124"/>
    </row>
    <row r="1272" spans="1:1">
      <c r="A1272" s="124"/>
    </row>
    <row r="1273" spans="1:1">
      <c r="A1273" s="124"/>
    </row>
    <row r="1274" spans="1:1">
      <c r="A1274" s="124"/>
    </row>
    <row r="1275" spans="1:1">
      <c r="A1275" s="124"/>
    </row>
    <row r="1276" spans="1:1">
      <c r="A1276" s="124"/>
    </row>
    <row r="1277" spans="1:1">
      <c r="A1277" s="124"/>
    </row>
    <row r="1278" spans="1:1">
      <c r="A1278" s="124"/>
    </row>
    <row r="1279" spans="1:1">
      <c r="A1279" s="124"/>
    </row>
    <row r="1280" spans="1:1">
      <c r="A1280" s="124"/>
    </row>
    <row r="1281" spans="1:1">
      <c r="A1281" s="124"/>
    </row>
    <row r="1282" spans="1:1">
      <c r="A1282" s="124"/>
    </row>
    <row r="1283" spans="1:1">
      <c r="A1283" s="124"/>
    </row>
    <row r="1284" spans="1:1">
      <c r="A1284" s="124"/>
    </row>
    <row r="1285" spans="1:1">
      <c r="A1285" s="124"/>
    </row>
    <row r="1286" spans="1:1">
      <c r="A1286" s="124"/>
    </row>
    <row r="1287" spans="1:1">
      <c r="A1287" s="124"/>
    </row>
    <row r="1288" spans="1:1">
      <c r="A1288" s="124"/>
    </row>
    <row r="1289" spans="1:1">
      <c r="A1289" s="124"/>
    </row>
    <row r="1290" spans="1:1">
      <c r="A1290" s="124"/>
    </row>
    <row r="1291" spans="1:1">
      <c r="A1291" s="124"/>
    </row>
    <row r="1292" spans="1:1">
      <c r="A1292" s="124"/>
    </row>
    <row r="1293" spans="1:1">
      <c r="A1293" s="124"/>
    </row>
    <row r="1294" spans="1:1">
      <c r="A1294" s="124"/>
    </row>
    <row r="1295" spans="1:1">
      <c r="A1295" s="124"/>
    </row>
    <row r="1296" spans="1:1">
      <c r="A1296" s="124"/>
    </row>
    <row r="1297" spans="1:1">
      <c r="A1297" s="124"/>
    </row>
    <row r="1298" spans="1:1">
      <c r="A1298" s="124"/>
    </row>
    <row r="1299" spans="1:1">
      <c r="A1299" s="124"/>
    </row>
    <row r="1300" spans="1:1">
      <c r="A1300" s="124"/>
    </row>
    <row r="1301" spans="1:1">
      <c r="A1301" s="124"/>
    </row>
    <row r="1302" spans="1:1">
      <c r="A1302" s="124"/>
    </row>
    <row r="1303" spans="1:1">
      <c r="A1303" s="124"/>
    </row>
    <row r="1304" spans="1:1">
      <c r="A1304" s="124"/>
    </row>
    <row r="1305" spans="1:1">
      <c r="A1305" s="124"/>
    </row>
    <row r="1306" spans="1:1">
      <c r="A1306" s="124"/>
    </row>
    <row r="1307" spans="1:1">
      <c r="A1307" s="124"/>
    </row>
    <row r="1308" spans="1:1">
      <c r="A1308" s="124"/>
    </row>
    <row r="1309" spans="1:1">
      <c r="A1309" s="124"/>
    </row>
    <row r="1310" spans="1:1">
      <c r="A1310" s="124"/>
    </row>
    <row r="1311" spans="1:1">
      <c r="A1311" s="124"/>
    </row>
    <row r="1312" spans="1:1">
      <c r="A1312" s="124"/>
    </row>
    <row r="1313" spans="1:1">
      <c r="A1313" s="124"/>
    </row>
    <row r="1314" spans="1:1">
      <c r="A1314" s="124"/>
    </row>
    <row r="1315" spans="1:1">
      <c r="A1315" s="124"/>
    </row>
    <row r="1316" spans="1:1">
      <c r="A1316" s="124"/>
    </row>
    <row r="1317" spans="1:1">
      <c r="A1317" s="124"/>
    </row>
    <row r="1318" spans="1:1">
      <c r="A1318" s="124"/>
    </row>
    <row r="1319" spans="1:1">
      <c r="A1319" s="124"/>
    </row>
    <row r="1320" spans="1:1">
      <c r="A1320" s="124"/>
    </row>
    <row r="1321" spans="1:1">
      <c r="A1321" s="124"/>
    </row>
    <row r="1322" spans="1:1">
      <c r="A1322" s="124"/>
    </row>
    <row r="1323" spans="1:1">
      <c r="A1323" s="124"/>
    </row>
    <row r="1324" spans="1:1">
      <c r="A1324" s="124"/>
    </row>
    <row r="1325" spans="1:1">
      <c r="A1325" s="124"/>
    </row>
    <row r="1326" spans="1:1">
      <c r="A1326" s="124"/>
    </row>
    <row r="1327" spans="1:1">
      <c r="A1327" s="124"/>
    </row>
    <row r="1328" spans="1:1">
      <c r="A1328" s="124"/>
    </row>
    <row r="1329" spans="1:1">
      <c r="A1329" s="124"/>
    </row>
    <row r="1330" spans="1:1">
      <c r="A1330" s="124"/>
    </row>
    <row r="1331" spans="1:1">
      <c r="A1331" s="124"/>
    </row>
    <row r="1332" spans="1:1">
      <c r="A1332" s="124"/>
    </row>
    <row r="1333" spans="1:1">
      <c r="A1333" s="124"/>
    </row>
    <row r="1334" spans="1:1">
      <c r="A1334" s="124"/>
    </row>
    <row r="1335" spans="1:1">
      <c r="A1335" s="124"/>
    </row>
    <row r="1336" spans="1:1">
      <c r="A1336" s="124"/>
    </row>
    <row r="1337" spans="1:1">
      <c r="A1337" s="124"/>
    </row>
    <row r="1338" spans="1:1">
      <c r="A1338" s="124"/>
    </row>
    <row r="1339" spans="1:1">
      <c r="A1339" s="124"/>
    </row>
    <row r="1340" spans="1:1">
      <c r="A1340" s="124"/>
    </row>
    <row r="1341" spans="1:1">
      <c r="A1341" s="124"/>
    </row>
    <row r="1342" spans="1:1">
      <c r="A1342" s="124"/>
    </row>
    <row r="1343" spans="1:1">
      <c r="A1343" s="124"/>
    </row>
    <row r="1344" spans="1:1">
      <c r="A1344" s="124"/>
    </row>
    <row r="1345" spans="1:1">
      <c r="A1345" s="124"/>
    </row>
    <row r="1346" spans="1:1">
      <c r="A1346" s="124"/>
    </row>
    <row r="1347" spans="1:1">
      <c r="A1347" s="124"/>
    </row>
    <row r="1348" spans="1:1">
      <c r="A1348" s="124"/>
    </row>
    <row r="1349" spans="1:1">
      <c r="A1349" s="124"/>
    </row>
    <row r="1350" spans="1:1">
      <c r="A1350" s="124"/>
    </row>
    <row r="1351" spans="1:1">
      <c r="A1351" s="124"/>
    </row>
    <row r="1352" spans="1:1">
      <c r="A1352" s="124"/>
    </row>
    <row r="1353" spans="1:1">
      <c r="A1353" s="124"/>
    </row>
    <row r="1354" spans="1:1">
      <c r="A1354" s="124"/>
    </row>
    <row r="1355" spans="1:1">
      <c r="A1355" s="124"/>
    </row>
    <row r="1356" spans="1:1">
      <c r="A1356" s="124"/>
    </row>
    <row r="1357" spans="1:1">
      <c r="A1357" s="124"/>
    </row>
    <row r="1358" spans="1:1">
      <c r="A1358" s="124"/>
    </row>
    <row r="1359" spans="1:1">
      <c r="A1359" s="124"/>
    </row>
    <row r="1360" spans="1:1">
      <c r="A1360" s="124"/>
    </row>
    <row r="1361" spans="1:1">
      <c r="A1361" s="124"/>
    </row>
    <row r="1362" spans="1:1">
      <c r="A1362" s="124"/>
    </row>
    <row r="1363" spans="1:1">
      <c r="A1363" s="124"/>
    </row>
    <row r="1364" spans="1:1">
      <c r="A1364" s="124"/>
    </row>
    <row r="1365" spans="1:1">
      <c r="A1365" s="124"/>
    </row>
    <row r="1366" spans="1:1">
      <c r="A1366" s="124"/>
    </row>
    <row r="1367" spans="1:1">
      <c r="A1367" s="124"/>
    </row>
    <row r="1368" spans="1:1">
      <c r="A1368" s="124"/>
    </row>
    <row r="1369" spans="1:1">
      <c r="A1369" s="124"/>
    </row>
    <row r="1370" spans="1:1">
      <c r="A1370" s="124"/>
    </row>
    <row r="1371" spans="1:1">
      <c r="A1371" s="124"/>
    </row>
    <row r="1372" spans="1:1">
      <c r="A1372" s="124"/>
    </row>
    <row r="1373" spans="1:1">
      <c r="A1373" s="124"/>
    </row>
    <row r="1374" spans="1:1">
      <c r="A1374" s="124"/>
    </row>
    <row r="1375" spans="1:1">
      <c r="A1375" s="124"/>
    </row>
    <row r="1376" spans="1:1">
      <c r="A1376" s="124"/>
    </row>
    <row r="1377" spans="1:1">
      <c r="A1377" s="124"/>
    </row>
    <row r="1378" spans="1:1">
      <c r="A1378" s="124"/>
    </row>
    <row r="1379" spans="1:1">
      <c r="A1379" s="124"/>
    </row>
    <row r="1380" spans="1:1">
      <c r="A1380" s="124"/>
    </row>
    <row r="1381" spans="1:1">
      <c r="A1381" s="124"/>
    </row>
    <row r="1382" spans="1:1">
      <c r="A1382" s="124"/>
    </row>
    <row r="1383" spans="1:1">
      <c r="A1383" s="124"/>
    </row>
    <row r="1384" spans="1:1">
      <c r="A1384" s="124"/>
    </row>
    <row r="1385" spans="1:1">
      <c r="A1385" s="124"/>
    </row>
    <row r="1386" spans="1:1">
      <c r="A1386" s="124"/>
    </row>
    <row r="1387" spans="1:1">
      <c r="A1387" s="124"/>
    </row>
    <row r="1388" spans="1:1">
      <c r="A1388" s="124"/>
    </row>
    <row r="1389" spans="1:1">
      <c r="A1389" s="124"/>
    </row>
    <row r="1390" spans="1:1">
      <c r="A1390" s="124"/>
    </row>
    <row r="1391" spans="1:1">
      <c r="A1391" s="124"/>
    </row>
    <row r="1392" spans="1:1">
      <c r="A1392" s="124"/>
    </row>
    <row r="1393" spans="1:1">
      <c r="A1393" s="124"/>
    </row>
    <row r="1394" spans="1:1">
      <c r="A1394" s="124"/>
    </row>
    <row r="1395" spans="1:1">
      <c r="A1395" s="124"/>
    </row>
    <row r="1396" spans="1:1">
      <c r="A1396" s="124"/>
    </row>
    <row r="1397" spans="1:1">
      <c r="A1397" s="124"/>
    </row>
    <row r="1398" spans="1:1">
      <c r="A1398" s="124"/>
    </row>
    <row r="1399" spans="1:1">
      <c r="A1399" s="124"/>
    </row>
    <row r="1400" spans="1:1">
      <c r="A1400" s="124"/>
    </row>
    <row r="1401" spans="1:1">
      <c r="A1401" s="124"/>
    </row>
    <row r="1402" spans="1:1">
      <c r="A1402" s="124"/>
    </row>
    <row r="1403" spans="1:1">
      <c r="A1403" s="124"/>
    </row>
    <row r="1404" spans="1:1">
      <c r="A1404" s="124"/>
    </row>
    <row r="1405" spans="1:1">
      <c r="A1405" s="124"/>
    </row>
    <row r="1406" spans="1:1">
      <c r="A1406" s="124"/>
    </row>
    <row r="1407" spans="1:1">
      <c r="A1407" s="124"/>
    </row>
    <row r="1408" spans="1:1">
      <c r="A1408" s="124"/>
    </row>
    <row r="1409" spans="1:1">
      <c r="A1409" s="124"/>
    </row>
    <row r="1410" spans="1:1">
      <c r="A1410" s="124"/>
    </row>
    <row r="1411" spans="1:1">
      <c r="A1411" s="124"/>
    </row>
    <row r="1412" spans="1:1">
      <c r="A1412" s="124"/>
    </row>
    <row r="1413" spans="1:1">
      <c r="A1413" s="124"/>
    </row>
    <row r="1414" spans="1:1">
      <c r="A1414" s="124"/>
    </row>
    <row r="1415" spans="1:1">
      <c r="A1415" s="124"/>
    </row>
    <row r="1416" spans="1:1">
      <c r="A1416" s="124"/>
    </row>
    <row r="1417" spans="1:1">
      <c r="A1417" s="124"/>
    </row>
    <row r="1418" spans="1:1">
      <c r="A1418" s="124"/>
    </row>
    <row r="1419" spans="1:1">
      <c r="A1419" s="124"/>
    </row>
    <row r="1420" spans="1:1">
      <c r="A1420" s="124"/>
    </row>
    <row r="1421" spans="1:1">
      <c r="A1421" s="124"/>
    </row>
    <row r="1422" spans="1:1">
      <c r="A1422" s="124"/>
    </row>
    <row r="1423" spans="1:1">
      <c r="A1423" s="124"/>
    </row>
    <row r="1424" spans="1:1">
      <c r="A1424" s="124"/>
    </row>
    <row r="1425" spans="1:1">
      <c r="A1425" s="124"/>
    </row>
    <row r="1426" spans="1:1">
      <c r="A1426" s="124"/>
    </row>
    <row r="1427" spans="1:1">
      <c r="A1427" s="124"/>
    </row>
    <row r="1428" spans="1:1">
      <c r="A1428" s="124"/>
    </row>
    <row r="1429" spans="1:1">
      <c r="A1429" s="124"/>
    </row>
    <row r="1430" spans="1:1">
      <c r="A1430" s="124"/>
    </row>
    <row r="1431" spans="1:1">
      <c r="A1431" s="124"/>
    </row>
    <row r="1432" spans="1:1">
      <c r="A1432" s="124"/>
    </row>
    <row r="1433" spans="1:1">
      <c r="A1433" s="124"/>
    </row>
    <row r="1434" spans="1:1">
      <c r="A1434" s="124"/>
    </row>
    <row r="1435" spans="1:1">
      <c r="A1435" s="124"/>
    </row>
    <row r="1436" spans="1:1">
      <c r="A1436" s="124"/>
    </row>
    <row r="1437" spans="1:1">
      <c r="A1437" s="124"/>
    </row>
    <row r="1438" spans="1:1">
      <c r="A1438" s="124"/>
    </row>
    <row r="1439" spans="1:1">
      <c r="A1439" s="124"/>
    </row>
    <row r="1440" spans="1:1">
      <c r="A1440" s="124"/>
    </row>
    <row r="1441" spans="1:1">
      <c r="A1441" s="124"/>
    </row>
    <row r="1442" spans="1:1">
      <c r="A1442" s="124"/>
    </row>
    <row r="1443" spans="1:1">
      <c r="A1443" s="124"/>
    </row>
    <row r="1444" spans="1:1">
      <c r="A1444" s="124"/>
    </row>
    <row r="1445" spans="1:1">
      <c r="A1445" s="124"/>
    </row>
    <row r="1446" spans="1:1">
      <c r="A1446" s="124"/>
    </row>
    <row r="1447" spans="1:1">
      <c r="A1447" s="124"/>
    </row>
    <row r="1448" spans="1:1">
      <c r="A1448" s="124"/>
    </row>
    <row r="1449" spans="1:1">
      <c r="A1449" s="124"/>
    </row>
    <row r="1450" spans="1:1">
      <c r="A1450" s="124"/>
    </row>
    <row r="1451" spans="1:1">
      <c r="A1451" s="124"/>
    </row>
    <row r="1452" spans="1:1">
      <c r="A1452" s="124"/>
    </row>
    <row r="1453" spans="1:1">
      <c r="A1453" s="124"/>
    </row>
    <row r="1454" spans="1:1">
      <c r="A1454" s="124"/>
    </row>
    <row r="1455" spans="1:1">
      <c r="A1455" s="124"/>
    </row>
    <row r="1456" spans="1:1">
      <c r="A1456" s="124"/>
    </row>
    <row r="1457" spans="1:1">
      <c r="A1457" s="124"/>
    </row>
    <row r="1458" spans="1:1">
      <c r="A1458" s="124"/>
    </row>
    <row r="1459" spans="1:1">
      <c r="A1459" s="124"/>
    </row>
    <row r="1460" spans="1:1">
      <c r="A1460" s="124"/>
    </row>
    <row r="1461" spans="1:1">
      <c r="A1461" s="124"/>
    </row>
    <row r="1462" spans="1:1">
      <c r="A1462" s="124"/>
    </row>
    <row r="1463" spans="1:1">
      <c r="A1463" s="124"/>
    </row>
    <row r="1464" spans="1:1">
      <c r="A1464" s="124"/>
    </row>
    <row r="1465" spans="1:1">
      <c r="A1465" s="124"/>
    </row>
    <row r="1466" spans="1:1">
      <c r="A1466" s="124"/>
    </row>
    <row r="1467" spans="1:1">
      <c r="A1467" s="124"/>
    </row>
    <row r="1468" spans="1:1">
      <c r="A1468" s="124"/>
    </row>
    <row r="1469" spans="1:1">
      <c r="A1469" s="124"/>
    </row>
    <row r="1470" spans="1:1">
      <c r="A1470" s="124"/>
    </row>
    <row r="1471" spans="1:1">
      <c r="A1471" s="124"/>
    </row>
    <row r="1472" spans="1:1">
      <c r="A1472" s="124"/>
    </row>
    <row r="1473" spans="1:1">
      <c r="A1473" s="124"/>
    </row>
    <row r="1474" spans="1:1">
      <c r="A1474" s="124"/>
    </row>
    <row r="1475" spans="1:1">
      <c r="A1475" s="124"/>
    </row>
    <row r="1476" spans="1:1">
      <c r="A1476" s="124"/>
    </row>
    <row r="1477" spans="1:1">
      <c r="A1477" s="124"/>
    </row>
    <row r="1478" spans="1:1">
      <c r="A1478" s="124"/>
    </row>
    <row r="1479" spans="1:1">
      <c r="A1479" s="124"/>
    </row>
    <row r="1480" spans="1:1">
      <c r="A1480" s="124"/>
    </row>
    <row r="1481" spans="1:1">
      <c r="A1481" s="124"/>
    </row>
    <row r="1482" spans="1:1">
      <c r="A1482" s="124"/>
    </row>
    <row r="1483" spans="1:1">
      <c r="A1483" s="124"/>
    </row>
    <row r="1484" spans="1:1">
      <c r="A1484" s="124"/>
    </row>
    <row r="1485" spans="1:1">
      <c r="A1485" s="124"/>
    </row>
    <row r="1486" spans="1:1">
      <c r="A1486" s="124"/>
    </row>
    <row r="1487" spans="1:1">
      <c r="A1487" s="124"/>
    </row>
    <row r="1488" spans="1:1">
      <c r="A1488" s="124"/>
    </row>
    <row r="1489" spans="1:1">
      <c r="A1489" s="124"/>
    </row>
    <row r="1490" spans="1:1">
      <c r="A1490" s="124"/>
    </row>
    <row r="1491" spans="1:1">
      <c r="A1491" s="124"/>
    </row>
    <row r="1492" spans="1:1">
      <c r="A1492" s="124"/>
    </row>
    <row r="1493" spans="1:1">
      <c r="A1493" s="124"/>
    </row>
    <row r="1494" spans="1:1">
      <c r="A1494" s="124"/>
    </row>
    <row r="1495" spans="1:1">
      <c r="A1495" s="124"/>
    </row>
    <row r="1496" spans="1:1">
      <c r="A1496" s="124"/>
    </row>
    <row r="1497" spans="1:1">
      <c r="A1497" s="124"/>
    </row>
    <row r="1498" spans="1:1">
      <c r="A1498" s="124"/>
    </row>
    <row r="1499" spans="1:1">
      <c r="A1499" s="124"/>
    </row>
    <row r="1500" spans="1:1">
      <c r="A1500" s="124"/>
    </row>
    <row r="1501" spans="1:1">
      <c r="A1501" s="124"/>
    </row>
    <row r="1502" spans="1:1">
      <c r="A1502" s="124"/>
    </row>
    <row r="1503" spans="1:1">
      <c r="A1503" s="124"/>
    </row>
    <row r="1504" spans="1:1">
      <c r="A1504" s="124"/>
    </row>
    <row r="1505" spans="1:1">
      <c r="A1505" s="124"/>
    </row>
    <row r="1506" spans="1:1">
      <c r="A1506" s="124"/>
    </row>
    <row r="1507" spans="1:1">
      <c r="A1507" s="124"/>
    </row>
    <row r="1508" spans="1:1">
      <c r="A1508" s="124"/>
    </row>
    <row r="1509" spans="1:1">
      <c r="A1509" s="124"/>
    </row>
    <row r="1510" spans="1:1">
      <c r="A1510" s="124"/>
    </row>
    <row r="1511" spans="1:1">
      <c r="A1511" s="124"/>
    </row>
    <row r="1512" spans="1:1">
      <c r="A1512" s="124"/>
    </row>
    <row r="1513" spans="1:1">
      <c r="A1513" s="124"/>
    </row>
    <row r="1514" spans="1:1">
      <c r="A1514" s="124"/>
    </row>
    <row r="1515" spans="1:1">
      <c r="A1515" s="124"/>
    </row>
    <row r="1516" spans="1:1">
      <c r="A1516" s="124"/>
    </row>
    <row r="1517" spans="1:1">
      <c r="A1517" s="124"/>
    </row>
    <row r="1518" spans="1:1">
      <c r="A1518" s="124"/>
    </row>
    <row r="1519" spans="1:1">
      <c r="A1519" s="124"/>
    </row>
    <row r="1520" spans="1:1">
      <c r="A1520" s="124"/>
    </row>
    <row r="1521" spans="1:1">
      <c r="A1521" s="124"/>
    </row>
    <row r="1522" spans="1:1">
      <c r="A1522" s="124"/>
    </row>
    <row r="1523" spans="1:1">
      <c r="A1523" s="124"/>
    </row>
    <row r="1524" spans="1:1">
      <c r="A1524" s="124"/>
    </row>
    <row r="1525" spans="1:1">
      <c r="A1525" s="124"/>
    </row>
    <row r="1526" spans="1:1">
      <c r="A1526" s="124"/>
    </row>
    <row r="1527" spans="1:1">
      <c r="A1527" s="124"/>
    </row>
    <row r="1528" spans="1:1">
      <c r="A1528" s="124"/>
    </row>
    <row r="1529" spans="1:1">
      <c r="A1529" s="124"/>
    </row>
    <row r="1530" spans="1:1">
      <c r="A1530" s="124"/>
    </row>
    <row r="1531" spans="1:1">
      <c r="A1531" s="124"/>
    </row>
    <row r="1532" spans="1:1">
      <c r="A1532" s="124"/>
    </row>
    <row r="1533" spans="1:1">
      <c r="A1533" s="124"/>
    </row>
    <row r="1534" spans="1:1">
      <c r="A1534" s="124"/>
    </row>
    <row r="1535" spans="1:1">
      <c r="A1535" s="124"/>
    </row>
    <row r="1536" spans="1:1">
      <c r="A1536" s="124"/>
    </row>
    <row r="1537" spans="1:1">
      <c r="A1537" s="124"/>
    </row>
    <row r="1538" spans="1:1">
      <c r="A1538" s="124"/>
    </row>
    <row r="1539" spans="1:1">
      <c r="A1539" s="124"/>
    </row>
    <row r="1540" spans="1:1">
      <c r="A1540" s="124"/>
    </row>
    <row r="1541" spans="1:1">
      <c r="A1541" s="124"/>
    </row>
    <row r="1542" spans="1:1">
      <c r="A1542" s="124"/>
    </row>
    <row r="1543" spans="1:1">
      <c r="A1543" s="124"/>
    </row>
    <row r="1544" spans="1:1">
      <c r="A1544" s="124"/>
    </row>
    <row r="1545" spans="1:1">
      <c r="A1545" s="124"/>
    </row>
    <row r="1546" spans="1:1">
      <c r="A1546" s="124"/>
    </row>
    <row r="1547" spans="1:1">
      <c r="A1547" s="124"/>
    </row>
    <row r="1548" spans="1:1">
      <c r="A1548" s="124"/>
    </row>
    <row r="1549" spans="1:1">
      <c r="A1549" s="124"/>
    </row>
    <row r="1550" spans="1:1">
      <c r="A1550" s="124"/>
    </row>
    <row r="1551" spans="1:1">
      <c r="A1551" s="124"/>
    </row>
    <row r="1552" spans="1:1">
      <c r="A1552" s="124"/>
    </row>
    <row r="1553" spans="1:1">
      <c r="A1553" s="124"/>
    </row>
    <row r="1554" spans="1:1">
      <c r="A1554" s="124"/>
    </row>
    <row r="1555" spans="1:1">
      <c r="A1555" s="124"/>
    </row>
    <row r="1556" spans="1:1">
      <c r="A1556" s="124"/>
    </row>
    <row r="1557" spans="1:1">
      <c r="A1557" s="124"/>
    </row>
    <row r="1558" spans="1:1">
      <c r="A1558" s="124"/>
    </row>
    <row r="1559" spans="1:1">
      <c r="A1559" s="124"/>
    </row>
    <row r="1560" spans="1:1">
      <c r="A1560" s="124"/>
    </row>
    <row r="1561" spans="1:1">
      <c r="A1561" s="124"/>
    </row>
    <row r="1562" spans="1:1">
      <c r="A1562" s="124"/>
    </row>
    <row r="1563" spans="1:1">
      <c r="A1563" s="124"/>
    </row>
    <row r="1564" spans="1:1">
      <c r="A1564" s="124"/>
    </row>
    <row r="1565" spans="1:1">
      <c r="A1565" s="124"/>
    </row>
    <row r="1566" spans="1:1">
      <c r="A1566" s="124"/>
    </row>
    <row r="1567" spans="1:1">
      <c r="A1567" s="124"/>
    </row>
    <row r="1568" spans="1:1">
      <c r="A1568" s="124"/>
    </row>
    <row r="1569" spans="1:1">
      <c r="A1569" s="124"/>
    </row>
    <row r="1570" spans="1:1">
      <c r="A1570" s="124"/>
    </row>
    <row r="1571" spans="1:1">
      <c r="A1571" s="124"/>
    </row>
    <row r="1572" spans="1:1">
      <c r="A1572" s="124"/>
    </row>
    <row r="1573" spans="1:1">
      <c r="A1573" s="124"/>
    </row>
    <row r="1574" spans="1:1">
      <c r="A1574" s="124"/>
    </row>
    <row r="1575" spans="1:1">
      <c r="A1575" s="124"/>
    </row>
    <row r="1576" spans="1:1">
      <c r="A1576" s="124"/>
    </row>
    <row r="1577" spans="1:1">
      <c r="A1577" s="124"/>
    </row>
    <row r="1578" spans="1:1">
      <c r="A1578" s="124"/>
    </row>
    <row r="1579" spans="1:1">
      <c r="A1579" s="124"/>
    </row>
    <row r="1580" spans="1:1">
      <c r="A1580" s="124"/>
    </row>
    <row r="1581" spans="1:1">
      <c r="A1581" s="124"/>
    </row>
    <row r="1582" spans="1:1">
      <c r="A1582" s="124"/>
    </row>
    <row r="1583" spans="1:1">
      <c r="A1583" s="124"/>
    </row>
    <row r="1584" spans="1:1">
      <c r="A1584" s="124"/>
    </row>
    <row r="1585" spans="1:1">
      <c r="A1585" s="124"/>
    </row>
    <row r="1586" spans="1:1">
      <c r="A1586" s="124"/>
    </row>
    <row r="1587" spans="1:1">
      <c r="A1587" s="124"/>
    </row>
    <row r="1588" spans="1:1">
      <c r="A1588" s="124"/>
    </row>
    <row r="1589" spans="1:1">
      <c r="A1589" s="124"/>
    </row>
    <row r="1590" spans="1:1">
      <c r="A1590" s="124"/>
    </row>
    <row r="1591" spans="1:1">
      <c r="A1591" s="124"/>
    </row>
    <row r="1592" spans="1:1">
      <c r="A1592" s="124"/>
    </row>
    <row r="1593" spans="1:1">
      <c r="A1593" s="124"/>
    </row>
    <row r="1594" spans="1:1">
      <c r="A1594" s="124"/>
    </row>
    <row r="1595" spans="1:1">
      <c r="A1595" s="124"/>
    </row>
    <row r="1596" spans="1:1">
      <c r="A1596" s="124"/>
    </row>
    <row r="1597" spans="1:1">
      <c r="A1597" s="124"/>
    </row>
    <row r="1598" spans="1:1">
      <c r="A1598" s="124"/>
    </row>
    <row r="1599" spans="1:1">
      <c r="A1599" s="124"/>
    </row>
    <row r="1600" spans="1:1">
      <c r="A1600" s="124"/>
    </row>
    <row r="1601" spans="1:1">
      <c r="A1601" s="124"/>
    </row>
    <row r="1602" spans="1:1">
      <c r="A1602" s="124"/>
    </row>
    <row r="1603" spans="1:1">
      <c r="A1603" s="124"/>
    </row>
    <row r="1604" spans="1:1">
      <c r="A1604" s="124"/>
    </row>
    <row r="1605" spans="1:1">
      <c r="A1605" s="124"/>
    </row>
    <row r="1606" spans="1:1">
      <c r="A1606" s="124"/>
    </row>
    <row r="1607" spans="1:1">
      <c r="A1607" s="124"/>
    </row>
    <row r="1608" spans="1:1">
      <c r="A1608" s="124"/>
    </row>
    <row r="1609" spans="1:1">
      <c r="A1609" s="124"/>
    </row>
    <row r="1610" spans="1:1">
      <c r="A1610" s="124"/>
    </row>
    <row r="1611" spans="1:1">
      <c r="A1611" s="124"/>
    </row>
    <row r="1612" spans="1:1">
      <c r="A1612" s="124"/>
    </row>
    <row r="1613" spans="1:1">
      <c r="A1613" s="124"/>
    </row>
    <row r="1614" spans="1:1">
      <c r="A1614" s="124"/>
    </row>
    <row r="1615" spans="1:1">
      <c r="A1615" s="124"/>
    </row>
    <row r="1616" spans="1:1">
      <c r="A1616" s="124"/>
    </row>
    <row r="1617" spans="1:1">
      <c r="A1617" s="124"/>
    </row>
    <row r="1618" spans="1:1">
      <c r="A1618" s="124"/>
    </row>
    <row r="1619" spans="1:1">
      <c r="A1619" s="124"/>
    </row>
    <row r="1620" spans="1:1">
      <c r="A1620" s="124"/>
    </row>
    <row r="1621" spans="1:1">
      <c r="A1621" s="124"/>
    </row>
    <row r="1622" spans="1:1">
      <c r="A1622" s="124"/>
    </row>
    <row r="1623" spans="1:1">
      <c r="A1623" s="124"/>
    </row>
    <row r="1624" spans="1:1">
      <c r="A1624" s="124"/>
    </row>
    <row r="1625" spans="1:1">
      <c r="A1625" s="124"/>
    </row>
    <row r="1626" spans="1:1">
      <c r="A1626" s="124"/>
    </row>
    <row r="1627" spans="1:1">
      <c r="A1627" s="124"/>
    </row>
    <row r="1628" spans="1:1">
      <c r="A1628" s="124"/>
    </row>
    <row r="1629" spans="1:1">
      <c r="A1629" s="124"/>
    </row>
    <row r="1630" spans="1:1">
      <c r="A1630" s="124"/>
    </row>
    <row r="1631" spans="1:1">
      <c r="A1631" s="124"/>
    </row>
    <row r="1632" spans="1:1">
      <c r="A1632" s="124"/>
    </row>
    <row r="1633" spans="1:1">
      <c r="A1633" s="124"/>
    </row>
    <row r="1634" spans="1:1">
      <c r="A1634" s="124"/>
    </row>
    <row r="1635" spans="1:1">
      <c r="A1635" s="124"/>
    </row>
    <row r="1636" spans="1:1">
      <c r="A1636" s="124"/>
    </row>
    <row r="1637" spans="1:1">
      <c r="A1637" s="124"/>
    </row>
    <row r="1638" spans="1:1">
      <c r="A1638" s="124"/>
    </row>
    <row r="1639" spans="1:1">
      <c r="A1639" s="124"/>
    </row>
    <row r="1640" spans="1:1">
      <c r="A1640" s="124"/>
    </row>
    <row r="1641" spans="1:1">
      <c r="A1641" s="124"/>
    </row>
    <row r="1642" spans="1:1">
      <c r="A1642" s="124"/>
    </row>
    <row r="1643" spans="1:1">
      <c r="A1643" s="124"/>
    </row>
    <row r="1644" spans="1:1">
      <c r="A1644" s="124"/>
    </row>
    <row r="1645" spans="1:1">
      <c r="A1645" s="124"/>
    </row>
    <row r="1646" spans="1:1">
      <c r="A1646" s="124"/>
    </row>
    <row r="1647" spans="1:1">
      <c r="A1647" s="124"/>
    </row>
    <row r="1648" spans="1:1">
      <c r="A1648" s="124"/>
    </row>
    <row r="1649" spans="1:1">
      <c r="A1649" s="124"/>
    </row>
    <row r="1650" spans="1:1">
      <c r="A1650" s="124"/>
    </row>
    <row r="1651" spans="1:1">
      <c r="A1651" s="124"/>
    </row>
    <row r="1652" spans="1:1">
      <c r="A1652" s="124"/>
    </row>
    <row r="1653" spans="1:1">
      <c r="A1653" s="124"/>
    </row>
    <row r="1654" spans="1:1">
      <c r="A1654" s="124"/>
    </row>
    <row r="1655" spans="1:1">
      <c r="A1655" s="124"/>
    </row>
    <row r="1656" spans="1:1">
      <c r="A1656" s="124"/>
    </row>
    <row r="1657" spans="1:1">
      <c r="A1657" s="124"/>
    </row>
    <row r="1658" spans="1:1">
      <c r="A1658" s="124"/>
    </row>
    <row r="1659" spans="1:1">
      <c r="A1659" s="124"/>
    </row>
    <row r="1660" spans="1:1">
      <c r="A1660" s="124"/>
    </row>
    <row r="1661" spans="1:1">
      <c r="A1661" s="124"/>
    </row>
    <row r="1662" spans="1:1">
      <c r="A1662" s="124"/>
    </row>
    <row r="1663" spans="1:1">
      <c r="A1663" s="124"/>
    </row>
    <row r="1664" spans="1:1">
      <c r="A1664" s="124"/>
    </row>
    <row r="1665" spans="1:1">
      <c r="A1665" s="124"/>
    </row>
    <row r="1666" spans="1:1">
      <c r="A1666" s="124"/>
    </row>
    <row r="1667" spans="1:1">
      <c r="A1667" s="124"/>
    </row>
    <row r="1668" spans="1:1">
      <c r="A1668" s="124"/>
    </row>
    <row r="1669" spans="1:1">
      <c r="A1669" s="124"/>
    </row>
    <row r="1670" spans="1:1">
      <c r="A1670" s="124"/>
    </row>
    <row r="1671" spans="1:1">
      <c r="A1671" s="124"/>
    </row>
    <row r="1672" spans="1:1">
      <c r="A1672" s="124"/>
    </row>
    <row r="1673" spans="1:1">
      <c r="A1673" s="124"/>
    </row>
    <row r="1674" spans="1:1">
      <c r="A1674" s="124"/>
    </row>
    <row r="1675" spans="1:1">
      <c r="A1675" s="124"/>
    </row>
    <row r="1676" spans="1:1">
      <c r="A1676" s="124"/>
    </row>
    <row r="1677" spans="1:1">
      <c r="A1677" s="124"/>
    </row>
    <row r="1678" spans="1:1">
      <c r="A1678" s="124"/>
    </row>
    <row r="1679" spans="1:1">
      <c r="A1679" s="124"/>
    </row>
    <row r="1680" spans="1:1">
      <c r="A1680" s="124"/>
    </row>
    <row r="1681" spans="1:1">
      <c r="A1681" s="124"/>
    </row>
    <row r="1682" spans="1:1">
      <c r="A1682" s="124"/>
    </row>
    <row r="1683" spans="1:1">
      <c r="A1683" s="124"/>
    </row>
    <row r="1684" spans="1:1">
      <c r="A1684" s="124"/>
    </row>
    <row r="1685" spans="1:1">
      <c r="A1685" s="124"/>
    </row>
    <row r="1686" spans="1:1">
      <c r="A1686" s="124"/>
    </row>
    <row r="1687" spans="1:1">
      <c r="A1687" s="124"/>
    </row>
    <row r="1688" spans="1:1">
      <c r="A1688" s="124"/>
    </row>
    <row r="1689" spans="1:1">
      <c r="A1689" s="124"/>
    </row>
    <row r="1690" spans="1:1">
      <c r="A1690" s="124"/>
    </row>
    <row r="1691" spans="1:1">
      <c r="A1691" s="124"/>
    </row>
    <row r="1692" spans="1:1">
      <c r="A1692" s="124"/>
    </row>
    <row r="1693" spans="1:1">
      <c r="A1693" s="124"/>
    </row>
    <row r="1694" spans="1:1">
      <c r="A1694" s="124"/>
    </row>
    <row r="1695" spans="1:1">
      <c r="A1695" s="124"/>
    </row>
    <row r="1696" spans="1:1">
      <c r="A1696" s="124"/>
    </row>
    <row r="1697" spans="1:1">
      <c r="A1697" s="124"/>
    </row>
    <row r="1698" spans="1:1">
      <c r="A1698" s="124"/>
    </row>
    <row r="1699" spans="1:1">
      <c r="A1699" s="124"/>
    </row>
    <row r="1700" spans="1:1">
      <c r="A1700" s="124"/>
    </row>
    <row r="1701" spans="1:1">
      <c r="A1701" s="124"/>
    </row>
    <row r="1702" spans="1:1">
      <c r="A1702" s="124"/>
    </row>
    <row r="1703" spans="1:1">
      <c r="A1703" s="124"/>
    </row>
    <row r="1704" spans="1:1">
      <c r="A1704" s="124"/>
    </row>
    <row r="1705" spans="1:1">
      <c r="A1705" s="124"/>
    </row>
    <row r="1706" spans="1:1">
      <c r="A1706" s="124"/>
    </row>
    <row r="1707" spans="1:1">
      <c r="A1707" s="124"/>
    </row>
    <row r="1708" spans="1:1">
      <c r="A1708" s="124"/>
    </row>
    <row r="1709" spans="1:1">
      <c r="A1709" s="124"/>
    </row>
    <row r="1710" spans="1:1">
      <c r="A1710" s="124"/>
    </row>
    <row r="1711" spans="1:1">
      <c r="A1711" s="124"/>
    </row>
    <row r="1712" spans="1:1">
      <c r="A1712" s="124"/>
    </row>
    <row r="1713" spans="1:1">
      <c r="A1713" s="124"/>
    </row>
    <row r="1714" spans="1:1">
      <c r="A1714" s="124"/>
    </row>
    <row r="1715" spans="1:1">
      <c r="A1715" s="124"/>
    </row>
    <row r="1716" spans="1:1">
      <c r="A1716" s="124"/>
    </row>
    <row r="1717" spans="1:1">
      <c r="A1717" s="124"/>
    </row>
    <row r="1718" spans="1:1">
      <c r="A1718" s="124"/>
    </row>
    <row r="1719" spans="1:1">
      <c r="A1719" s="124"/>
    </row>
    <row r="1720" spans="1:1">
      <c r="A1720" s="124"/>
    </row>
    <row r="1721" spans="1:1">
      <c r="A1721" s="124"/>
    </row>
    <row r="1722" spans="1:1">
      <c r="A1722" s="124"/>
    </row>
    <row r="1723" spans="1:1">
      <c r="A1723" s="124"/>
    </row>
    <row r="1724" spans="1:1">
      <c r="A1724" s="124"/>
    </row>
    <row r="1725" spans="1:1">
      <c r="A1725" s="124"/>
    </row>
    <row r="1726" spans="1:1">
      <c r="A1726" s="124"/>
    </row>
    <row r="1727" spans="1:1">
      <c r="A1727" s="124"/>
    </row>
    <row r="1728" spans="1:1">
      <c r="A1728" s="124"/>
    </row>
    <row r="1729" spans="1:1">
      <c r="A1729" s="124"/>
    </row>
    <row r="1730" spans="1:1">
      <c r="A1730" s="124"/>
    </row>
    <row r="1731" spans="1:1">
      <c r="A1731" s="124"/>
    </row>
    <row r="1732" spans="1:1">
      <c r="A1732" s="124"/>
    </row>
    <row r="1733" spans="1:1">
      <c r="A1733" s="124"/>
    </row>
    <row r="1734" spans="1:1">
      <c r="A1734" s="124"/>
    </row>
    <row r="1735" spans="1:1">
      <c r="A1735" s="124"/>
    </row>
    <row r="1736" spans="1:1">
      <c r="A1736" s="124"/>
    </row>
    <row r="1737" spans="1:1">
      <c r="A1737" s="124"/>
    </row>
    <row r="1738" spans="1:1">
      <c r="A1738" s="124"/>
    </row>
    <row r="1739" spans="1:1">
      <c r="A1739" s="124"/>
    </row>
    <row r="1740" spans="1:1">
      <c r="A1740" s="124"/>
    </row>
    <row r="1741" spans="1:1">
      <c r="A1741" s="124"/>
    </row>
    <row r="1742" spans="1:1">
      <c r="A1742" s="124"/>
    </row>
    <row r="1743" spans="1:1">
      <c r="A1743" s="124"/>
    </row>
    <row r="1744" spans="1:1">
      <c r="A1744" s="124"/>
    </row>
    <row r="1745" spans="1:1">
      <c r="A1745" s="124"/>
    </row>
    <row r="1746" spans="1:1">
      <c r="A1746" s="124"/>
    </row>
    <row r="1747" spans="1:1">
      <c r="A1747" s="124"/>
    </row>
    <row r="1748" spans="1:1">
      <c r="A1748" s="124"/>
    </row>
    <row r="1749" spans="1:1">
      <c r="A1749" s="124"/>
    </row>
    <row r="1750" spans="1:1">
      <c r="A1750" s="124"/>
    </row>
    <row r="1751" spans="1:1">
      <c r="A1751" s="124"/>
    </row>
    <row r="1752" spans="1:1">
      <c r="A1752" s="124"/>
    </row>
    <row r="1753" spans="1:1">
      <c r="A1753" s="124"/>
    </row>
    <row r="1754" spans="1:1">
      <c r="A1754" s="124"/>
    </row>
    <row r="1755" spans="1:1">
      <c r="A1755" s="124"/>
    </row>
    <row r="1756" spans="1:1">
      <c r="A1756" s="124"/>
    </row>
    <row r="1757" spans="1:1">
      <c r="A1757" s="124"/>
    </row>
    <row r="1758" spans="1:1">
      <c r="A1758" s="124"/>
    </row>
    <row r="1759" spans="1:1">
      <c r="A1759" s="124"/>
    </row>
    <row r="1760" spans="1:1">
      <c r="A1760" s="124"/>
    </row>
    <row r="1761" spans="1:1">
      <c r="A1761" s="124"/>
    </row>
    <row r="1762" spans="1:1">
      <c r="A1762" s="124"/>
    </row>
    <row r="1763" spans="1:1">
      <c r="A1763" s="124"/>
    </row>
    <row r="1764" spans="1:1">
      <c r="A1764" s="124"/>
    </row>
    <row r="1765" spans="1:1">
      <c r="A1765" s="124"/>
    </row>
    <row r="1766" spans="1:1">
      <c r="A1766" s="124"/>
    </row>
    <row r="1767" spans="1:1">
      <c r="A1767" s="124"/>
    </row>
    <row r="1768" spans="1:1">
      <c r="A1768" s="124"/>
    </row>
    <row r="1769" spans="1:1">
      <c r="A1769" s="124"/>
    </row>
    <row r="1770" spans="1:1">
      <c r="A1770" s="124"/>
    </row>
    <row r="1771" spans="1:1">
      <c r="A1771" s="124"/>
    </row>
    <row r="1772" spans="1:1">
      <c r="A1772" s="124"/>
    </row>
    <row r="1773" spans="1:1">
      <c r="A1773" s="124"/>
    </row>
    <row r="1774" spans="1:1">
      <c r="A1774" s="124"/>
    </row>
    <row r="1775" spans="1:1">
      <c r="A1775" s="124"/>
    </row>
    <row r="1776" spans="1:1">
      <c r="A1776" s="124"/>
    </row>
    <row r="1777" spans="1:1">
      <c r="A1777" s="124"/>
    </row>
    <row r="1778" spans="1:1">
      <c r="A1778" s="124"/>
    </row>
    <row r="1779" spans="1:1">
      <c r="A1779" s="124"/>
    </row>
    <row r="1780" spans="1:1">
      <c r="A1780" s="124"/>
    </row>
    <row r="1781" spans="1:1">
      <c r="A1781" s="124"/>
    </row>
    <row r="1782" spans="1:1">
      <c r="A1782" s="124"/>
    </row>
    <row r="1783" spans="1:1">
      <c r="A1783" s="124"/>
    </row>
    <row r="1784" spans="1:1">
      <c r="A1784" s="124"/>
    </row>
    <row r="1785" spans="1:1">
      <c r="A1785" s="124"/>
    </row>
    <row r="1786" spans="1:1">
      <c r="A1786" s="124"/>
    </row>
    <row r="1787" spans="1:1">
      <c r="A1787" s="124"/>
    </row>
    <row r="1788" spans="1:1">
      <c r="A1788" s="124"/>
    </row>
    <row r="1789" spans="1:1">
      <c r="A1789" s="124"/>
    </row>
    <row r="1790" spans="1:1">
      <c r="A1790" s="124"/>
    </row>
    <row r="1791" spans="1:1">
      <c r="A1791" s="124"/>
    </row>
    <row r="1792" spans="1:1">
      <c r="A1792" s="124"/>
    </row>
    <row r="1793" spans="1:1">
      <c r="A1793" s="124"/>
    </row>
    <row r="1794" spans="1:1">
      <c r="A1794" s="124"/>
    </row>
    <row r="1795" spans="1:1">
      <c r="A1795" s="124"/>
    </row>
    <row r="1796" spans="1:1">
      <c r="A1796" s="124"/>
    </row>
    <row r="1797" spans="1:1">
      <c r="A1797" s="124"/>
    </row>
    <row r="1798" spans="1:1">
      <c r="A1798" s="124"/>
    </row>
    <row r="1799" spans="1:1">
      <c r="A1799" s="124"/>
    </row>
    <row r="1800" spans="1:1">
      <c r="A1800" s="124"/>
    </row>
    <row r="1801" spans="1:1">
      <c r="A1801" s="124"/>
    </row>
    <row r="1802" spans="1:1">
      <c r="A1802" s="124"/>
    </row>
    <row r="1803" spans="1:1">
      <c r="A1803" s="124"/>
    </row>
    <row r="1804" spans="1:1">
      <c r="A1804" s="124"/>
    </row>
    <row r="1805" spans="1:1">
      <c r="A1805" s="124"/>
    </row>
    <row r="1806" spans="1:1">
      <c r="A1806" s="124"/>
    </row>
    <row r="1807" spans="1:1">
      <c r="A1807" s="124"/>
    </row>
    <row r="1808" spans="1:1">
      <c r="A1808" s="124"/>
    </row>
    <row r="1809" spans="1:1">
      <c r="A1809" s="124"/>
    </row>
    <row r="1810" spans="1:1">
      <c r="A1810" s="124"/>
    </row>
    <row r="1811" spans="1:1">
      <c r="A1811" s="124"/>
    </row>
    <row r="1812" spans="1:1">
      <c r="A1812" s="124"/>
    </row>
    <row r="1813" spans="1:1">
      <c r="A1813" s="124"/>
    </row>
    <row r="1814" spans="1:1">
      <c r="A1814" s="124"/>
    </row>
    <row r="1815" spans="1:1">
      <c r="A1815" s="124"/>
    </row>
    <row r="1816" spans="1:1">
      <c r="A1816" s="124"/>
    </row>
    <row r="1817" spans="1:1">
      <c r="A1817" s="124"/>
    </row>
    <row r="1818" spans="1:1">
      <c r="A1818" s="124"/>
    </row>
    <row r="1819" spans="1:1">
      <c r="A1819" s="124"/>
    </row>
    <row r="1820" spans="1:1">
      <c r="A1820" s="124"/>
    </row>
    <row r="1821" spans="1:1">
      <c r="A1821" s="124"/>
    </row>
    <row r="1822" spans="1:1">
      <c r="A1822" s="124"/>
    </row>
    <row r="1823" spans="1:1">
      <c r="A1823" s="124"/>
    </row>
    <row r="1824" spans="1:1">
      <c r="A1824" s="124"/>
    </row>
    <row r="1825" spans="1:1">
      <c r="A1825" s="124"/>
    </row>
    <row r="1826" spans="1:1">
      <c r="A1826" s="124"/>
    </row>
    <row r="1827" spans="1:1">
      <c r="A1827" s="124"/>
    </row>
    <row r="1828" spans="1:1">
      <c r="A1828" s="124"/>
    </row>
    <row r="1829" spans="1:1">
      <c r="A1829" s="124"/>
    </row>
    <row r="1830" spans="1:1">
      <c r="A1830" s="124"/>
    </row>
    <row r="1831" spans="1:1">
      <c r="A1831" s="124"/>
    </row>
    <row r="1832" spans="1:1">
      <c r="A1832" s="124"/>
    </row>
    <row r="1833" spans="1:1">
      <c r="A1833" s="124"/>
    </row>
    <row r="1834" spans="1:1">
      <c r="A1834" s="124"/>
    </row>
    <row r="1835" spans="1:1">
      <c r="A1835" s="124"/>
    </row>
    <row r="1836" spans="1:1">
      <c r="A1836" s="124"/>
    </row>
    <row r="1837" spans="1:1">
      <c r="A1837" s="124"/>
    </row>
    <row r="1838" spans="1:1">
      <c r="A1838" s="124"/>
    </row>
    <row r="1839" spans="1:1">
      <c r="A1839" s="124"/>
    </row>
    <row r="1840" spans="1:1">
      <c r="A1840" s="124"/>
    </row>
    <row r="1841" spans="1:1">
      <c r="A1841" s="124"/>
    </row>
    <row r="1842" spans="1:1">
      <c r="A1842" s="124"/>
    </row>
    <row r="1843" spans="1:1">
      <c r="A1843" s="124"/>
    </row>
    <row r="1844" spans="1:1">
      <c r="A1844" s="124"/>
    </row>
    <row r="1845" spans="1:1">
      <c r="A1845" s="124"/>
    </row>
    <row r="1846" spans="1:1">
      <c r="A1846" s="124"/>
    </row>
    <row r="1847" spans="1:1">
      <c r="A1847" s="124"/>
    </row>
    <row r="1848" spans="1:1">
      <c r="A1848" s="124"/>
    </row>
    <row r="1849" spans="1:1">
      <c r="A1849" s="124"/>
    </row>
    <row r="1850" spans="1:1">
      <c r="A1850" s="124"/>
    </row>
    <row r="1851" spans="1:1">
      <c r="A1851" s="124"/>
    </row>
    <row r="1852" spans="1:1">
      <c r="A1852" s="124"/>
    </row>
    <row r="1853" spans="1:1">
      <c r="A1853" s="124"/>
    </row>
    <row r="1854" spans="1:1">
      <c r="A1854" s="124"/>
    </row>
    <row r="1855" spans="1:1">
      <c r="A1855" s="124"/>
    </row>
    <row r="1856" spans="1:1">
      <c r="A1856" s="124"/>
    </row>
    <row r="1857" spans="1:1">
      <c r="A1857" s="124"/>
    </row>
    <row r="1858" spans="1:1">
      <c r="A1858" s="124"/>
    </row>
    <row r="1859" spans="1:1">
      <c r="A1859" s="124"/>
    </row>
    <row r="1860" spans="1:1">
      <c r="A1860" s="124"/>
    </row>
    <row r="1861" spans="1:1">
      <c r="A1861" s="124"/>
    </row>
    <row r="1862" spans="1:1">
      <c r="A1862" s="124"/>
    </row>
    <row r="1863" spans="1:1">
      <c r="A1863" s="124"/>
    </row>
    <row r="1864" spans="1:1">
      <c r="A1864" s="124"/>
    </row>
    <row r="1865" spans="1:1">
      <c r="A1865" s="124"/>
    </row>
    <row r="1866" spans="1:1">
      <c r="A1866" s="124"/>
    </row>
    <row r="1867" spans="1:1">
      <c r="A1867" s="124"/>
    </row>
    <row r="1868" spans="1:1">
      <c r="A1868" s="124"/>
    </row>
    <row r="1869" spans="1:1">
      <c r="A1869" s="124"/>
    </row>
    <row r="1870" spans="1:1">
      <c r="A1870" s="124"/>
    </row>
    <row r="1871" spans="1:1">
      <c r="A1871" s="124"/>
    </row>
    <row r="1872" spans="1:1">
      <c r="A1872" s="124"/>
    </row>
    <row r="1873" spans="1:1">
      <c r="A1873" s="124"/>
    </row>
    <row r="1874" spans="1:1">
      <c r="A1874" s="124"/>
    </row>
    <row r="1875" spans="1:1">
      <c r="A1875" s="124"/>
    </row>
    <row r="1876" spans="1:1">
      <c r="A1876" s="124"/>
    </row>
    <row r="1877" spans="1:1">
      <c r="A1877" s="124"/>
    </row>
    <row r="1878" spans="1:1">
      <c r="A1878" s="124"/>
    </row>
    <row r="1879" spans="1:1">
      <c r="A1879" s="124"/>
    </row>
    <row r="1880" spans="1:1">
      <c r="A1880" s="124"/>
    </row>
    <row r="1881" spans="1:1">
      <c r="A1881" s="124"/>
    </row>
    <row r="1882" spans="1:1">
      <c r="A1882" s="124"/>
    </row>
    <row r="1883" spans="1:1">
      <c r="A1883" s="124"/>
    </row>
    <row r="1884" spans="1:1">
      <c r="A1884" s="124"/>
    </row>
    <row r="1885" spans="1:1">
      <c r="A1885" s="124"/>
    </row>
    <row r="1886" spans="1:1">
      <c r="A1886" s="124"/>
    </row>
    <row r="1887" spans="1:1">
      <c r="A1887" s="124"/>
    </row>
    <row r="1888" spans="1:1">
      <c r="A1888" s="124"/>
    </row>
    <row r="1889" spans="1:1">
      <c r="A1889" s="124"/>
    </row>
    <row r="1890" spans="1:1">
      <c r="A1890" s="124"/>
    </row>
    <row r="1891" spans="1:1">
      <c r="A1891" s="124"/>
    </row>
    <row r="1892" spans="1:1">
      <c r="A1892" s="124"/>
    </row>
    <row r="1893" spans="1:1">
      <c r="A1893" s="124"/>
    </row>
    <row r="1894" spans="1:1">
      <c r="A1894" s="124"/>
    </row>
    <row r="1895" spans="1:1">
      <c r="A1895" s="124"/>
    </row>
    <row r="1896" spans="1:1">
      <c r="A1896" s="124"/>
    </row>
    <row r="1897" spans="1:1">
      <c r="A1897" s="124"/>
    </row>
    <row r="1898" spans="1:1">
      <c r="A1898" s="124"/>
    </row>
    <row r="1899" spans="1:1">
      <c r="A1899" s="124"/>
    </row>
    <row r="1900" spans="1:1">
      <c r="A1900" s="124"/>
    </row>
    <row r="1901" spans="1:1">
      <c r="A1901" s="124"/>
    </row>
    <row r="1902" spans="1:1">
      <c r="A1902" s="124"/>
    </row>
    <row r="1903" spans="1:1">
      <c r="A1903" s="124"/>
    </row>
    <row r="1904" spans="1:1">
      <c r="A1904" s="124"/>
    </row>
    <row r="1905" spans="1:1">
      <c r="A1905" s="124"/>
    </row>
    <row r="1906" spans="1:1">
      <c r="A1906" s="124"/>
    </row>
    <row r="1907" spans="1:1">
      <c r="A1907" s="124"/>
    </row>
    <row r="1908" spans="1:1">
      <c r="A1908" s="124"/>
    </row>
    <row r="1909" spans="1:1">
      <c r="A1909" s="124"/>
    </row>
    <row r="1910" spans="1:1">
      <c r="A1910" s="124"/>
    </row>
    <row r="1911" spans="1:1">
      <c r="A1911" s="124"/>
    </row>
    <row r="1912" spans="1:1">
      <c r="A1912" s="124"/>
    </row>
    <row r="1913" spans="1:1">
      <c r="A1913" s="124"/>
    </row>
    <row r="1914" spans="1:1">
      <c r="A1914" s="124"/>
    </row>
    <row r="1915" spans="1:1">
      <c r="A1915" s="124"/>
    </row>
    <row r="1916" spans="1:1">
      <c r="A1916" s="124"/>
    </row>
    <row r="1917" spans="1:1">
      <c r="A1917" s="124"/>
    </row>
    <row r="1918" spans="1:1">
      <c r="A1918" s="124"/>
    </row>
    <row r="1919" spans="1:1">
      <c r="A1919" s="124"/>
    </row>
    <row r="1920" spans="1:1">
      <c r="A1920" s="124"/>
    </row>
    <row r="1921" spans="1:1">
      <c r="A1921" s="124"/>
    </row>
    <row r="1922" spans="1:1">
      <c r="A1922" s="124"/>
    </row>
    <row r="1923" spans="1:1">
      <c r="A1923" s="124"/>
    </row>
    <row r="1924" spans="1:1">
      <c r="A1924" s="124"/>
    </row>
    <row r="1925" spans="1:1">
      <c r="A1925" s="124"/>
    </row>
    <row r="1926" spans="1:1">
      <c r="A1926" s="124"/>
    </row>
    <row r="1927" spans="1:1">
      <c r="A1927" s="124"/>
    </row>
    <row r="1928" spans="1:1">
      <c r="A1928" s="124"/>
    </row>
    <row r="1929" spans="1:1">
      <c r="A1929" s="124"/>
    </row>
    <row r="1930" spans="1:1">
      <c r="A1930" s="124"/>
    </row>
    <row r="1931" spans="1:1">
      <c r="A1931" s="124"/>
    </row>
    <row r="1932" spans="1:1">
      <c r="A1932" s="124"/>
    </row>
    <row r="1933" spans="1:1">
      <c r="A1933" s="124"/>
    </row>
    <row r="1934" spans="1:1">
      <c r="A1934" s="124"/>
    </row>
    <row r="1935" spans="1:1">
      <c r="A1935" s="124"/>
    </row>
    <row r="1936" spans="1:1">
      <c r="A1936" s="124"/>
    </row>
    <row r="1937" spans="1:1">
      <c r="A1937" s="124"/>
    </row>
    <row r="1938" spans="1:1">
      <c r="A1938" s="124"/>
    </row>
    <row r="1939" spans="1:1">
      <c r="A1939" s="124"/>
    </row>
    <row r="1940" spans="1:1">
      <c r="A1940" s="124"/>
    </row>
    <row r="1941" spans="1:1">
      <c r="A1941" s="124"/>
    </row>
    <row r="1942" spans="1:1">
      <c r="A1942" s="124"/>
    </row>
    <row r="1943" spans="1:1">
      <c r="A1943" s="124"/>
    </row>
    <row r="1944" spans="1:1">
      <c r="A1944" s="124"/>
    </row>
    <row r="1945" spans="1:1">
      <c r="A1945" s="124"/>
    </row>
    <row r="1946" spans="1:1">
      <c r="A1946" s="124"/>
    </row>
    <row r="1947" spans="1:1">
      <c r="A1947" s="124"/>
    </row>
    <row r="1948" spans="1:1">
      <c r="A1948" s="124"/>
    </row>
    <row r="1949" spans="1:1">
      <c r="A1949" s="124"/>
    </row>
    <row r="1950" spans="1:1">
      <c r="A1950" s="124"/>
    </row>
    <row r="1951" spans="1:1">
      <c r="A1951" s="124"/>
    </row>
    <row r="1952" spans="1:1">
      <c r="A1952" s="124"/>
    </row>
    <row r="1953" spans="1:1">
      <c r="A1953" s="124"/>
    </row>
    <row r="1954" spans="1:1">
      <c r="A1954" s="124"/>
    </row>
    <row r="1955" spans="1:1">
      <c r="A1955" s="124"/>
    </row>
    <row r="1956" spans="1:1">
      <c r="A1956" s="124"/>
    </row>
    <row r="1957" spans="1:1">
      <c r="A1957" s="124"/>
    </row>
    <row r="1958" spans="1:1">
      <c r="A1958" s="124"/>
    </row>
    <row r="1959" spans="1:1">
      <c r="A1959" s="124"/>
    </row>
    <row r="1960" spans="1:1">
      <c r="A1960" s="124"/>
    </row>
    <row r="1961" spans="1:1">
      <c r="A1961" s="124"/>
    </row>
    <row r="1962" spans="1:1">
      <c r="A1962" s="124"/>
    </row>
    <row r="1963" spans="1:1">
      <c r="A1963" s="124"/>
    </row>
    <row r="1964" spans="1:1">
      <c r="A1964" s="124"/>
    </row>
    <row r="1965" spans="1:1">
      <c r="A1965" s="124"/>
    </row>
    <row r="1966" spans="1:1">
      <c r="A1966" s="124"/>
    </row>
    <row r="1967" spans="1:1">
      <c r="A1967" s="124"/>
    </row>
    <row r="1968" spans="1:1">
      <c r="A1968" s="124"/>
    </row>
    <row r="1969" spans="1:1">
      <c r="A1969" s="124"/>
    </row>
    <row r="1970" spans="1:1">
      <c r="A1970" s="124"/>
    </row>
    <row r="1971" spans="1:1">
      <c r="A1971" s="124"/>
    </row>
    <row r="1972" spans="1:1">
      <c r="A1972" s="124"/>
    </row>
    <row r="1973" spans="1:1">
      <c r="A1973" s="124"/>
    </row>
    <row r="1974" spans="1:1">
      <c r="A1974" s="124"/>
    </row>
    <row r="1975" spans="1:1">
      <c r="A1975" s="124"/>
    </row>
    <row r="1976" spans="1:1">
      <c r="A1976" s="124"/>
    </row>
    <row r="1977" spans="1:1">
      <c r="A1977" s="124"/>
    </row>
    <row r="1978" spans="1:1">
      <c r="A1978" s="124"/>
    </row>
    <row r="1979" spans="1:1">
      <c r="A1979" s="124"/>
    </row>
    <row r="1980" spans="1:1">
      <c r="A1980" s="124"/>
    </row>
    <row r="1981" spans="1:1">
      <c r="A1981" s="124"/>
    </row>
    <row r="1982" spans="1:1">
      <c r="A1982" s="124"/>
    </row>
    <row r="1983" spans="1:1">
      <c r="A1983" s="124"/>
    </row>
    <row r="1984" spans="1:1">
      <c r="A1984" s="124"/>
    </row>
    <row r="1985" spans="1:1">
      <c r="A1985" s="124"/>
    </row>
    <row r="1986" spans="1:1">
      <c r="A1986" s="124"/>
    </row>
    <row r="1987" spans="1:1">
      <c r="A1987" s="124"/>
    </row>
    <row r="1988" spans="1:1">
      <c r="A1988" s="124"/>
    </row>
    <row r="1989" spans="1:1">
      <c r="A1989" s="124"/>
    </row>
    <row r="1990" spans="1:1">
      <c r="A1990" s="124"/>
    </row>
    <row r="1991" spans="1:1">
      <c r="A1991" s="124"/>
    </row>
    <row r="1992" spans="1:1">
      <c r="A1992" s="124"/>
    </row>
    <row r="1993" spans="1:1">
      <c r="A1993" s="124"/>
    </row>
    <row r="1994" spans="1:1">
      <c r="A1994" s="124"/>
    </row>
    <row r="1995" spans="1:1">
      <c r="A1995" s="124"/>
    </row>
    <row r="1996" spans="1:1">
      <c r="A1996" s="124"/>
    </row>
    <row r="1997" spans="1:1">
      <c r="A1997" s="124"/>
    </row>
    <row r="1998" spans="1:1">
      <c r="A1998" s="124"/>
    </row>
    <row r="1999" spans="1:1">
      <c r="A1999" s="124"/>
    </row>
    <row r="2000" spans="1:1">
      <c r="A2000" s="124"/>
    </row>
    <row r="2001" spans="1:1">
      <c r="A2001" s="124"/>
    </row>
    <row r="2002" spans="1:1">
      <c r="A2002" s="124"/>
    </row>
    <row r="2003" spans="1:1">
      <c r="A2003" s="124"/>
    </row>
    <row r="2004" spans="1:1">
      <c r="A2004" s="124"/>
    </row>
    <row r="2005" spans="1:1">
      <c r="A2005" s="124"/>
    </row>
    <row r="2006" spans="1:1">
      <c r="A2006" s="124"/>
    </row>
    <row r="2007" spans="1:1">
      <c r="A2007" s="124"/>
    </row>
    <row r="2008" spans="1:1">
      <c r="A2008" s="124"/>
    </row>
    <row r="2009" spans="1:1">
      <c r="A2009" s="124"/>
    </row>
    <row r="2010" spans="1:1">
      <c r="A2010" s="124"/>
    </row>
    <row r="2011" spans="1:1">
      <c r="A2011" s="124"/>
    </row>
    <row r="2012" spans="1:1">
      <c r="A2012" s="124"/>
    </row>
    <row r="2013" spans="1:1">
      <c r="A2013" s="124"/>
    </row>
    <row r="2014" spans="1:1">
      <c r="A2014" s="124"/>
    </row>
    <row r="2015" spans="1:1">
      <c r="A2015" s="124"/>
    </row>
    <row r="2016" spans="1:1">
      <c r="A2016" s="124"/>
    </row>
    <row r="2017" spans="1:1">
      <c r="A2017" s="124"/>
    </row>
    <row r="2018" spans="1:1">
      <c r="A2018" s="124"/>
    </row>
    <row r="2019" spans="1:1">
      <c r="A2019" s="124"/>
    </row>
    <row r="2020" spans="1:1">
      <c r="A2020" s="124"/>
    </row>
    <row r="2021" spans="1:1">
      <c r="A2021" s="124"/>
    </row>
    <row r="2022" spans="1:1">
      <c r="A2022" s="124"/>
    </row>
    <row r="2023" spans="1:1">
      <c r="A2023" s="124"/>
    </row>
    <row r="2024" spans="1:1">
      <c r="A2024" s="124"/>
    </row>
    <row r="2025" spans="1:1">
      <c r="A2025" s="124"/>
    </row>
    <row r="2026" spans="1:1">
      <c r="A2026" s="124"/>
    </row>
    <row r="2027" spans="1:1">
      <c r="A2027" s="124"/>
    </row>
    <row r="2028" spans="1:1">
      <c r="A2028" s="124"/>
    </row>
    <row r="2029" spans="1:1">
      <c r="A2029" s="124"/>
    </row>
    <row r="2030" spans="1:1">
      <c r="A2030" s="124"/>
    </row>
    <row r="2031" spans="1:1">
      <c r="A2031" s="124"/>
    </row>
    <row r="2032" spans="1:1">
      <c r="A2032" s="124"/>
    </row>
    <row r="2033" spans="1:1">
      <c r="A2033" s="124"/>
    </row>
    <row r="2034" spans="1:1">
      <c r="A2034" s="124"/>
    </row>
    <row r="2035" spans="1:1">
      <c r="A2035" s="124"/>
    </row>
    <row r="2036" spans="1:1">
      <c r="A2036" s="124"/>
    </row>
    <row r="2037" spans="1:1">
      <c r="A2037" s="124"/>
    </row>
    <row r="2038" spans="1:1">
      <c r="A2038" s="124"/>
    </row>
    <row r="2039" spans="1:1">
      <c r="A2039" s="124"/>
    </row>
    <row r="2040" spans="1:1">
      <c r="A2040" s="124"/>
    </row>
    <row r="2041" spans="1:1">
      <c r="A2041" s="124"/>
    </row>
    <row r="2042" spans="1:1">
      <c r="A2042" s="124"/>
    </row>
    <row r="2043" spans="1:1">
      <c r="A2043" s="124"/>
    </row>
    <row r="2044" spans="1:1">
      <c r="A2044" s="124"/>
    </row>
    <row r="2045" spans="1:1">
      <c r="A2045" s="124"/>
    </row>
    <row r="2046" spans="1:1">
      <c r="A2046" s="124"/>
    </row>
    <row r="2047" spans="1:1">
      <c r="A2047" s="124"/>
    </row>
    <row r="2048" spans="1:1">
      <c r="A2048" s="124"/>
    </row>
    <row r="2049" spans="1:1">
      <c r="A2049" s="124"/>
    </row>
    <row r="2050" spans="1:1">
      <c r="A2050" s="124"/>
    </row>
    <row r="2051" spans="1:1">
      <c r="A2051" s="124"/>
    </row>
    <row r="2052" spans="1:1">
      <c r="A2052" s="124"/>
    </row>
    <row r="2053" spans="1:1">
      <c r="A2053" s="124"/>
    </row>
    <row r="2054" spans="1:1">
      <c r="A2054" s="124"/>
    </row>
    <row r="2055" spans="1:1">
      <c r="A2055" s="124"/>
    </row>
    <row r="2056" spans="1:1">
      <c r="A2056" s="124"/>
    </row>
    <row r="2057" spans="1:1">
      <c r="A2057" s="124"/>
    </row>
    <row r="2058" spans="1:1">
      <c r="A2058" s="124"/>
    </row>
    <row r="2059" spans="1:1">
      <c r="A2059" s="124"/>
    </row>
    <row r="2060" spans="1:1">
      <c r="A2060" s="124"/>
    </row>
    <row r="2061" spans="1:1">
      <c r="A2061" s="124"/>
    </row>
    <row r="2062" spans="1:1">
      <c r="A2062" s="124"/>
    </row>
    <row r="2063" spans="1:1">
      <c r="A2063" s="124"/>
    </row>
    <row r="2064" spans="1:1">
      <c r="A2064" s="124"/>
    </row>
    <row r="2065" spans="1:1">
      <c r="A2065" s="124"/>
    </row>
    <row r="2066" spans="1:1">
      <c r="A2066" s="124"/>
    </row>
    <row r="2067" spans="1:1">
      <c r="A2067" s="124"/>
    </row>
    <row r="2068" spans="1:1">
      <c r="A2068" s="124"/>
    </row>
    <row r="2069" spans="1:1">
      <c r="A2069" s="124"/>
    </row>
    <row r="2070" spans="1:1">
      <c r="A2070" s="124"/>
    </row>
    <row r="2071" spans="1:1">
      <c r="A2071" s="124"/>
    </row>
    <row r="2072" spans="1:1">
      <c r="A2072" s="124"/>
    </row>
    <row r="2073" spans="1:1">
      <c r="A2073" s="124"/>
    </row>
    <row r="2074" spans="1:1">
      <c r="A2074" s="124"/>
    </row>
    <row r="2075" spans="1:1">
      <c r="A2075" s="124"/>
    </row>
    <row r="2076" spans="1:1">
      <c r="A2076" s="124"/>
    </row>
    <row r="2077" spans="1:1">
      <c r="A2077" s="124"/>
    </row>
    <row r="2078" spans="1:1">
      <c r="A2078" s="124"/>
    </row>
    <row r="2079" spans="1:1">
      <c r="A2079" s="124"/>
    </row>
    <row r="2080" spans="1:1">
      <c r="A2080" s="124"/>
    </row>
    <row r="2081" spans="1:1">
      <c r="A2081" s="124"/>
    </row>
    <row r="2082" spans="1:1">
      <c r="A2082" s="124"/>
    </row>
    <row r="2083" spans="1:1">
      <c r="A2083" s="124"/>
    </row>
    <row r="2084" spans="1:1">
      <c r="A2084" s="124"/>
    </row>
    <row r="2085" spans="1:1">
      <c r="A2085" s="124"/>
    </row>
    <row r="2086" spans="1:1">
      <c r="A2086" s="124"/>
    </row>
    <row r="2087" spans="1:1">
      <c r="A2087" s="124"/>
    </row>
    <row r="2088" spans="1:1">
      <c r="A2088" s="124"/>
    </row>
    <row r="2089" spans="1:1">
      <c r="A2089" s="124"/>
    </row>
    <row r="2090" spans="1:1">
      <c r="A2090" s="124"/>
    </row>
    <row r="2091" spans="1:1">
      <c r="A2091" s="124"/>
    </row>
    <row r="2092" spans="1:1">
      <c r="A2092" s="124"/>
    </row>
    <row r="2093" spans="1:1">
      <c r="A2093" s="124"/>
    </row>
    <row r="2094" spans="1:1">
      <c r="A2094" s="124"/>
    </row>
    <row r="2095" spans="1:1">
      <c r="A2095" s="124"/>
    </row>
    <row r="2096" spans="1:1">
      <c r="A2096" s="124"/>
    </row>
    <row r="2097" spans="1:1">
      <c r="A2097" s="124"/>
    </row>
    <row r="2098" spans="1:1">
      <c r="A2098" s="124"/>
    </row>
    <row r="2099" spans="1:1">
      <c r="A2099" s="124"/>
    </row>
    <row r="2100" spans="1:1">
      <c r="A2100" s="124"/>
    </row>
    <row r="2101" spans="1:1">
      <c r="A2101" s="124"/>
    </row>
    <row r="2102" spans="1:1">
      <c r="A2102" s="124"/>
    </row>
    <row r="2103" spans="1:1">
      <c r="A2103" s="124"/>
    </row>
    <row r="2104" spans="1:1">
      <c r="A2104" s="124"/>
    </row>
    <row r="2105" spans="1:1">
      <c r="A2105" s="124"/>
    </row>
    <row r="2106" spans="1:1">
      <c r="A2106" s="124"/>
    </row>
    <row r="2107" spans="1:1">
      <c r="A2107" s="124"/>
    </row>
    <row r="2108" spans="1:1">
      <c r="A2108" s="124"/>
    </row>
    <row r="2109" spans="1:1">
      <c r="A2109" s="124"/>
    </row>
    <row r="2110" spans="1:1">
      <c r="A2110" s="124"/>
    </row>
    <row r="2111" spans="1:1">
      <c r="A2111" s="124"/>
    </row>
    <row r="2112" spans="1:1">
      <c r="A2112" s="124"/>
    </row>
    <row r="2113" spans="1:1">
      <c r="A2113" s="124"/>
    </row>
    <row r="2114" spans="1:1">
      <c r="A2114" s="124"/>
    </row>
    <row r="2115" spans="1:1">
      <c r="A2115" s="124"/>
    </row>
    <row r="2116" spans="1:1">
      <c r="A2116" s="124"/>
    </row>
    <row r="2117" spans="1:1">
      <c r="A2117" s="124"/>
    </row>
    <row r="2118" spans="1:1">
      <c r="A2118" s="124"/>
    </row>
    <row r="2119" spans="1:1">
      <c r="A2119" s="124"/>
    </row>
    <row r="2120" spans="1:1">
      <c r="A2120" s="124"/>
    </row>
    <row r="2121" spans="1:1">
      <c r="A2121" s="124"/>
    </row>
    <row r="2122" spans="1:1">
      <c r="A2122" s="124"/>
    </row>
    <row r="2123" spans="1:1">
      <c r="A2123" s="124"/>
    </row>
    <row r="2124" spans="1:1">
      <c r="A2124" s="124"/>
    </row>
    <row r="2125" spans="1:1">
      <c r="A2125" s="124"/>
    </row>
    <row r="2126" spans="1:1">
      <c r="A2126" s="124"/>
    </row>
    <row r="2127" spans="1:1">
      <c r="A2127" s="124"/>
    </row>
    <row r="2128" spans="1:1">
      <c r="A2128" s="124"/>
    </row>
    <row r="2129" spans="1:1">
      <c r="A2129" s="124"/>
    </row>
    <row r="2130" spans="1:1">
      <c r="A2130" s="124"/>
    </row>
    <row r="2131" spans="1:1">
      <c r="A2131" s="124"/>
    </row>
    <row r="2132" spans="1:1">
      <c r="A2132" s="124"/>
    </row>
    <row r="2133" spans="1:1">
      <c r="A2133" s="124"/>
    </row>
    <row r="2134" spans="1:1">
      <c r="A2134" s="124"/>
    </row>
    <row r="2135" spans="1:1">
      <c r="A2135" s="124"/>
    </row>
    <row r="2136" spans="1:1">
      <c r="A2136" s="124"/>
    </row>
    <row r="2137" spans="1:1">
      <c r="A2137" s="124"/>
    </row>
    <row r="2138" spans="1:1">
      <c r="A2138" s="124"/>
    </row>
    <row r="2139" spans="1:1">
      <c r="A2139" s="124"/>
    </row>
    <row r="2140" spans="1:1">
      <c r="A2140" s="124"/>
    </row>
    <row r="2141" spans="1:1">
      <c r="A2141" s="124"/>
    </row>
    <row r="2142" spans="1:1">
      <c r="A2142" s="124"/>
    </row>
    <row r="2143" spans="1:1">
      <c r="A2143" s="124"/>
    </row>
    <row r="2144" spans="1:1">
      <c r="A2144" s="124"/>
    </row>
    <row r="2145" spans="1:1">
      <c r="A2145" s="124"/>
    </row>
    <row r="2146" spans="1:1">
      <c r="A2146" s="124"/>
    </row>
    <row r="2147" spans="1:1">
      <c r="A2147" s="124"/>
    </row>
    <row r="2148" spans="1:1">
      <c r="A2148" s="124"/>
    </row>
    <row r="2149" spans="1:1">
      <c r="A2149" s="124"/>
    </row>
    <row r="2150" spans="1:1">
      <c r="A2150" s="124"/>
    </row>
    <row r="2151" spans="1:1">
      <c r="A2151" s="124"/>
    </row>
    <row r="2152" spans="1:1">
      <c r="A2152" s="124"/>
    </row>
    <row r="2153" spans="1:1">
      <c r="A2153" s="124"/>
    </row>
    <row r="2154" spans="1:1">
      <c r="A2154" s="124"/>
    </row>
    <row r="2155" spans="1:1">
      <c r="A2155" s="124"/>
    </row>
    <row r="2156" spans="1:1">
      <c r="A2156" s="124"/>
    </row>
    <row r="2157" spans="1:1">
      <c r="A2157" s="124"/>
    </row>
    <row r="2158" spans="1:1">
      <c r="A2158" s="124"/>
    </row>
    <row r="2159" spans="1:1">
      <c r="A2159" s="124"/>
    </row>
    <row r="2160" spans="1:1">
      <c r="A2160" s="124"/>
    </row>
    <row r="2161" spans="1:1">
      <c r="A2161" s="124"/>
    </row>
    <row r="2162" spans="1:1">
      <c r="A2162" s="124"/>
    </row>
    <row r="2163" spans="1:1">
      <c r="A2163" s="124"/>
    </row>
    <row r="2164" spans="1:1">
      <c r="A2164" s="124"/>
    </row>
    <row r="2165" spans="1:1">
      <c r="A2165" s="124"/>
    </row>
    <row r="2166" spans="1:1">
      <c r="A2166" s="124"/>
    </row>
    <row r="2167" spans="1:1">
      <c r="A2167" s="124"/>
    </row>
    <row r="2168" spans="1:1">
      <c r="A2168" s="124"/>
    </row>
    <row r="2169" spans="1:1">
      <c r="A2169" s="124"/>
    </row>
    <row r="2170" spans="1:1">
      <c r="A2170" s="124"/>
    </row>
    <row r="2171" spans="1:1">
      <c r="A2171" s="124"/>
    </row>
    <row r="2172" spans="1:1">
      <c r="A2172" s="124"/>
    </row>
    <row r="2173" spans="1:1">
      <c r="A2173" s="124"/>
    </row>
    <row r="2174" spans="1:1">
      <c r="A2174" s="124"/>
    </row>
    <row r="2175" spans="1:1">
      <c r="A2175" s="124"/>
    </row>
    <row r="2176" spans="1:1">
      <c r="A2176" s="124"/>
    </row>
    <row r="2177" spans="1:1">
      <c r="A2177" s="124"/>
    </row>
    <row r="2178" spans="1:1">
      <c r="A2178" s="124"/>
    </row>
    <row r="2179" spans="1:1">
      <c r="A2179" s="124"/>
    </row>
    <row r="2180" spans="1:1">
      <c r="A2180" s="124"/>
    </row>
    <row r="2181" spans="1:1">
      <c r="A2181" s="124"/>
    </row>
    <row r="2182" spans="1:1">
      <c r="A2182" s="124"/>
    </row>
    <row r="2183" spans="1:1">
      <c r="A2183" s="124"/>
    </row>
    <row r="2184" spans="1:1">
      <c r="A2184" s="124"/>
    </row>
    <row r="2185" spans="1:1">
      <c r="A2185" s="124"/>
    </row>
    <row r="2186" spans="1:1">
      <c r="A2186" s="124"/>
    </row>
    <row r="2187" spans="1:1">
      <c r="A2187" s="124"/>
    </row>
    <row r="2188" spans="1:1">
      <c r="A2188" s="124"/>
    </row>
    <row r="2189" spans="1:1">
      <c r="A2189" s="124"/>
    </row>
    <row r="2190" spans="1:1">
      <c r="A2190" s="124"/>
    </row>
    <row r="2191" spans="1:1">
      <c r="A2191" s="124"/>
    </row>
    <row r="2192" spans="1:1">
      <c r="A2192" s="124"/>
    </row>
    <row r="2193" spans="1:1">
      <c r="A2193" s="124"/>
    </row>
    <row r="2194" spans="1:1">
      <c r="A2194" s="124"/>
    </row>
    <row r="2195" spans="1:1">
      <c r="A2195" s="124"/>
    </row>
    <row r="2196" spans="1:1">
      <c r="A2196" s="124"/>
    </row>
    <row r="2197" spans="1:1">
      <c r="A2197" s="124"/>
    </row>
    <row r="2198" spans="1:1">
      <c r="A2198" s="124"/>
    </row>
    <row r="2199" spans="1:1">
      <c r="A2199" s="124"/>
    </row>
    <row r="2200" spans="1:1">
      <c r="A2200" s="124"/>
    </row>
    <row r="2201" spans="1:1">
      <c r="A2201" s="124"/>
    </row>
    <row r="2202" spans="1:1">
      <c r="A2202" s="124"/>
    </row>
    <row r="2203" spans="1:1">
      <c r="A2203" s="124"/>
    </row>
    <row r="2204" spans="1:1">
      <c r="A2204" s="124"/>
    </row>
    <row r="2205" spans="1:1">
      <c r="A2205" s="124"/>
    </row>
    <row r="2206" spans="1:1">
      <c r="A2206" s="124"/>
    </row>
    <row r="2207" spans="1:1">
      <c r="A2207" s="124"/>
    </row>
    <row r="2208" spans="1:1">
      <c r="A2208" s="124"/>
    </row>
    <row r="2209" spans="1:1">
      <c r="A2209" s="124"/>
    </row>
    <row r="2210" spans="1:1">
      <c r="A2210" s="124"/>
    </row>
    <row r="2211" spans="1:1">
      <c r="A2211" s="124"/>
    </row>
    <row r="2212" spans="1:1">
      <c r="A2212" s="124"/>
    </row>
    <row r="2213" spans="1:1">
      <c r="A2213" s="124"/>
    </row>
    <row r="2214" spans="1:1">
      <c r="A2214" s="124"/>
    </row>
    <row r="2215" spans="1:1">
      <c r="A2215" s="124"/>
    </row>
    <row r="2216" spans="1:1">
      <c r="A2216" s="124"/>
    </row>
    <row r="2217" spans="1:1">
      <c r="A2217" s="124"/>
    </row>
    <row r="2218" spans="1:1">
      <c r="A2218" s="124"/>
    </row>
    <row r="2219" spans="1:1">
      <c r="A2219" s="124"/>
    </row>
    <row r="2220" spans="1:1">
      <c r="A2220" s="124"/>
    </row>
    <row r="2221" spans="1:1">
      <c r="A2221" s="124"/>
    </row>
    <row r="2222" spans="1:1">
      <c r="A2222" s="124"/>
    </row>
    <row r="2223" spans="1:1">
      <c r="A2223" s="124"/>
    </row>
    <row r="2224" spans="1:1">
      <c r="A2224" s="124"/>
    </row>
    <row r="2225" spans="1:1">
      <c r="A2225" s="124"/>
    </row>
    <row r="2226" spans="1:1">
      <c r="A2226" s="124"/>
    </row>
    <row r="2227" spans="1:1">
      <c r="A2227" s="124"/>
    </row>
    <row r="2228" spans="1:1">
      <c r="A2228" s="124"/>
    </row>
    <row r="2229" spans="1:1">
      <c r="A2229" s="124"/>
    </row>
    <row r="2230" spans="1:1">
      <c r="A2230" s="124"/>
    </row>
    <row r="2231" spans="1:1">
      <c r="A2231" s="124"/>
    </row>
    <row r="2232" spans="1:1">
      <c r="A2232" s="124"/>
    </row>
    <row r="2233" spans="1:1">
      <c r="A2233" s="124"/>
    </row>
    <row r="2234" spans="1:1">
      <c r="A2234" s="124"/>
    </row>
    <row r="2235" spans="1:1">
      <c r="A2235" s="124"/>
    </row>
    <row r="2236" spans="1:1">
      <c r="A2236" s="124"/>
    </row>
    <row r="2237" spans="1:1">
      <c r="A2237" s="124"/>
    </row>
    <row r="2238" spans="1:1">
      <c r="A2238" s="124"/>
    </row>
    <row r="2239" spans="1:1">
      <c r="A2239" s="124"/>
    </row>
    <row r="2240" spans="1:1">
      <c r="A2240" s="124"/>
    </row>
    <row r="2241" spans="1:1">
      <c r="A2241" s="124"/>
    </row>
    <row r="2242" spans="1:1">
      <c r="A2242" s="124"/>
    </row>
    <row r="2243" spans="1:1">
      <c r="A2243" s="124"/>
    </row>
    <row r="2244" spans="1:1">
      <c r="A2244" s="124"/>
    </row>
    <row r="2245" spans="1:1">
      <c r="A2245" s="124"/>
    </row>
    <row r="2246" spans="1:1">
      <c r="A2246" s="124"/>
    </row>
    <row r="2247" spans="1:1">
      <c r="A2247" s="124"/>
    </row>
    <row r="2248" spans="1:1">
      <c r="A2248" s="124"/>
    </row>
    <row r="2249" spans="1:1">
      <c r="A2249" s="124"/>
    </row>
    <row r="2250" spans="1:1">
      <c r="A2250" s="124"/>
    </row>
    <row r="2251" spans="1:1">
      <c r="A2251" s="124"/>
    </row>
    <row r="2252" spans="1:1">
      <c r="A2252" s="124"/>
    </row>
    <row r="2253" spans="1:1">
      <c r="A2253" s="124"/>
    </row>
    <row r="2254" spans="1:1">
      <c r="A2254" s="124"/>
    </row>
    <row r="2255" spans="1:1">
      <c r="A2255" s="124"/>
    </row>
    <row r="2256" spans="1:1">
      <c r="A2256" s="124"/>
    </row>
    <row r="2257" spans="1:1">
      <c r="A2257" s="124"/>
    </row>
    <row r="2258" spans="1:1">
      <c r="A2258" s="124"/>
    </row>
    <row r="2259" spans="1:1">
      <c r="A2259" s="124"/>
    </row>
    <row r="2260" spans="1:1">
      <c r="A2260" s="124"/>
    </row>
    <row r="2261" spans="1:1">
      <c r="A2261" s="124"/>
    </row>
    <row r="2262" spans="1:1">
      <c r="A2262" s="124"/>
    </row>
    <row r="2263" spans="1:1">
      <c r="A2263" s="124"/>
    </row>
    <row r="2264" spans="1:1">
      <c r="A2264" s="124"/>
    </row>
    <row r="2265" spans="1:1">
      <c r="A2265" s="124"/>
    </row>
    <row r="2266" spans="1:1">
      <c r="A2266" s="124"/>
    </row>
    <row r="2267" spans="1:1">
      <c r="A2267" s="124"/>
    </row>
    <row r="2268" spans="1:1">
      <c r="A2268" s="124"/>
    </row>
    <row r="2269" spans="1:1">
      <c r="A2269" s="124"/>
    </row>
    <row r="2270" spans="1:1">
      <c r="A2270" s="124"/>
    </row>
    <row r="2271" spans="1:1">
      <c r="A2271" s="124"/>
    </row>
    <row r="2272" spans="1:1">
      <c r="A2272" s="124"/>
    </row>
    <row r="2273" spans="1:1">
      <c r="A2273" s="124"/>
    </row>
    <row r="2274" spans="1:1">
      <c r="A2274" s="124"/>
    </row>
    <row r="2275" spans="1:1">
      <c r="A2275" s="124"/>
    </row>
    <row r="2276" spans="1:1">
      <c r="A2276" s="124"/>
    </row>
    <row r="2277" spans="1:1">
      <c r="A2277" s="124"/>
    </row>
    <row r="2278" spans="1:1">
      <c r="A2278" s="124"/>
    </row>
    <row r="2279" spans="1:1">
      <c r="A2279" s="124"/>
    </row>
    <row r="2280" spans="1:1">
      <c r="A2280" s="124"/>
    </row>
    <row r="2281" spans="1:1">
      <c r="A2281" s="124"/>
    </row>
    <row r="2282" spans="1:1">
      <c r="A2282" s="124"/>
    </row>
    <row r="2283" spans="1:1">
      <c r="A2283" s="124"/>
    </row>
    <row r="2284" spans="1:1">
      <c r="A2284" s="124"/>
    </row>
    <row r="2285" spans="1:1">
      <c r="A2285" s="124"/>
    </row>
    <row r="2286" spans="1:1">
      <c r="A2286" s="124"/>
    </row>
    <row r="2287" spans="1:1">
      <c r="A2287" s="124"/>
    </row>
    <row r="2288" spans="1:1">
      <c r="A2288" s="124"/>
    </row>
    <row r="2289" spans="1:1">
      <c r="A2289" s="124"/>
    </row>
    <row r="2290" spans="1:1">
      <c r="A2290" s="124"/>
    </row>
    <row r="2291" spans="1:1">
      <c r="A2291" s="124"/>
    </row>
    <row r="2292" spans="1:1">
      <c r="A2292" s="124"/>
    </row>
    <row r="2293" spans="1:1">
      <c r="A2293" s="124"/>
    </row>
    <row r="2294" spans="1:1">
      <c r="A2294" s="124"/>
    </row>
    <row r="2295" spans="1:1">
      <c r="A2295" s="124"/>
    </row>
    <row r="2296" spans="1:1">
      <c r="A2296" s="124"/>
    </row>
    <row r="2297" spans="1:1">
      <c r="A2297" s="124"/>
    </row>
    <row r="2298" spans="1:1">
      <c r="A2298" s="124"/>
    </row>
    <row r="2299" spans="1:1">
      <c r="A2299" s="124"/>
    </row>
    <row r="2300" spans="1:1">
      <c r="A2300" s="124"/>
    </row>
    <row r="2301" spans="1:1">
      <c r="A2301" s="124"/>
    </row>
    <row r="2302" spans="1:1">
      <c r="A2302" s="124"/>
    </row>
    <row r="2303" spans="1:1">
      <c r="A2303" s="124"/>
    </row>
    <row r="2304" spans="1:1">
      <c r="A2304" s="124"/>
    </row>
    <row r="2305" spans="1:1">
      <c r="A2305" s="124"/>
    </row>
    <row r="2306" spans="1:1">
      <c r="A2306" s="124"/>
    </row>
    <row r="2307" spans="1:1">
      <c r="A2307" s="124"/>
    </row>
    <row r="2308" spans="1:1">
      <c r="A2308" s="124"/>
    </row>
    <row r="2309" spans="1:1">
      <c r="A2309" s="124"/>
    </row>
    <row r="2310" spans="1:1">
      <c r="A2310" s="124"/>
    </row>
    <row r="2311" spans="1:1">
      <c r="A2311" s="124"/>
    </row>
    <row r="2312" spans="1:1">
      <c r="A2312" s="124"/>
    </row>
    <row r="2313" spans="1:1">
      <c r="A2313" s="124"/>
    </row>
    <row r="2314" spans="1:1">
      <c r="A2314" s="124"/>
    </row>
    <row r="2315" spans="1:1">
      <c r="A2315" s="124"/>
    </row>
    <row r="2316" spans="1:1">
      <c r="A2316" s="124"/>
    </row>
    <row r="2317" spans="1:1">
      <c r="A2317" s="124"/>
    </row>
    <row r="2318" spans="1:1">
      <c r="A2318" s="124"/>
    </row>
    <row r="2319" spans="1:1">
      <c r="A2319" s="124"/>
    </row>
    <row r="2320" spans="1:1">
      <c r="A2320" s="124"/>
    </row>
    <row r="2321" spans="1:1">
      <c r="A2321" s="124"/>
    </row>
    <row r="2322" spans="1:1">
      <c r="A2322" s="124"/>
    </row>
    <row r="2323" spans="1:1">
      <c r="A2323" s="124"/>
    </row>
    <row r="2324" spans="1:1">
      <c r="A2324" s="124"/>
    </row>
    <row r="2325" spans="1:1">
      <c r="A2325" s="124"/>
    </row>
    <row r="2326" spans="1:1">
      <c r="A2326" s="124"/>
    </row>
    <row r="2327" spans="1:1">
      <c r="A2327" s="124"/>
    </row>
    <row r="2328" spans="1:1">
      <c r="A2328" s="124"/>
    </row>
    <row r="2329" spans="1:1">
      <c r="A2329" s="124"/>
    </row>
    <row r="2330" spans="1:1">
      <c r="A2330" s="124"/>
    </row>
    <row r="2331" spans="1:1">
      <c r="A2331" s="124"/>
    </row>
    <row r="2332" spans="1:1">
      <c r="A2332" s="124"/>
    </row>
    <row r="2333" spans="1:1">
      <c r="A2333" s="124"/>
    </row>
    <row r="2334" spans="1:1">
      <c r="A2334" s="124"/>
    </row>
    <row r="2335" spans="1:1">
      <c r="A2335" s="124"/>
    </row>
    <row r="2336" spans="1:1">
      <c r="A2336" s="124"/>
    </row>
    <row r="2337" spans="1:1">
      <c r="A2337" s="124"/>
    </row>
    <row r="2338" spans="1:1">
      <c r="A2338" s="124"/>
    </row>
    <row r="2339" spans="1:1">
      <c r="A2339" s="124"/>
    </row>
    <row r="2340" spans="1:1">
      <c r="A2340" s="124"/>
    </row>
    <row r="2341" spans="1:1">
      <c r="A2341" s="124"/>
    </row>
    <row r="2342" spans="1:1">
      <c r="A2342" s="124"/>
    </row>
    <row r="2343" spans="1:1">
      <c r="A2343" s="124"/>
    </row>
    <row r="2344" spans="1:1">
      <c r="A2344" s="124"/>
    </row>
    <row r="2345" spans="1:1">
      <c r="A2345" s="124"/>
    </row>
    <row r="2346" spans="1:1">
      <c r="A2346" s="124"/>
    </row>
    <row r="2347" spans="1:1">
      <c r="A2347" s="124"/>
    </row>
    <row r="2348" spans="1:1">
      <c r="A2348" s="124"/>
    </row>
    <row r="2349" spans="1:1">
      <c r="A2349" s="124"/>
    </row>
    <row r="2350" spans="1:1">
      <c r="A2350" s="124"/>
    </row>
    <row r="2351" spans="1:1">
      <c r="A2351" s="124"/>
    </row>
    <row r="2352" spans="1:1">
      <c r="A2352" s="124"/>
    </row>
    <row r="2353" spans="1:1">
      <c r="A2353" s="124"/>
    </row>
    <row r="2354" spans="1:1">
      <c r="A2354" s="124"/>
    </row>
    <row r="2355" spans="1:1">
      <c r="A2355" s="124"/>
    </row>
    <row r="2356" spans="1:1">
      <c r="A2356" s="124"/>
    </row>
    <row r="2357" spans="1:1">
      <c r="A2357" s="124"/>
    </row>
    <row r="2358" spans="1:1">
      <c r="A2358" s="124"/>
    </row>
    <row r="2359" spans="1:1">
      <c r="A2359" s="124"/>
    </row>
    <row r="2360" spans="1:1">
      <c r="A2360" s="124"/>
    </row>
    <row r="2361" spans="1:1">
      <c r="A2361" s="124"/>
    </row>
    <row r="2362" spans="1:1">
      <c r="A2362" s="124"/>
    </row>
    <row r="2363" spans="1:1">
      <c r="A2363" s="124"/>
    </row>
    <row r="2364" spans="1:1">
      <c r="A2364" s="124"/>
    </row>
    <row r="2365" spans="1:1">
      <c r="A2365" s="124"/>
    </row>
    <row r="2366" spans="1:1">
      <c r="A2366" s="124"/>
    </row>
    <row r="2367" spans="1:1">
      <c r="A2367" s="124"/>
    </row>
    <row r="2368" spans="1:1">
      <c r="A2368" s="124"/>
    </row>
    <row r="2369" spans="1:1">
      <c r="A2369" s="124"/>
    </row>
    <row r="2370" spans="1:1">
      <c r="A2370" s="124"/>
    </row>
    <row r="2371" spans="1:1">
      <c r="A2371" s="124"/>
    </row>
    <row r="2372" spans="1:1">
      <c r="A2372" s="124"/>
    </row>
    <row r="2373" spans="1:1">
      <c r="A2373" s="124"/>
    </row>
    <row r="2374" spans="1:1">
      <c r="A2374" s="124"/>
    </row>
    <row r="2375" spans="1:1">
      <c r="A2375" s="124"/>
    </row>
    <row r="2376" spans="1:1">
      <c r="A2376" s="124"/>
    </row>
    <row r="2377" spans="1:1">
      <c r="A2377" s="124"/>
    </row>
    <row r="2378" spans="1:1">
      <c r="A2378" s="124"/>
    </row>
    <row r="2379" spans="1:1">
      <c r="A2379" s="124"/>
    </row>
    <row r="2380" spans="1:1">
      <c r="A2380" s="124"/>
    </row>
    <row r="2381" spans="1:1">
      <c r="A2381" s="124"/>
    </row>
    <row r="2382" spans="1:1">
      <c r="A2382" s="124"/>
    </row>
    <row r="2383" spans="1:1">
      <c r="A2383" s="124"/>
    </row>
    <row r="2384" spans="1:1">
      <c r="A2384" s="124"/>
    </row>
    <row r="2385" spans="1:1">
      <c r="A2385" s="124"/>
    </row>
    <row r="2386" spans="1:1">
      <c r="A2386" s="124"/>
    </row>
    <row r="2387" spans="1:1">
      <c r="A2387" s="124"/>
    </row>
    <row r="2388" spans="1:1">
      <c r="A2388" s="124"/>
    </row>
    <row r="2389" spans="1:1">
      <c r="A2389" s="124"/>
    </row>
    <row r="2390" spans="1:1">
      <c r="A2390" s="124"/>
    </row>
    <row r="2391" spans="1:1">
      <c r="A2391" s="124"/>
    </row>
    <row r="2392" spans="1:1">
      <c r="A2392" s="124"/>
    </row>
    <row r="2393" spans="1:1">
      <c r="A2393" s="124"/>
    </row>
    <row r="2394" spans="1:1">
      <c r="A2394" s="124"/>
    </row>
    <row r="2395" spans="1:1">
      <c r="A2395" s="124"/>
    </row>
    <row r="2396" spans="1:1">
      <c r="A2396" s="124"/>
    </row>
    <row r="2397" spans="1:1">
      <c r="A2397" s="124"/>
    </row>
    <row r="2398" spans="1:1">
      <c r="A2398" s="124"/>
    </row>
    <row r="2399" spans="1:1">
      <c r="A2399" s="124"/>
    </row>
    <row r="2400" spans="1:1">
      <c r="A2400" s="124"/>
    </row>
    <row r="2401" spans="1:1">
      <c r="A2401" s="124"/>
    </row>
    <row r="2402" spans="1:1">
      <c r="A2402" s="124"/>
    </row>
    <row r="2403" spans="1:1">
      <c r="A2403" s="124"/>
    </row>
    <row r="2404" spans="1:1">
      <c r="A2404" s="124"/>
    </row>
    <row r="2405" spans="1:1">
      <c r="A2405" s="124"/>
    </row>
    <row r="2406" spans="1:1">
      <c r="A2406" s="124"/>
    </row>
    <row r="2407" spans="1:1">
      <c r="A2407" s="124"/>
    </row>
    <row r="2408" spans="1:1">
      <c r="A2408" s="124"/>
    </row>
    <row r="2409" spans="1:1">
      <c r="A2409" s="124"/>
    </row>
    <row r="2410" spans="1:1">
      <c r="A2410" s="124"/>
    </row>
    <row r="2411" spans="1:1">
      <c r="A2411" s="124"/>
    </row>
    <row r="2412" spans="1:1">
      <c r="A2412" s="124"/>
    </row>
    <row r="2413" spans="1:1">
      <c r="A2413" s="124"/>
    </row>
    <row r="2414" spans="1:1">
      <c r="A2414" s="124"/>
    </row>
    <row r="2415" spans="1:1">
      <c r="A2415" s="124"/>
    </row>
    <row r="2416" spans="1:1">
      <c r="A2416" s="124"/>
    </row>
    <row r="2417" spans="1:1">
      <c r="A2417" s="124"/>
    </row>
    <row r="2418" spans="1:1">
      <c r="A2418" s="124"/>
    </row>
    <row r="2419" spans="1:1">
      <c r="A2419" s="124"/>
    </row>
    <row r="2420" spans="1:1">
      <c r="A2420" s="124"/>
    </row>
    <row r="2421" spans="1:1">
      <c r="A2421" s="124"/>
    </row>
    <row r="2422" spans="1:1">
      <c r="A2422" s="124"/>
    </row>
    <row r="2423" spans="1:1">
      <c r="A2423" s="124"/>
    </row>
    <row r="2424" spans="1:1">
      <c r="A2424" s="124"/>
    </row>
    <row r="2425" spans="1:1">
      <c r="A2425" s="124"/>
    </row>
    <row r="2426" spans="1:1">
      <c r="A2426" s="124"/>
    </row>
    <row r="2427" spans="1:1">
      <c r="A2427" s="124"/>
    </row>
    <row r="2428" spans="1:1">
      <c r="A2428" s="124"/>
    </row>
    <row r="2429" spans="1:1">
      <c r="A2429" s="124"/>
    </row>
    <row r="2430" spans="1:1">
      <c r="A2430" s="124"/>
    </row>
    <row r="2431" spans="1:1">
      <c r="A2431" s="124"/>
    </row>
    <row r="2432" spans="1:1">
      <c r="A2432" s="124"/>
    </row>
    <row r="2433" spans="1:1">
      <c r="A2433" s="124"/>
    </row>
    <row r="2434" spans="1:1">
      <c r="A2434" s="124"/>
    </row>
    <row r="2435" spans="1:1">
      <c r="A2435" s="124"/>
    </row>
    <row r="2436" spans="1:1">
      <c r="A2436" s="124"/>
    </row>
    <row r="2437" spans="1:1">
      <c r="A2437" s="124"/>
    </row>
    <row r="2438" spans="1:1">
      <c r="A2438" s="124"/>
    </row>
    <row r="2439" spans="1:1">
      <c r="A2439" s="124"/>
    </row>
    <row r="2440" spans="1:1">
      <c r="A2440" s="124"/>
    </row>
    <row r="2441" spans="1:1">
      <c r="A2441" s="124"/>
    </row>
    <row r="2442" spans="1:1">
      <c r="A2442" s="124"/>
    </row>
    <row r="2443" spans="1:1">
      <c r="A2443" s="124"/>
    </row>
    <row r="2444" spans="1:1">
      <c r="A2444" s="124"/>
    </row>
    <row r="2445" spans="1:1">
      <c r="A2445" s="124"/>
    </row>
    <row r="2446" spans="1:1">
      <c r="A2446" s="124"/>
    </row>
    <row r="2447" spans="1:1">
      <c r="A2447" s="124"/>
    </row>
    <row r="2448" spans="1:1">
      <c r="A2448" s="124"/>
    </row>
    <row r="2449" spans="1:1">
      <c r="A2449" s="124"/>
    </row>
    <row r="2450" spans="1:1">
      <c r="A2450" s="124"/>
    </row>
    <row r="2451" spans="1:1">
      <c r="A2451" s="124"/>
    </row>
    <row r="2452" spans="1:1">
      <c r="A2452" s="124"/>
    </row>
    <row r="2453" spans="1:1">
      <c r="A2453" s="124"/>
    </row>
    <row r="2454" spans="1:1">
      <c r="A2454" s="124"/>
    </row>
    <row r="2455" spans="1:1">
      <c r="A2455" s="124"/>
    </row>
    <row r="2456" spans="1:1">
      <c r="A2456" s="124"/>
    </row>
    <row r="2457" spans="1:1">
      <c r="A2457" s="124"/>
    </row>
    <row r="2458" spans="1:1">
      <c r="A2458" s="124"/>
    </row>
    <row r="2459" spans="1:1">
      <c r="A2459" s="124"/>
    </row>
    <row r="2460" spans="1:1">
      <c r="A2460" s="124"/>
    </row>
    <row r="2461" spans="1:1">
      <c r="A2461" s="124"/>
    </row>
    <row r="2462" spans="1:1">
      <c r="A2462" s="124"/>
    </row>
    <row r="2463" spans="1:1">
      <c r="A2463" s="124"/>
    </row>
    <row r="2464" spans="1:1">
      <c r="A2464" s="124"/>
    </row>
    <row r="2465" spans="1:1">
      <c r="A2465" s="124"/>
    </row>
    <row r="2466" spans="1:1">
      <c r="A2466" s="124"/>
    </row>
    <row r="2467" spans="1:1">
      <c r="A2467" s="124"/>
    </row>
    <row r="2468" spans="1:1">
      <c r="A2468" s="124"/>
    </row>
    <row r="2469" spans="1:1">
      <c r="A2469" s="124"/>
    </row>
    <row r="2470" spans="1:1">
      <c r="A2470" s="124"/>
    </row>
    <row r="2471" spans="1:1">
      <c r="A2471" s="124"/>
    </row>
    <row r="2472" spans="1:1">
      <c r="A2472" s="124"/>
    </row>
    <row r="2473" spans="1:1">
      <c r="A2473" s="124"/>
    </row>
    <row r="2474" spans="1:1">
      <c r="A2474" s="124"/>
    </row>
    <row r="2475" spans="1:1">
      <c r="A2475" s="124"/>
    </row>
    <row r="2476" spans="1:1">
      <c r="A2476" s="124"/>
    </row>
    <row r="2477" spans="1:1">
      <c r="A2477" s="124"/>
    </row>
    <row r="2478" spans="1:1">
      <c r="A2478" s="124"/>
    </row>
    <row r="2479" spans="1:1">
      <c r="A2479" s="124"/>
    </row>
    <row r="2480" spans="1:1">
      <c r="A2480" s="124"/>
    </row>
    <row r="2481" spans="1:1">
      <c r="A2481" s="124"/>
    </row>
    <row r="2482" spans="1:1">
      <c r="A2482" s="124"/>
    </row>
    <row r="2483" spans="1:1">
      <c r="A2483" s="124"/>
    </row>
    <row r="2484" spans="1:1">
      <c r="A2484" s="124"/>
    </row>
    <row r="2485" spans="1:1">
      <c r="A2485" s="124"/>
    </row>
    <row r="2486" spans="1:1">
      <c r="A2486" s="124"/>
    </row>
    <row r="2487" spans="1:1">
      <c r="A2487" s="124"/>
    </row>
    <row r="2488" spans="1:1">
      <c r="A2488" s="124"/>
    </row>
    <row r="2489" spans="1:1">
      <c r="A2489" s="124"/>
    </row>
    <row r="2490" spans="1:1">
      <c r="A2490" s="124"/>
    </row>
    <row r="2491" spans="1:1">
      <c r="A2491" s="124"/>
    </row>
    <row r="2492" spans="1:1">
      <c r="A2492" s="124"/>
    </row>
    <row r="2493" spans="1:1">
      <c r="A2493" s="124"/>
    </row>
    <row r="2494" spans="1:1">
      <c r="A2494" s="124"/>
    </row>
    <row r="2495" spans="1:1">
      <c r="A2495" s="124"/>
    </row>
    <row r="2496" spans="1:1">
      <c r="A2496" s="124"/>
    </row>
    <row r="2497" spans="1:1">
      <c r="A2497" s="124"/>
    </row>
    <row r="2498" spans="1:1">
      <c r="A2498" s="124"/>
    </row>
    <row r="2499" spans="1:1">
      <c r="A2499" s="124"/>
    </row>
    <row r="2500" spans="1:1">
      <c r="A2500" s="124"/>
    </row>
    <row r="2501" spans="1:1">
      <c r="A2501" s="124"/>
    </row>
    <row r="2502" spans="1:1">
      <c r="A2502" s="124"/>
    </row>
    <row r="2503" spans="1:1">
      <c r="A2503" s="124"/>
    </row>
    <row r="2504" spans="1:1">
      <c r="A2504" s="124"/>
    </row>
    <row r="2505" spans="1:1">
      <c r="A2505" s="124"/>
    </row>
    <row r="2506" spans="1:1">
      <c r="A2506" s="124"/>
    </row>
    <row r="2507" spans="1:1">
      <c r="A2507" s="124"/>
    </row>
    <row r="2508" spans="1:1">
      <c r="A2508" s="124"/>
    </row>
    <row r="2509" spans="1:1">
      <c r="A2509" s="124"/>
    </row>
    <row r="2510" spans="1:1">
      <c r="A2510" s="124"/>
    </row>
    <row r="2511" spans="1:1">
      <c r="A2511" s="124"/>
    </row>
    <row r="2512" spans="1:1">
      <c r="A2512" s="124"/>
    </row>
    <row r="2513" spans="1:1">
      <c r="A2513" s="124"/>
    </row>
    <row r="2514" spans="1:1">
      <c r="A2514" s="124"/>
    </row>
    <row r="2515" spans="1:1">
      <c r="A2515" s="124"/>
    </row>
    <row r="2516" spans="1:1">
      <c r="A2516" s="124"/>
    </row>
    <row r="2517" spans="1:1">
      <c r="A2517" s="124"/>
    </row>
    <row r="2518" spans="1:1">
      <c r="A2518" s="124"/>
    </row>
    <row r="2519" spans="1:1">
      <c r="A2519" s="124"/>
    </row>
    <row r="2520" spans="1:1">
      <c r="A2520" s="124"/>
    </row>
    <row r="2521" spans="1:1">
      <c r="A2521" s="124"/>
    </row>
    <row r="2522" spans="1:1">
      <c r="A2522" s="124"/>
    </row>
    <row r="2523" spans="1:1">
      <c r="A2523" s="124"/>
    </row>
    <row r="2524" spans="1:1">
      <c r="A2524" s="124"/>
    </row>
    <row r="2525" spans="1:1">
      <c r="A2525" s="124"/>
    </row>
    <row r="2526" spans="1:1">
      <c r="A2526" s="124"/>
    </row>
    <row r="2527" spans="1:1">
      <c r="A2527" s="124"/>
    </row>
    <row r="2528" spans="1:1">
      <c r="A2528" s="124"/>
    </row>
    <row r="2529" spans="1:1">
      <c r="A2529" s="124"/>
    </row>
    <row r="2530" spans="1:1">
      <c r="A2530" s="124"/>
    </row>
    <row r="2531" spans="1:1">
      <c r="A2531" s="124"/>
    </row>
    <row r="2532" spans="1:1">
      <c r="A2532" s="124"/>
    </row>
    <row r="2533" spans="1:1">
      <c r="A2533" s="124"/>
    </row>
    <row r="2534" spans="1:1">
      <c r="A2534" s="124"/>
    </row>
    <row r="2535" spans="1:1">
      <c r="A2535" s="124"/>
    </row>
    <row r="2536" spans="1:1">
      <c r="A2536" s="124"/>
    </row>
    <row r="2537" spans="1:1">
      <c r="A2537" s="124"/>
    </row>
    <row r="2538" spans="1:1">
      <c r="A2538" s="124"/>
    </row>
    <row r="2539" spans="1:1">
      <c r="A2539" s="124"/>
    </row>
    <row r="2540" spans="1:1">
      <c r="A2540" s="124"/>
    </row>
    <row r="2541" spans="1:1">
      <c r="A2541" s="124"/>
    </row>
    <row r="2542" spans="1:1">
      <c r="A2542" s="124"/>
    </row>
    <row r="2543" spans="1:1">
      <c r="A2543" s="124"/>
    </row>
    <row r="2544" spans="1:1">
      <c r="A2544" s="124"/>
    </row>
    <row r="2545" spans="1:1">
      <c r="A2545" s="124"/>
    </row>
    <row r="2546" spans="1:1">
      <c r="A2546" s="124"/>
    </row>
    <row r="2547" spans="1:1">
      <c r="A2547" s="124"/>
    </row>
    <row r="2548" spans="1:1">
      <c r="A2548" s="124"/>
    </row>
    <row r="2549" spans="1:1">
      <c r="A2549" s="124"/>
    </row>
    <row r="2550" spans="1:1">
      <c r="A2550" s="124"/>
    </row>
    <row r="2551" spans="1:1">
      <c r="A2551" s="124"/>
    </row>
    <row r="2552" spans="1:1">
      <c r="A2552" s="124"/>
    </row>
    <row r="2553" spans="1:1">
      <c r="A2553" s="124"/>
    </row>
    <row r="2554" spans="1:1">
      <c r="A2554" s="124"/>
    </row>
    <row r="2555" spans="1:1">
      <c r="A2555" s="124"/>
    </row>
    <row r="2556" spans="1:1">
      <c r="A2556" s="124"/>
    </row>
    <row r="2557" spans="1:1">
      <c r="A2557" s="124"/>
    </row>
    <row r="2558" spans="1:1">
      <c r="A2558" s="124"/>
    </row>
    <row r="2559" spans="1:1">
      <c r="A2559" s="124"/>
    </row>
    <row r="2560" spans="1:1">
      <c r="A2560" s="124"/>
    </row>
    <row r="2561" spans="1:1">
      <c r="A2561" s="124"/>
    </row>
    <row r="2562" spans="1:1">
      <c r="A2562" s="124"/>
    </row>
    <row r="2563" spans="1:1">
      <c r="A2563" s="124"/>
    </row>
    <row r="2564" spans="1:1">
      <c r="A2564" s="124"/>
    </row>
    <row r="2565" spans="1:1">
      <c r="A2565" s="124"/>
    </row>
    <row r="2566" spans="1:1">
      <c r="A2566" s="124"/>
    </row>
    <row r="2567" spans="1:1">
      <c r="A2567" s="124"/>
    </row>
    <row r="2568" spans="1:1">
      <c r="A2568" s="124"/>
    </row>
    <row r="2569" spans="1:1">
      <c r="A2569" s="124"/>
    </row>
    <row r="2570" spans="1:1">
      <c r="A2570" s="124"/>
    </row>
    <row r="2571" spans="1:1">
      <c r="A2571" s="124"/>
    </row>
    <row r="2572" spans="1:1">
      <c r="A2572" s="124"/>
    </row>
    <row r="2573" spans="1:1">
      <c r="A2573" s="124"/>
    </row>
    <row r="2574" spans="1:1">
      <c r="A2574" s="124"/>
    </row>
    <row r="2575" spans="1:1">
      <c r="A2575" s="124"/>
    </row>
    <row r="2576" spans="1:1">
      <c r="A2576" s="124"/>
    </row>
    <row r="2577" spans="1:1">
      <c r="A2577" s="124"/>
    </row>
    <row r="2578" spans="1:1">
      <c r="A2578" s="124"/>
    </row>
    <row r="2579" spans="1:1">
      <c r="A2579" s="124"/>
    </row>
    <row r="2580" spans="1:1">
      <c r="A2580" s="124"/>
    </row>
    <row r="2581" spans="1:1">
      <c r="A2581" s="124"/>
    </row>
    <row r="2582" spans="1:1">
      <c r="A2582" s="124"/>
    </row>
    <row r="2583" spans="1:1">
      <c r="A2583" s="124"/>
    </row>
    <row r="2584" spans="1:1">
      <c r="A2584" s="124"/>
    </row>
    <row r="2585" spans="1:1">
      <c r="A2585" s="124"/>
    </row>
    <row r="2586" spans="1:1">
      <c r="A2586" s="124"/>
    </row>
    <row r="2587" spans="1:1">
      <c r="A2587" s="124"/>
    </row>
    <row r="2588" spans="1:1">
      <c r="A2588" s="124"/>
    </row>
    <row r="2589" spans="1:1">
      <c r="A2589" s="124"/>
    </row>
    <row r="2590" spans="1:1">
      <c r="A2590" s="124"/>
    </row>
    <row r="2591" spans="1:1">
      <c r="A2591" s="124"/>
    </row>
    <row r="2592" spans="1:1">
      <c r="A2592" s="124"/>
    </row>
    <row r="2593" spans="1:1">
      <c r="A2593" s="124"/>
    </row>
    <row r="2594" spans="1:1">
      <c r="A2594" s="124"/>
    </row>
    <row r="2595" spans="1:1">
      <c r="A2595" s="124"/>
    </row>
    <row r="2596" spans="1:1">
      <c r="A2596" s="124"/>
    </row>
    <row r="2597" spans="1:1">
      <c r="A2597" s="124"/>
    </row>
    <row r="2598" spans="1:1">
      <c r="A2598" s="124"/>
    </row>
    <row r="2599" spans="1:1">
      <c r="A2599" s="124"/>
    </row>
    <row r="2600" spans="1:1">
      <c r="A2600" s="124"/>
    </row>
    <row r="2601" spans="1:1">
      <c r="A2601" s="124"/>
    </row>
    <row r="2602" spans="1:1">
      <c r="A2602" s="124"/>
    </row>
    <row r="2603" spans="1:1">
      <c r="A2603" s="124"/>
    </row>
    <row r="2604" spans="1:1">
      <c r="A2604" s="124"/>
    </row>
    <row r="2605" spans="1:1">
      <c r="A2605" s="124"/>
    </row>
    <row r="2606" spans="1:1">
      <c r="A2606" s="124"/>
    </row>
    <row r="2607" spans="1:1">
      <c r="A2607" s="124"/>
    </row>
    <row r="2608" spans="1:1">
      <c r="A2608" s="124"/>
    </row>
    <row r="2609" spans="1:1">
      <c r="A2609" s="124"/>
    </row>
    <row r="2610" spans="1:1">
      <c r="A2610" s="124"/>
    </row>
    <row r="2611" spans="1:1">
      <c r="A2611" s="124"/>
    </row>
    <row r="2612" spans="1:1">
      <c r="A2612" s="124"/>
    </row>
    <row r="2613" spans="1:1">
      <c r="A2613" s="124"/>
    </row>
    <row r="2614" spans="1:1">
      <c r="A2614" s="124"/>
    </row>
    <row r="2615" spans="1:1">
      <c r="A2615" s="124"/>
    </row>
    <row r="2616" spans="1:1">
      <c r="A2616" s="124"/>
    </row>
    <row r="2617" spans="1:1">
      <c r="A2617" s="124"/>
    </row>
    <row r="2618" spans="1:1">
      <c r="A2618" s="124"/>
    </row>
    <row r="2619" spans="1:1">
      <c r="A2619" s="124"/>
    </row>
    <row r="2620" spans="1:1">
      <c r="A2620" s="124"/>
    </row>
    <row r="2621" spans="1:1">
      <c r="A2621" s="124"/>
    </row>
    <row r="2622" spans="1:1">
      <c r="A2622" s="124"/>
    </row>
    <row r="2623" spans="1:1">
      <c r="A2623" s="124"/>
    </row>
    <row r="2624" spans="1:1">
      <c r="A2624" s="124"/>
    </row>
    <row r="2625" spans="1:1">
      <c r="A2625" s="124"/>
    </row>
    <row r="2626" spans="1:1">
      <c r="A2626" s="124"/>
    </row>
    <row r="2627" spans="1:1">
      <c r="A2627" s="124"/>
    </row>
    <row r="2628" spans="1:1">
      <c r="A2628" s="124"/>
    </row>
    <row r="2629" spans="1:1">
      <c r="A2629" s="124"/>
    </row>
    <row r="2630" spans="1:1">
      <c r="A2630" s="124"/>
    </row>
    <row r="2631" spans="1:1">
      <c r="A2631" s="124"/>
    </row>
    <row r="2632" spans="1:1">
      <c r="A2632" s="124"/>
    </row>
    <row r="2633" spans="1:1">
      <c r="A2633" s="124"/>
    </row>
    <row r="2634" spans="1:1">
      <c r="A2634" s="124"/>
    </row>
    <row r="2635" spans="1:1">
      <c r="A2635" s="124"/>
    </row>
    <row r="2636" spans="1:1">
      <c r="A2636" s="124"/>
    </row>
    <row r="2637" spans="1:1">
      <c r="A2637" s="124"/>
    </row>
    <row r="2638" spans="1:1">
      <c r="A2638" s="124"/>
    </row>
    <row r="2639" spans="1:1">
      <c r="A2639" s="124"/>
    </row>
    <row r="2640" spans="1:1">
      <c r="A2640" s="124"/>
    </row>
    <row r="2641" spans="1:1">
      <c r="A2641" s="124"/>
    </row>
    <row r="2642" spans="1:1">
      <c r="A2642" s="124"/>
    </row>
    <row r="2643" spans="1:1">
      <c r="A2643" s="124"/>
    </row>
    <row r="2644" spans="1:1">
      <c r="A2644" s="124"/>
    </row>
    <row r="2645" spans="1:1">
      <c r="A2645" s="124"/>
    </row>
    <row r="2646" spans="1:1">
      <c r="A2646" s="124"/>
    </row>
    <row r="2647" spans="1:1">
      <c r="A2647" s="124"/>
    </row>
    <row r="2648" spans="1:1">
      <c r="A2648" s="124"/>
    </row>
    <row r="2649" spans="1:1">
      <c r="A2649" s="124"/>
    </row>
    <row r="2650" spans="1:1">
      <c r="A2650" s="124"/>
    </row>
    <row r="2651" spans="1:1">
      <c r="A2651" s="124"/>
    </row>
    <row r="2652" spans="1:1">
      <c r="A2652" s="124"/>
    </row>
    <row r="2653" spans="1:1">
      <c r="A2653" s="124"/>
    </row>
    <row r="2654" spans="1:1">
      <c r="A2654" s="124"/>
    </row>
    <row r="2655" spans="1:1">
      <c r="A2655" s="124"/>
    </row>
    <row r="2656" spans="1:1">
      <c r="A2656" s="124"/>
    </row>
    <row r="2657" spans="1:1">
      <c r="A2657" s="124"/>
    </row>
    <row r="2658" spans="1:1">
      <c r="A2658" s="124"/>
    </row>
    <row r="2659" spans="1:1">
      <c r="A2659" s="124"/>
    </row>
    <row r="2660" spans="1:1">
      <c r="A2660" s="124"/>
    </row>
    <row r="2661" spans="1:1">
      <c r="A2661" s="124"/>
    </row>
    <row r="2662" spans="1:1">
      <c r="A2662" s="124"/>
    </row>
    <row r="2663" spans="1:1">
      <c r="A2663" s="124"/>
    </row>
    <row r="2664" spans="1:1">
      <c r="A2664" s="124"/>
    </row>
    <row r="2665" spans="1:1">
      <c r="A2665" s="124"/>
    </row>
    <row r="2666" spans="1:1">
      <c r="A2666" s="124"/>
    </row>
    <row r="2667" spans="1:1">
      <c r="A2667" s="124"/>
    </row>
    <row r="2668" spans="1:1">
      <c r="A2668" s="124"/>
    </row>
    <row r="2669" spans="1:1">
      <c r="A2669" s="124"/>
    </row>
    <row r="2670" spans="1:1">
      <c r="A2670" s="124"/>
    </row>
    <row r="2671" spans="1:1">
      <c r="A2671" s="124"/>
    </row>
    <row r="2672" spans="1:1">
      <c r="A2672" s="124"/>
    </row>
    <row r="2673" spans="1:1">
      <c r="A2673" s="124"/>
    </row>
    <row r="2674" spans="1:1">
      <c r="A2674" s="124"/>
    </row>
    <row r="2675" spans="1:1">
      <c r="A2675" s="124"/>
    </row>
    <row r="2676" spans="1:1">
      <c r="A2676" s="124"/>
    </row>
    <row r="2677" spans="1:1">
      <c r="A2677" s="124"/>
    </row>
    <row r="2678" spans="1:1">
      <c r="A2678" s="124"/>
    </row>
    <row r="2679" spans="1:1">
      <c r="A2679" s="124"/>
    </row>
    <row r="2680" spans="1:1">
      <c r="A2680" s="124"/>
    </row>
    <row r="2681" spans="1:1">
      <c r="A2681" s="124"/>
    </row>
    <row r="2682" spans="1:1">
      <c r="A2682" s="124"/>
    </row>
    <row r="2683" spans="1:1">
      <c r="A2683" s="124"/>
    </row>
    <row r="2684" spans="1:1">
      <c r="A2684" s="124"/>
    </row>
    <row r="2685" spans="1:1">
      <c r="A2685" s="124"/>
    </row>
    <row r="2686" spans="1:1">
      <c r="A2686" s="124"/>
    </row>
    <row r="2687" spans="1:1">
      <c r="A2687" s="124"/>
    </row>
    <row r="2688" spans="1:1">
      <c r="A2688" s="124"/>
    </row>
    <row r="2689" spans="1:1">
      <c r="A2689" s="124"/>
    </row>
    <row r="2690" spans="1:1">
      <c r="A2690" s="124"/>
    </row>
    <row r="2691" spans="1:1">
      <c r="A2691" s="124"/>
    </row>
    <row r="2692" spans="1:1">
      <c r="A2692" s="124"/>
    </row>
    <row r="2693" spans="1:1">
      <c r="A2693" s="124"/>
    </row>
    <row r="2694" spans="1:1">
      <c r="A2694" s="124"/>
    </row>
    <row r="2695" spans="1:1">
      <c r="A2695" s="124"/>
    </row>
    <row r="2696" spans="1:1">
      <c r="A2696" s="124"/>
    </row>
    <row r="2697" spans="1:1">
      <c r="A2697" s="124"/>
    </row>
    <row r="2698" spans="1:1">
      <c r="A2698" s="124"/>
    </row>
    <row r="2699" spans="1:1">
      <c r="A2699" s="124"/>
    </row>
    <row r="2700" spans="1:1">
      <c r="A2700" s="124"/>
    </row>
    <row r="2701" spans="1:1">
      <c r="A2701" s="124"/>
    </row>
    <row r="2702" spans="1:1">
      <c r="A2702" s="124"/>
    </row>
    <row r="2703" spans="1:1">
      <c r="A2703" s="124"/>
    </row>
    <row r="2704" spans="1:1">
      <c r="A2704" s="124"/>
    </row>
    <row r="2705" spans="1:1">
      <c r="A2705" s="124"/>
    </row>
    <row r="2706" spans="1:1">
      <c r="A2706" s="124"/>
    </row>
    <row r="2707" spans="1:1">
      <c r="A2707" s="124"/>
    </row>
    <row r="2708" spans="1:1">
      <c r="A2708" s="124"/>
    </row>
    <row r="2709" spans="1:1">
      <c r="A2709" s="124"/>
    </row>
    <row r="2710" spans="1:1">
      <c r="A2710" s="124"/>
    </row>
    <row r="2711" spans="1:1">
      <c r="A2711" s="124"/>
    </row>
    <row r="2712" spans="1:1">
      <c r="A2712" s="124"/>
    </row>
    <row r="2713" spans="1:1">
      <c r="A2713" s="124"/>
    </row>
    <row r="2714" spans="1:1">
      <c r="A2714" s="124"/>
    </row>
    <row r="2715" spans="1:1">
      <c r="A2715" s="124"/>
    </row>
    <row r="2716" spans="1:1">
      <c r="A2716" s="124"/>
    </row>
    <row r="2717" spans="1:1">
      <c r="A2717" s="124"/>
    </row>
    <row r="2718" spans="1:1">
      <c r="A2718" s="124"/>
    </row>
    <row r="2719" spans="1:1">
      <c r="A2719" s="124"/>
    </row>
    <row r="2720" spans="1:1">
      <c r="A2720" s="124"/>
    </row>
    <row r="2721" spans="1:1">
      <c r="A2721" s="124"/>
    </row>
    <row r="2722" spans="1:1">
      <c r="A2722" s="124"/>
    </row>
    <row r="2723" spans="1:1">
      <c r="A2723" s="124"/>
    </row>
    <row r="2724" spans="1:1">
      <c r="A2724" s="124"/>
    </row>
    <row r="2725" spans="1:1">
      <c r="A2725" s="124"/>
    </row>
    <row r="2726" spans="1:1">
      <c r="A2726" s="124"/>
    </row>
    <row r="2727" spans="1:1">
      <c r="A2727" s="124"/>
    </row>
    <row r="2728" spans="1:1">
      <c r="A2728" s="124"/>
    </row>
    <row r="2729" spans="1:1">
      <c r="A2729" s="124"/>
    </row>
    <row r="2730" spans="1:1">
      <c r="A2730" s="124"/>
    </row>
    <row r="2731" spans="1:1">
      <c r="A2731" s="124"/>
    </row>
    <row r="2732" spans="1:1">
      <c r="A2732" s="124"/>
    </row>
    <row r="2733" spans="1:1">
      <c r="A2733" s="124"/>
    </row>
    <row r="2734" spans="1:1">
      <c r="A2734" s="124"/>
    </row>
    <row r="2735" spans="1:1">
      <c r="A2735" s="124"/>
    </row>
    <row r="2736" spans="1:1">
      <c r="A2736" s="124"/>
    </row>
    <row r="2737" spans="1:1">
      <c r="A2737" s="124"/>
    </row>
    <row r="2738" spans="1:1">
      <c r="A2738" s="124"/>
    </row>
    <row r="2739" spans="1:1">
      <c r="A2739" s="124"/>
    </row>
    <row r="2740" spans="1:1">
      <c r="A2740" s="124"/>
    </row>
    <row r="2741" spans="1:1">
      <c r="A2741" s="124"/>
    </row>
    <row r="2742" spans="1:1">
      <c r="A2742" s="124"/>
    </row>
    <row r="2743" spans="1:1">
      <c r="A2743" s="124"/>
    </row>
    <row r="2744" spans="1:1">
      <c r="A2744" s="124"/>
    </row>
    <row r="2745" spans="1:1">
      <c r="A2745" s="124"/>
    </row>
    <row r="2746" spans="1:1">
      <c r="A2746" s="124"/>
    </row>
    <row r="2747" spans="1:1">
      <c r="A2747" s="124"/>
    </row>
    <row r="2748" spans="1:1">
      <c r="A2748" s="124"/>
    </row>
    <row r="2749" spans="1:1">
      <c r="A2749" s="124"/>
    </row>
    <row r="2750" spans="1:1">
      <c r="A2750" s="124"/>
    </row>
    <row r="2751" spans="1:1">
      <c r="A2751" s="124"/>
    </row>
    <row r="2752" spans="1:1">
      <c r="A2752" s="124"/>
    </row>
    <row r="2753" spans="1:1">
      <c r="A2753" s="124"/>
    </row>
    <row r="2754" spans="1:1">
      <c r="A2754" s="124"/>
    </row>
    <row r="2755" spans="1:1">
      <c r="A2755" s="124"/>
    </row>
    <row r="2756" spans="1:1">
      <c r="A2756" s="124"/>
    </row>
    <row r="2757" spans="1:1">
      <c r="A2757" s="124"/>
    </row>
    <row r="2758" spans="1:1">
      <c r="A2758" s="124"/>
    </row>
    <row r="2759" spans="1:1">
      <c r="A2759" s="124"/>
    </row>
    <row r="2760" spans="1:1">
      <c r="A2760" s="124"/>
    </row>
    <row r="2761" spans="1:1">
      <c r="A2761" s="124"/>
    </row>
    <row r="2762" spans="1:1">
      <c r="A2762" s="124"/>
    </row>
    <row r="2763" spans="1:1">
      <c r="A2763" s="124"/>
    </row>
    <row r="2764" spans="1:1">
      <c r="A2764" s="124"/>
    </row>
    <row r="2765" spans="1:1">
      <c r="A2765" s="124"/>
    </row>
    <row r="2766" spans="1:1">
      <c r="A2766" s="124"/>
    </row>
    <row r="2767" spans="1:1">
      <c r="A2767" s="124"/>
    </row>
    <row r="2768" spans="1:1">
      <c r="A2768" s="124"/>
    </row>
    <row r="2769" spans="1:1">
      <c r="A2769" s="124"/>
    </row>
    <row r="2770" spans="1:1">
      <c r="A2770" s="124"/>
    </row>
    <row r="2771" spans="1:1">
      <c r="A2771" s="124"/>
    </row>
    <row r="2772" spans="1:1">
      <c r="A2772" s="124"/>
    </row>
    <row r="2773" spans="1:1">
      <c r="A2773" s="124"/>
    </row>
    <row r="2774" spans="1:1">
      <c r="A2774" s="124"/>
    </row>
    <row r="2775" spans="1:1">
      <c r="A2775" s="124"/>
    </row>
    <row r="2776" spans="1:1">
      <c r="A2776" s="124"/>
    </row>
    <row r="2777" spans="1:1">
      <c r="A2777" s="124"/>
    </row>
    <row r="2778" spans="1:1">
      <c r="A2778" s="124"/>
    </row>
    <row r="2779" spans="1:1">
      <c r="A2779" s="124"/>
    </row>
    <row r="2780" spans="1:1">
      <c r="A2780" s="124"/>
    </row>
    <row r="2781" spans="1:1">
      <c r="A2781" s="124"/>
    </row>
    <row r="2782" spans="1:1">
      <c r="A2782" s="124"/>
    </row>
    <row r="2783" spans="1:1">
      <c r="A2783" s="124"/>
    </row>
    <row r="2784" spans="1:1">
      <c r="A2784" s="124"/>
    </row>
    <row r="2785" spans="1:1">
      <c r="A2785" s="124"/>
    </row>
    <row r="2786" spans="1:1">
      <c r="A2786" s="124"/>
    </row>
    <row r="2787" spans="1:1">
      <c r="A2787" s="124"/>
    </row>
    <row r="2788" spans="1:1">
      <c r="A2788" s="124"/>
    </row>
    <row r="2789" spans="1:1">
      <c r="A2789" s="124"/>
    </row>
    <row r="2790" spans="1:1">
      <c r="A2790" s="124"/>
    </row>
    <row r="2791" spans="1:1">
      <c r="A2791" s="124"/>
    </row>
    <row r="2792" spans="1:1">
      <c r="A2792" s="124"/>
    </row>
    <row r="2793" spans="1:1">
      <c r="A2793" s="124"/>
    </row>
    <row r="2794" spans="1:1">
      <c r="A2794" s="124"/>
    </row>
    <row r="2795" spans="1:1">
      <c r="A2795" s="124"/>
    </row>
    <row r="2796" spans="1:1">
      <c r="A2796" s="124"/>
    </row>
    <row r="2797" spans="1:1">
      <c r="A2797" s="124"/>
    </row>
    <row r="2798" spans="1:1">
      <c r="A2798" s="124"/>
    </row>
    <row r="2799" spans="1:1">
      <c r="A2799" s="124"/>
    </row>
    <row r="2800" spans="1:1">
      <c r="A2800" s="124"/>
    </row>
    <row r="2801" spans="1:1">
      <c r="A2801" s="124"/>
    </row>
    <row r="2802" spans="1:1">
      <c r="A2802" s="124"/>
    </row>
    <row r="2803" spans="1:1">
      <c r="A2803" s="124"/>
    </row>
    <row r="2804" spans="1:1">
      <c r="A2804" s="124"/>
    </row>
    <row r="2805" spans="1:1">
      <c r="A2805" s="124"/>
    </row>
    <row r="2806" spans="1:1">
      <c r="A2806" s="124"/>
    </row>
    <row r="2807" spans="1:1">
      <c r="A2807" s="124"/>
    </row>
    <row r="2808" spans="1:1">
      <c r="A2808" s="124"/>
    </row>
    <row r="2809" spans="1:1">
      <c r="A2809" s="124"/>
    </row>
    <row r="2810" spans="1:1">
      <c r="A2810" s="124"/>
    </row>
    <row r="2811" spans="1:1">
      <c r="A2811" s="124"/>
    </row>
    <row r="2812" spans="1:1">
      <c r="A2812" s="124"/>
    </row>
    <row r="2813" spans="1:1">
      <c r="A2813" s="124"/>
    </row>
    <row r="2814" spans="1:1">
      <c r="A2814" s="124"/>
    </row>
    <row r="2815" spans="1:1">
      <c r="A2815" s="124"/>
    </row>
    <row r="2816" spans="1:1">
      <c r="A2816" s="124"/>
    </row>
    <row r="2817" spans="1:1">
      <c r="A2817" s="124"/>
    </row>
    <row r="2818" spans="1:1">
      <c r="A2818" s="124"/>
    </row>
    <row r="2819" spans="1:1">
      <c r="A2819" s="124"/>
    </row>
    <row r="2820" spans="1:1">
      <c r="A2820" s="124"/>
    </row>
    <row r="2821" spans="1:1">
      <c r="A2821" s="124"/>
    </row>
    <row r="2822" spans="1:1">
      <c r="A2822" s="124"/>
    </row>
    <row r="2823" spans="1:1">
      <c r="A2823" s="124"/>
    </row>
    <row r="2824" spans="1:1">
      <c r="A2824" s="124"/>
    </row>
    <row r="2825" spans="1:1">
      <c r="A2825" s="124"/>
    </row>
    <row r="2826" spans="1:1">
      <c r="A2826" s="124"/>
    </row>
    <row r="2827" spans="1:1">
      <c r="A2827" s="124"/>
    </row>
    <row r="2828" spans="1:1">
      <c r="A2828" s="124"/>
    </row>
    <row r="2829" spans="1:1">
      <c r="A2829" s="124"/>
    </row>
    <row r="2830" spans="1:1">
      <c r="A2830" s="124"/>
    </row>
    <row r="2831" spans="1:1">
      <c r="A2831" s="124"/>
    </row>
    <row r="2832" spans="1:1">
      <c r="A2832" s="124"/>
    </row>
    <row r="2833" spans="1:1">
      <c r="A2833" s="124"/>
    </row>
    <row r="2834" spans="1:1">
      <c r="A2834" s="124"/>
    </row>
    <row r="2835" spans="1:1">
      <c r="A2835" s="124"/>
    </row>
    <row r="2836" spans="1:1">
      <c r="A2836" s="124"/>
    </row>
    <row r="2837" spans="1:1">
      <c r="A2837" s="124"/>
    </row>
    <row r="2838" spans="1:1">
      <c r="A2838" s="124"/>
    </row>
    <row r="2839" spans="1:1">
      <c r="A2839" s="124"/>
    </row>
    <row r="2840" spans="1:1">
      <c r="A2840" s="124"/>
    </row>
    <row r="2841" spans="1:1">
      <c r="A2841" s="124"/>
    </row>
    <row r="2842" spans="1:1">
      <c r="A2842" s="124"/>
    </row>
    <row r="2843" spans="1:1">
      <c r="A2843" s="124"/>
    </row>
    <row r="2844" spans="1:1">
      <c r="A2844" s="124"/>
    </row>
    <row r="2845" spans="1:1">
      <c r="A2845" s="124"/>
    </row>
    <row r="2846" spans="1:1">
      <c r="A2846" s="124"/>
    </row>
    <row r="2847" spans="1:1">
      <c r="A2847" s="124"/>
    </row>
    <row r="2848" spans="1:1">
      <c r="A2848" s="124"/>
    </row>
    <row r="2849" spans="1:1">
      <c r="A2849" s="124"/>
    </row>
    <row r="2850" spans="1:1">
      <c r="A2850" s="124"/>
    </row>
    <row r="2851" spans="1:1">
      <c r="A2851" s="124"/>
    </row>
    <row r="2852" spans="1:1">
      <c r="A2852" s="124"/>
    </row>
    <row r="2853" spans="1:1">
      <c r="A2853" s="124"/>
    </row>
    <row r="2854" spans="1:1">
      <c r="A2854" s="124"/>
    </row>
    <row r="2855" spans="1:1">
      <c r="A2855" s="124"/>
    </row>
    <row r="2856" spans="1:1">
      <c r="A2856" s="124"/>
    </row>
    <row r="2857" spans="1:1">
      <c r="A2857" s="124"/>
    </row>
    <row r="2858" spans="1:1">
      <c r="A2858" s="124"/>
    </row>
    <row r="2859" spans="1:1">
      <c r="A2859" s="124"/>
    </row>
    <row r="2860" spans="1:1">
      <c r="A2860" s="124"/>
    </row>
    <row r="2861" spans="1:1">
      <c r="A2861" s="124"/>
    </row>
    <row r="2862" spans="1:1">
      <c r="A2862" s="124"/>
    </row>
    <row r="2863" spans="1:1">
      <c r="A2863" s="124"/>
    </row>
    <row r="2864" spans="1:1">
      <c r="A2864" s="124"/>
    </row>
    <row r="2865" spans="1:1">
      <c r="A2865" s="124"/>
    </row>
    <row r="2866" spans="1:1">
      <c r="A2866" s="124"/>
    </row>
    <row r="2867" spans="1:1">
      <c r="A2867" s="124"/>
    </row>
    <row r="2868" spans="1:1">
      <c r="A2868" s="124"/>
    </row>
    <row r="2869" spans="1:1">
      <c r="A2869" s="124"/>
    </row>
    <row r="2870" spans="1:1">
      <c r="A2870" s="124"/>
    </row>
    <row r="2871" spans="1:1">
      <c r="A2871" s="124"/>
    </row>
    <row r="2872" spans="1:1">
      <c r="A2872" s="124"/>
    </row>
    <row r="2873" spans="1:1">
      <c r="A2873" s="124"/>
    </row>
    <row r="2874" spans="1:1">
      <c r="A2874" s="124"/>
    </row>
    <row r="2875" spans="1:1">
      <c r="A2875" s="124"/>
    </row>
    <row r="2876" spans="1:1">
      <c r="A2876" s="124"/>
    </row>
    <row r="2877" spans="1:1">
      <c r="A2877" s="124"/>
    </row>
    <row r="2878" spans="1:1">
      <c r="A2878" s="124"/>
    </row>
    <row r="2879" spans="1:1">
      <c r="A2879" s="124"/>
    </row>
    <row r="2880" spans="1:1">
      <c r="A2880" s="124"/>
    </row>
    <row r="2881" spans="1:1">
      <c r="A2881" s="124"/>
    </row>
    <row r="2882" spans="1:1">
      <c r="A2882" s="124"/>
    </row>
    <row r="2883" spans="1:1">
      <c r="A2883" s="124"/>
    </row>
    <row r="2884" spans="1:1">
      <c r="A2884" s="124"/>
    </row>
    <row r="2885" spans="1:1">
      <c r="A2885" s="124"/>
    </row>
    <row r="2886" spans="1:1">
      <c r="A2886" s="124"/>
    </row>
    <row r="2887" spans="1:1">
      <c r="A2887" s="124"/>
    </row>
    <row r="2888" spans="1:1">
      <c r="A2888" s="124"/>
    </row>
    <row r="2889" spans="1:1">
      <c r="A2889" s="124"/>
    </row>
    <row r="2890" spans="1:1">
      <c r="A2890" s="124"/>
    </row>
    <row r="2891" spans="1:1">
      <c r="A2891" s="124"/>
    </row>
    <row r="2892" spans="1:1">
      <c r="A2892" s="124"/>
    </row>
    <row r="2893" spans="1:1">
      <c r="A2893" s="124"/>
    </row>
    <row r="2894" spans="1:1">
      <c r="A2894" s="124"/>
    </row>
    <row r="2895" spans="1:1">
      <c r="A2895" s="124"/>
    </row>
    <row r="2896" spans="1:1">
      <c r="A2896" s="124"/>
    </row>
    <row r="2897" spans="1:1">
      <c r="A2897" s="124"/>
    </row>
    <row r="2898" spans="1:1">
      <c r="A2898" s="124"/>
    </row>
    <row r="2899" spans="1:1">
      <c r="A2899" s="124"/>
    </row>
    <row r="2900" spans="1:1">
      <c r="A2900" s="124"/>
    </row>
    <row r="2901" spans="1:1">
      <c r="A2901" s="124"/>
    </row>
    <row r="2902" spans="1:1">
      <c r="A2902" s="124"/>
    </row>
    <row r="2903" spans="1:1">
      <c r="A2903" s="124"/>
    </row>
    <row r="2904" spans="1:1">
      <c r="A2904" s="124"/>
    </row>
    <row r="2905" spans="1:1">
      <c r="A2905" s="124"/>
    </row>
    <row r="2906" spans="1:1">
      <c r="A2906" s="124"/>
    </row>
    <row r="2907" spans="1:1">
      <c r="A2907" s="124"/>
    </row>
    <row r="2908" spans="1:1">
      <c r="A2908" s="124"/>
    </row>
    <row r="2909" spans="1:1">
      <c r="A2909" s="124"/>
    </row>
    <row r="2910" spans="1:1">
      <c r="A2910" s="124"/>
    </row>
    <row r="2911" spans="1:1">
      <c r="A2911" s="124"/>
    </row>
    <row r="2912" spans="1:1">
      <c r="A2912" s="124"/>
    </row>
    <row r="2913" spans="1:1">
      <c r="A2913" s="124"/>
    </row>
    <row r="2914" spans="1:1">
      <c r="A2914" s="124"/>
    </row>
    <row r="2915" spans="1:1">
      <c r="A2915" s="124"/>
    </row>
    <row r="2916" spans="1:1">
      <c r="A2916" s="124"/>
    </row>
    <row r="2917" spans="1:1">
      <c r="A2917" s="124"/>
    </row>
    <row r="2918" spans="1:1">
      <c r="A2918" s="124"/>
    </row>
    <row r="2919" spans="1:1">
      <c r="A2919" s="124"/>
    </row>
    <row r="2920" spans="1:1">
      <c r="A2920" s="124"/>
    </row>
    <row r="2921" spans="1:1">
      <c r="A2921" s="124"/>
    </row>
    <row r="2922" spans="1:1">
      <c r="A2922" s="124"/>
    </row>
    <row r="2923" spans="1:1">
      <c r="A2923" s="124"/>
    </row>
    <row r="2924" spans="1:1">
      <c r="A2924" s="124"/>
    </row>
    <row r="2925" spans="1:1">
      <c r="A2925" s="124"/>
    </row>
    <row r="2926" spans="1:1">
      <c r="A2926" s="124"/>
    </row>
    <row r="2927" spans="1:1">
      <c r="A2927" s="124"/>
    </row>
    <row r="2928" spans="1:1">
      <c r="A2928" s="124"/>
    </row>
    <row r="2929" spans="1:1">
      <c r="A2929" s="124"/>
    </row>
    <row r="2930" spans="1:1">
      <c r="A2930" s="124"/>
    </row>
    <row r="2931" spans="1:1">
      <c r="A2931" s="124"/>
    </row>
    <row r="2932" spans="1:1">
      <c r="A2932" s="124"/>
    </row>
    <row r="2933" spans="1:1">
      <c r="A2933" s="124"/>
    </row>
    <row r="2934" spans="1:1">
      <c r="A2934" s="124"/>
    </row>
    <row r="2935" spans="1:1">
      <c r="A2935" s="124"/>
    </row>
    <row r="2936" spans="1:1">
      <c r="A2936" s="124"/>
    </row>
    <row r="2937" spans="1:1">
      <c r="A2937" s="124"/>
    </row>
    <row r="2938" spans="1:1">
      <c r="A2938" s="124"/>
    </row>
    <row r="2939" spans="1:1">
      <c r="A2939" s="124"/>
    </row>
    <row r="2940" spans="1:1">
      <c r="A2940" s="124"/>
    </row>
    <row r="2941" spans="1:1">
      <c r="A2941" s="124"/>
    </row>
    <row r="2942" spans="1:1">
      <c r="A2942" s="124"/>
    </row>
    <row r="2943" spans="1:1">
      <c r="A2943" s="124"/>
    </row>
    <row r="2944" spans="1:1">
      <c r="A2944" s="124"/>
    </row>
    <row r="2945" spans="1:1">
      <c r="A2945" s="124"/>
    </row>
    <row r="2946" spans="1:1">
      <c r="A2946" s="124"/>
    </row>
    <row r="2947" spans="1:1">
      <c r="A2947" s="124"/>
    </row>
    <row r="2948" spans="1:1">
      <c r="A2948" s="124"/>
    </row>
    <row r="2949" spans="1:1">
      <c r="A2949" s="124"/>
    </row>
    <row r="2950" spans="1:1">
      <c r="A2950" s="124"/>
    </row>
    <row r="2951" spans="1:1">
      <c r="A2951" s="124"/>
    </row>
    <row r="2952" spans="1:1">
      <c r="A2952" s="124"/>
    </row>
    <row r="2953" spans="1:1">
      <c r="A2953" s="124"/>
    </row>
    <row r="2954" spans="1:1">
      <c r="A2954" s="124"/>
    </row>
    <row r="2955" spans="1:1">
      <c r="A2955" s="124"/>
    </row>
    <row r="2956" spans="1:1">
      <c r="A2956" s="124"/>
    </row>
    <row r="2957" spans="1:1">
      <c r="A2957" s="124"/>
    </row>
    <row r="2958" spans="1:1">
      <c r="A2958" s="124"/>
    </row>
    <row r="2959" spans="1:1">
      <c r="A2959" s="124"/>
    </row>
    <row r="2960" spans="1:1">
      <c r="A2960" s="124"/>
    </row>
    <row r="2961" spans="1:1">
      <c r="A2961" s="124"/>
    </row>
    <row r="2962" spans="1:1">
      <c r="A2962" s="124"/>
    </row>
    <row r="2963" spans="1:1">
      <c r="A2963" s="124"/>
    </row>
    <row r="2964" spans="1:1">
      <c r="A2964" s="124"/>
    </row>
    <row r="2965" spans="1:1">
      <c r="A2965" s="124"/>
    </row>
    <row r="2966" spans="1:1">
      <c r="A2966" s="124"/>
    </row>
    <row r="2967" spans="1:1">
      <c r="A2967" s="124"/>
    </row>
    <row r="2968" spans="1:1">
      <c r="A2968" s="124"/>
    </row>
    <row r="2969" spans="1:1">
      <c r="A2969" s="124"/>
    </row>
    <row r="2970" spans="1:1">
      <c r="A2970" s="124"/>
    </row>
    <row r="2971" spans="1:1">
      <c r="A2971" s="124"/>
    </row>
    <row r="2972" spans="1:1">
      <c r="A2972" s="124"/>
    </row>
    <row r="2973" spans="1:1">
      <c r="A2973" s="124"/>
    </row>
    <row r="2974" spans="1:1">
      <c r="A2974" s="124"/>
    </row>
    <row r="2975" spans="1:1">
      <c r="A2975" s="124"/>
    </row>
    <row r="2976" spans="1:1">
      <c r="A2976" s="124"/>
    </row>
    <row r="2977" spans="1:1">
      <c r="A2977" s="124"/>
    </row>
    <row r="2978" spans="1:1">
      <c r="A2978" s="124"/>
    </row>
    <row r="2979" spans="1:1">
      <c r="A2979" s="124"/>
    </row>
    <row r="2980" spans="1:1">
      <c r="A2980" s="124"/>
    </row>
    <row r="2981" spans="1:1">
      <c r="A2981" s="124"/>
    </row>
    <row r="2982" spans="1:1">
      <c r="A2982" s="124"/>
    </row>
    <row r="2983" spans="1:1">
      <c r="A2983" s="124"/>
    </row>
    <row r="2984" spans="1:1">
      <c r="A2984" s="124"/>
    </row>
    <row r="2985" spans="1:1">
      <c r="A2985" s="124"/>
    </row>
    <row r="2986" spans="1:1">
      <c r="A2986" s="124"/>
    </row>
    <row r="2987" spans="1:1">
      <c r="A2987" s="124"/>
    </row>
    <row r="2988" spans="1:1">
      <c r="A2988" s="124"/>
    </row>
    <row r="2989" spans="1:1">
      <c r="A2989" s="124"/>
    </row>
    <row r="2990" spans="1:1">
      <c r="A2990" s="124"/>
    </row>
    <row r="2991" spans="1:1">
      <c r="A2991" s="124"/>
    </row>
    <row r="2992" spans="1:1">
      <c r="A2992" s="124"/>
    </row>
    <row r="2993" spans="1:1">
      <c r="A2993" s="124"/>
    </row>
    <row r="2994" spans="1:1">
      <c r="A2994" s="124"/>
    </row>
    <row r="2995" spans="1:1">
      <c r="A2995" s="124"/>
    </row>
    <row r="2996" spans="1:1">
      <c r="A2996" s="124"/>
    </row>
    <row r="2997" spans="1:1">
      <c r="A2997" s="124"/>
    </row>
    <row r="2998" spans="1:1">
      <c r="A2998" s="124"/>
    </row>
    <row r="2999" spans="1:1">
      <c r="A2999" s="124"/>
    </row>
    <row r="3000" spans="1:1">
      <c r="A3000" s="124"/>
    </row>
    <row r="3001" spans="1:1">
      <c r="A3001" s="124"/>
    </row>
    <row r="3002" spans="1:1">
      <c r="A3002" s="124"/>
    </row>
    <row r="3003" spans="1:1">
      <c r="A3003" s="124"/>
    </row>
    <row r="3004" spans="1:1">
      <c r="A3004" s="124"/>
    </row>
    <row r="3005" spans="1:1">
      <c r="A3005" s="124"/>
    </row>
    <row r="3006" spans="1:1">
      <c r="A3006" s="124"/>
    </row>
    <row r="3007" spans="1:1">
      <c r="A3007" s="124"/>
    </row>
    <row r="3008" spans="1:1">
      <c r="A3008" s="124"/>
    </row>
    <row r="3009" spans="1:1">
      <c r="A3009" s="124"/>
    </row>
    <row r="3010" spans="1:1">
      <c r="A3010" s="124"/>
    </row>
    <row r="3011" spans="1:1">
      <c r="A3011" s="124"/>
    </row>
    <row r="3012" spans="1:1">
      <c r="A3012" s="124"/>
    </row>
    <row r="3013" spans="1:1">
      <c r="A3013" s="124"/>
    </row>
    <row r="3014" spans="1:1">
      <c r="A3014" s="124"/>
    </row>
    <row r="3015" spans="1:1">
      <c r="A3015" s="124"/>
    </row>
    <row r="3016" spans="1:1">
      <c r="A3016" s="124"/>
    </row>
    <row r="3017" spans="1:1">
      <c r="A3017" s="124"/>
    </row>
    <row r="3018" spans="1:1">
      <c r="A3018" s="124"/>
    </row>
    <row r="3019" spans="1:1">
      <c r="A3019" s="124"/>
    </row>
    <row r="3020" spans="1:1">
      <c r="A3020" s="124"/>
    </row>
    <row r="3021" spans="1:1">
      <c r="A3021" s="124"/>
    </row>
    <row r="3022" spans="1:1">
      <c r="A3022" s="124"/>
    </row>
    <row r="3023" spans="1:1">
      <c r="A3023" s="124"/>
    </row>
    <row r="3024" spans="1:1">
      <c r="A3024" s="124"/>
    </row>
    <row r="3025" spans="1:1">
      <c r="A3025" s="124"/>
    </row>
    <row r="3026" spans="1:1">
      <c r="A3026" s="124"/>
    </row>
    <row r="3027" spans="1:1">
      <c r="A3027" s="124"/>
    </row>
    <row r="3028" spans="1:1">
      <c r="A3028" s="124"/>
    </row>
    <row r="3029" spans="1:1">
      <c r="A3029" s="124"/>
    </row>
    <row r="3030" spans="1:1">
      <c r="A3030" s="124"/>
    </row>
    <row r="3031" spans="1:1">
      <c r="A3031" s="124"/>
    </row>
    <row r="3032" spans="1:1">
      <c r="A3032" s="124"/>
    </row>
    <row r="3033" spans="1:1">
      <c r="A3033" s="124"/>
    </row>
    <row r="3034" spans="1:1">
      <c r="A3034" s="124"/>
    </row>
    <row r="3035" spans="1:1">
      <c r="A3035" s="124"/>
    </row>
    <row r="3036" spans="1:1">
      <c r="A3036" s="124"/>
    </row>
    <row r="3037" spans="1:1">
      <c r="A3037" s="124"/>
    </row>
    <row r="3038" spans="1:1">
      <c r="A3038" s="124"/>
    </row>
    <row r="3039" spans="1:1">
      <c r="A3039" s="124"/>
    </row>
    <row r="3040" spans="1:1">
      <c r="A3040" s="124"/>
    </row>
    <row r="3041" spans="1:1">
      <c r="A3041" s="124"/>
    </row>
    <row r="3042" spans="1:1">
      <c r="A3042" s="124"/>
    </row>
    <row r="3043" spans="1:1">
      <c r="A3043" s="124"/>
    </row>
    <row r="3044" spans="1:1">
      <c r="A3044" s="124"/>
    </row>
    <row r="3045" spans="1:1">
      <c r="A3045" s="124"/>
    </row>
    <row r="3046" spans="1:1">
      <c r="A3046" s="124"/>
    </row>
    <row r="3047" spans="1:1">
      <c r="A3047" s="124"/>
    </row>
    <row r="3048" spans="1:1">
      <c r="A3048" s="124"/>
    </row>
    <row r="3049" spans="1:1">
      <c r="A3049" s="124"/>
    </row>
    <row r="3050" spans="1:1">
      <c r="A3050" s="124"/>
    </row>
    <row r="3051" spans="1:1">
      <c r="A3051" s="124"/>
    </row>
    <row r="3052" spans="1:1">
      <c r="A3052" s="124"/>
    </row>
    <row r="3053" spans="1:1">
      <c r="A3053" s="124"/>
    </row>
    <row r="3054" spans="1:1">
      <c r="A3054" s="124"/>
    </row>
    <row r="3055" spans="1:1">
      <c r="A3055" s="124"/>
    </row>
    <row r="3056" spans="1:1">
      <c r="A3056" s="124"/>
    </row>
    <row r="3057" spans="1:1">
      <c r="A3057" s="124"/>
    </row>
    <row r="3058" spans="1:1">
      <c r="A3058" s="124"/>
    </row>
    <row r="3059" spans="1:1">
      <c r="A3059" s="124"/>
    </row>
    <row r="3060" spans="1:1">
      <c r="A3060" s="124"/>
    </row>
    <row r="3061" spans="1:1">
      <c r="A3061" s="124"/>
    </row>
    <row r="3062" spans="1:1">
      <c r="A3062" s="124"/>
    </row>
    <row r="3063" spans="1:1">
      <c r="A3063" s="124"/>
    </row>
    <row r="3064" spans="1:1">
      <c r="A3064" s="124"/>
    </row>
    <row r="3065" spans="1:1">
      <c r="A3065" s="124"/>
    </row>
    <row r="3066" spans="1:1">
      <c r="A3066" s="124"/>
    </row>
    <row r="3067" spans="1:1">
      <c r="A3067" s="124"/>
    </row>
    <row r="3068" spans="1:1">
      <c r="A3068" s="124"/>
    </row>
    <row r="3069" spans="1:1">
      <c r="A3069" s="124"/>
    </row>
    <row r="3070" spans="1:1">
      <c r="A3070" s="124"/>
    </row>
    <row r="3071" spans="1:1">
      <c r="A3071" s="124"/>
    </row>
    <row r="3072" spans="1:1">
      <c r="A3072" s="124"/>
    </row>
    <row r="3073" spans="1:1">
      <c r="A3073" s="124"/>
    </row>
    <row r="3074" spans="1:1">
      <c r="A3074" s="124"/>
    </row>
    <row r="3075" spans="1:1">
      <c r="A3075" s="124"/>
    </row>
    <row r="3076" spans="1:1">
      <c r="A3076" s="124"/>
    </row>
    <row r="3077" spans="1:1">
      <c r="A3077" s="124"/>
    </row>
  </sheetData>
  <sheetProtection selectLockedCells="1"/>
  <mergeCells count="28">
    <mergeCell ref="Z2:AA2"/>
    <mergeCell ref="AB2:AD2"/>
    <mergeCell ref="AE2:AF2"/>
    <mergeCell ref="AG2:AI2"/>
    <mergeCell ref="BI1:BO1"/>
    <mergeCell ref="A49:C49"/>
    <mergeCell ref="D49:E49"/>
    <mergeCell ref="J49:R49"/>
    <mergeCell ref="H49:I49"/>
    <mergeCell ref="A1:AO1"/>
    <mergeCell ref="C2:E2"/>
    <mergeCell ref="F2:G2"/>
    <mergeCell ref="A2:B2"/>
    <mergeCell ref="H2:J2"/>
    <mergeCell ref="K2:L2"/>
    <mergeCell ref="M2:O2"/>
    <mergeCell ref="P2:Q2"/>
    <mergeCell ref="R2:T2"/>
    <mergeCell ref="U2:V2"/>
    <mergeCell ref="W2:Y2"/>
    <mergeCell ref="AE3:AI3"/>
    <mergeCell ref="A3:E3"/>
    <mergeCell ref="AJ3:AN3"/>
    <mergeCell ref="Z3:AD3"/>
    <mergeCell ref="U3:Y3"/>
    <mergeCell ref="P3:T3"/>
    <mergeCell ref="K3:O3"/>
    <mergeCell ref="F3:J3"/>
  </mergeCells>
  <phoneticPr fontId="6" type="noConversion"/>
  <conditionalFormatting sqref="AW3">
    <cfRule type="duplicateValues" dxfId="57" priority="4"/>
  </conditionalFormatting>
  <conditionalFormatting sqref="AW4:AW6">
    <cfRule type="duplicateValues" dxfId="56" priority="16"/>
  </conditionalFormatting>
  <conditionalFormatting sqref="AW18">
    <cfRule type="duplicateValues" dxfId="55" priority="24"/>
  </conditionalFormatting>
  <conditionalFormatting sqref="AW21 AW8:AW9">
    <cfRule type="duplicateValues" dxfId="54" priority="35"/>
  </conditionalFormatting>
  <conditionalFormatting sqref="AW23:AW25 AW14:AW17 AW11 AW2">
    <cfRule type="duplicateValues" dxfId="53" priority="38"/>
  </conditionalFormatting>
  <conditionalFormatting sqref="AW21 AW14:AW18 AW11 AW23:AW25 AW2:AW6 AW8:AW9">
    <cfRule type="duplicateValues" dxfId="52" priority="59"/>
  </conditionalFormatting>
  <dataValidations count="11">
    <dataValidation type="list" allowBlank="1" showInputMessage="1" showErrorMessage="1" sqref="N66:Q66">
      <formula1>#REF!</formula1>
    </dataValidation>
    <dataValidation type="list" allowBlank="1" showInputMessage="1" showErrorMessage="1" sqref="AQ2">
      <formula1>$AW$2:$AW$25</formula1>
    </dataValidation>
    <dataValidation type="list" allowBlank="1" showInputMessage="1" showErrorMessage="1" sqref="AS2">
      <formula1>#REF!</formula1>
    </dataValidation>
    <dataValidation type="list" allowBlank="1" showInputMessage="1" showErrorMessage="1" sqref="M2">
      <formula1>$AZ$5:$AZ$15</formula1>
    </dataValidation>
    <dataValidation type="list" allowBlank="1" showInputMessage="1" showErrorMessage="1" sqref="F5:F20 F23:F32">
      <formula1>$BI$3:$BI$10</formula1>
    </dataValidation>
    <dataValidation type="list" allowBlank="1" showInputMessage="1" showErrorMessage="1" sqref="K5:K20 K23:K32">
      <formula1>$BJ$3:$BJ$7</formula1>
    </dataValidation>
    <dataValidation type="list" allowBlank="1" showInputMessage="1" showErrorMessage="1" sqref="P5:P20 P23:P32">
      <formula1>$BK$3:$BK$18</formula1>
    </dataValidation>
    <dataValidation type="list" allowBlank="1" showInputMessage="1" showErrorMessage="1" sqref="U5:U20 U23:U32">
      <formula1>$BL$3:$BL$5</formula1>
    </dataValidation>
    <dataValidation type="list" allowBlank="1" showInputMessage="1" showErrorMessage="1" sqref="Z5:Z20 Z23:Z32">
      <formula1>$BM$3:$BM$6</formula1>
    </dataValidation>
    <dataValidation type="list" allowBlank="1" showInputMessage="1" showErrorMessage="1" sqref="AE23:AE32 AE5:AE20">
      <formula1>$BM$7:$BM$17</formula1>
    </dataValidation>
    <dataValidation type="list" allowBlank="1" showInputMessage="1" showErrorMessage="1" sqref="AJ5:AJ20 AJ23:AJ32">
      <formula1>$BN$3:$BN$6</formula1>
    </dataValidation>
  </dataValidations>
  <printOptions horizontalCentered="1"/>
  <pageMargins left="0" right="0" top="0.11811023622047245" bottom="0.11811023622047245" header="0" footer="0"/>
  <pageSetup paperSize="9" scale="78" orientation="landscape" horizontalDpi="180" verticalDpi="18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30"/>
  <sheetViews>
    <sheetView showGridLines="0" view="pageBreakPreview" topLeftCell="A7" zoomScaleSheetLayoutView="100" workbookViewId="0">
      <selection activeCell="E27" sqref="E27"/>
    </sheetView>
  </sheetViews>
  <sheetFormatPr defaultRowHeight="18.75" customHeight="1"/>
  <cols>
    <col min="1" max="1" width="7.25" customWidth="1"/>
    <col min="2" max="2" width="15.5" customWidth="1"/>
    <col min="3" max="3" width="8.875" customWidth="1"/>
    <col min="4" max="4" width="10.25" customWidth="1"/>
    <col min="5" max="6" width="6.75" customWidth="1"/>
    <col min="7" max="7" width="16.5" customWidth="1"/>
    <col min="8" max="8" width="6.5" customWidth="1"/>
    <col min="9" max="9" width="16.25" customWidth="1"/>
    <col min="10" max="10" width="11.25" customWidth="1"/>
    <col min="11" max="11" width="7.625" customWidth="1"/>
    <col min="12" max="12" width="7" customWidth="1"/>
    <col min="13" max="13" width="8.375" style="230" customWidth="1"/>
    <col min="14" max="14" width="9.25" style="230" customWidth="1"/>
    <col min="15" max="15" width="16.375" style="230" customWidth="1"/>
    <col min="16" max="16" width="13.75" style="230" customWidth="1"/>
    <col min="17" max="17" width="9" style="230"/>
    <col min="18" max="18" width="7.25" style="230" customWidth="1"/>
    <col min="19" max="19" width="20.75" style="230" customWidth="1"/>
    <col min="20" max="20" width="15.375" style="230" customWidth="1"/>
    <col min="21" max="21" width="10.25" style="230" customWidth="1"/>
    <col min="22" max="22" width="11.125" style="237" customWidth="1"/>
    <col min="23" max="23" width="22.375" style="230" customWidth="1"/>
    <col min="24" max="24" width="7.125" style="237" customWidth="1"/>
    <col min="25" max="25" width="10.25" style="237" customWidth="1"/>
  </cols>
  <sheetData>
    <row r="1" spans="1:35" ht="22.5" customHeight="1">
      <c r="A1" s="731" t="s">
        <v>1052</v>
      </c>
      <c r="B1" s="731"/>
      <c r="C1" s="731"/>
      <c r="D1" s="731"/>
      <c r="E1" s="731"/>
      <c r="F1" s="731"/>
      <c r="G1" s="731"/>
      <c r="H1" s="731"/>
      <c r="I1" s="731"/>
      <c r="J1" s="731"/>
      <c r="K1" s="731"/>
      <c r="L1" s="731"/>
      <c r="M1" s="168"/>
      <c r="N1" s="168"/>
      <c r="O1" s="168"/>
      <c r="P1" s="168"/>
      <c r="Q1" s="168"/>
      <c r="R1" s="168"/>
      <c r="S1" s="168"/>
      <c r="T1" s="168"/>
      <c r="U1" s="168"/>
      <c r="V1" s="204"/>
      <c r="W1" s="168"/>
      <c r="X1" s="204"/>
      <c r="Y1" s="204"/>
      <c r="Z1" s="168"/>
      <c r="AA1" s="168"/>
      <c r="AB1" s="168"/>
      <c r="AC1" s="168"/>
      <c r="AD1" s="118"/>
      <c r="AE1" s="118"/>
      <c r="AF1" s="86"/>
      <c r="AG1" s="82"/>
      <c r="AH1" s="96"/>
      <c r="AI1" s="96"/>
    </row>
    <row r="2" spans="1:35" ht="18.75" customHeight="1">
      <c r="A2" s="214" t="s">
        <v>36</v>
      </c>
      <c r="B2" s="214">
        <f>下料单!C2</f>
        <v>0</v>
      </c>
      <c r="C2" s="214" t="s">
        <v>447</v>
      </c>
      <c r="D2" s="214">
        <f>下料单!H2</f>
        <v>0</v>
      </c>
      <c r="E2" s="217"/>
      <c r="F2" s="217"/>
      <c r="G2" s="217"/>
      <c r="H2" s="217"/>
      <c r="I2" s="215" t="s">
        <v>451</v>
      </c>
      <c r="J2" s="215">
        <f>下料单!AG2</f>
        <v>43076</v>
      </c>
      <c r="K2" s="216" t="s">
        <v>498</v>
      </c>
      <c r="L2" s="216" t="str">
        <f>下料单!AQ2</f>
        <v>简爱</v>
      </c>
      <c r="O2" s="166"/>
      <c r="P2" s="231"/>
      <c r="Q2" s="167"/>
      <c r="R2" s="167"/>
      <c r="S2" s="231"/>
      <c r="T2" s="231"/>
      <c r="U2" s="167"/>
      <c r="V2" s="123"/>
      <c r="AE2" s="81"/>
    </row>
    <row r="3" spans="1:35" ht="18.75" customHeight="1">
      <c r="A3" s="1"/>
      <c r="B3" s="217"/>
      <c r="C3" s="214" t="s">
        <v>448</v>
      </c>
      <c r="D3" s="214">
        <f>下料单!R2</f>
        <v>0</v>
      </c>
      <c r="E3" s="214"/>
      <c r="F3" s="214"/>
      <c r="G3" s="217"/>
      <c r="H3" s="217"/>
      <c r="I3" s="214" t="s">
        <v>450</v>
      </c>
      <c r="J3" s="214">
        <f>下料单!AB2</f>
        <v>43075</v>
      </c>
      <c r="K3" s="214" t="s">
        <v>16</v>
      </c>
      <c r="L3" s="214">
        <f>下料单!W2</f>
        <v>0</v>
      </c>
      <c r="O3" s="166"/>
      <c r="P3" s="231"/>
      <c r="Q3" s="167"/>
      <c r="R3" s="167"/>
      <c r="S3" s="231"/>
      <c r="T3" s="231"/>
      <c r="U3" s="167"/>
      <c r="V3" s="123"/>
      <c r="AE3" s="95"/>
    </row>
    <row r="4" spans="1:35" ht="18.75" customHeight="1">
      <c r="A4" s="72" t="s">
        <v>455</v>
      </c>
      <c r="B4" s="72" t="s">
        <v>456</v>
      </c>
      <c r="C4" s="730" t="s">
        <v>644</v>
      </c>
      <c r="D4" s="730"/>
      <c r="E4" s="72" t="s">
        <v>499</v>
      </c>
      <c r="F4" s="72" t="s">
        <v>4</v>
      </c>
      <c r="G4" s="72" t="s">
        <v>500</v>
      </c>
      <c r="H4" s="72" t="s">
        <v>455</v>
      </c>
      <c r="I4" s="176" t="s">
        <v>501</v>
      </c>
      <c r="J4" s="72" t="s">
        <v>457</v>
      </c>
      <c r="K4" s="72" t="s">
        <v>431</v>
      </c>
      <c r="L4" s="72" t="s">
        <v>458</v>
      </c>
      <c r="M4" s="123"/>
      <c r="N4" s="232" t="str">
        <f>+B5</f>
        <v xml:space="preserve">铝扣条（氧化铝16mm板用）6米/支 </v>
      </c>
      <c r="O4" s="232" t="str">
        <f>+I5</f>
        <v>层板铝扣条16mm板用</v>
      </c>
      <c r="P4" s="233" t="str">
        <f>+I19</f>
        <v>水灶柜铝
制横梁</v>
      </c>
      <c r="Q4" s="241" t="s">
        <v>445</v>
      </c>
      <c r="R4" s="231"/>
      <c r="S4" s="231"/>
      <c r="T4" s="231"/>
      <c r="U4" s="239" t="str">
        <f>VLOOKUP($B$17,$T$5:$X$10,2,FALSE)</f>
        <v>布纹玻璃</v>
      </c>
      <c r="V4" s="239" t="str">
        <f>VLOOKUP($B$17,$T$5:$X$10,3,FALSE)</f>
        <v>LC-032铝框门</v>
      </c>
      <c r="W4" s="239" t="str">
        <f>VLOOKUP($B$17,$T$5:$X$10,4,FALSE)</f>
        <v>铝框（氧化铝JF299）3.5米/支</v>
      </c>
      <c r="X4" s="240">
        <f>VLOOKUP($B$17,$T$5:$X$10,5,FALSE)</f>
        <v>4</v>
      </c>
    </row>
    <row r="5" spans="1:35" ht="18.75" customHeight="1">
      <c r="A5" s="281">
        <v>2</v>
      </c>
      <c r="B5" s="291" t="s">
        <v>1586</v>
      </c>
      <c r="C5" s="732" t="s">
        <v>1587</v>
      </c>
      <c r="D5" s="732"/>
      <c r="E5" s="157">
        <v>1</v>
      </c>
      <c r="F5" s="281" t="s">
        <v>336</v>
      </c>
      <c r="G5" s="292" t="str">
        <f>+IF(C5&gt;0,"注意高度见设计师要求、","")</f>
        <v>注意高度见设计师要求、</v>
      </c>
      <c r="H5" s="281">
        <v>1</v>
      </c>
      <c r="I5" s="157" t="s">
        <v>460</v>
      </c>
      <c r="J5" s="281">
        <f>下料单!AB5</f>
        <v>-34</v>
      </c>
      <c r="K5" s="281">
        <v>1</v>
      </c>
      <c r="L5" s="281" t="s">
        <v>459</v>
      </c>
      <c r="M5" s="123"/>
      <c r="N5" s="234" t="e">
        <f>+IF(E5&gt;0,C5*E5,"")</f>
        <v>#VALUE!</v>
      </c>
      <c r="O5" s="234" t="str">
        <f>+IF(J5&gt;0,J5*K5,"")</f>
        <v/>
      </c>
      <c r="P5" s="234" t="str">
        <f>+IF(N20&gt;0,J20*K20,"")</f>
        <v/>
      </c>
      <c r="Q5" s="235">
        <f>+(铝材玻璃单!C13+铝材玻璃单!D13)*2*E13/1000/0.85</f>
        <v>0</v>
      </c>
      <c r="R5" s="167"/>
      <c r="S5" s="167"/>
      <c r="T5" s="229" t="s">
        <v>699</v>
      </c>
      <c r="U5" s="229" t="s">
        <v>700</v>
      </c>
      <c r="V5" s="238" t="s">
        <v>466</v>
      </c>
      <c r="W5" s="229" t="s">
        <v>467</v>
      </c>
      <c r="X5" s="229" t="s">
        <v>444</v>
      </c>
    </row>
    <row r="6" spans="1:35" ht="18.75" customHeight="1">
      <c r="A6" s="115">
        <v>3</v>
      </c>
      <c r="B6" s="116" t="s">
        <v>1586</v>
      </c>
      <c r="C6" s="726" t="s">
        <v>1587</v>
      </c>
      <c r="D6" s="726"/>
      <c r="E6" s="213">
        <v>1</v>
      </c>
      <c r="F6" s="115" t="s">
        <v>336</v>
      </c>
      <c r="G6" s="289" t="str">
        <f t="shared" ref="G6:G12" si="0">+IF(C6&gt;0,"注意高度见设计师要求、","")</f>
        <v>注意高度见设计师要求、</v>
      </c>
      <c r="H6" s="115">
        <v>2</v>
      </c>
      <c r="I6" s="145"/>
      <c r="J6" s="115">
        <f>下料单!AB6</f>
        <v>-34</v>
      </c>
      <c r="K6" s="115" t="str">
        <f>+IF(J6&gt;0,VLOOKUP(J6,下料单!$AB$5:$AD$47,3,0),"")</f>
        <v/>
      </c>
      <c r="L6" s="115" t="s">
        <v>459</v>
      </c>
      <c r="M6" s="123"/>
      <c r="N6" s="234" t="e">
        <f t="shared" ref="N6:N12" si="1">+IF(E6&gt;0,C6*E6,"")</f>
        <v>#VALUE!</v>
      </c>
      <c r="O6" s="234" t="str">
        <f t="shared" ref="O6:O18" si="2">+IF(J6&gt;0,J6*K6,"")</f>
        <v/>
      </c>
      <c r="P6" s="234" t="str">
        <f t="shared" ref="P6:P10" si="3">+IF(N21&gt;0,J21*K21,"")</f>
        <v/>
      </c>
      <c r="Q6" s="235">
        <f>+(铝材玻璃单!C14+铝材玻璃单!D14)*2*E14/1000/0.85</f>
        <v>0</v>
      </c>
      <c r="R6" s="167"/>
      <c r="S6" s="167"/>
      <c r="T6" s="128"/>
      <c r="U6" s="236"/>
      <c r="V6" s="238"/>
      <c r="W6" s="128"/>
      <c r="X6" s="229"/>
    </row>
    <row r="7" spans="1:35" ht="18.75" customHeight="1">
      <c r="A7" s="115">
        <v>4</v>
      </c>
      <c r="B7" s="116" t="s">
        <v>1586</v>
      </c>
      <c r="C7" s="726" t="s">
        <v>1587</v>
      </c>
      <c r="D7" s="726"/>
      <c r="E7" s="213">
        <v>1</v>
      </c>
      <c r="F7" s="115" t="s">
        <v>336</v>
      </c>
      <c r="G7" s="289" t="str">
        <f t="shared" si="0"/>
        <v>注意高度见设计师要求、</v>
      </c>
      <c r="H7" s="115">
        <v>3</v>
      </c>
      <c r="I7" s="145"/>
      <c r="J7" s="115">
        <f>下料单!AB7</f>
        <v>-35</v>
      </c>
      <c r="K7" s="115" t="str">
        <f>+IF(J7&gt;0,VLOOKUP(J7,下料单!$AB$5:$AD$47,3,0),"")</f>
        <v/>
      </c>
      <c r="L7" s="115" t="s">
        <v>459</v>
      </c>
      <c r="M7" s="123"/>
      <c r="N7" s="234" t="e">
        <f t="shared" si="1"/>
        <v>#VALUE!</v>
      </c>
      <c r="O7" s="234" t="str">
        <f t="shared" si="2"/>
        <v/>
      </c>
      <c r="P7" s="234" t="str">
        <f t="shared" si="3"/>
        <v/>
      </c>
      <c r="Q7" s="235">
        <f>+(铝材玻璃单!C15+铝材玻璃单!D15)*2*E15/1000/0.85</f>
        <v>0</v>
      </c>
      <c r="R7" s="167"/>
      <c r="S7" s="231"/>
      <c r="T7" s="128" t="s">
        <v>470</v>
      </c>
      <c r="U7" s="128" t="s">
        <v>701</v>
      </c>
      <c r="V7" s="238" t="s">
        <v>471</v>
      </c>
      <c r="W7" s="128" t="s">
        <v>472</v>
      </c>
      <c r="X7" s="229">
        <v>4</v>
      </c>
    </row>
    <row r="8" spans="1:35" ht="18.75" customHeight="1">
      <c r="A8" s="115">
        <v>5</v>
      </c>
      <c r="B8" s="116" t="s">
        <v>1586</v>
      </c>
      <c r="C8" s="726" t="s">
        <v>1588</v>
      </c>
      <c r="D8" s="726"/>
      <c r="E8" s="213">
        <v>1</v>
      </c>
      <c r="F8" s="115" t="s">
        <v>336</v>
      </c>
      <c r="G8" s="289" t="str">
        <f t="shared" si="0"/>
        <v>注意高度见设计师要求、</v>
      </c>
      <c r="H8" s="115">
        <v>4</v>
      </c>
      <c r="I8" s="145"/>
      <c r="J8" s="115">
        <f>下料单!AB8</f>
        <v>-35</v>
      </c>
      <c r="K8" s="115" t="str">
        <f>+IF(J8&gt;0,VLOOKUP(J8,下料单!$AB$5:$AD$47,3,0),"")</f>
        <v/>
      </c>
      <c r="L8" s="115" t="s">
        <v>459</v>
      </c>
      <c r="M8" s="123"/>
      <c r="N8" s="234" t="e">
        <f t="shared" si="1"/>
        <v>#VALUE!</v>
      </c>
      <c r="O8" s="234" t="str">
        <f t="shared" si="2"/>
        <v/>
      </c>
      <c r="P8" s="234" t="str">
        <f t="shared" si="3"/>
        <v/>
      </c>
      <c r="Q8" s="235">
        <f>+(铝材玻璃单!C16+铝材玻璃单!D16)*2*E16/1000/0.85</f>
        <v>0</v>
      </c>
      <c r="R8" s="167"/>
      <c r="S8" s="231"/>
      <c r="T8" s="128" t="s">
        <v>473</v>
      </c>
      <c r="U8" s="128" t="s">
        <v>395</v>
      </c>
      <c r="V8" s="238" t="s">
        <v>212</v>
      </c>
      <c r="W8" s="128" t="s">
        <v>472</v>
      </c>
      <c r="X8" s="229">
        <v>4</v>
      </c>
    </row>
    <row r="9" spans="1:35" ht="18.75" customHeight="1">
      <c r="A9" s="115">
        <v>6</v>
      </c>
      <c r="B9" s="116" t="s">
        <v>1586</v>
      </c>
      <c r="C9" s="726" t="s">
        <v>1589</v>
      </c>
      <c r="D9" s="726"/>
      <c r="E9" s="213">
        <v>1</v>
      </c>
      <c r="F9" s="115" t="s">
        <v>336</v>
      </c>
      <c r="G9" s="289" t="str">
        <f t="shared" si="0"/>
        <v>注意高度见设计师要求、</v>
      </c>
      <c r="H9" s="115">
        <v>5</v>
      </c>
      <c r="I9" s="145"/>
      <c r="J9" s="115">
        <f>下料单!AB9</f>
        <v>-35</v>
      </c>
      <c r="K9" s="115" t="str">
        <f>+IF(J9&gt;0,VLOOKUP(J9,下料单!$AB$5:$AD$47,3,0),"")</f>
        <v/>
      </c>
      <c r="L9" s="115" t="s">
        <v>459</v>
      </c>
      <c r="M9" s="123"/>
      <c r="N9" s="234" t="e">
        <f t="shared" si="1"/>
        <v>#VALUE!</v>
      </c>
      <c r="O9" s="234" t="str">
        <f t="shared" si="2"/>
        <v/>
      </c>
      <c r="P9" s="234" t="str">
        <f t="shared" si="3"/>
        <v/>
      </c>
      <c r="Q9" s="231"/>
      <c r="R9" s="167"/>
      <c r="S9" s="231"/>
      <c r="T9" s="128" t="s">
        <v>476</v>
      </c>
      <c r="U9" s="128" t="s">
        <v>702</v>
      </c>
      <c r="V9" s="238" t="s">
        <v>213</v>
      </c>
      <c r="W9" s="128" t="s">
        <v>477</v>
      </c>
      <c r="X9" s="229">
        <v>5</v>
      </c>
    </row>
    <row r="10" spans="1:35" ht="18.75" customHeight="1">
      <c r="A10" s="115">
        <v>7</v>
      </c>
      <c r="B10" s="116" t="s">
        <v>1586</v>
      </c>
      <c r="C10" s="726" t="s">
        <v>1590</v>
      </c>
      <c r="D10" s="726"/>
      <c r="E10" s="213">
        <v>1</v>
      </c>
      <c r="F10" s="115" t="s">
        <v>336</v>
      </c>
      <c r="G10" s="289" t="str">
        <f t="shared" si="0"/>
        <v>注意高度见设计师要求、</v>
      </c>
      <c r="H10" s="115">
        <v>6</v>
      </c>
      <c r="I10" s="145"/>
      <c r="J10" s="115">
        <f>下料单!AB10</f>
        <v>-35</v>
      </c>
      <c r="K10" s="115" t="str">
        <f>+IF(J10&gt;0,VLOOKUP(J10,下料单!$AB$5:$AD$47,3,0),"")</f>
        <v/>
      </c>
      <c r="L10" s="115" t="s">
        <v>459</v>
      </c>
      <c r="M10" s="123"/>
      <c r="N10" s="234" t="e">
        <f t="shared" si="1"/>
        <v>#VALUE!</v>
      </c>
      <c r="O10" s="234" t="str">
        <f t="shared" si="2"/>
        <v/>
      </c>
      <c r="P10" s="234" t="str">
        <f t="shared" si="3"/>
        <v/>
      </c>
      <c r="Q10" s="231"/>
      <c r="R10" s="167"/>
      <c r="S10" s="231"/>
      <c r="T10" s="128" t="s">
        <v>478</v>
      </c>
      <c r="U10" s="128" t="s">
        <v>703</v>
      </c>
      <c r="V10" s="238" t="s">
        <v>213</v>
      </c>
      <c r="W10" s="128" t="s">
        <v>477</v>
      </c>
      <c r="X10" s="229">
        <v>5</v>
      </c>
      <c r="Y10" s="241"/>
    </row>
    <row r="11" spans="1:35" ht="18.75" customHeight="1">
      <c r="A11" s="115">
        <v>8</v>
      </c>
      <c r="B11" s="116"/>
      <c r="C11" s="726"/>
      <c r="D11" s="726"/>
      <c r="E11" s="213"/>
      <c r="F11" s="115" t="s">
        <v>336</v>
      </c>
      <c r="G11" s="289" t="str">
        <f t="shared" si="0"/>
        <v/>
      </c>
      <c r="H11" s="115">
        <v>7</v>
      </c>
      <c r="I11" s="145"/>
      <c r="J11" s="115">
        <f>下料单!AB11</f>
        <v>-35</v>
      </c>
      <c r="K11" s="115" t="str">
        <f>+IF(J11&gt;0,VLOOKUP(J11,下料单!$AB$5:$AD$47,3,0),"")</f>
        <v/>
      </c>
      <c r="L11" s="115" t="s">
        <v>459</v>
      </c>
      <c r="M11" s="123"/>
      <c r="N11" s="234" t="str">
        <f t="shared" si="1"/>
        <v/>
      </c>
      <c r="O11" s="234" t="str">
        <f t="shared" si="2"/>
        <v/>
      </c>
      <c r="P11" s="233"/>
      <c r="Q11" s="231"/>
      <c r="R11" s="231"/>
      <c r="S11" s="231"/>
      <c r="T11" s="231"/>
    </row>
    <row r="12" spans="1:35" ht="18.75" customHeight="1">
      <c r="A12" s="115">
        <v>9</v>
      </c>
      <c r="B12" s="116"/>
      <c r="C12" s="726"/>
      <c r="D12" s="726"/>
      <c r="E12" s="213"/>
      <c r="F12" s="115" t="s">
        <v>336</v>
      </c>
      <c r="G12" s="289" t="str">
        <f t="shared" si="0"/>
        <v/>
      </c>
      <c r="H12" s="115">
        <v>8</v>
      </c>
      <c r="I12" s="145"/>
      <c r="J12" s="115">
        <f>下料单!AB12</f>
        <v>-35</v>
      </c>
      <c r="K12" s="115" t="str">
        <f>+IF(J12&gt;0,VLOOKUP(J12,下料单!$AB$5:$AD$47,3,0),"")</f>
        <v/>
      </c>
      <c r="L12" s="115" t="s">
        <v>459</v>
      </c>
      <c r="M12" s="123"/>
      <c r="N12" s="234" t="str">
        <f t="shared" si="1"/>
        <v/>
      </c>
      <c r="O12" s="234" t="str">
        <f t="shared" si="2"/>
        <v/>
      </c>
      <c r="P12" s="233"/>
      <c r="Q12" s="231"/>
      <c r="R12" s="231"/>
      <c r="S12" s="231"/>
      <c r="T12" s="231"/>
    </row>
    <row r="13" spans="1:35" ht="18.75" customHeight="1">
      <c r="A13" s="115">
        <v>10</v>
      </c>
      <c r="B13" s="288" t="str">
        <f>V4</f>
        <v>LC-032铝框门</v>
      </c>
      <c r="C13" s="727"/>
      <c r="D13" s="728"/>
      <c r="E13" s="213">
        <v>1</v>
      </c>
      <c r="F13" s="213"/>
      <c r="G13" s="116"/>
      <c r="H13" s="115">
        <v>9</v>
      </c>
      <c r="I13" s="145"/>
      <c r="J13" s="115">
        <f>下料单!AB13</f>
        <v>-35</v>
      </c>
      <c r="K13" s="115" t="str">
        <f>+IF(J13&gt;0,VLOOKUP(J13,下料单!$AB$5:$AD$47,3,0),"")</f>
        <v/>
      </c>
      <c r="L13" s="115" t="s">
        <v>459</v>
      </c>
      <c r="M13" s="123"/>
      <c r="N13" s="233"/>
      <c r="O13" s="234" t="str">
        <f t="shared" si="2"/>
        <v/>
      </c>
      <c r="P13" s="233"/>
      <c r="Q13" s="231"/>
      <c r="R13" s="231"/>
      <c r="S13" s="231"/>
      <c r="T13" s="231"/>
    </row>
    <row r="14" spans="1:35" ht="18.75" customHeight="1">
      <c r="A14" s="115">
        <v>11</v>
      </c>
      <c r="B14" s="290"/>
      <c r="C14" s="280"/>
      <c r="D14" s="280"/>
      <c r="E14" s="213"/>
      <c r="F14" s="115" t="s">
        <v>352</v>
      </c>
      <c r="G14" s="116"/>
      <c r="H14" s="115">
        <v>10</v>
      </c>
      <c r="I14" s="145"/>
      <c r="J14" s="115">
        <f>下料单!AB14</f>
        <v>-35</v>
      </c>
      <c r="K14" s="115" t="str">
        <f>+IF(J14&gt;0,VLOOKUP(J14,下料单!$AB$5:$AD$47,3,0),"")</f>
        <v/>
      </c>
      <c r="L14" s="115" t="s">
        <v>459</v>
      </c>
      <c r="M14" s="123"/>
      <c r="N14" s="233"/>
      <c r="O14" s="234" t="str">
        <f t="shared" si="2"/>
        <v/>
      </c>
      <c r="P14" s="233"/>
      <c r="Q14" s="231"/>
      <c r="R14" s="231"/>
      <c r="S14" s="231"/>
      <c r="T14" s="231"/>
    </row>
    <row r="15" spans="1:35" ht="18.75" customHeight="1">
      <c r="A15" s="115">
        <v>12</v>
      </c>
      <c r="B15" s="290"/>
      <c r="C15" s="283"/>
      <c r="D15" s="283"/>
      <c r="E15" s="213"/>
      <c r="F15" s="115" t="s">
        <v>352</v>
      </c>
      <c r="G15" s="116"/>
      <c r="H15" s="115">
        <v>11</v>
      </c>
      <c r="I15" s="145"/>
      <c r="J15" s="115">
        <f>下料单!AB15</f>
        <v>-35</v>
      </c>
      <c r="K15" s="115" t="str">
        <f>+IF(J15&gt;0,VLOOKUP(J15,下料单!$AB$5:$AD$47,3,0),"")</f>
        <v/>
      </c>
      <c r="L15" s="115" t="s">
        <v>459</v>
      </c>
      <c r="M15" s="123"/>
      <c r="N15" s="233"/>
      <c r="O15" s="234" t="str">
        <f t="shared" si="2"/>
        <v/>
      </c>
      <c r="P15" s="233"/>
      <c r="Q15" s="231"/>
      <c r="R15" s="231"/>
      <c r="S15" s="231"/>
      <c r="T15" s="231"/>
    </row>
    <row r="16" spans="1:35" ht="18.75" customHeight="1">
      <c r="A16" s="115">
        <v>13</v>
      </c>
      <c r="B16" s="290"/>
      <c r="C16" s="280"/>
      <c r="D16" s="280"/>
      <c r="E16" s="213"/>
      <c r="F16" s="115" t="s">
        <v>352</v>
      </c>
      <c r="G16" s="116"/>
      <c r="H16" s="115">
        <v>12</v>
      </c>
      <c r="I16" s="145"/>
      <c r="J16" s="115">
        <f>下料单!AB16</f>
        <v>-35</v>
      </c>
      <c r="K16" s="115" t="str">
        <f>+IF(J16&gt;0,VLOOKUP(J16,下料单!$AB$5:$AD$47,3,0),"")</f>
        <v/>
      </c>
      <c r="L16" s="115" t="s">
        <v>459</v>
      </c>
      <c r="M16" s="123"/>
      <c r="N16" s="233"/>
      <c r="O16" s="234" t="str">
        <f t="shared" si="2"/>
        <v/>
      </c>
      <c r="P16" s="233"/>
      <c r="Q16" s="231"/>
      <c r="R16" s="231"/>
      <c r="S16" s="231"/>
      <c r="T16" s="231"/>
    </row>
    <row r="17" spans="1:35" ht="18.75" customHeight="1">
      <c r="A17" s="115">
        <v>14</v>
      </c>
      <c r="B17" s="288" t="s">
        <v>1043</v>
      </c>
      <c r="C17" s="727"/>
      <c r="D17" s="729"/>
      <c r="E17" s="729"/>
      <c r="F17" s="729"/>
      <c r="G17" s="728"/>
      <c r="H17" s="115">
        <v>13</v>
      </c>
      <c r="I17" s="145"/>
      <c r="J17" s="115">
        <f>下料单!AB17</f>
        <v>-35</v>
      </c>
      <c r="K17" s="115" t="str">
        <f>+IF(J17&gt;0,VLOOKUP(J17,下料单!$AB$5:$AD$47,3,0),"")</f>
        <v/>
      </c>
      <c r="L17" s="115" t="s">
        <v>459</v>
      </c>
      <c r="M17" s="123"/>
      <c r="N17" s="233"/>
      <c r="O17" s="234" t="str">
        <f t="shared" si="2"/>
        <v/>
      </c>
      <c r="P17" s="233"/>
      <c r="Q17" s="231"/>
      <c r="R17" s="231"/>
      <c r="S17" s="231"/>
      <c r="T17" s="231"/>
    </row>
    <row r="18" spans="1:35" ht="18.75" customHeight="1">
      <c r="A18" s="115">
        <v>15</v>
      </c>
      <c r="B18" s="288" t="str">
        <f>U4</f>
        <v>布纹玻璃</v>
      </c>
      <c r="C18" s="115" t="str">
        <f>+IF(C14&lt;&gt;0,C14-X4,"")</f>
        <v/>
      </c>
      <c r="D18" s="115" t="str">
        <f>+IF(D14&lt;&gt;0,D14-X4,"")</f>
        <v/>
      </c>
      <c r="E18" s="115">
        <v>1</v>
      </c>
      <c r="F18" s="115" t="s">
        <v>352</v>
      </c>
      <c r="G18" s="116"/>
      <c r="H18" s="115">
        <v>14</v>
      </c>
      <c r="I18" s="145"/>
      <c r="J18" s="115">
        <f>下料单!AB18</f>
        <v>-35</v>
      </c>
      <c r="K18" s="115" t="str">
        <f>+IF(J18&gt;0,VLOOKUP(J18,下料单!$AB$5:$AD$47,3,0),"")</f>
        <v/>
      </c>
      <c r="L18" s="115" t="s">
        <v>459</v>
      </c>
      <c r="M18" s="123"/>
      <c r="N18" s="233"/>
      <c r="O18" s="234" t="str">
        <f t="shared" si="2"/>
        <v/>
      </c>
      <c r="P18" s="233"/>
      <c r="Q18" s="231"/>
      <c r="R18" s="231"/>
      <c r="S18" s="231"/>
      <c r="T18" s="231"/>
    </row>
    <row r="19" spans="1:35" ht="18.75" customHeight="1">
      <c r="A19" s="115">
        <v>16</v>
      </c>
      <c r="B19" s="288" t="str">
        <f>B18</f>
        <v>布纹玻璃</v>
      </c>
      <c r="C19" s="115" t="str">
        <f t="shared" ref="C19:C20" si="4">+IF(C15&lt;&gt;0,C15-C42,"")</f>
        <v/>
      </c>
      <c r="D19" s="115" t="str">
        <f t="shared" ref="D19:D20" si="5">+IF(D15&lt;&gt;0,D15-C42,"")</f>
        <v/>
      </c>
      <c r="E19" s="115">
        <v>1</v>
      </c>
      <c r="F19" s="115" t="s">
        <v>352</v>
      </c>
      <c r="G19" s="116"/>
      <c r="H19" s="115">
        <v>15</v>
      </c>
      <c r="I19" s="116" t="s">
        <v>7</v>
      </c>
      <c r="J19" s="145"/>
      <c r="K19" s="145">
        <v>1</v>
      </c>
      <c r="L19" s="115"/>
      <c r="M19" s="205" t="s">
        <v>442</v>
      </c>
      <c r="N19" s="234" t="s">
        <v>443</v>
      </c>
      <c r="O19" s="233"/>
      <c r="P19" s="233"/>
      <c r="Q19" s="231"/>
      <c r="R19" s="231"/>
      <c r="S19" s="231"/>
      <c r="T19" s="231"/>
    </row>
    <row r="20" spans="1:35" ht="18.75" customHeight="1">
      <c r="A20" s="115">
        <v>17</v>
      </c>
      <c r="B20" s="288" t="str">
        <f>B18</f>
        <v>布纹玻璃</v>
      </c>
      <c r="C20" s="115" t="str">
        <f t="shared" si="4"/>
        <v/>
      </c>
      <c r="D20" s="115" t="str">
        <f t="shared" si="5"/>
        <v/>
      </c>
      <c r="E20" s="115">
        <v>1</v>
      </c>
      <c r="F20" s="115" t="s">
        <v>352</v>
      </c>
      <c r="G20" s="116"/>
      <c r="H20" s="115">
        <v>16</v>
      </c>
      <c r="I20" s="145"/>
      <c r="J20" s="282" t="str">
        <f t="shared" ref="J20:J25" si="6">IF(M20&gt;0,M20-33,"")</f>
        <v/>
      </c>
      <c r="K20" s="115" t="str">
        <f t="shared" ref="K20:K25" si="7">+IF(N20&gt;0,N20,"")</f>
        <v/>
      </c>
      <c r="L20" s="115" t="s">
        <v>459</v>
      </c>
      <c r="M20" s="205"/>
      <c r="N20" s="202"/>
      <c r="O20" s="233"/>
      <c r="P20" s="233"/>
      <c r="Q20" s="231"/>
      <c r="R20" s="231"/>
      <c r="S20" s="231"/>
      <c r="T20" s="231"/>
    </row>
    <row r="21" spans="1:35" ht="18.75" customHeight="1">
      <c r="A21" s="115">
        <v>18</v>
      </c>
      <c r="B21" s="288"/>
      <c r="C21" s="116"/>
      <c r="D21" s="116"/>
      <c r="E21" s="213"/>
      <c r="F21" s="115"/>
      <c r="G21" s="116"/>
      <c r="H21" s="115">
        <v>17</v>
      </c>
      <c r="I21" s="145"/>
      <c r="J21" s="282" t="str">
        <f t="shared" si="6"/>
        <v/>
      </c>
      <c r="K21" s="115" t="str">
        <f t="shared" si="7"/>
        <v/>
      </c>
      <c r="L21" s="115" t="s">
        <v>459</v>
      </c>
      <c r="M21" s="205"/>
      <c r="N21" s="202"/>
      <c r="O21" s="233"/>
      <c r="P21" s="233"/>
      <c r="Q21" s="231"/>
      <c r="R21" s="231"/>
      <c r="S21" s="231"/>
      <c r="T21" s="231"/>
    </row>
    <row r="22" spans="1:35" ht="18.75" customHeight="1">
      <c r="A22" s="115">
        <v>19</v>
      </c>
      <c r="B22" s="288" t="s">
        <v>461</v>
      </c>
      <c r="C22" s="725"/>
      <c r="D22" s="725"/>
      <c r="E22" s="213">
        <v>1</v>
      </c>
      <c r="F22" s="115" t="s">
        <v>352</v>
      </c>
      <c r="G22" s="116"/>
      <c r="H22" s="115">
        <v>18</v>
      </c>
      <c r="I22" s="145"/>
      <c r="J22" s="282" t="str">
        <f t="shared" si="6"/>
        <v/>
      </c>
      <c r="K22" s="115" t="str">
        <f t="shared" si="7"/>
        <v/>
      </c>
      <c r="L22" s="115" t="s">
        <v>459</v>
      </c>
      <c r="M22" s="205"/>
      <c r="N22" s="202"/>
      <c r="O22" s="233"/>
      <c r="P22" s="233"/>
      <c r="Q22" s="231"/>
      <c r="R22" s="231"/>
      <c r="S22" s="231"/>
      <c r="T22" s="231"/>
    </row>
    <row r="23" spans="1:35" ht="18.75" customHeight="1">
      <c r="A23" s="115">
        <v>20</v>
      </c>
      <c r="B23" s="288" t="s">
        <v>461</v>
      </c>
      <c r="C23" s="725"/>
      <c r="D23" s="725"/>
      <c r="E23" s="213">
        <v>1</v>
      </c>
      <c r="F23" s="115" t="s">
        <v>352</v>
      </c>
      <c r="G23" s="116"/>
      <c r="H23" s="115">
        <v>19</v>
      </c>
      <c r="I23" s="145"/>
      <c r="J23" s="282" t="str">
        <f t="shared" si="6"/>
        <v/>
      </c>
      <c r="K23" s="115" t="str">
        <f t="shared" si="7"/>
        <v/>
      </c>
      <c r="L23" s="115" t="s">
        <v>459</v>
      </c>
      <c r="M23" s="205"/>
      <c r="N23" s="202"/>
      <c r="O23" s="233"/>
      <c r="P23" s="233"/>
      <c r="Q23" s="231"/>
      <c r="R23" s="231"/>
      <c r="S23" s="231"/>
      <c r="T23" s="231"/>
    </row>
    <row r="24" spans="1:35" ht="18.75" customHeight="1">
      <c r="A24" s="115">
        <v>21</v>
      </c>
      <c r="B24" s="288" t="s">
        <v>461</v>
      </c>
      <c r="C24" s="725"/>
      <c r="D24" s="725"/>
      <c r="E24" s="213">
        <v>1</v>
      </c>
      <c r="F24" s="115" t="s">
        <v>352</v>
      </c>
      <c r="G24" s="116"/>
      <c r="H24" s="115">
        <v>20</v>
      </c>
      <c r="I24" s="145"/>
      <c r="J24" s="282" t="str">
        <f t="shared" si="6"/>
        <v/>
      </c>
      <c r="K24" s="115" t="str">
        <f t="shared" si="7"/>
        <v/>
      </c>
      <c r="L24" s="115" t="s">
        <v>459</v>
      </c>
      <c r="M24" s="205"/>
      <c r="N24" s="202"/>
      <c r="O24" s="233"/>
      <c r="P24" s="233"/>
      <c r="Q24" s="231"/>
      <c r="R24" s="231"/>
      <c r="S24" s="231"/>
      <c r="T24" s="231"/>
    </row>
    <row r="25" spans="1:35" ht="18.75" customHeight="1">
      <c r="A25" s="115">
        <v>22</v>
      </c>
      <c r="B25" s="288" t="s">
        <v>461</v>
      </c>
      <c r="C25" s="725"/>
      <c r="D25" s="725"/>
      <c r="E25" s="213">
        <v>1</v>
      </c>
      <c r="F25" s="115" t="s">
        <v>352</v>
      </c>
      <c r="G25" s="116"/>
      <c r="H25" s="115">
        <v>21</v>
      </c>
      <c r="I25" s="145"/>
      <c r="J25" s="282" t="str">
        <f t="shared" si="6"/>
        <v/>
      </c>
      <c r="K25" s="115" t="str">
        <f t="shared" si="7"/>
        <v/>
      </c>
      <c r="L25" s="115" t="s">
        <v>459</v>
      </c>
      <c r="M25" s="205"/>
      <c r="N25" s="202"/>
      <c r="O25" s="233"/>
      <c r="P25" s="233"/>
      <c r="Q25" s="231"/>
      <c r="R25" s="231"/>
      <c r="S25" s="231"/>
      <c r="T25" s="231"/>
    </row>
    <row r="26" spans="1:35" ht="18.75" customHeight="1">
      <c r="A26" s="134" t="s">
        <v>1591</v>
      </c>
      <c r="B26" s="134"/>
      <c r="C26" s="121"/>
      <c r="D26" s="121"/>
      <c r="E26" s="121"/>
      <c r="F26" s="121"/>
      <c r="G26" s="121"/>
      <c r="H26" s="121"/>
      <c r="I26" s="121"/>
      <c r="J26" s="121"/>
      <c r="K26" s="121"/>
      <c r="L26" s="121"/>
      <c r="M26" s="121"/>
      <c r="N26" s="121"/>
      <c r="O26" s="121"/>
      <c r="P26" s="24"/>
      <c r="Q26" s="135"/>
      <c r="R26" s="135"/>
      <c r="S26" s="24"/>
      <c r="T26" s="24"/>
      <c r="U26" s="24"/>
      <c r="V26" s="123"/>
      <c r="W26" s="135"/>
      <c r="X26" s="203"/>
      <c r="Y26" s="203"/>
      <c r="Z26" s="121"/>
      <c r="AA26" s="121"/>
      <c r="AB26" s="121"/>
      <c r="AC26" s="101"/>
      <c r="AD26" s="121"/>
      <c r="AE26" s="121"/>
      <c r="AF26" s="152"/>
      <c r="AG26" s="153"/>
      <c r="AH26" s="96"/>
      <c r="AI26" s="96"/>
    </row>
    <row r="27" spans="1:35" ht="18.75" customHeight="1">
      <c r="A27" s="121"/>
      <c r="B27" s="121"/>
      <c r="C27" s="121"/>
      <c r="D27" s="134"/>
      <c r="E27" s="134"/>
      <c r="F27" s="134"/>
      <c r="G27" s="134"/>
      <c r="H27" s="134"/>
      <c r="I27" s="134"/>
      <c r="J27" s="101"/>
      <c r="K27" s="101"/>
      <c r="L27" s="101"/>
      <c r="M27" s="203"/>
      <c r="N27" s="203"/>
      <c r="O27" s="203"/>
      <c r="P27" s="203"/>
      <c r="Q27" s="134"/>
      <c r="R27" s="121"/>
      <c r="S27" s="136"/>
      <c r="T27" s="136"/>
      <c r="U27" s="121"/>
      <c r="V27" s="203"/>
      <c r="W27" s="134"/>
      <c r="X27" s="203"/>
      <c r="Y27" s="203"/>
      <c r="Z27" s="137"/>
      <c r="AA27" s="122"/>
      <c r="AB27" s="122"/>
      <c r="AC27" s="101"/>
      <c r="AD27" s="121"/>
      <c r="AE27" s="121"/>
      <c r="AF27" s="95"/>
      <c r="AG27" s="82"/>
      <c r="AH27" s="96"/>
      <c r="AI27" s="96"/>
    </row>
    <row r="28" spans="1:35" ht="18.75" customHeight="1">
      <c r="A28" s="134"/>
      <c r="B28" s="134"/>
      <c r="C28" s="121"/>
      <c r="D28" s="134"/>
      <c r="E28" s="134"/>
      <c r="F28" s="134"/>
      <c r="G28" s="134"/>
      <c r="H28" s="135"/>
      <c r="I28" s="135"/>
      <c r="J28" s="123"/>
      <c r="K28" s="123"/>
      <c r="L28" s="123"/>
      <c r="M28" s="123"/>
      <c r="N28" s="123"/>
      <c r="O28" s="123"/>
      <c r="P28" s="123"/>
      <c r="Q28" s="134"/>
      <c r="R28" s="121"/>
      <c r="S28" s="136"/>
      <c r="T28" s="136"/>
      <c r="U28" s="121"/>
      <c r="V28" s="203"/>
      <c r="W28" s="134"/>
      <c r="X28" s="203"/>
      <c r="Y28" s="203"/>
      <c r="Z28" s="137"/>
      <c r="AA28" s="122"/>
      <c r="AB28" s="122"/>
      <c r="AC28" s="121"/>
      <c r="AD28" s="121"/>
      <c r="AE28" s="121"/>
      <c r="AF28" s="95"/>
      <c r="AG28" s="82"/>
      <c r="AH28" s="96"/>
      <c r="AI28" s="96"/>
    </row>
    <row r="29" spans="1:35" ht="18.75" customHeight="1">
      <c r="A29" s="134"/>
      <c r="B29" s="134"/>
      <c r="C29" s="121"/>
      <c r="D29" s="134"/>
      <c r="E29" s="134"/>
      <c r="F29" s="134"/>
      <c r="G29" s="134"/>
      <c r="H29" s="137"/>
      <c r="I29" s="137"/>
      <c r="J29" s="137"/>
      <c r="K29" s="137"/>
      <c r="L29" s="137"/>
      <c r="M29" s="137"/>
      <c r="N29" s="137"/>
      <c r="O29" s="137"/>
      <c r="P29" s="137"/>
      <c r="Q29" s="137"/>
      <c r="R29" s="121"/>
      <c r="S29" s="121"/>
      <c r="T29" s="121"/>
      <c r="U29" s="121"/>
      <c r="V29" s="203"/>
      <c r="W29" s="134"/>
      <c r="X29" s="203"/>
      <c r="Y29" s="203"/>
      <c r="Z29" s="134"/>
      <c r="AA29" s="121"/>
      <c r="AB29" s="121"/>
      <c r="AC29" s="121"/>
      <c r="AD29" s="121"/>
      <c r="AE29" s="121"/>
      <c r="AF29" s="95"/>
      <c r="AG29" s="82"/>
      <c r="AH29" s="96"/>
      <c r="AI29" s="96"/>
    </row>
    <row r="30" spans="1:35" ht="18.75" customHeight="1">
      <c r="A30" s="124"/>
      <c r="B30" s="124"/>
      <c r="C30" s="124"/>
      <c r="D30" s="124"/>
      <c r="E30" s="124"/>
      <c r="F30" s="124"/>
      <c r="G30" s="124"/>
      <c r="H30" s="124"/>
      <c r="I30" s="124"/>
      <c r="J30" s="124"/>
      <c r="K30" s="124"/>
      <c r="L30" s="124"/>
      <c r="M30" s="124"/>
      <c r="N30" s="124"/>
      <c r="O30" s="124"/>
      <c r="P30" s="124"/>
      <c r="Q30" s="124"/>
      <c r="R30" s="124"/>
      <c r="S30" s="124"/>
      <c r="T30" s="124"/>
      <c r="U30" s="124"/>
      <c r="V30" s="125"/>
      <c r="W30" s="124"/>
      <c r="X30" s="125"/>
      <c r="Y30" s="125"/>
      <c r="Z30" s="124"/>
      <c r="AA30" s="124"/>
      <c r="AB30" s="124"/>
      <c r="AC30" s="124"/>
      <c r="AD30" s="124"/>
      <c r="AE30" s="124"/>
      <c r="AF30" s="81"/>
      <c r="AG30" s="82"/>
      <c r="AH30" s="96"/>
      <c r="AI30" s="96"/>
    </row>
  </sheetData>
  <protectedRanges>
    <protectedRange sqref="V7:V8 T7:T8 U4:X4" name="区域1"/>
  </protectedRanges>
  <mergeCells count="16">
    <mergeCell ref="C8:D8"/>
    <mergeCell ref="C4:D4"/>
    <mergeCell ref="A1:L1"/>
    <mergeCell ref="C5:D5"/>
    <mergeCell ref="C6:D6"/>
    <mergeCell ref="C7:D7"/>
    <mergeCell ref="C22:D22"/>
    <mergeCell ref="C23:D23"/>
    <mergeCell ref="C24:D24"/>
    <mergeCell ref="C25:D25"/>
    <mergeCell ref="C9:D9"/>
    <mergeCell ref="C10:D10"/>
    <mergeCell ref="C11:D11"/>
    <mergeCell ref="C12:D12"/>
    <mergeCell ref="C13:D13"/>
    <mergeCell ref="C17:G17"/>
  </mergeCells>
  <phoneticPr fontId="6" type="noConversion"/>
  <dataValidations count="1">
    <dataValidation type="list" allowBlank="1" showInputMessage="1" showErrorMessage="1" sqref="B17">
      <formula1>$T$7:$T$10</formula1>
    </dataValidation>
  </dataValidations>
  <pageMargins left="0.7" right="0.7" top="0.75" bottom="0.75" header="0.3" footer="0.3"/>
  <pageSetup paperSize="9" orientation="landscape"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T305"/>
  <sheetViews>
    <sheetView view="pageBreakPreview" topLeftCell="A97" zoomScaleSheetLayoutView="100" workbookViewId="0">
      <selection activeCell="D103" sqref="D103"/>
    </sheetView>
  </sheetViews>
  <sheetFormatPr defaultRowHeight="13.5" customHeight="1"/>
  <cols>
    <col min="1" max="1" width="7.75" style="38" customWidth="1"/>
    <col min="2" max="2" width="10.125" style="38" customWidth="1"/>
    <col min="3" max="3" width="45.625" style="37" customWidth="1"/>
    <col min="4" max="4" width="17.375" style="123" customWidth="1"/>
    <col min="5" max="5" width="12.5" style="38" customWidth="1"/>
    <col min="6" max="6" width="10.5" style="38" customWidth="1"/>
    <col min="7" max="7" width="2.125" style="38" customWidth="1"/>
    <col min="8" max="8" width="25.25" style="39" customWidth="1"/>
    <col min="9" max="9" width="12.5" style="39" customWidth="1"/>
    <col min="10" max="10" width="14.125" style="39" customWidth="1"/>
    <col min="11" max="11" width="5.625" style="38" customWidth="1"/>
    <col min="12" max="12" width="17.625" style="38" customWidth="1"/>
    <col min="13" max="13" width="11.375" style="39" customWidth="1"/>
    <col min="14" max="14" width="16.5" style="38" customWidth="1"/>
    <col min="15" max="15" width="6.625" style="38" customWidth="1"/>
    <col min="16" max="16" width="3.625" style="38" customWidth="1"/>
    <col min="17" max="17" width="30.125" style="38" customWidth="1"/>
    <col min="18" max="18" width="32" style="39" customWidth="1"/>
    <col min="19" max="19" width="27.875" style="192" customWidth="1"/>
    <col min="20" max="20" width="26.25" style="123" customWidth="1"/>
    <col min="21" max="21" width="9" style="38"/>
    <col min="22" max="22" width="37.5" style="38" customWidth="1"/>
    <col min="23" max="16384" width="9" style="38"/>
  </cols>
  <sheetData>
    <row r="1" spans="1:20" ht="18" customHeight="1">
      <c r="A1" s="773" t="str">
        <f>H1&amp;J1</f>
        <v>（免漆柜体）领料单——简爱</v>
      </c>
      <c r="B1" s="774"/>
      <c r="C1" s="774"/>
      <c r="D1" s="774"/>
      <c r="E1" s="774"/>
      <c r="F1" s="775"/>
      <c r="G1" s="26"/>
      <c r="H1" s="758" t="s">
        <v>1053</v>
      </c>
      <c r="I1" s="759"/>
      <c r="J1" s="62" t="str">
        <f>柜体转序单!B3</f>
        <v>简爱</v>
      </c>
      <c r="L1" s="764" t="s">
        <v>402</v>
      </c>
      <c r="M1" s="764"/>
      <c r="N1" s="764"/>
      <c r="O1" s="764"/>
      <c r="Q1" s="220" t="s">
        <v>673</v>
      </c>
      <c r="R1" s="195" t="s">
        <v>668</v>
      </c>
      <c r="S1" s="195" t="s">
        <v>241</v>
      </c>
      <c r="T1" s="195" t="s">
        <v>235</v>
      </c>
    </row>
    <row r="2" spans="1:20" ht="12.95" customHeight="1">
      <c r="B2" s="210" t="s">
        <v>320</v>
      </c>
      <c r="C2" s="33">
        <f>下料单!C2</f>
        <v>0</v>
      </c>
      <c r="D2" s="298" t="s">
        <v>16</v>
      </c>
      <c r="E2" s="33">
        <f>下料单!W2</f>
        <v>0</v>
      </c>
      <c r="F2" s="33"/>
      <c r="G2" s="60"/>
      <c r="H2" s="770" t="s">
        <v>9</v>
      </c>
      <c r="I2" s="771"/>
      <c r="J2" s="71" t="s">
        <v>1022</v>
      </c>
      <c r="L2" s="70" t="s">
        <v>304</v>
      </c>
      <c r="M2" s="284"/>
      <c r="N2" s="70"/>
      <c r="O2" s="66"/>
    </row>
    <row r="3" spans="1:20" ht="12.95" customHeight="1">
      <c r="B3" s="210" t="s">
        <v>447</v>
      </c>
      <c r="C3" s="33">
        <f>下料单!H2</f>
        <v>0</v>
      </c>
      <c r="D3" s="298" t="s">
        <v>388</v>
      </c>
      <c r="E3" s="33">
        <f>下料单!R2</f>
        <v>0</v>
      </c>
      <c r="F3" s="33"/>
      <c r="G3" s="60"/>
      <c r="H3" s="65"/>
      <c r="I3" s="65"/>
      <c r="J3" s="65"/>
      <c r="L3" s="70" t="s">
        <v>308</v>
      </c>
      <c r="M3" s="62">
        <f>(下料单!E21*12+下料单!E33*14)</f>
        <v>136</v>
      </c>
      <c r="N3" s="70" t="s">
        <v>309</v>
      </c>
      <c r="O3" s="65">
        <f>$M$2*12</f>
        <v>0</v>
      </c>
      <c r="Q3" s="34" t="s">
        <v>678</v>
      </c>
      <c r="R3" s="205" t="s">
        <v>613</v>
      </c>
      <c r="S3" s="196" t="s">
        <v>548</v>
      </c>
      <c r="T3" s="197" t="s">
        <v>682</v>
      </c>
    </row>
    <row r="4" spans="1:20" ht="12.95" customHeight="1">
      <c r="A4" s="33" t="s">
        <v>322</v>
      </c>
      <c r="B4" s="206" t="s">
        <v>323</v>
      </c>
      <c r="C4" s="33" t="s">
        <v>24</v>
      </c>
      <c r="D4" s="298" t="s">
        <v>5</v>
      </c>
      <c r="E4" s="33" t="s">
        <v>324</v>
      </c>
      <c r="F4" s="33" t="s">
        <v>325</v>
      </c>
      <c r="G4" s="60"/>
      <c r="H4" s="62"/>
      <c r="I4" s="62"/>
      <c r="J4" s="62"/>
      <c r="L4" s="70" t="s">
        <v>311</v>
      </c>
      <c r="M4" s="62">
        <f>(下料单!E21*22+下料单!E33*28)</f>
        <v>268</v>
      </c>
      <c r="N4" s="70" t="s">
        <v>312</v>
      </c>
      <c r="O4" s="65">
        <f>$M$2*22</f>
        <v>0</v>
      </c>
      <c r="Q4" s="34" t="s">
        <v>679</v>
      </c>
      <c r="R4" s="205" t="s">
        <v>614</v>
      </c>
      <c r="S4" s="196" t="s">
        <v>549</v>
      </c>
      <c r="T4" s="197" t="s">
        <v>683</v>
      </c>
    </row>
    <row r="5" spans="1:20" ht="12.95" customHeight="1">
      <c r="A5" s="741" t="s">
        <v>296</v>
      </c>
      <c r="B5" s="206">
        <v>1</v>
      </c>
      <c r="C5" s="115" t="str">
        <f>H5&amp;J5</f>
        <v>进口樱桃双贴三聚氰胺E0级刨花板16*1830*2440</v>
      </c>
      <c r="D5" s="47">
        <f>下料单!BG3</f>
        <v>5.7111325404478733E-2</v>
      </c>
      <c r="E5" s="206" t="s">
        <v>326</v>
      </c>
      <c r="F5" s="206"/>
      <c r="G5" s="60"/>
      <c r="H5" s="35" t="str">
        <f>下料单!BA3</f>
        <v>进口樱桃双贴三聚氰胺E0级刨花板</v>
      </c>
      <c r="I5" s="35"/>
      <c r="J5" s="62" t="str">
        <f>+IF(H5="进口樱桃双贴三聚氰胺E0级刨花板","16*1830*2440","16*1220*2440")</f>
        <v>16*1830*2440</v>
      </c>
      <c r="Q5" s="34" t="s">
        <v>672</v>
      </c>
      <c r="R5" s="205" t="s">
        <v>615</v>
      </c>
      <c r="S5" s="196" t="s">
        <v>550</v>
      </c>
      <c r="T5" s="197" t="s">
        <v>684</v>
      </c>
    </row>
    <row r="6" spans="1:20" ht="12.95" customHeight="1">
      <c r="A6" s="742"/>
      <c r="B6" s="206">
        <v>2</v>
      </c>
      <c r="C6" s="206" t="str">
        <f>+下料单!BB3</f>
        <v>红樱桃双贴三聚氰胺中密度板(欧-18)3*1220*2440</v>
      </c>
      <c r="D6" s="47">
        <v>1</v>
      </c>
      <c r="E6" s="206" t="s">
        <v>326</v>
      </c>
      <c r="F6" s="206"/>
      <c r="G6" s="60"/>
      <c r="H6" s="62"/>
      <c r="I6" s="62"/>
      <c r="J6" s="62"/>
      <c r="Q6" s="34" t="s">
        <v>671</v>
      </c>
      <c r="R6" s="62" t="s">
        <v>616</v>
      </c>
      <c r="S6" s="196" t="s">
        <v>551</v>
      </c>
      <c r="T6" s="197" t="s">
        <v>685</v>
      </c>
    </row>
    <row r="7" spans="1:20" ht="12.95" customHeight="1">
      <c r="A7" s="742"/>
      <c r="B7" s="206">
        <v>3</v>
      </c>
      <c r="C7" s="206" t="str">
        <f>H7&amp;J7</f>
        <v>进口樱桃双贴三聚氰胺E0级刨花板12*1220*2440</v>
      </c>
      <c r="D7" s="47">
        <v>1</v>
      </c>
      <c r="E7" s="206" t="s">
        <v>14</v>
      </c>
      <c r="F7" s="206"/>
      <c r="G7" s="60"/>
      <c r="H7" s="35" t="str">
        <f>H5</f>
        <v>进口樱桃双贴三聚氰胺E0级刨花板</v>
      </c>
      <c r="I7" s="62"/>
      <c r="J7" s="62" t="s">
        <v>697</v>
      </c>
      <c r="Q7" s="67"/>
      <c r="R7" s="62" t="s">
        <v>617</v>
      </c>
      <c r="S7" s="196" t="s">
        <v>552</v>
      </c>
      <c r="T7" s="197" t="s">
        <v>686</v>
      </c>
    </row>
    <row r="8" spans="1:20" ht="12.95" customHeight="1">
      <c r="A8" s="742"/>
      <c r="B8" s="206">
        <v>4</v>
      </c>
      <c r="C8" s="206" t="str">
        <f>H5&amp;J8</f>
        <v>进口樱桃双贴三聚氰胺E0级刨花板18*1220*2440</v>
      </c>
      <c r="D8" s="47">
        <v>1</v>
      </c>
      <c r="E8" s="206" t="s">
        <v>326</v>
      </c>
      <c r="F8" s="206"/>
      <c r="G8" s="60"/>
      <c r="H8" s="62" t="str">
        <f>H5</f>
        <v>进口樱桃双贴三聚氰胺E0级刨花板</v>
      </c>
      <c r="I8" s="62"/>
      <c r="J8" s="62" t="s">
        <v>516</v>
      </c>
      <c r="R8" s="62" t="s">
        <v>618</v>
      </c>
      <c r="S8" s="196" t="s">
        <v>553</v>
      </c>
      <c r="T8" s="197" t="s">
        <v>687</v>
      </c>
    </row>
    <row r="9" spans="1:20" ht="12.95" customHeight="1">
      <c r="A9" s="742"/>
      <c r="B9" s="206">
        <v>5</v>
      </c>
      <c r="C9" s="206" t="str">
        <f>H5&amp;J9</f>
        <v>进口樱桃双贴三聚氰胺E0级刨花板25*1220*2440</v>
      </c>
      <c r="D9" s="47">
        <v>1</v>
      </c>
      <c r="E9" s="206" t="s">
        <v>326</v>
      </c>
      <c r="F9" s="206"/>
      <c r="G9" s="60"/>
      <c r="H9" s="62" t="str">
        <f>H5</f>
        <v>进口樱桃双贴三聚氰胺E0级刨花板</v>
      </c>
      <c r="I9" s="62"/>
      <c r="J9" s="62" t="s">
        <v>517</v>
      </c>
      <c r="R9" s="62" t="s">
        <v>619</v>
      </c>
      <c r="S9" s="196" t="s">
        <v>554</v>
      </c>
      <c r="T9" s="197" t="s">
        <v>688</v>
      </c>
    </row>
    <row r="10" spans="1:20" ht="12.95" customHeight="1">
      <c r="A10" s="742"/>
      <c r="B10" s="208">
        <v>6</v>
      </c>
      <c r="C10" s="208" t="s">
        <v>692</v>
      </c>
      <c r="D10" s="226">
        <v>1</v>
      </c>
      <c r="E10" s="208" t="s">
        <v>14</v>
      </c>
      <c r="F10" s="201"/>
      <c r="G10" s="60"/>
      <c r="H10" s="62"/>
      <c r="I10" s="62"/>
      <c r="J10" s="62"/>
      <c r="Q10" s="34" t="s">
        <v>670</v>
      </c>
      <c r="R10" s="62" t="s">
        <v>620</v>
      </c>
      <c r="S10" s="196" t="s">
        <v>555</v>
      </c>
      <c r="T10" s="197" t="s">
        <v>689</v>
      </c>
    </row>
    <row r="11" spans="1:20" ht="12.95" customHeight="1">
      <c r="A11" s="776"/>
      <c r="B11" s="48"/>
      <c r="C11" s="48"/>
      <c r="D11" s="115"/>
      <c r="E11" s="48"/>
      <c r="F11" s="48"/>
      <c r="H11" s="38"/>
      <c r="I11" s="38"/>
      <c r="J11" s="38"/>
      <c r="R11" s="62" t="s">
        <v>621</v>
      </c>
      <c r="S11" s="196" t="s">
        <v>556</v>
      </c>
      <c r="T11" s="197" t="s">
        <v>522</v>
      </c>
    </row>
    <row r="12" spans="1:20" ht="12.95" customHeight="1">
      <c r="A12" s="733" t="s">
        <v>330</v>
      </c>
      <c r="B12" s="206">
        <v>1</v>
      </c>
      <c r="C12" s="206" t="str">
        <f>H12&amp;J12</f>
        <v>进口樱桃pvc封边条1.0*16</v>
      </c>
      <c r="D12" s="47">
        <v>1</v>
      </c>
      <c r="E12" s="206" t="s">
        <v>10</v>
      </c>
      <c r="F12" s="48"/>
      <c r="H12" s="62" t="str">
        <f>H13</f>
        <v>进口樱桃pvc封边条</v>
      </c>
      <c r="I12" s="62"/>
      <c r="J12" s="62" t="s">
        <v>698</v>
      </c>
      <c r="R12" s="62" t="s">
        <v>622</v>
      </c>
      <c r="S12" s="196" t="s">
        <v>557</v>
      </c>
      <c r="T12" s="197" t="s">
        <v>523</v>
      </c>
    </row>
    <row r="13" spans="1:20" ht="12.95" customHeight="1">
      <c r="A13" s="734"/>
      <c r="B13" s="206">
        <v>2</v>
      </c>
      <c r="C13" s="206" t="str">
        <f>H13&amp;J13</f>
        <v>进口樱桃pvc封边条1.0*20</v>
      </c>
      <c r="D13" s="47">
        <f>下料单!$AS$47</f>
        <v>14.404</v>
      </c>
      <c r="E13" s="206" t="s">
        <v>331</v>
      </c>
      <c r="F13" s="206"/>
      <c r="G13" s="225"/>
      <c r="H13" s="62" t="str">
        <f>下料单!$BC$3</f>
        <v>进口樱桃pvc封边条</v>
      </c>
      <c r="I13" s="62"/>
      <c r="J13" s="62" t="s">
        <v>519</v>
      </c>
      <c r="R13" s="62" t="s">
        <v>623</v>
      </c>
      <c r="S13" s="196" t="s">
        <v>558</v>
      </c>
      <c r="T13" s="197" t="s">
        <v>524</v>
      </c>
    </row>
    <row r="14" spans="1:20" ht="12.95" customHeight="1">
      <c r="A14" s="735"/>
      <c r="B14" s="209">
        <v>3</v>
      </c>
      <c r="C14" s="209" t="str">
        <f>H14&amp;J14</f>
        <v>进口樱桃pvc封边条1.0*22</v>
      </c>
      <c r="D14" s="227">
        <v>1</v>
      </c>
      <c r="E14" s="209" t="s">
        <v>331</v>
      </c>
      <c r="F14" s="209"/>
      <c r="G14" s="60"/>
      <c r="H14" s="62" t="str">
        <f>H13</f>
        <v>进口樱桃pvc封边条</v>
      </c>
      <c r="I14" s="62"/>
      <c r="J14" s="62" t="s">
        <v>520</v>
      </c>
      <c r="R14" s="62" t="s">
        <v>624</v>
      </c>
      <c r="S14" s="196" t="s">
        <v>559</v>
      </c>
      <c r="T14" s="197" t="s">
        <v>525</v>
      </c>
    </row>
    <row r="15" spans="1:20" ht="12.95" customHeight="1">
      <c r="A15" s="735"/>
      <c r="B15" s="206">
        <v>4</v>
      </c>
      <c r="C15" s="206" t="str">
        <f>H15&amp;J15</f>
        <v>进口樱桃pvc封边条1.0*29</v>
      </c>
      <c r="D15" s="47">
        <v>1</v>
      </c>
      <c r="E15" s="206" t="s">
        <v>331</v>
      </c>
      <c r="F15" s="206"/>
      <c r="G15" s="60"/>
      <c r="H15" s="62" t="str">
        <f>H13</f>
        <v>进口樱桃pvc封边条</v>
      </c>
      <c r="I15" s="62"/>
      <c r="J15" s="62" t="s">
        <v>521</v>
      </c>
      <c r="R15" s="62" t="s">
        <v>625</v>
      </c>
      <c r="S15" s="196" t="s">
        <v>560</v>
      </c>
      <c r="T15" s="197" t="s">
        <v>526</v>
      </c>
    </row>
    <row r="16" spans="1:20" ht="12.95" customHeight="1">
      <c r="A16" s="735"/>
      <c r="B16" s="206">
        <v>5</v>
      </c>
      <c r="C16" s="206" t="s">
        <v>377</v>
      </c>
      <c r="D16" s="51">
        <f>D12*3+D13*3.8+D14*4.1+D15*5.5</f>
        <v>67.3352</v>
      </c>
      <c r="E16" s="206" t="s">
        <v>332</v>
      </c>
      <c r="F16" s="206"/>
      <c r="G16" s="60"/>
      <c r="H16" s="62"/>
      <c r="I16" s="62"/>
      <c r="J16" s="62"/>
      <c r="R16" s="62" t="s">
        <v>626</v>
      </c>
      <c r="S16" s="196" t="s">
        <v>561</v>
      </c>
      <c r="T16" s="197" t="s">
        <v>250</v>
      </c>
    </row>
    <row r="17" spans="1:20" ht="12.95" customHeight="1">
      <c r="A17" s="735"/>
      <c r="B17" s="206">
        <v>6</v>
      </c>
      <c r="C17" s="270" t="s">
        <v>378</v>
      </c>
      <c r="D17" s="51"/>
      <c r="E17" s="206" t="s">
        <v>332</v>
      </c>
      <c r="F17" s="206"/>
      <c r="G17" s="60"/>
      <c r="H17" s="62"/>
      <c r="I17" s="62"/>
      <c r="J17" s="62"/>
      <c r="R17" s="34" t="s">
        <v>382</v>
      </c>
      <c r="S17" s="196" t="s">
        <v>562</v>
      </c>
      <c r="T17" s="197" t="s">
        <v>249</v>
      </c>
    </row>
    <row r="18" spans="1:20" ht="12.95" customHeight="1">
      <c r="A18" s="736"/>
      <c r="B18" s="206"/>
      <c r="C18" s="206"/>
      <c r="D18" s="298"/>
      <c r="E18" s="206"/>
      <c r="F18" s="52"/>
      <c r="G18" s="60"/>
      <c r="H18" s="62"/>
      <c r="I18" s="62"/>
      <c r="J18" s="62"/>
      <c r="R18" s="34" t="s">
        <v>383</v>
      </c>
      <c r="S18" s="196" t="s">
        <v>563</v>
      </c>
      <c r="T18" s="197" t="s">
        <v>248</v>
      </c>
    </row>
    <row r="19" spans="1:20" ht="12.95" customHeight="1">
      <c r="A19" s="744" t="s">
        <v>363</v>
      </c>
      <c r="B19" s="206">
        <v>1</v>
      </c>
      <c r="C19" s="206" t="str">
        <f>H19&amp;J19</f>
        <v>透明玻璃0</v>
      </c>
      <c r="D19" s="298">
        <f>铝材玻璃单!E22</f>
        <v>1</v>
      </c>
      <c r="E19" s="206" t="s">
        <v>352</v>
      </c>
      <c r="F19" s="206"/>
      <c r="G19" s="60"/>
      <c r="H19" s="62" t="s">
        <v>395</v>
      </c>
      <c r="I19" s="62"/>
      <c r="J19" s="202">
        <f>铝材玻璃单!C22</f>
        <v>0</v>
      </c>
      <c r="S19" s="196" t="s">
        <v>564</v>
      </c>
      <c r="T19" s="197" t="s">
        <v>527</v>
      </c>
    </row>
    <row r="20" spans="1:20" ht="12.95" customHeight="1">
      <c r="A20" s="757"/>
      <c r="B20" s="206">
        <v>2</v>
      </c>
      <c r="C20" s="115" t="str">
        <f>H20&amp;J20</f>
        <v>透明玻璃0</v>
      </c>
      <c r="D20" s="298">
        <f>铝材玻璃单!E23</f>
        <v>1</v>
      </c>
      <c r="E20" s="206" t="s">
        <v>352</v>
      </c>
      <c r="F20" s="206"/>
      <c r="G20" s="60"/>
      <c r="H20" s="34" t="s">
        <v>396</v>
      </c>
      <c r="I20" s="34"/>
      <c r="J20" s="202">
        <f>铝材玻璃单!C23</f>
        <v>0</v>
      </c>
      <c r="R20" s="34" t="s">
        <v>629</v>
      </c>
      <c r="S20" s="196" t="s">
        <v>565</v>
      </c>
      <c r="T20" s="197" t="s">
        <v>528</v>
      </c>
    </row>
    <row r="21" spans="1:20" ht="12.95" customHeight="1">
      <c r="A21" s="757"/>
      <c r="B21" s="206">
        <v>3</v>
      </c>
      <c r="C21" s="115" t="str">
        <f t="shared" ref="C21:C26" si="0">H21&amp;J21</f>
        <v>透明玻璃0</v>
      </c>
      <c r="D21" s="298">
        <f>铝材玻璃单!E24</f>
        <v>1</v>
      </c>
      <c r="E21" s="206" t="s">
        <v>352</v>
      </c>
      <c r="F21" s="206"/>
      <c r="G21" s="60"/>
      <c r="H21" s="34" t="s">
        <v>395</v>
      </c>
      <c r="I21" s="34"/>
      <c r="J21" s="202">
        <f>铝材玻璃单!C24</f>
        <v>0</v>
      </c>
      <c r="R21" s="34" t="s">
        <v>371</v>
      </c>
      <c r="S21" s="196" t="s">
        <v>566</v>
      </c>
      <c r="T21" s="197" t="s">
        <v>529</v>
      </c>
    </row>
    <row r="22" spans="1:20" ht="12.95" customHeight="1">
      <c r="A22" s="757"/>
      <c r="B22" s="206">
        <v>4</v>
      </c>
      <c r="C22" s="115" t="str">
        <f t="shared" si="0"/>
        <v>透明玻璃0</v>
      </c>
      <c r="D22" s="298">
        <f>铝材玻璃单!E25</f>
        <v>1</v>
      </c>
      <c r="E22" s="206" t="s">
        <v>352</v>
      </c>
      <c r="F22" s="206"/>
      <c r="G22" s="60"/>
      <c r="H22" s="34" t="s">
        <v>395</v>
      </c>
      <c r="I22" s="34"/>
      <c r="J22" s="202">
        <f>铝材玻璃单!C25</f>
        <v>0</v>
      </c>
      <c r="S22" s="196" t="s">
        <v>567</v>
      </c>
      <c r="T22" s="196" t="s">
        <v>530</v>
      </c>
    </row>
    <row r="23" spans="1:20" ht="12.95" customHeight="1">
      <c r="A23" s="757"/>
      <c r="B23" s="206">
        <v>5</v>
      </c>
      <c r="C23" s="115" t="str">
        <f t="shared" si="0"/>
        <v>布纹玻璃尺寸</v>
      </c>
      <c r="D23" s="298">
        <f>铝材玻璃单!E18</f>
        <v>1</v>
      </c>
      <c r="E23" s="206" t="s">
        <v>352</v>
      </c>
      <c r="F23" s="206"/>
      <c r="G23" s="60"/>
      <c r="H23" s="228" t="str">
        <f>铝材玻璃单!B18</f>
        <v>布纹玻璃</v>
      </c>
      <c r="I23" s="34"/>
      <c r="J23" s="242" t="s">
        <v>409</v>
      </c>
      <c r="S23" s="196" t="s">
        <v>568</v>
      </c>
      <c r="T23" s="197" t="s">
        <v>531</v>
      </c>
    </row>
    <row r="24" spans="1:20" ht="12.95" customHeight="1">
      <c r="A24" s="757"/>
      <c r="B24" s="206">
        <v>6</v>
      </c>
      <c r="C24" s="115" t="str">
        <f t="shared" si="0"/>
        <v>布纹玻璃尺寸</v>
      </c>
      <c r="D24" s="298">
        <f>铝材玻璃单!E19</f>
        <v>1</v>
      </c>
      <c r="E24" s="206" t="s">
        <v>352</v>
      </c>
      <c r="F24" s="206"/>
      <c r="G24" s="60"/>
      <c r="H24" s="228" t="str">
        <f>铝材玻璃单!B19</f>
        <v>布纹玻璃</v>
      </c>
      <c r="I24" s="34"/>
      <c r="J24" s="242" t="s">
        <v>409</v>
      </c>
      <c r="S24" s="196" t="s">
        <v>569</v>
      </c>
      <c r="T24" s="197" t="s">
        <v>532</v>
      </c>
    </row>
    <row r="25" spans="1:20" ht="12.95" customHeight="1">
      <c r="A25" s="757"/>
      <c r="B25" s="206">
        <v>7</v>
      </c>
      <c r="C25" s="115" t="str">
        <f t="shared" si="0"/>
        <v>布纹玻璃尺寸</v>
      </c>
      <c r="D25" s="298">
        <f>铝材玻璃单!E20</f>
        <v>1</v>
      </c>
      <c r="E25" s="206" t="s">
        <v>352</v>
      </c>
      <c r="F25" s="206"/>
      <c r="G25" s="60"/>
      <c r="H25" s="228" t="str">
        <f>铝材玻璃单!B20</f>
        <v>布纹玻璃</v>
      </c>
      <c r="I25" s="62"/>
      <c r="J25" s="242" t="s">
        <v>409</v>
      </c>
      <c r="S25" s="196" t="s">
        <v>570</v>
      </c>
      <c r="T25" s="197" t="s">
        <v>533</v>
      </c>
    </row>
    <row r="26" spans="1:20" ht="12.95" customHeight="1">
      <c r="A26" s="745"/>
      <c r="B26" s="206">
        <v>8</v>
      </c>
      <c r="C26" s="115" t="str">
        <f t="shared" si="0"/>
        <v/>
      </c>
      <c r="D26" s="115"/>
      <c r="E26" s="206" t="s">
        <v>352</v>
      </c>
      <c r="F26" s="48"/>
      <c r="G26" s="60"/>
      <c r="H26" s="62"/>
      <c r="I26" s="62"/>
      <c r="J26" s="62"/>
      <c r="S26" s="196" t="s">
        <v>571</v>
      </c>
      <c r="T26" s="197" t="s">
        <v>534</v>
      </c>
    </row>
    <row r="27" spans="1:20" ht="12.95" customHeight="1">
      <c r="A27" s="754" t="s">
        <v>364</v>
      </c>
      <c r="B27" s="206">
        <v>1</v>
      </c>
      <c r="C27" s="212" t="str">
        <f>铝材玻璃单!W4</f>
        <v>铝框（氧化铝JF299）3.5米/支</v>
      </c>
      <c r="D27" s="47">
        <v>1</v>
      </c>
      <c r="E27" s="206" t="s">
        <v>331</v>
      </c>
      <c r="F27" s="206"/>
      <c r="G27" s="60"/>
      <c r="H27" s="62"/>
      <c r="I27" s="62"/>
      <c r="J27" s="62"/>
      <c r="R27" s="195" t="s">
        <v>669</v>
      </c>
      <c r="S27" s="196" t="s">
        <v>572</v>
      </c>
      <c r="T27" s="197" t="s">
        <v>535</v>
      </c>
    </row>
    <row r="28" spans="1:20" ht="12.95" customHeight="1">
      <c r="A28" s="756"/>
      <c r="B28" s="206">
        <v>2</v>
      </c>
      <c r="C28" s="206" t="s">
        <v>354</v>
      </c>
      <c r="D28" s="298">
        <v>1</v>
      </c>
      <c r="E28" s="206" t="s">
        <v>329</v>
      </c>
      <c r="F28" s="206"/>
      <c r="G28" s="60"/>
      <c r="H28" s="62"/>
      <c r="I28" s="62"/>
      <c r="J28" s="62"/>
      <c r="R28" s="38"/>
      <c r="S28" s="196" t="s">
        <v>573</v>
      </c>
      <c r="T28" s="197" t="s">
        <v>536</v>
      </c>
    </row>
    <row r="29" spans="1:20" ht="12.95" customHeight="1">
      <c r="A29" s="756"/>
      <c r="B29" s="206">
        <v>3</v>
      </c>
      <c r="C29" s="206" t="s">
        <v>355</v>
      </c>
      <c r="D29" s="298">
        <f>D28*2</f>
        <v>2</v>
      </c>
      <c r="E29" s="206" t="s">
        <v>329</v>
      </c>
      <c r="F29" s="53"/>
      <c r="G29" s="60"/>
      <c r="H29" s="62"/>
      <c r="I29" s="62"/>
      <c r="J29" s="62"/>
      <c r="R29" s="62" t="s">
        <v>674</v>
      </c>
      <c r="S29" s="196" t="s">
        <v>574</v>
      </c>
      <c r="T29" s="197" t="s">
        <v>537</v>
      </c>
    </row>
    <row r="30" spans="1:20" ht="12.95" customHeight="1">
      <c r="A30" s="756"/>
      <c r="B30" s="206">
        <v>4</v>
      </c>
      <c r="C30" s="206" t="s">
        <v>356</v>
      </c>
      <c r="D30" s="47">
        <f>D27</f>
        <v>1</v>
      </c>
      <c r="E30" s="206" t="s">
        <v>331</v>
      </c>
      <c r="F30" s="53"/>
      <c r="G30" s="60"/>
      <c r="H30" s="62"/>
      <c r="I30" s="62"/>
      <c r="J30" s="62"/>
      <c r="R30" s="62" t="s">
        <v>676</v>
      </c>
      <c r="S30" s="196" t="s">
        <v>575</v>
      </c>
      <c r="T30" s="197" t="s">
        <v>538</v>
      </c>
    </row>
    <row r="31" spans="1:20" ht="12.95" customHeight="1">
      <c r="A31" s="756"/>
      <c r="B31" s="206">
        <v>5</v>
      </c>
      <c r="C31" s="206" t="s">
        <v>645</v>
      </c>
      <c r="D31" s="47">
        <v>1</v>
      </c>
      <c r="E31" s="206" t="s">
        <v>331</v>
      </c>
      <c r="F31" s="53"/>
      <c r="G31" s="60"/>
      <c r="H31" s="62"/>
      <c r="I31" s="62"/>
      <c r="J31" s="62"/>
      <c r="L31" s="70" t="s">
        <v>403</v>
      </c>
      <c r="M31" s="72">
        <f>+SUM(铝材玻璃单!O5:O18)/1000</f>
        <v>0</v>
      </c>
      <c r="R31" s="62"/>
      <c r="S31" s="196" t="s">
        <v>576</v>
      </c>
      <c r="T31" s="197" t="s">
        <v>539</v>
      </c>
    </row>
    <row r="32" spans="1:20" ht="12.95" customHeight="1">
      <c r="A32" s="756"/>
      <c r="B32" s="206">
        <v>6</v>
      </c>
      <c r="C32" s="206" t="str">
        <f>H32&amp;J32&amp;I32</f>
        <v>铝踢脚板（氧化铝100mm条纹形）6米/支</v>
      </c>
      <c r="D32" s="47">
        <v>1</v>
      </c>
      <c r="E32" s="206" t="s">
        <v>331</v>
      </c>
      <c r="F32" s="206" t="str">
        <f>IF(J105="60mm（自制）","80改60","")</f>
        <v/>
      </c>
      <c r="G32" s="60"/>
      <c r="H32" s="62" t="s">
        <v>398</v>
      </c>
      <c r="I32" s="62" t="s">
        <v>399</v>
      </c>
      <c r="J32" s="62" t="str">
        <f>J105</f>
        <v>100mm</v>
      </c>
      <c r="L32" s="70" t="s">
        <v>404</v>
      </c>
      <c r="M32" s="72" t="e">
        <f>+SUM(铝材玻璃单!N5:N12)/1000</f>
        <v>#VALUE!</v>
      </c>
      <c r="R32" s="62" t="s">
        <v>677</v>
      </c>
      <c r="S32" s="196" t="s">
        <v>577</v>
      </c>
      <c r="T32" s="197" t="s">
        <v>540</v>
      </c>
    </row>
    <row r="33" spans="1:20" ht="12.95" customHeight="1">
      <c r="A33" s="756"/>
      <c r="B33" s="206">
        <v>7</v>
      </c>
      <c r="C33" s="257" t="s">
        <v>931</v>
      </c>
      <c r="D33" s="47">
        <v>1</v>
      </c>
      <c r="E33" s="206" t="s">
        <v>331</v>
      </c>
      <c r="F33" s="53"/>
      <c r="G33" s="60"/>
      <c r="H33" s="62"/>
      <c r="I33" s="62"/>
      <c r="J33" s="62"/>
      <c r="L33" s="70" t="s">
        <v>405</v>
      </c>
      <c r="M33" s="72">
        <f>+SUM(铝材玻璃单!P5:P10)/1000</f>
        <v>0</v>
      </c>
      <c r="R33" s="62" t="s">
        <v>675</v>
      </c>
      <c r="S33" s="196" t="s">
        <v>578</v>
      </c>
      <c r="T33" s="197" t="s">
        <v>541</v>
      </c>
    </row>
    <row r="34" spans="1:20" ht="12.95" customHeight="1">
      <c r="A34" s="756"/>
      <c r="B34" s="206">
        <v>8</v>
      </c>
      <c r="C34" s="206" t="s">
        <v>400</v>
      </c>
      <c r="D34" s="298"/>
      <c r="E34" s="206" t="s">
        <v>331</v>
      </c>
      <c r="F34" s="53"/>
      <c r="G34" s="60"/>
      <c r="H34" s="62"/>
      <c r="I34" s="62"/>
      <c r="J34" s="62"/>
      <c r="S34" s="196" t="s">
        <v>579</v>
      </c>
      <c r="T34" s="197" t="s">
        <v>542</v>
      </c>
    </row>
    <row r="35" spans="1:20" ht="12.95" customHeight="1">
      <c r="A35" s="755"/>
      <c r="B35" s="206">
        <v>9</v>
      </c>
      <c r="C35" s="206"/>
      <c r="D35" s="298"/>
      <c r="E35" s="206"/>
      <c r="F35" s="53"/>
      <c r="G35" s="60"/>
      <c r="H35" s="62"/>
      <c r="I35" s="62"/>
      <c r="J35" s="62"/>
      <c r="L35" s="37"/>
      <c r="S35" s="196" t="s">
        <v>580</v>
      </c>
      <c r="T35" s="197" t="s">
        <v>543</v>
      </c>
    </row>
    <row r="36" spans="1:20" ht="12.95" customHeight="1">
      <c r="A36" s="741" t="s">
        <v>335</v>
      </c>
      <c r="B36" s="206">
        <v>1</v>
      </c>
      <c r="C36" s="206" t="s">
        <v>636</v>
      </c>
      <c r="D36" s="298">
        <f>IF(F36&gt;15,3,IF(AND(F36&gt;9,F36&lt;16),2,IF(AND(F36&gt;2,F36&lt;10),1.5,IF(F36&lt;3,1,""))))</f>
        <v>2</v>
      </c>
      <c r="E36" s="206" t="s">
        <v>336</v>
      </c>
      <c r="F36" s="256">
        <f>下料单!$E$47</f>
        <v>10</v>
      </c>
      <c r="G36" s="60"/>
      <c r="H36" s="62"/>
      <c r="I36" s="62"/>
      <c r="J36" s="62"/>
      <c r="L36" s="37"/>
      <c r="S36" s="196" t="s">
        <v>581</v>
      </c>
      <c r="T36" s="197" t="s">
        <v>544</v>
      </c>
    </row>
    <row r="37" spans="1:20" ht="12.95" customHeight="1">
      <c r="A37" s="742"/>
      <c r="B37" s="206">
        <v>2</v>
      </c>
      <c r="C37" s="206" t="s">
        <v>407</v>
      </c>
      <c r="D37" s="47"/>
      <c r="E37" s="206" t="s">
        <v>329</v>
      </c>
      <c r="F37" s="206"/>
      <c r="G37" s="60"/>
      <c r="H37" s="62"/>
      <c r="I37" s="62"/>
      <c r="J37" s="62"/>
      <c r="L37" s="70" t="s">
        <v>406</v>
      </c>
      <c r="M37" s="38"/>
      <c r="S37" s="196" t="s">
        <v>582</v>
      </c>
      <c r="T37" s="197" t="s">
        <v>545</v>
      </c>
    </row>
    <row r="38" spans="1:20" ht="12.95" customHeight="1">
      <c r="A38" s="742"/>
      <c r="B38" s="206">
        <v>3</v>
      </c>
      <c r="C38" s="206" t="str">
        <f>+IF(F38=0,"","铝箔板")</f>
        <v>铝箔板</v>
      </c>
      <c r="D38" s="54">
        <f>IF(F38=0,"",F38*0.7/1000)</f>
        <v>0.63</v>
      </c>
      <c r="E38" s="206" t="str">
        <f>+IF(F38=0,"","平米")</f>
        <v>平米</v>
      </c>
      <c r="F38" s="287">
        <v>900</v>
      </c>
      <c r="G38" s="60"/>
      <c r="H38" s="62"/>
      <c r="I38" s="62"/>
      <c r="J38" s="62"/>
      <c r="L38" s="70" t="s">
        <v>407</v>
      </c>
      <c r="M38" s="38"/>
      <c r="S38" s="196" t="s">
        <v>583</v>
      </c>
      <c r="T38" s="197" t="s">
        <v>547</v>
      </c>
    </row>
    <row r="39" spans="1:20" ht="12.95" customHeight="1">
      <c r="A39" s="742"/>
      <c r="B39" s="206">
        <v>4</v>
      </c>
      <c r="C39" s="56" t="str">
        <f>+IF(F38=0,"","铝箔板压条(2.2M/支)")</f>
        <v>铝箔板压条(2.2M/支)</v>
      </c>
      <c r="D39" s="298">
        <f>++IF(F38=0,"",1)</f>
        <v>1</v>
      </c>
      <c r="E39" s="206" t="str">
        <f>+IF(F38=0,"","根")</f>
        <v>根</v>
      </c>
      <c r="F39" s="206"/>
      <c r="G39" s="60"/>
      <c r="H39" s="62"/>
      <c r="I39" s="62"/>
      <c r="J39" s="62"/>
      <c r="M39" s="38"/>
      <c r="S39" s="196" t="s">
        <v>584</v>
      </c>
      <c r="T39" s="197" t="s">
        <v>546</v>
      </c>
    </row>
    <row r="40" spans="1:20" ht="12.95" customHeight="1">
      <c r="A40" s="742"/>
      <c r="B40" s="206">
        <v>5</v>
      </c>
      <c r="C40" s="206" t="str">
        <f>+IF(F38=0,"","国产双面胶15mm")</f>
        <v>国产双面胶15mm</v>
      </c>
      <c r="D40" s="298" t="str">
        <f>+IF(F38=0,"","0.5")</f>
        <v>0.5</v>
      </c>
      <c r="E40" s="206" t="str">
        <f>+IF(F38=0,"","卷")</f>
        <v>卷</v>
      </c>
      <c r="F40" s="206"/>
      <c r="G40" s="60"/>
      <c r="H40" s="62"/>
      <c r="I40" s="62"/>
      <c r="J40" s="62"/>
      <c r="M40" s="38"/>
      <c r="S40" s="196" t="s">
        <v>585</v>
      </c>
      <c r="T40" s="194"/>
    </row>
    <row r="41" spans="1:20" ht="12.95" customHeight="1">
      <c r="A41" s="742"/>
      <c r="B41" s="206">
        <v>6</v>
      </c>
      <c r="C41" s="257" t="s">
        <v>932</v>
      </c>
      <c r="D41" s="298"/>
      <c r="E41" s="206" t="s">
        <v>329</v>
      </c>
      <c r="F41" s="206"/>
      <c r="G41" s="60"/>
      <c r="H41" s="62"/>
      <c r="I41" s="62"/>
      <c r="J41" s="62"/>
      <c r="M41" s="38"/>
      <c r="S41" s="196" t="s">
        <v>586</v>
      </c>
    </row>
    <row r="42" spans="1:20" ht="12.95" customHeight="1">
      <c r="A42" s="742"/>
      <c r="B42" s="206">
        <v>7</v>
      </c>
      <c r="C42" s="206" t="s">
        <v>379</v>
      </c>
      <c r="D42" s="298">
        <v>1</v>
      </c>
      <c r="E42" s="206" t="s">
        <v>329</v>
      </c>
      <c r="F42" s="286"/>
      <c r="G42" s="60"/>
      <c r="H42" s="62"/>
      <c r="I42" s="62"/>
      <c r="J42" s="62"/>
      <c r="M42" s="38"/>
      <c r="S42" s="196" t="s">
        <v>587</v>
      </c>
    </row>
    <row r="43" spans="1:20" ht="12.95" customHeight="1">
      <c r="A43" s="742"/>
      <c r="B43" s="206">
        <v>8</v>
      </c>
      <c r="C43" s="206" t="str">
        <f>+IF(下料单!AQ51&gt;0,"欧格风防滑垫（AGO-tex ）0.5m*2.1m
","")</f>
        <v xml:space="preserve">欧格风防滑垫（AGO-tex ）0.5m*2.1m
</v>
      </c>
      <c r="D43" s="54">
        <f>+IF(下料单!AQ51&gt;0,下料单!AQ51,"")</f>
        <v>0.25210084033613445</v>
      </c>
      <c r="E43" s="206" t="str">
        <f>+IF(下料单!AQ51&gt;0,"张","")</f>
        <v>张</v>
      </c>
      <c r="F43" s="206"/>
      <c r="G43" s="60"/>
      <c r="H43" s="62"/>
      <c r="I43" s="62"/>
      <c r="J43" s="62"/>
      <c r="M43" s="38"/>
      <c r="S43" s="196" t="s">
        <v>588</v>
      </c>
      <c r="T43" s="194"/>
    </row>
    <row r="44" spans="1:20" ht="12.95" customHeight="1">
      <c r="A44" s="742"/>
      <c r="B44" s="206">
        <v>9</v>
      </c>
      <c r="C44" s="206" t="s">
        <v>380</v>
      </c>
      <c r="D44" s="298">
        <f>(D57+D58+D59+D60+D61+D62+D55+D56)*26+(D65+D64+D63)*4+(D67+D68+D69+D70)*20</f>
        <v>340</v>
      </c>
      <c r="E44" s="206" t="s">
        <v>329</v>
      </c>
      <c r="F44" s="206"/>
      <c r="G44" s="60"/>
      <c r="H44" s="62"/>
      <c r="I44" s="62"/>
      <c r="J44" s="62"/>
      <c r="M44" s="38"/>
      <c r="S44" s="196" t="s">
        <v>589</v>
      </c>
    </row>
    <row r="45" spans="1:20" ht="12.95" customHeight="1">
      <c r="A45" s="742"/>
      <c r="B45" s="206">
        <v>10</v>
      </c>
      <c r="C45" s="206" t="s">
        <v>381</v>
      </c>
      <c r="D45" s="298"/>
      <c r="E45" s="206" t="s">
        <v>329</v>
      </c>
      <c r="F45" s="206"/>
      <c r="G45" s="60"/>
      <c r="H45" s="62"/>
      <c r="I45" s="62"/>
      <c r="J45" s="62"/>
      <c r="M45" s="38"/>
      <c r="S45" s="196" t="s">
        <v>590</v>
      </c>
    </row>
    <row r="46" spans="1:20" ht="12.95" customHeight="1">
      <c r="A46" s="742"/>
      <c r="B46" s="206">
        <v>11</v>
      </c>
      <c r="C46" s="206" t="str">
        <f>H46&amp;J46</f>
        <v>U型阻水条铝制踢脚板用</v>
      </c>
      <c r="D46" s="47">
        <f>+D32</f>
        <v>1</v>
      </c>
      <c r="E46" s="206" t="str">
        <f>IF(D32&gt;0,"米","根")</f>
        <v>米</v>
      </c>
      <c r="F46" s="206"/>
      <c r="G46" s="60"/>
      <c r="H46" s="62" t="s">
        <v>384</v>
      </c>
      <c r="I46" s="62"/>
      <c r="J46" s="62" t="str">
        <f>IF(D32&gt;0,"铝制踢脚板用","（18板用）")</f>
        <v>铝制踢脚板用</v>
      </c>
      <c r="M46" s="38"/>
      <c r="S46" s="196" t="s">
        <v>591</v>
      </c>
    </row>
    <row r="47" spans="1:20" ht="12.95" customHeight="1">
      <c r="A47" s="742"/>
      <c r="B47" s="49"/>
      <c r="C47" s="50"/>
      <c r="D47" s="298"/>
      <c r="E47" s="49"/>
      <c r="F47" s="49"/>
      <c r="G47" s="60"/>
      <c r="H47" s="62"/>
      <c r="I47" s="62"/>
      <c r="J47" s="62"/>
      <c r="M47" s="38"/>
      <c r="S47" s="196" t="s">
        <v>592</v>
      </c>
    </row>
    <row r="48" spans="1:20" ht="12.95" customHeight="1">
      <c r="A48" s="742"/>
      <c r="B48" s="49"/>
      <c r="C48" s="50"/>
      <c r="D48" s="298"/>
      <c r="E48" s="49"/>
      <c r="F48" s="49"/>
      <c r="G48" s="60"/>
      <c r="H48" s="62"/>
      <c r="I48" s="62"/>
      <c r="J48" s="62"/>
      <c r="M48" s="38"/>
      <c r="S48" s="196" t="s">
        <v>593</v>
      </c>
    </row>
    <row r="49" spans="1:20" ht="12.95" customHeight="1">
      <c r="A49" s="743"/>
      <c r="B49" s="49"/>
      <c r="C49" s="50"/>
      <c r="D49" s="298"/>
      <c r="E49" s="49"/>
      <c r="F49" s="49"/>
      <c r="G49" s="60"/>
      <c r="H49" s="62"/>
      <c r="I49" s="62"/>
      <c r="J49" s="62"/>
      <c r="L49" s="43"/>
      <c r="M49" s="38"/>
      <c r="S49" s="196" t="s">
        <v>594</v>
      </c>
    </row>
    <row r="50" spans="1:20" ht="12.95" customHeight="1">
      <c r="A50" s="741" t="s">
        <v>340</v>
      </c>
      <c r="B50" s="115" t="s">
        <v>410</v>
      </c>
      <c r="C50" s="206"/>
      <c r="D50" s="51"/>
      <c r="E50" s="206"/>
      <c r="F50" s="53"/>
      <c r="G50" s="60"/>
      <c r="H50" s="62"/>
      <c r="I50" s="62"/>
      <c r="J50" s="62"/>
      <c r="L50" s="43"/>
      <c r="M50" s="38"/>
      <c r="S50" s="196" t="s">
        <v>595</v>
      </c>
    </row>
    <row r="51" spans="1:20" ht="12.95" customHeight="1">
      <c r="A51" s="742"/>
      <c r="B51" s="754" t="s">
        <v>411</v>
      </c>
      <c r="C51" s="296" t="str">
        <f t="shared" ref="C51:C53" si="1">H51&amp;J51</f>
        <v>灯箱底板尺寸</v>
      </c>
      <c r="D51" s="51">
        <v>1</v>
      </c>
      <c r="E51" s="296" t="s">
        <v>1045</v>
      </c>
      <c r="F51" s="53"/>
      <c r="G51" s="60"/>
      <c r="H51" s="62" t="s">
        <v>408</v>
      </c>
      <c r="I51" s="62"/>
      <c r="J51" s="71" t="s">
        <v>409</v>
      </c>
      <c r="L51" s="43"/>
      <c r="M51" s="38"/>
      <c r="S51" s="196" t="s">
        <v>596</v>
      </c>
    </row>
    <row r="52" spans="1:20" ht="12.95" customHeight="1">
      <c r="A52" s="742"/>
      <c r="B52" s="756"/>
      <c r="C52" s="296" t="str">
        <f t="shared" si="1"/>
        <v>灯箱底板尺寸</v>
      </c>
      <c r="D52" s="51">
        <v>1</v>
      </c>
      <c r="E52" s="296" t="s">
        <v>1045</v>
      </c>
      <c r="F52" s="53"/>
      <c r="G52" s="60"/>
      <c r="H52" s="62" t="s">
        <v>408</v>
      </c>
      <c r="I52" s="62"/>
      <c r="J52" s="71" t="s">
        <v>409</v>
      </c>
      <c r="L52" s="43"/>
      <c r="M52" s="38"/>
      <c r="S52" s="196" t="s">
        <v>597</v>
      </c>
    </row>
    <row r="53" spans="1:20" ht="12.95" customHeight="1">
      <c r="A53" s="742"/>
      <c r="B53" s="756"/>
      <c r="C53" s="296" t="str">
        <f t="shared" si="1"/>
        <v>灯箱底板尺寸</v>
      </c>
      <c r="D53" s="51">
        <v>1</v>
      </c>
      <c r="E53" s="296" t="s">
        <v>1045</v>
      </c>
      <c r="F53" s="53"/>
      <c r="G53" s="60"/>
      <c r="H53" s="62" t="s">
        <v>408</v>
      </c>
      <c r="I53" s="62"/>
      <c r="J53" s="71" t="s">
        <v>409</v>
      </c>
      <c r="L53" s="43"/>
      <c r="M53" s="38"/>
      <c r="S53" s="196" t="s">
        <v>598</v>
      </c>
    </row>
    <row r="54" spans="1:20" ht="12.95" customHeight="1">
      <c r="A54" s="742"/>
      <c r="B54" s="755"/>
      <c r="C54" s="206" t="str">
        <f>H54&amp;J54</f>
        <v>灯箱底板尺寸</v>
      </c>
      <c r="D54" s="51">
        <v>1</v>
      </c>
      <c r="E54" s="296" t="s">
        <v>1045</v>
      </c>
      <c r="F54" s="53"/>
      <c r="G54" s="60"/>
      <c r="H54" s="62" t="s">
        <v>408</v>
      </c>
      <c r="I54" s="62"/>
      <c r="J54" s="71" t="s">
        <v>409</v>
      </c>
      <c r="M54" s="38"/>
      <c r="R54" s="123"/>
      <c r="S54" s="196" t="s">
        <v>599</v>
      </c>
    </row>
    <row r="55" spans="1:20" ht="12.95" customHeight="1">
      <c r="A55" s="742"/>
      <c r="B55" s="754" t="s">
        <v>704</v>
      </c>
      <c r="C55" s="206" t="s">
        <v>674</v>
      </c>
      <c r="D55" s="51">
        <v>1</v>
      </c>
      <c r="E55" s="206" t="s">
        <v>242</v>
      </c>
      <c r="F55" s="53"/>
      <c r="G55" s="60"/>
      <c r="H55" s="62"/>
      <c r="I55" s="62"/>
      <c r="J55" s="71"/>
      <c r="M55" s="38"/>
      <c r="R55" s="123"/>
      <c r="S55" s="196" t="s">
        <v>600</v>
      </c>
    </row>
    <row r="56" spans="1:20" ht="12.95" customHeight="1">
      <c r="A56" s="742"/>
      <c r="B56" s="755"/>
      <c r="C56" s="206" t="s">
        <v>676</v>
      </c>
      <c r="D56" s="51">
        <v>1</v>
      </c>
      <c r="E56" s="206" t="s">
        <v>242</v>
      </c>
      <c r="F56" s="53"/>
      <c r="G56" s="60"/>
      <c r="H56" s="62"/>
      <c r="I56" s="62"/>
      <c r="J56" s="71"/>
      <c r="M56" s="38"/>
      <c r="R56" s="123"/>
      <c r="S56" s="196" t="s">
        <v>601</v>
      </c>
    </row>
    <row r="57" spans="1:20" ht="12.95" customHeight="1">
      <c r="A57" s="742"/>
      <c r="B57" s="741" t="s">
        <v>3</v>
      </c>
      <c r="C57" s="206" t="s">
        <v>382</v>
      </c>
      <c r="D57" s="51">
        <v>1</v>
      </c>
      <c r="E57" s="206" t="s">
        <v>637</v>
      </c>
      <c r="F57" s="206"/>
      <c r="G57" s="60"/>
      <c r="H57" s="62"/>
      <c r="I57" s="62"/>
      <c r="J57" s="62"/>
      <c r="M57" s="38"/>
      <c r="R57" s="123"/>
      <c r="S57" s="196" t="s">
        <v>602</v>
      </c>
    </row>
    <row r="58" spans="1:20" ht="12.95" customHeight="1">
      <c r="A58" s="742"/>
      <c r="B58" s="742"/>
      <c r="C58" s="206" t="s">
        <v>383</v>
      </c>
      <c r="D58" s="51">
        <v>1</v>
      </c>
      <c r="E58" s="206" t="s">
        <v>637</v>
      </c>
      <c r="F58" s="206"/>
      <c r="G58" s="60"/>
      <c r="H58" s="62"/>
      <c r="I58" s="62"/>
      <c r="J58" s="62"/>
      <c r="L58" s="70" t="s">
        <v>38</v>
      </c>
      <c r="M58" s="70"/>
      <c r="R58" s="123"/>
      <c r="S58" s="196" t="s">
        <v>603</v>
      </c>
      <c r="T58" s="194"/>
    </row>
    <row r="59" spans="1:20" ht="12.95" customHeight="1">
      <c r="A59" s="742"/>
      <c r="B59" s="742"/>
      <c r="C59" s="206" t="s">
        <v>385</v>
      </c>
      <c r="D59" s="51">
        <v>1</v>
      </c>
      <c r="E59" s="206" t="s">
        <v>637</v>
      </c>
      <c r="F59" s="206"/>
      <c r="G59" s="60"/>
      <c r="H59" s="62"/>
      <c r="I59" s="62"/>
      <c r="J59" s="62"/>
      <c r="L59" s="70" t="s">
        <v>412</v>
      </c>
      <c r="M59" s="70"/>
      <c r="R59" s="123"/>
      <c r="S59" s="196" t="s">
        <v>604</v>
      </c>
      <c r="T59" s="194"/>
    </row>
    <row r="60" spans="1:20" ht="12.95" customHeight="1">
      <c r="A60" s="742"/>
      <c r="B60" s="742"/>
      <c r="C60" s="206" t="s">
        <v>386</v>
      </c>
      <c r="D60" s="51">
        <v>1</v>
      </c>
      <c r="E60" s="206" t="s">
        <v>637</v>
      </c>
      <c r="F60" s="206"/>
      <c r="G60" s="60"/>
      <c r="H60" s="62"/>
      <c r="I60" s="62"/>
      <c r="J60" s="62"/>
      <c r="R60" s="123"/>
      <c r="S60" s="196" t="s">
        <v>605</v>
      </c>
    </row>
    <row r="61" spans="1:20" ht="12.95" customHeight="1">
      <c r="A61" s="742"/>
      <c r="B61" s="742"/>
      <c r="C61" s="57" t="s">
        <v>627</v>
      </c>
      <c r="D61" s="51">
        <v>1</v>
      </c>
      <c r="E61" s="206" t="s">
        <v>637</v>
      </c>
      <c r="F61" s="206"/>
      <c r="G61" s="60"/>
      <c r="H61" s="62"/>
      <c r="I61" s="62"/>
      <c r="J61" s="62"/>
      <c r="R61" s="123"/>
      <c r="S61" s="196" t="s">
        <v>606</v>
      </c>
    </row>
    <row r="62" spans="1:20" ht="12.95" customHeight="1">
      <c r="A62" s="742"/>
      <c r="B62" s="743"/>
      <c r="C62" s="57" t="s">
        <v>628</v>
      </c>
      <c r="D62" s="51">
        <v>1</v>
      </c>
      <c r="E62" s="206" t="s">
        <v>637</v>
      </c>
      <c r="F62" s="53"/>
      <c r="G62" s="60"/>
      <c r="H62" s="62"/>
      <c r="I62" s="62"/>
      <c r="J62" s="62"/>
      <c r="R62" s="123"/>
      <c r="S62" s="196" t="s">
        <v>607</v>
      </c>
    </row>
    <row r="63" spans="1:20" ht="12.95" customHeight="1">
      <c r="A63" s="742"/>
      <c r="B63" s="115" t="s">
        <v>706</v>
      </c>
      <c r="C63" s="57" t="s">
        <v>677</v>
      </c>
      <c r="D63" s="51">
        <v>1</v>
      </c>
      <c r="E63" s="206" t="s">
        <v>242</v>
      </c>
      <c r="F63" s="53"/>
      <c r="G63" s="60"/>
      <c r="H63" s="62"/>
      <c r="I63" s="62"/>
      <c r="J63" s="62"/>
      <c r="R63" s="123"/>
      <c r="S63" s="196" t="s">
        <v>608</v>
      </c>
    </row>
    <row r="64" spans="1:20" ht="12.95" customHeight="1">
      <c r="A64" s="742"/>
      <c r="B64" s="744" t="s">
        <v>705</v>
      </c>
      <c r="C64" s="50"/>
      <c r="D64" s="51">
        <v>1</v>
      </c>
      <c r="E64" s="206"/>
      <c r="F64" s="55"/>
      <c r="G64" s="60"/>
      <c r="H64" s="62"/>
      <c r="I64" s="62"/>
      <c r="J64" s="62"/>
      <c r="R64" s="123"/>
      <c r="S64" s="196" t="s">
        <v>609</v>
      </c>
    </row>
    <row r="65" spans="1:20" ht="12.95" customHeight="1">
      <c r="A65" s="742"/>
      <c r="B65" s="745"/>
      <c r="C65" s="206" t="s">
        <v>344</v>
      </c>
      <c r="D65" s="298">
        <v>16</v>
      </c>
      <c r="E65" s="206" t="s">
        <v>328</v>
      </c>
      <c r="F65" s="55"/>
      <c r="G65" s="60"/>
      <c r="H65" s="62"/>
      <c r="I65" s="62"/>
      <c r="J65" s="62"/>
      <c r="R65" s="123"/>
      <c r="S65" s="196" t="s">
        <v>610</v>
      </c>
    </row>
    <row r="66" spans="1:20" ht="12.95" customHeight="1">
      <c r="A66" s="742"/>
      <c r="B66" s="744" t="s">
        <v>348</v>
      </c>
      <c r="C66" s="296"/>
      <c r="D66" s="298"/>
      <c r="E66" s="296"/>
      <c r="F66" s="55"/>
      <c r="G66" s="60"/>
      <c r="H66" s="62"/>
      <c r="I66" s="62"/>
      <c r="J66" s="62"/>
      <c r="R66" s="123"/>
      <c r="S66" s="196" t="s">
        <v>611</v>
      </c>
    </row>
    <row r="67" spans="1:20" ht="12.95" customHeight="1">
      <c r="A67" s="742"/>
      <c r="B67" s="757"/>
      <c r="C67" s="50"/>
      <c r="D67" s="298"/>
      <c r="E67" s="206"/>
      <c r="F67" s="53"/>
      <c r="G67" s="60"/>
      <c r="H67" s="62"/>
      <c r="I67" s="62"/>
      <c r="J67" s="62"/>
      <c r="R67" s="123"/>
      <c r="S67" s="196" t="s">
        <v>612</v>
      </c>
    </row>
    <row r="68" spans="1:20" ht="12.95" customHeight="1">
      <c r="A68" s="742"/>
      <c r="B68" s="757"/>
      <c r="C68" s="273" t="s">
        <v>1032</v>
      </c>
      <c r="D68" s="298">
        <v>1</v>
      </c>
      <c r="E68" s="206" t="s">
        <v>328</v>
      </c>
      <c r="F68" s="53"/>
      <c r="G68" s="60"/>
      <c r="H68" s="62"/>
      <c r="I68" s="62"/>
      <c r="J68" s="62"/>
      <c r="M68" s="38"/>
      <c r="R68" s="123"/>
      <c r="S68" s="38"/>
    </row>
    <row r="69" spans="1:20" ht="12.95" customHeight="1">
      <c r="A69" s="742"/>
      <c r="B69" s="757"/>
      <c r="C69" s="273" t="s">
        <v>1033</v>
      </c>
      <c r="D69" s="700">
        <v>1</v>
      </c>
      <c r="E69" s="206" t="s">
        <v>328</v>
      </c>
      <c r="F69" s="53"/>
      <c r="G69" s="60"/>
      <c r="H69" s="62"/>
      <c r="I69" s="62"/>
      <c r="J69" s="62"/>
      <c r="R69" s="123"/>
    </row>
    <row r="70" spans="1:20" ht="12.95" customHeight="1">
      <c r="A70" s="743"/>
      <c r="B70" s="745"/>
      <c r="C70" s="273" t="s">
        <v>1034</v>
      </c>
      <c r="D70" s="700">
        <v>1</v>
      </c>
      <c r="E70" s="206" t="s">
        <v>328</v>
      </c>
      <c r="F70" s="53"/>
      <c r="G70" s="60"/>
      <c r="H70" s="62"/>
      <c r="I70" s="62"/>
      <c r="J70" s="62"/>
      <c r="R70" s="123"/>
      <c r="S70" s="38"/>
    </row>
    <row r="71" spans="1:20" ht="13.5" customHeight="1">
      <c r="A71" s="738" t="s">
        <v>362</v>
      </c>
      <c r="B71" s="739"/>
      <c r="C71" s="739"/>
      <c r="D71" s="739"/>
      <c r="E71" s="739"/>
      <c r="F71" s="740"/>
      <c r="G71" s="60"/>
      <c r="H71" s="62"/>
      <c r="I71" s="62"/>
      <c r="J71" s="62"/>
      <c r="R71" s="123"/>
      <c r="S71" s="38"/>
    </row>
    <row r="72" spans="1:20" ht="13.5" customHeight="1">
      <c r="A72" s="746" t="str">
        <f>H72&amp;J72</f>
        <v>装箱清单——简爱</v>
      </c>
      <c r="B72" s="747"/>
      <c r="C72" s="747"/>
      <c r="D72" s="747"/>
      <c r="E72" s="747"/>
      <c r="F72" s="748"/>
      <c r="G72" s="60"/>
      <c r="H72" s="760" t="s">
        <v>397</v>
      </c>
      <c r="I72" s="761"/>
      <c r="J72" s="768" t="str">
        <f>柜体转序单!B3</f>
        <v>简爱</v>
      </c>
      <c r="S72" s="38"/>
    </row>
    <row r="73" spans="1:20" ht="13.5" customHeight="1">
      <c r="A73" s="749"/>
      <c r="B73" s="750"/>
      <c r="C73" s="750"/>
      <c r="D73" s="750"/>
      <c r="E73" s="750"/>
      <c r="F73" s="751"/>
      <c r="H73" s="762"/>
      <c r="I73" s="763"/>
      <c r="J73" s="769"/>
    </row>
    <row r="74" spans="1:20" ht="13.5" customHeight="1">
      <c r="A74" s="752" t="s">
        <v>320</v>
      </c>
      <c r="B74" s="753"/>
      <c r="C74" s="33">
        <f>C2</f>
        <v>0</v>
      </c>
      <c r="D74" s="298" t="s">
        <v>387</v>
      </c>
      <c r="E74" s="33">
        <f>E2</f>
        <v>0</v>
      </c>
      <c r="F74" s="33"/>
      <c r="H74" s="62"/>
      <c r="I74" s="62"/>
      <c r="J74" s="62"/>
    </row>
    <row r="75" spans="1:20" ht="13.5" customHeight="1">
      <c r="A75" s="752" t="s">
        <v>321</v>
      </c>
      <c r="B75" s="753"/>
      <c r="C75" s="33">
        <f>C3</f>
        <v>0</v>
      </c>
      <c r="D75" s="298" t="str">
        <f>D3</f>
        <v>销售单号</v>
      </c>
      <c r="E75" s="33">
        <f>E3</f>
        <v>0</v>
      </c>
      <c r="F75" s="33"/>
      <c r="H75" s="62"/>
      <c r="I75" s="62"/>
      <c r="J75" s="62"/>
    </row>
    <row r="76" spans="1:20" ht="13.5" customHeight="1">
      <c r="A76" s="33" t="s">
        <v>322</v>
      </c>
      <c r="B76" s="33" t="s">
        <v>323</v>
      </c>
      <c r="C76" s="33" t="s">
        <v>24</v>
      </c>
      <c r="D76" s="298" t="s">
        <v>5</v>
      </c>
      <c r="E76" s="33" t="s">
        <v>324</v>
      </c>
      <c r="F76" s="33" t="s">
        <v>325</v>
      </c>
      <c r="H76" s="62"/>
      <c r="I76" s="62"/>
      <c r="J76" s="62"/>
    </row>
    <row r="77" spans="1:20" ht="13.5" customHeight="1">
      <c r="A77" s="741" t="s">
        <v>327</v>
      </c>
      <c r="B77" s="33">
        <v>1</v>
      </c>
      <c r="C77" s="206" t="s">
        <v>665</v>
      </c>
      <c r="D77" s="58">
        <f>$M$3-$O$3</f>
        <v>136</v>
      </c>
      <c r="E77" s="206" t="s">
        <v>328</v>
      </c>
      <c r="F77" s="33"/>
      <c r="H77" s="62"/>
      <c r="I77" s="62"/>
      <c r="J77" s="62"/>
    </row>
    <row r="78" spans="1:20" ht="13.5" customHeight="1">
      <c r="A78" s="742"/>
      <c r="B78" s="33">
        <v>2</v>
      </c>
      <c r="C78" s="206" t="s">
        <v>666</v>
      </c>
      <c r="D78" s="58">
        <f>$M$4-$O$4</f>
        <v>268</v>
      </c>
      <c r="E78" s="206" t="s">
        <v>329</v>
      </c>
      <c r="F78" s="33"/>
      <c r="H78" s="62"/>
      <c r="I78" s="62"/>
      <c r="J78" s="62"/>
      <c r="P78" s="27"/>
    </row>
    <row r="79" spans="1:20" ht="13.5" customHeight="1">
      <c r="A79" s="742"/>
      <c r="B79" s="33">
        <v>3</v>
      </c>
      <c r="C79" s="206" t="str">
        <f>下料单!BF3</f>
        <v>排孔塞（樱桃色）</v>
      </c>
      <c r="D79" s="298">
        <f>(下料单!$AD$21+下料单!$AD$33)*12</f>
        <v>120</v>
      </c>
      <c r="E79" s="206" t="s">
        <v>329</v>
      </c>
      <c r="F79" s="33"/>
      <c r="H79" s="62"/>
      <c r="I79" s="62"/>
      <c r="J79" s="62"/>
      <c r="T79" s="194"/>
    </row>
    <row r="80" spans="1:20" ht="13.5" customHeight="1">
      <c r="A80" s="742"/>
      <c r="B80" s="33">
        <v>4</v>
      </c>
      <c r="C80" s="206" t="s">
        <v>667</v>
      </c>
      <c r="D80" s="298">
        <f>($D$114+$D$116+$D$115+$D$117+$D$118+D65+D64+$D$68+$D$69+$D$70+$D$120+$D$121+D111+D112+D113)*4</f>
        <v>84</v>
      </c>
      <c r="E80" s="206" t="s">
        <v>329</v>
      </c>
      <c r="F80" s="33"/>
      <c r="H80" s="62"/>
      <c r="I80" s="62"/>
      <c r="J80" s="62"/>
      <c r="T80" s="194"/>
    </row>
    <row r="81" spans="1:20" ht="13.5" customHeight="1">
      <c r="A81" s="742"/>
      <c r="B81" s="33">
        <v>5</v>
      </c>
      <c r="C81" s="56"/>
      <c r="D81" s="58"/>
      <c r="E81" s="206"/>
      <c r="F81" s="33"/>
      <c r="H81" s="62"/>
      <c r="I81" s="62"/>
      <c r="J81" s="62"/>
      <c r="T81" s="194"/>
    </row>
    <row r="82" spans="1:20" ht="13.5" customHeight="1">
      <c r="A82" s="742"/>
      <c r="B82" s="33">
        <v>6</v>
      </c>
      <c r="C82" s="57" t="s">
        <v>366</v>
      </c>
      <c r="D82" s="218">
        <v>1</v>
      </c>
      <c r="E82" s="57" t="s">
        <v>367</v>
      </c>
      <c r="F82" s="48"/>
      <c r="H82" s="62"/>
      <c r="I82" s="62"/>
      <c r="J82" s="62"/>
      <c r="S82" s="193"/>
    </row>
    <row r="83" spans="1:20" ht="13.5" customHeight="1">
      <c r="A83" s="742"/>
      <c r="B83" s="33">
        <v>7</v>
      </c>
      <c r="C83" s="219" t="s">
        <v>368</v>
      </c>
      <c r="D83" s="218">
        <v>1</v>
      </c>
      <c r="E83" s="57" t="s">
        <v>369</v>
      </c>
      <c r="F83" s="33"/>
      <c r="H83" s="62"/>
      <c r="I83" s="62"/>
      <c r="J83" s="62"/>
      <c r="S83" s="193"/>
    </row>
    <row r="84" spans="1:20" ht="13.5" customHeight="1">
      <c r="A84" s="742"/>
      <c r="B84" s="33">
        <v>8</v>
      </c>
      <c r="C84" s="57" t="s">
        <v>642</v>
      </c>
      <c r="D84" s="218">
        <v>1</v>
      </c>
      <c r="E84" s="57" t="s">
        <v>367</v>
      </c>
      <c r="F84" s="48"/>
      <c r="H84" s="62"/>
      <c r="I84" s="62"/>
      <c r="J84" s="62"/>
      <c r="S84" s="193"/>
    </row>
    <row r="85" spans="1:20" ht="13.5" customHeight="1">
      <c r="A85" s="742"/>
      <c r="B85" s="33">
        <v>9</v>
      </c>
      <c r="C85" s="56"/>
      <c r="D85" s="58"/>
      <c r="E85" s="206"/>
      <c r="F85" s="33"/>
      <c r="H85" s="62"/>
      <c r="I85" s="62"/>
      <c r="J85" s="63"/>
      <c r="S85" s="193"/>
    </row>
    <row r="86" spans="1:20" ht="13.5" customHeight="1">
      <c r="A86" s="742"/>
      <c r="B86" s="33">
        <v>10</v>
      </c>
      <c r="C86" s="206" t="s">
        <v>643</v>
      </c>
      <c r="D86" s="298">
        <f>(下料单!$AD$21+下料单!$AD$33)*4</f>
        <v>40</v>
      </c>
      <c r="E86" s="206" t="s">
        <v>329</v>
      </c>
      <c r="F86" s="33"/>
      <c r="H86" s="62"/>
      <c r="I86" s="62"/>
      <c r="J86" s="62"/>
      <c r="S86" s="193"/>
    </row>
    <row r="87" spans="1:20" ht="13.5" customHeight="1">
      <c r="A87" s="742"/>
      <c r="B87" s="33">
        <v>11</v>
      </c>
      <c r="C87" s="206" t="s">
        <v>652</v>
      </c>
      <c r="D87" s="700">
        <f>(下料单!$AD$21+下料单!$AD$33)*4</f>
        <v>40</v>
      </c>
      <c r="E87" s="206" t="s">
        <v>329</v>
      </c>
      <c r="F87" s="33"/>
      <c r="H87" s="62"/>
      <c r="I87" s="62"/>
      <c r="J87" s="62"/>
      <c r="S87" s="193"/>
    </row>
    <row r="88" spans="1:20" ht="13.5" customHeight="1">
      <c r="A88" s="742"/>
      <c r="B88" s="33">
        <v>12</v>
      </c>
      <c r="C88" s="206" t="s">
        <v>653</v>
      </c>
      <c r="D88" s="700">
        <f>(下料单!$AD$21+下料单!$AD$33)*4</f>
        <v>40</v>
      </c>
      <c r="E88" s="206" t="s">
        <v>654</v>
      </c>
      <c r="F88" s="55"/>
      <c r="H88" s="62"/>
      <c r="I88" s="62"/>
      <c r="J88" s="62"/>
      <c r="S88" s="193"/>
      <c r="T88" s="194"/>
    </row>
    <row r="89" spans="1:20" ht="13.5" customHeight="1">
      <c r="A89" s="742"/>
      <c r="B89" s="33">
        <v>13</v>
      </c>
      <c r="C89" s="206" t="s">
        <v>389</v>
      </c>
      <c r="D89" s="298">
        <f>D94*2+D103*1</f>
        <v>32</v>
      </c>
      <c r="E89" s="206" t="s">
        <v>329</v>
      </c>
      <c r="F89" s="33"/>
      <c r="H89" s="62"/>
      <c r="I89" s="62"/>
      <c r="J89" s="62"/>
      <c r="S89" s="193"/>
      <c r="T89" s="194"/>
    </row>
    <row r="90" spans="1:20" ht="13.5" customHeight="1">
      <c r="A90" s="742"/>
      <c r="B90" s="33">
        <v>14</v>
      </c>
      <c r="C90" s="206" t="s">
        <v>333</v>
      </c>
      <c r="D90" s="298">
        <f>下料单!$E$33*2</f>
        <v>16</v>
      </c>
      <c r="E90" s="206" t="s">
        <v>329</v>
      </c>
      <c r="F90" s="33"/>
      <c r="H90" s="62"/>
      <c r="I90" s="62"/>
      <c r="J90" s="62"/>
      <c r="K90" s="45"/>
      <c r="L90" s="45"/>
      <c r="M90" s="73"/>
      <c r="N90" s="45"/>
      <c r="S90" s="193"/>
      <c r="T90" s="194"/>
    </row>
    <row r="91" spans="1:20" ht="13.5" customHeight="1">
      <c r="A91" s="742"/>
      <c r="B91" s="33">
        <v>15</v>
      </c>
      <c r="C91" s="206" t="s">
        <v>651</v>
      </c>
      <c r="D91" s="700">
        <f>下料单!$E$33*2</f>
        <v>16</v>
      </c>
      <c r="E91" s="206" t="s">
        <v>329</v>
      </c>
      <c r="F91" s="33"/>
      <c r="H91" s="62"/>
      <c r="I91" s="62"/>
      <c r="J91" s="62"/>
      <c r="S91" s="193"/>
      <c r="T91" s="194"/>
    </row>
    <row r="92" spans="1:20" ht="13.5" customHeight="1">
      <c r="A92" s="742"/>
      <c r="B92" s="33">
        <v>16</v>
      </c>
      <c r="C92" s="206" t="s">
        <v>334</v>
      </c>
      <c r="D92" s="298">
        <f>D94</f>
        <v>16</v>
      </c>
      <c r="E92" s="206" t="s">
        <v>329</v>
      </c>
      <c r="F92" s="33"/>
      <c r="H92" s="62"/>
      <c r="I92" s="62"/>
      <c r="J92" s="62"/>
      <c r="T92" s="194"/>
    </row>
    <row r="93" spans="1:20" ht="13.5" customHeight="1">
      <c r="A93" s="742"/>
      <c r="B93" s="33">
        <v>17</v>
      </c>
      <c r="C93" s="206" t="str">
        <f>下料单!BD3</f>
        <v>吊码片盖（棕色）</v>
      </c>
      <c r="D93" s="298">
        <f>D92*2</f>
        <v>32</v>
      </c>
      <c r="E93" s="206" t="s">
        <v>329</v>
      </c>
      <c r="F93" s="33"/>
      <c r="H93" s="62"/>
      <c r="I93" s="62"/>
      <c r="J93" s="62"/>
    </row>
    <row r="94" spans="1:20" ht="13.5" customHeight="1">
      <c r="A94" s="742"/>
      <c r="B94" s="33">
        <v>18</v>
      </c>
      <c r="C94" s="206" t="s">
        <v>638</v>
      </c>
      <c r="D94" s="298">
        <f>下料单!$E$33*2</f>
        <v>16</v>
      </c>
      <c r="E94" s="206" t="s">
        <v>329</v>
      </c>
      <c r="F94" s="33"/>
      <c r="H94" s="62"/>
      <c r="I94" s="62"/>
      <c r="J94" s="62"/>
      <c r="S94" s="193"/>
    </row>
    <row r="95" spans="1:20" ht="13.5" customHeight="1">
      <c r="A95" s="742"/>
      <c r="B95" s="33">
        <v>19</v>
      </c>
      <c r="C95" s="206" t="s">
        <v>337</v>
      </c>
      <c r="D95" s="298">
        <v>1</v>
      </c>
      <c r="E95" s="206" t="s">
        <v>329</v>
      </c>
      <c r="F95" s="59"/>
      <c r="H95" s="62"/>
      <c r="I95" s="62"/>
      <c r="J95" s="62"/>
      <c r="S95" s="193"/>
    </row>
    <row r="96" spans="1:20" ht="13.5" customHeight="1">
      <c r="A96" s="742"/>
      <c r="B96" s="33">
        <v>20</v>
      </c>
      <c r="C96" s="206" t="str">
        <f>下料单!BE3</f>
        <v>偏心件装饰盖（樱桃）</v>
      </c>
      <c r="D96" s="298">
        <f>下料单!E33*14</f>
        <v>112</v>
      </c>
      <c r="E96" s="206" t="s">
        <v>329</v>
      </c>
      <c r="F96" s="33"/>
      <c r="H96" s="62"/>
      <c r="I96" s="62"/>
      <c r="J96" s="62"/>
      <c r="S96" s="193"/>
      <c r="T96" s="194"/>
    </row>
    <row r="97" spans="1:20" ht="13.5" customHeight="1">
      <c r="A97" s="742"/>
      <c r="B97" s="33">
        <v>21</v>
      </c>
      <c r="C97" s="206" t="s">
        <v>338</v>
      </c>
      <c r="D97" s="298"/>
      <c r="E97" s="206" t="s">
        <v>329</v>
      </c>
      <c r="F97" s="33"/>
      <c r="H97" s="62"/>
      <c r="I97" s="62"/>
      <c r="J97" s="62"/>
      <c r="S97" s="193"/>
      <c r="T97" s="194"/>
    </row>
    <row r="98" spans="1:20" ht="13.5" customHeight="1">
      <c r="A98" s="742"/>
      <c r="B98" s="33">
        <v>22</v>
      </c>
      <c r="C98" s="306" t="s">
        <v>380</v>
      </c>
      <c r="D98" s="298">
        <f>D94*4+(D105+D114+D116+D115+D117+D118+D111+D112+D113)*4+(D67+D68+D69+D70)*20+下料单!AN47*5+(D126+D127+D128+D129)*26</f>
        <v>210</v>
      </c>
      <c r="E98" s="206" t="s">
        <v>329</v>
      </c>
      <c r="F98" s="33"/>
      <c r="H98" s="62"/>
      <c r="I98" s="62"/>
      <c r="J98" s="62"/>
      <c r="T98" s="194"/>
    </row>
    <row r="99" spans="1:20" ht="13.5" customHeight="1">
      <c r="A99" s="742"/>
      <c r="B99" s="33">
        <v>23</v>
      </c>
      <c r="C99" s="206" t="s">
        <v>381</v>
      </c>
      <c r="D99" s="298"/>
      <c r="E99" s="206" t="s">
        <v>329</v>
      </c>
      <c r="F99" s="33"/>
      <c r="H99" s="62"/>
      <c r="I99" s="62"/>
      <c r="J99" s="62"/>
      <c r="S99" s="193"/>
    </row>
    <row r="100" spans="1:20" ht="13.5" customHeight="1">
      <c r="A100" s="742"/>
      <c r="B100" s="33">
        <v>24</v>
      </c>
      <c r="C100" s="206" t="s">
        <v>390</v>
      </c>
      <c r="D100" s="298">
        <v>1</v>
      </c>
      <c r="E100" s="206" t="s">
        <v>329</v>
      </c>
      <c r="F100" s="33"/>
      <c r="H100" s="62"/>
      <c r="I100" s="62"/>
      <c r="J100" s="62"/>
      <c r="M100" s="62" t="s">
        <v>649</v>
      </c>
      <c r="N100" s="123"/>
      <c r="T100" s="194"/>
    </row>
    <row r="101" spans="1:20" ht="13.5" customHeight="1">
      <c r="A101" s="742"/>
      <c r="B101" s="33">
        <v>25</v>
      </c>
      <c r="C101" s="206" t="str">
        <f>H101&amp;J101</f>
        <v>铝转角100mm高</v>
      </c>
      <c r="D101" s="298"/>
      <c r="E101" s="206" t="s">
        <v>329</v>
      </c>
      <c r="F101" s="33"/>
      <c r="H101" s="62" t="s">
        <v>641</v>
      </c>
      <c r="I101" s="62"/>
      <c r="J101" s="62" t="str">
        <f>J109</f>
        <v>100mm高</v>
      </c>
      <c r="M101" s="62" t="s">
        <v>646</v>
      </c>
      <c r="N101" s="123"/>
      <c r="S101" s="193"/>
      <c r="T101" s="194"/>
    </row>
    <row r="102" spans="1:20" ht="13.5" customHeight="1">
      <c r="A102" s="742"/>
      <c r="B102" s="33">
        <v>26</v>
      </c>
      <c r="C102" s="206" t="str">
        <f>IF(D32&gt;0,"踢脚板卡子","木制踢脚板卡子底座")</f>
        <v>踢脚板卡子</v>
      </c>
      <c r="D102" s="298">
        <f>D105/2+2</f>
        <v>6</v>
      </c>
      <c r="E102" s="206" t="s">
        <v>329</v>
      </c>
      <c r="F102" s="33"/>
      <c r="H102" s="62"/>
      <c r="I102" s="62"/>
      <c r="J102" s="62"/>
      <c r="M102" s="62" t="s">
        <v>1048</v>
      </c>
      <c r="N102" s="123"/>
      <c r="S102" s="193"/>
      <c r="T102" s="194"/>
    </row>
    <row r="103" spans="1:20" ht="13.5" customHeight="1">
      <c r="A103" s="742"/>
      <c r="B103" s="33">
        <v>27</v>
      </c>
      <c r="C103" s="206" t="s">
        <v>639</v>
      </c>
      <c r="D103" s="298"/>
      <c r="E103" s="206" t="s">
        <v>328</v>
      </c>
      <c r="F103" s="33"/>
      <c r="H103" s="62"/>
      <c r="I103" s="62"/>
      <c r="J103" s="62"/>
      <c r="M103" s="62" t="s">
        <v>647</v>
      </c>
      <c r="N103" s="123"/>
      <c r="S103" s="193"/>
      <c r="T103" s="194"/>
    </row>
    <row r="104" spans="1:20" ht="13.5" customHeight="1">
      <c r="A104" s="742"/>
      <c r="B104" s="33">
        <v>28</v>
      </c>
      <c r="C104" s="206" t="s">
        <v>339</v>
      </c>
      <c r="D104" s="298"/>
      <c r="E104" s="206" t="s">
        <v>329</v>
      </c>
      <c r="F104" s="33"/>
      <c r="H104" s="62"/>
      <c r="I104" s="62"/>
      <c r="J104" s="62"/>
      <c r="M104" s="62" t="s">
        <v>648</v>
      </c>
      <c r="N104" s="123"/>
      <c r="S104" s="193"/>
      <c r="T104" s="194"/>
    </row>
    <row r="105" spans="1:20" ht="13.5" customHeight="1">
      <c r="A105" s="742"/>
      <c r="B105" s="33">
        <v>29</v>
      </c>
      <c r="C105" s="221" t="str">
        <f>H105&amp;J105</f>
        <v>塑料可调脚100mm</v>
      </c>
      <c r="D105" s="298">
        <f>下料单!$AP$47</f>
        <v>8</v>
      </c>
      <c r="E105" s="206" t="s">
        <v>329</v>
      </c>
      <c r="F105" s="55"/>
      <c r="H105" s="62" t="s">
        <v>649</v>
      </c>
      <c r="I105" s="62"/>
      <c r="J105" s="285" t="s">
        <v>1050</v>
      </c>
      <c r="T105" s="194"/>
    </row>
    <row r="106" spans="1:20" ht="13.5" customHeight="1">
      <c r="A106" s="742"/>
      <c r="B106" s="33">
        <v>30</v>
      </c>
      <c r="C106" s="206" t="s">
        <v>650</v>
      </c>
      <c r="D106" s="298"/>
      <c r="E106" s="206" t="s">
        <v>329</v>
      </c>
      <c r="F106" s="33"/>
      <c r="H106" s="62"/>
      <c r="I106" s="62"/>
      <c r="J106" s="62"/>
      <c r="T106" s="194"/>
    </row>
    <row r="107" spans="1:20" ht="13.5" customHeight="1">
      <c r="A107" s="742"/>
      <c r="B107" s="33">
        <v>31</v>
      </c>
      <c r="C107" s="206" t="str">
        <f>J107&amp;H107</f>
        <v>瓷白中性玻璃胶</v>
      </c>
      <c r="D107" s="298">
        <v>1</v>
      </c>
      <c r="E107" s="206" t="s">
        <v>342</v>
      </c>
      <c r="F107" s="33"/>
      <c r="H107" s="62" t="s">
        <v>391</v>
      </c>
      <c r="I107" s="62"/>
      <c r="J107" s="34" t="s">
        <v>341</v>
      </c>
      <c r="L107" s="62" t="s">
        <v>313</v>
      </c>
      <c r="T107" s="194"/>
    </row>
    <row r="108" spans="1:20" ht="13.5" customHeight="1">
      <c r="A108" s="742"/>
      <c r="B108" s="33">
        <v>32</v>
      </c>
      <c r="C108" s="206" t="s">
        <v>640</v>
      </c>
      <c r="D108" s="298"/>
      <c r="E108" s="206" t="s">
        <v>329</v>
      </c>
      <c r="F108" s="53"/>
      <c r="H108" s="62"/>
      <c r="I108" s="62"/>
      <c r="J108" s="62"/>
      <c r="L108" s="62" t="s">
        <v>314</v>
      </c>
      <c r="T108" s="194"/>
    </row>
    <row r="109" spans="1:20" ht="13.5" customHeight="1">
      <c r="A109" s="742"/>
      <c r="B109" s="33">
        <v>33</v>
      </c>
      <c r="C109" s="206" t="str">
        <f>H109&amp;J109</f>
        <v>铝踢脚板连接件100mm高</v>
      </c>
      <c r="D109" s="298"/>
      <c r="E109" s="206" t="s">
        <v>329</v>
      </c>
      <c r="F109" s="53"/>
      <c r="H109" s="62" t="s">
        <v>392</v>
      </c>
      <c r="I109" s="62"/>
      <c r="J109" s="62" t="str">
        <f>J105&amp;"高"</f>
        <v>100mm高</v>
      </c>
      <c r="T109" s="194"/>
    </row>
    <row r="110" spans="1:20" ht="13.5" customHeight="1">
      <c r="A110" s="742"/>
      <c r="B110" s="191"/>
      <c r="C110" s="200"/>
      <c r="D110" s="300"/>
      <c r="E110" s="208"/>
      <c r="F110" s="199"/>
      <c r="H110" s="123"/>
      <c r="I110" s="123"/>
      <c r="J110" s="123"/>
      <c r="T110" s="194"/>
    </row>
    <row r="111" spans="1:20" ht="13.5" customHeight="1">
      <c r="A111" s="741" t="s">
        <v>708</v>
      </c>
      <c r="B111" s="744" t="s">
        <v>707</v>
      </c>
      <c r="C111" s="206" t="s">
        <v>677</v>
      </c>
      <c r="D111" s="300"/>
      <c r="E111" s="206" t="s">
        <v>242</v>
      </c>
      <c r="F111" s="199"/>
      <c r="H111" s="123"/>
      <c r="I111" s="123"/>
      <c r="J111" s="123"/>
      <c r="T111" s="194"/>
    </row>
    <row r="112" spans="1:20" ht="13.5" customHeight="1">
      <c r="A112" s="742"/>
      <c r="B112" s="745"/>
      <c r="C112" s="206" t="s">
        <v>675</v>
      </c>
      <c r="D112" s="300">
        <v>1</v>
      </c>
      <c r="E112" s="206" t="s">
        <v>242</v>
      </c>
      <c r="F112" s="199"/>
      <c r="H112" s="123"/>
      <c r="I112" s="123"/>
      <c r="J112" s="123"/>
      <c r="T112" s="194"/>
    </row>
    <row r="113" spans="1:20" ht="13.5" customHeight="1">
      <c r="A113" s="742"/>
      <c r="B113" s="772" t="s">
        <v>343</v>
      </c>
      <c r="C113" s="260" t="s">
        <v>1021</v>
      </c>
      <c r="D113" s="298"/>
      <c r="E113" s="206" t="s">
        <v>242</v>
      </c>
      <c r="F113" s="53"/>
      <c r="H113" s="123"/>
      <c r="I113" s="123"/>
      <c r="J113" s="123"/>
      <c r="T113" s="194"/>
    </row>
    <row r="114" spans="1:20" ht="13.5" customHeight="1">
      <c r="A114" s="742"/>
      <c r="B114" s="772"/>
      <c r="C114" s="206" t="s">
        <v>634</v>
      </c>
      <c r="D114" s="298"/>
      <c r="E114" s="206" t="s">
        <v>328</v>
      </c>
      <c r="F114" s="53"/>
      <c r="H114" s="123"/>
      <c r="I114" s="123"/>
      <c r="J114" s="123"/>
      <c r="T114" s="194"/>
    </row>
    <row r="115" spans="1:20" ht="13.5" customHeight="1">
      <c r="A115" s="742"/>
      <c r="B115" s="772"/>
      <c r="C115" s="206" t="s">
        <v>345</v>
      </c>
      <c r="D115" s="298"/>
      <c r="E115" s="206" t="s">
        <v>328</v>
      </c>
      <c r="F115" s="53"/>
      <c r="H115" s="123"/>
      <c r="I115" s="123"/>
      <c r="J115" s="123"/>
      <c r="T115" s="194"/>
    </row>
    <row r="116" spans="1:20" ht="13.5" customHeight="1">
      <c r="A116" s="742"/>
      <c r="B116" s="772"/>
      <c r="C116" s="206" t="s">
        <v>346</v>
      </c>
      <c r="D116" s="298"/>
      <c r="E116" s="206" t="s">
        <v>328</v>
      </c>
      <c r="F116" s="53"/>
      <c r="H116" s="123"/>
      <c r="I116" s="123"/>
      <c r="J116" s="123"/>
      <c r="T116" s="194"/>
    </row>
    <row r="117" spans="1:20" ht="13.5" customHeight="1">
      <c r="A117" s="742"/>
      <c r="B117" s="772"/>
      <c r="C117" s="206" t="s">
        <v>635</v>
      </c>
      <c r="D117" s="298"/>
      <c r="E117" s="206" t="s">
        <v>328</v>
      </c>
      <c r="F117" s="53"/>
      <c r="H117" s="123"/>
      <c r="I117" s="123"/>
      <c r="J117" s="123"/>
      <c r="T117" s="194"/>
    </row>
    <row r="118" spans="1:20" ht="13.5" customHeight="1">
      <c r="A118" s="742"/>
      <c r="B118" s="772"/>
      <c r="C118" s="206" t="s">
        <v>347</v>
      </c>
      <c r="D118" s="298"/>
      <c r="E118" s="206" t="s">
        <v>328</v>
      </c>
      <c r="F118" s="53"/>
      <c r="H118" s="123"/>
      <c r="I118" s="123"/>
      <c r="J118" s="123"/>
      <c r="T118" s="194"/>
    </row>
    <row r="119" spans="1:20" ht="13.5" customHeight="1">
      <c r="A119" s="742"/>
      <c r="B119" s="772"/>
      <c r="C119" s="57" t="s">
        <v>370</v>
      </c>
      <c r="D119" s="57"/>
      <c r="E119" s="57" t="s">
        <v>369</v>
      </c>
      <c r="F119" s="53"/>
      <c r="H119" s="123"/>
      <c r="I119" s="123"/>
      <c r="J119" s="123"/>
      <c r="S119" s="193"/>
      <c r="T119" s="194"/>
    </row>
    <row r="120" spans="1:20" ht="13.5" customHeight="1">
      <c r="A120" s="742"/>
      <c r="B120" s="772" t="s">
        <v>349</v>
      </c>
      <c r="C120" s="206" t="s">
        <v>350</v>
      </c>
      <c r="D120" s="298"/>
      <c r="E120" s="206" t="s">
        <v>242</v>
      </c>
      <c r="F120" s="53"/>
      <c r="H120" s="123"/>
      <c r="I120" s="123"/>
      <c r="J120" s="123"/>
      <c r="S120" s="193"/>
      <c r="T120" s="194"/>
    </row>
    <row r="121" spans="1:20" ht="13.5" customHeight="1">
      <c r="A121" s="742"/>
      <c r="B121" s="772"/>
      <c r="C121" s="206" t="s">
        <v>351</v>
      </c>
      <c r="D121" s="298"/>
      <c r="E121" s="206" t="s">
        <v>242</v>
      </c>
      <c r="F121" s="119"/>
      <c r="H121" s="123"/>
      <c r="I121" s="123"/>
      <c r="J121" s="123"/>
      <c r="S121" s="193"/>
      <c r="T121" s="194"/>
    </row>
    <row r="122" spans="1:20" ht="13.5" customHeight="1">
      <c r="A122" s="742"/>
      <c r="B122" s="772"/>
      <c r="C122" s="57" t="s">
        <v>371</v>
      </c>
      <c r="D122" s="57"/>
      <c r="E122" s="57" t="s">
        <v>369</v>
      </c>
      <c r="F122" s="119"/>
      <c r="H122" s="123"/>
      <c r="I122" s="123"/>
      <c r="J122" s="123"/>
      <c r="S122" s="193"/>
      <c r="T122" s="194"/>
    </row>
    <row r="123" spans="1:20" ht="13.5" customHeight="1">
      <c r="A123" s="742"/>
      <c r="B123" s="767" t="s">
        <v>353</v>
      </c>
      <c r="C123" s="305" t="s">
        <v>1049</v>
      </c>
      <c r="D123" s="298"/>
      <c r="E123" s="206" t="s">
        <v>329</v>
      </c>
      <c r="F123" s="119"/>
      <c r="H123" s="123"/>
      <c r="I123" s="123"/>
      <c r="J123" s="123"/>
      <c r="S123" s="193"/>
      <c r="T123" s="194"/>
    </row>
    <row r="124" spans="1:20" ht="13.5" customHeight="1">
      <c r="A124" s="742"/>
      <c r="B124" s="767"/>
      <c r="C124" s="305" t="s">
        <v>393</v>
      </c>
      <c r="D124" s="298"/>
      <c r="E124" s="206" t="s">
        <v>329</v>
      </c>
      <c r="F124" s="53"/>
      <c r="H124" s="123"/>
      <c r="I124" s="123"/>
      <c r="J124" s="123"/>
      <c r="T124" s="194"/>
    </row>
    <row r="125" spans="1:20" ht="13.5" customHeight="1">
      <c r="A125" s="742"/>
      <c r="B125" s="767"/>
      <c r="C125" s="115" t="s">
        <v>1035</v>
      </c>
      <c r="D125" s="298"/>
      <c r="E125" s="206" t="s">
        <v>329</v>
      </c>
      <c r="F125" s="53"/>
      <c r="H125" s="225"/>
      <c r="I125" s="225"/>
      <c r="J125" s="123"/>
      <c r="L125" s="24"/>
      <c r="M125" s="24"/>
      <c r="S125" s="193"/>
      <c r="T125" s="194"/>
    </row>
    <row r="126" spans="1:20" ht="13.5" customHeight="1">
      <c r="A126" s="742"/>
      <c r="B126" s="767" t="s">
        <v>365</v>
      </c>
      <c r="C126" s="206" t="s">
        <v>382</v>
      </c>
      <c r="D126" s="298"/>
      <c r="E126" s="206" t="s">
        <v>242</v>
      </c>
      <c r="F126" s="53"/>
      <c r="H126" s="123"/>
      <c r="I126" s="123"/>
      <c r="J126" s="123"/>
      <c r="L126" s="24"/>
      <c r="M126" s="24"/>
      <c r="S126" s="193"/>
      <c r="T126" s="194"/>
    </row>
    <row r="127" spans="1:20" ht="13.5" customHeight="1">
      <c r="A127" s="742"/>
      <c r="B127" s="767"/>
      <c r="C127" s="206" t="s">
        <v>383</v>
      </c>
      <c r="D127" s="298"/>
      <c r="E127" s="206" t="s">
        <v>242</v>
      </c>
      <c r="F127" s="53"/>
      <c r="H127" s="123"/>
      <c r="I127" s="123"/>
      <c r="J127" s="123"/>
      <c r="L127" s="70" t="s">
        <v>1036</v>
      </c>
      <c r="M127" s="24"/>
      <c r="S127" s="193"/>
      <c r="T127" s="194"/>
    </row>
    <row r="128" spans="1:20" ht="13.5" customHeight="1">
      <c r="A128" s="742"/>
      <c r="B128" s="767"/>
      <c r="C128" s="206" t="s">
        <v>385</v>
      </c>
      <c r="D128" s="298"/>
      <c r="E128" s="206" t="s">
        <v>242</v>
      </c>
      <c r="F128" s="53"/>
      <c r="H128" s="123"/>
      <c r="I128" s="123"/>
      <c r="J128" s="123"/>
      <c r="L128" s="70" t="s">
        <v>1037</v>
      </c>
      <c r="M128" s="24"/>
      <c r="S128" s="193"/>
      <c r="T128" s="194"/>
    </row>
    <row r="129" spans="1:20" ht="13.5" customHeight="1">
      <c r="A129" s="742"/>
      <c r="B129" s="767"/>
      <c r="C129" s="206" t="s">
        <v>386</v>
      </c>
      <c r="D129" s="298"/>
      <c r="E129" s="206" t="s">
        <v>242</v>
      </c>
      <c r="F129" s="53"/>
      <c r="H129" s="123"/>
      <c r="I129" s="123"/>
      <c r="J129" s="123"/>
      <c r="L129" s="70" t="s">
        <v>1038</v>
      </c>
      <c r="M129" s="24"/>
      <c r="S129" s="193"/>
      <c r="T129" s="194"/>
    </row>
    <row r="130" spans="1:20" ht="13.5" customHeight="1">
      <c r="A130" s="742"/>
      <c r="B130" s="767" t="s">
        <v>357</v>
      </c>
      <c r="C130" s="206"/>
      <c r="D130" s="298"/>
      <c r="E130" s="206"/>
      <c r="F130" s="53"/>
      <c r="H130" s="123"/>
      <c r="I130" s="123"/>
      <c r="J130" s="123"/>
      <c r="L130" s="70" t="s">
        <v>1039</v>
      </c>
      <c r="M130" s="24"/>
      <c r="S130" s="193"/>
    </row>
    <row r="131" spans="1:20" ht="13.5" customHeight="1">
      <c r="A131" s="742"/>
      <c r="B131" s="767"/>
      <c r="C131" s="206" t="s">
        <v>630</v>
      </c>
      <c r="D131" s="298"/>
      <c r="E131" s="206" t="s">
        <v>329</v>
      </c>
      <c r="F131" s="53"/>
      <c r="H131" s="123"/>
      <c r="I131" s="123"/>
      <c r="J131" s="123"/>
    </row>
    <row r="132" spans="1:20" ht="13.5" customHeight="1">
      <c r="A132" s="742"/>
      <c r="B132" s="767"/>
      <c r="C132" s="206" t="s">
        <v>631</v>
      </c>
      <c r="D132" s="298"/>
      <c r="E132" s="206" t="s">
        <v>331</v>
      </c>
      <c r="F132" s="53"/>
      <c r="H132" s="123"/>
      <c r="I132" s="123"/>
      <c r="J132" s="123"/>
      <c r="S132" s="193"/>
    </row>
    <row r="133" spans="1:20" ht="13.5" customHeight="1">
      <c r="A133" s="742"/>
      <c r="B133" s="767"/>
      <c r="C133" s="206" t="s">
        <v>632</v>
      </c>
      <c r="D133" s="298"/>
      <c r="E133" s="206" t="s">
        <v>329</v>
      </c>
      <c r="F133" s="53"/>
      <c r="H133" s="123"/>
      <c r="I133" s="123"/>
      <c r="J133" s="123"/>
      <c r="S133" s="193"/>
    </row>
    <row r="134" spans="1:20" ht="13.5" customHeight="1">
      <c r="A134" s="742"/>
      <c r="B134" s="767"/>
      <c r="C134" s="206" t="s">
        <v>633</v>
      </c>
      <c r="D134" s="298"/>
      <c r="E134" s="206" t="s">
        <v>329</v>
      </c>
      <c r="F134" s="53" t="s">
        <v>358</v>
      </c>
      <c r="H134" s="123"/>
      <c r="I134" s="123"/>
      <c r="J134" s="123"/>
      <c r="S134" s="193"/>
    </row>
    <row r="135" spans="1:20" ht="13.5" customHeight="1">
      <c r="A135" s="742"/>
      <c r="B135" s="767"/>
      <c r="C135" s="206" t="s">
        <v>359</v>
      </c>
      <c r="D135" s="298"/>
      <c r="E135" s="206" t="s">
        <v>242</v>
      </c>
      <c r="F135" s="53" t="s">
        <v>360</v>
      </c>
      <c r="H135" s="123"/>
      <c r="I135" s="123"/>
      <c r="J135" s="123"/>
      <c r="S135" s="193"/>
    </row>
    <row r="136" spans="1:20" ht="13.5" customHeight="1">
      <c r="A136" s="198"/>
      <c r="B136" s="198"/>
      <c r="C136" s="198"/>
      <c r="D136" s="67"/>
      <c r="E136" s="198"/>
      <c r="F136" s="198"/>
      <c r="H136" s="123"/>
      <c r="I136" s="123"/>
      <c r="J136" s="123"/>
      <c r="S136" s="193"/>
    </row>
    <row r="137" spans="1:20" ht="13.5" customHeight="1">
      <c r="A137" s="198" t="s">
        <v>1591</v>
      </c>
      <c r="B137" s="198"/>
      <c r="C137" s="198"/>
      <c r="D137" s="67"/>
      <c r="E137" s="198"/>
      <c r="F137" s="198"/>
      <c r="H137" s="123"/>
      <c r="I137" s="123"/>
      <c r="J137" s="123"/>
      <c r="S137" s="193"/>
    </row>
    <row r="138" spans="1:20" ht="13.5" customHeight="1">
      <c r="C138" s="123"/>
      <c r="S138" s="193"/>
    </row>
    <row r="139" spans="1:20" ht="13.5" customHeight="1">
      <c r="A139" s="38" t="s">
        <v>315</v>
      </c>
      <c r="S139" s="193"/>
    </row>
    <row r="140" spans="1:20" ht="13.5" customHeight="1">
      <c r="A140" s="38" t="s">
        <v>297</v>
      </c>
      <c r="S140" s="193"/>
    </row>
    <row r="141" spans="1:20" ht="13.5" customHeight="1">
      <c r="A141" s="38" t="s">
        <v>298</v>
      </c>
      <c r="S141" s="193"/>
    </row>
    <row r="142" spans="1:20" ht="13.5" customHeight="1">
      <c r="S142" s="193"/>
    </row>
    <row r="143" spans="1:20" ht="13.5" customHeight="1">
      <c r="A143" s="737" t="s">
        <v>401</v>
      </c>
      <c r="B143" s="737"/>
      <c r="C143" s="737"/>
    </row>
    <row r="144" spans="1:20" ht="13.5" customHeight="1">
      <c r="S144" s="193"/>
    </row>
    <row r="145" spans="1:19" ht="13.5" customHeight="1">
      <c r="A145" s="34" t="s">
        <v>316</v>
      </c>
      <c r="B145" s="64"/>
      <c r="C145" s="34"/>
      <c r="D145" s="34"/>
      <c r="E145" s="67"/>
      <c r="F145" s="67"/>
      <c r="S145" s="193"/>
    </row>
    <row r="146" spans="1:19" ht="13.5" customHeight="1">
      <c r="A146" s="34"/>
      <c r="B146" s="64" t="s">
        <v>317</v>
      </c>
      <c r="C146" s="34"/>
      <c r="D146" s="34" t="s">
        <v>242</v>
      </c>
      <c r="E146" s="67"/>
      <c r="F146" s="67"/>
      <c r="S146" s="193"/>
    </row>
    <row r="147" spans="1:19" ht="13.5" customHeight="1">
      <c r="A147" s="34"/>
      <c r="B147" s="64" t="s">
        <v>318</v>
      </c>
      <c r="C147" s="69" t="s">
        <v>319</v>
      </c>
      <c r="D147" s="34" t="s">
        <v>242</v>
      </c>
      <c r="E147" s="68"/>
      <c r="F147" s="67"/>
      <c r="S147" s="193"/>
    </row>
    <row r="148" spans="1:19" ht="13.5" customHeight="1">
      <c r="A148" s="34"/>
      <c r="B148" s="64"/>
      <c r="C148" s="34"/>
      <c r="D148" s="34"/>
      <c r="E148" s="67"/>
      <c r="F148" s="67"/>
      <c r="S148" s="193"/>
    </row>
    <row r="149" spans="1:19" ht="13.5" customHeight="1">
      <c r="A149" s="34"/>
      <c r="B149" s="34"/>
      <c r="C149" s="34"/>
      <c r="D149" s="34"/>
      <c r="E149" s="67"/>
      <c r="F149" s="67"/>
      <c r="S149" s="193"/>
    </row>
    <row r="150" spans="1:19" ht="13.5" customHeight="1">
      <c r="S150" s="193"/>
    </row>
    <row r="151" spans="1:19" ht="13.5" customHeight="1">
      <c r="A151" s="36" t="s">
        <v>299</v>
      </c>
      <c r="B151" s="40">
        <f>+B152*2</f>
        <v>2</v>
      </c>
      <c r="C151" s="41" t="s">
        <v>300</v>
      </c>
      <c r="J151" s="61" t="s">
        <v>394</v>
      </c>
      <c r="S151" s="193"/>
    </row>
    <row r="152" spans="1:19" ht="13.5" customHeight="1">
      <c r="A152" s="36" t="s">
        <v>302</v>
      </c>
      <c r="B152" s="40">
        <v>1</v>
      </c>
      <c r="C152" s="41" t="s">
        <v>303</v>
      </c>
      <c r="J152" s="61"/>
      <c r="S152" s="193"/>
    </row>
    <row r="153" spans="1:19" ht="13.5" customHeight="1">
      <c r="A153" s="36" t="s">
        <v>305</v>
      </c>
      <c r="B153" s="40">
        <f>+B152</f>
        <v>1</v>
      </c>
      <c r="C153" s="41" t="s">
        <v>306</v>
      </c>
      <c r="D153" s="765" t="s">
        <v>307</v>
      </c>
      <c r="J153" s="61"/>
      <c r="S153" s="193"/>
    </row>
    <row r="154" spans="1:19" ht="13.5" customHeight="1">
      <c r="A154" s="36" t="s">
        <v>310</v>
      </c>
      <c r="B154" s="40">
        <f>+B152</f>
        <v>1</v>
      </c>
      <c r="C154" s="41" t="s">
        <v>306</v>
      </c>
      <c r="D154" s="766"/>
      <c r="J154" s="61"/>
      <c r="S154" s="193"/>
    </row>
    <row r="155" spans="1:19" ht="13.5" customHeight="1">
      <c r="C155" s="39"/>
      <c r="J155" s="61"/>
    </row>
    <row r="156" spans="1:19" ht="13.5" customHeight="1">
      <c r="C156" s="39"/>
      <c r="J156" s="61"/>
      <c r="K156" s="61"/>
      <c r="L156" s="61"/>
      <c r="M156" s="74"/>
      <c r="N156" s="61"/>
      <c r="S156" s="193"/>
    </row>
    <row r="157" spans="1:19" ht="13.5" customHeight="1">
      <c r="C157" s="39"/>
      <c r="J157" s="61"/>
      <c r="K157" s="61"/>
      <c r="L157" s="61"/>
      <c r="M157" s="74"/>
      <c r="N157" s="61"/>
      <c r="S157" s="193"/>
    </row>
    <row r="158" spans="1:19" ht="13.5" customHeight="1">
      <c r="C158" s="39"/>
      <c r="J158" s="61"/>
      <c r="K158" s="61"/>
      <c r="L158" s="61"/>
      <c r="M158" s="74"/>
      <c r="N158" s="61"/>
    </row>
    <row r="159" spans="1:19" ht="13.5" customHeight="1">
      <c r="C159" s="44"/>
      <c r="D159" s="44"/>
      <c r="E159" s="46"/>
      <c r="J159" s="61"/>
      <c r="K159" s="61"/>
      <c r="L159" s="61"/>
      <c r="M159" s="74"/>
      <c r="N159" s="61"/>
    </row>
    <row r="160" spans="1:19" ht="13.5" customHeight="1">
      <c r="C160" s="44"/>
      <c r="D160" s="44"/>
      <c r="E160" s="46"/>
      <c r="J160" s="61"/>
      <c r="K160" s="61"/>
      <c r="L160" s="61"/>
      <c r="M160" s="74"/>
      <c r="N160" s="61"/>
    </row>
    <row r="161" spans="2:19" ht="13.5" customHeight="1">
      <c r="B161" s="46"/>
      <c r="C161" s="44"/>
      <c r="D161" s="44"/>
      <c r="E161" s="46"/>
      <c r="J161" s="61"/>
      <c r="K161" s="61"/>
      <c r="L161" s="61"/>
      <c r="M161" s="74"/>
      <c r="N161" s="61"/>
    </row>
    <row r="162" spans="2:19" ht="13.5" customHeight="1">
      <c r="K162" s="61"/>
      <c r="L162" s="61"/>
      <c r="M162" s="74"/>
      <c r="N162" s="61"/>
    </row>
    <row r="163" spans="2:19" ht="13.5" customHeight="1">
      <c r="K163" s="61"/>
      <c r="L163" s="61"/>
      <c r="M163" s="74"/>
      <c r="N163" s="61"/>
      <c r="S163" s="193"/>
    </row>
    <row r="164" spans="2:19" ht="13.5" customHeight="1">
      <c r="K164" s="61"/>
      <c r="L164" s="61"/>
      <c r="M164" s="74"/>
      <c r="N164" s="61"/>
      <c r="S164" s="193"/>
    </row>
    <row r="165" spans="2:19" ht="13.5" customHeight="1">
      <c r="K165" s="61"/>
      <c r="L165" s="61"/>
      <c r="M165" s="74"/>
      <c r="N165" s="61"/>
    </row>
    <row r="166" spans="2:19" ht="13.5" customHeight="1">
      <c r="K166" s="61"/>
      <c r="L166" s="61"/>
      <c r="M166" s="74"/>
      <c r="N166" s="61"/>
      <c r="S166" s="193"/>
    </row>
    <row r="167" spans="2:19" ht="13.5" customHeight="1">
      <c r="S167" s="193"/>
    </row>
    <row r="168" spans="2:19" ht="13.5" customHeight="1">
      <c r="S168" s="193"/>
    </row>
    <row r="169" spans="2:19" ht="13.5" customHeight="1">
      <c r="S169" s="193"/>
    </row>
    <row r="170" spans="2:19" ht="13.5" customHeight="1">
      <c r="S170" s="193"/>
    </row>
    <row r="171" spans="2:19" ht="13.5" customHeight="1">
      <c r="S171" s="193"/>
    </row>
    <row r="172" spans="2:19" ht="13.5" customHeight="1">
      <c r="S172" s="193"/>
    </row>
    <row r="173" spans="2:19" ht="13.5" customHeight="1">
      <c r="S173" s="193"/>
    </row>
    <row r="174" spans="2:19" ht="13.5" customHeight="1">
      <c r="S174" s="193"/>
    </row>
    <row r="175" spans="2:19" ht="13.5" customHeight="1">
      <c r="S175" s="193"/>
    </row>
    <row r="176" spans="2:19" ht="13.5" customHeight="1">
      <c r="S176" s="193"/>
    </row>
    <row r="177" spans="19:19" ht="13.5" customHeight="1">
      <c r="S177" s="193"/>
    </row>
    <row r="178" spans="19:19" ht="13.5" customHeight="1">
      <c r="S178" s="193"/>
    </row>
    <row r="179" spans="19:19" ht="13.5" customHeight="1">
      <c r="S179" s="193"/>
    </row>
    <row r="180" spans="19:19" ht="13.5" customHeight="1">
      <c r="S180" s="193"/>
    </row>
    <row r="181" spans="19:19" ht="13.5" customHeight="1">
      <c r="S181" s="193"/>
    </row>
    <row r="182" spans="19:19" ht="13.5" customHeight="1">
      <c r="S182" s="193"/>
    </row>
    <row r="183" spans="19:19" ht="13.5" customHeight="1">
      <c r="S183" s="193"/>
    </row>
    <row r="184" spans="19:19" ht="13.5" customHeight="1">
      <c r="S184" s="193"/>
    </row>
    <row r="185" spans="19:19" ht="13.5" customHeight="1">
      <c r="S185" s="193"/>
    </row>
    <row r="186" spans="19:19" ht="13.5" customHeight="1">
      <c r="S186" s="193"/>
    </row>
    <row r="187" spans="19:19" ht="13.5" customHeight="1">
      <c r="S187" s="193"/>
    </row>
    <row r="188" spans="19:19" ht="13.5" customHeight="1">
      <c r="S188" s="193"/>
    </row>
    <row r="189" spans="19:19" ht="13.5" customHeight="1">
      <c r="S189" s="193"/>
    </row>
    <row r="190" spans="19:19" ht="13.5" customHeight="1">
      <c r="S190" s="193"/>
    </row>
    <row r="191" spans="19:19" ht="13.5" customHeight="1">
      <c r="S191" s="193"/>
    </row>
    <row r="192" spans="19:19" ht="13.5" customHeight="1">
      <c r="S192" s="193"/>
    </row>
    <row r="193" spans="19:19" ht="13.5" customHeight="1">
      <c r="S193" s="193"/>
    </row>
    <row r="194" spans="19:19" ht="13.5" customHeight="1">
      <c r="S194" s="193"/>
    </row>
    <row r="195" spans="19:19" ht="13.5" customHeight="1">
      <c r="S195" s="193"/>
    </row>
    <row r="197" spans="19:19" ht="13.5" customHeight="1">
      <c r="S197" s="193"/>
    </row>
    <row r="217" spans="19:19" ht="13.5" customHeight="1">
      <c r="S217" s="193"/>
    </row>
    <row r="218" spans="19:19" ht="13.5" customHeight="1">
      <c r="S218" s="193"/>
    </row>
    <row r="219" spans="19:19" ht="13.5" customHeight="1">
      <c r="S219" s="193"/>
    </row>
    <row r="220" spans="19:19" ht="13.5" customHeight="1">
      <c r="S220" s="193"/>
    </row>
    <row r="222" spans="19:19" ht="13.5" customHeight="1">
      <c r="S222" s="193"/>
    </row>
    <row r="223" spans="19:19" ht="13.5" customHeight="1">
      <c r="S223" s="193"/>
    </row>
    <row r="224" spans="19:19" ht="13.5" customHeight="1">
      <c r="S224" s="193"/>
    </row>
    <row r="225" spans="19:19" ht="13.5" customHeight="1">
      <c r="S225" s="193"/>
    </row>
    <row r="226" spans="19:19" ht="13.5" customHeight="1">
      <c r="S226" s="193"/>
    </row>
    <row r="227" spans="19:19" ht="13.5" customHeight="1">
      <c r="S227" s="193"/>
    </row>
    <row r="228" spans="19:19" ht="13.5" customHeight="1">
      <c r="S228" s="193"/>
    </row>
    <row r="229" spans="19:19" ht="13.5" customHeight="1">
      <c r="S229" s="193"/>
    </row>
    <row r="230" spans="19:19" ht="13.5" customHeight="1">
      <c r="S230" s="193"/>
    </row>
    <row r="234" spans="19:19" ht="13.5" customHeight="1">
      <c r="S234" s="193"/>
    </row>
    <row r="235" spans="19:19" ht="13.5" customHeight="1">
      <c r="S235" s="193"/>
    </row>
    <row r="236" spans="19:19" ht="13.5" customHeight="1">
      <c r="S236" s="193"/>
    </row>
    <row r="237" spans="19:19" ht="13.5" customHeight="1">
      <c r="S237" s="193"/>
    </row>
    <row r="239" spans="19:19" ht="13.5" customHeight="1">
      <c r="S239" s="193"/>
    </row>
    <row r="240" spans="19:19" ht="13.5" customHeight="1">
      <c r="S240" s="193"/>
    </row>
    <row r="241" spans="19:19" ht="13.5" customHeight="1">
      <c r="S241" s="193"/>
    </row>
    <row r="242" spans="19:19" ht="13.5" customHeight="1">
      <c r="S242" s="193"/>
    </row>
    <row r="243" spans="19:19" ht="13.5" customHeight="1">
      <c r="S243" s="193"/>
    </row>
    <row r="244" spans="19:19" ht="13.5" customHeight="1">
      <c r="S244" s="193"/>
    </row>
    <row r="250" spans="19:19" ht="13.5" customHeight="1">
      <c r="S250" s="193"/>
    </row>
    <row r="251" spans="19:19" ht="13.5" customHeight="1">
      <c r="S251" s="193"/>
    </row>
    <row r="252" spans="19:19" ht="13.5" customHeight="1">
      <c r="S252" s="193"/>
    </row>
    <row r="253" spans="19:19" ht="13.5" customHeight="1">
      <c r="S253" s="193"/>
    </row>
    <row r="254" spans="19:19" ht="13.5" customHeight="1">
      <c r="S254" s="193"/>
    </row>
    <row r="255" spans="19:19" ht="13.5" customHeight="1">
      <c r="S255" s="193"/>
    </row>
    <row r="256" spans="19:19" ht="13.5" customHeight="1">
      <c r="S256" s="193"/>
    </row>
    <row r="257" spans="19:19" ht="13.5" customHeight="1">
      <c r="S257" s="193"/>
    </row>
    <row r="258" spans="19:19" ht="13.5" customHeight="1">
      <c r="S258" s="193"/>
    </row>
    <row r="259" spans="19:19" ht="13.5" customHeight="1">
      <c r="S259" s="193"/>
    </row>
    <row r="260" spans="19:19" ht="13.5" customHeight="1">
      <c r="S260" s="193"/>
    </row>
    <row r="261" spans="19:19" ht="13.5" customHeight="1">
      <c r="S261" s="193"/>
    </row>
    <row r="262" spans="19:19" ht="13.5" customHeight="1">
      <c r="S262" s="193"/>
    </row>
    <row r="263" spans="19:19" ht="13.5" customHeight="1">
      <c r="S263" s="193"/>
    </row>
    <row r="264" spans="19:19" ht="13.5" customHeight="1">
      <c r="S264" s="193"/>
    </row>
    <row r="265" spans="19:19" ht="13.5" customHeight="1">
      <c r="S265" s="193"/>
    </row>
    <row r="266" spans="19:19" ht="13.5" customHeight="1">
      <c r="S266" s="193"/>
    </row>
    <row r="267" spans="19:19" ht="13.5" customHeight="1">
      <c r="S267" s="193"/>
    </row>
    <row r="268" spans="19:19" ht="13.5" customHeight="1">
      <c r="S268" s="193"/>
    </row>
    <row r="269" spans="19:19" ht="13.5" customHeight="1">
      <c r="S269" s="193"/>
    </row>
    <row r="270" spans="19:19" ht="13.5" customHeight="1">
      <c r="S270" s="193"/>
    </row>
    <row r="271" spans="19:19" ht="13.5" customHeight="1">
      <c r="S271" s="193"/>
    </row>
    <row r="272" spans="19:19" ht="13.5" customHeight="1">
      <c r="S272" s="193"/>
    </row>
    <row r="273" spans="19:19" ht="13.5" customHeight="1">
      <c r="S273" s="193"/>
    </row>
    <row r="274" spans="19:19" ht="13.5" customHeight="1">
      <c r="S274" s="193"/>
    </row>
    <row r="275" spans="19:19" ht="13.5" customHeight="1">
      <c r="S275" s="193"/>
    </row>
    <row r="276" spans="19:19" ht="13.5" customHeight="1">
      <c r="S276" s="193"/>
    </row>
    <row r="277" spans="19:19" ht="13.5" customHeight="1">
      <c r="S277" s="193"/>
    </row>
    <row r="278" spans="19:19" ht="13.5" customHeight="1">
      <c r="S278" s="193"/>
    </row>
    <row r="279" spans="19:19" ht="13.5" customHeight="1">
      <c r="S279" s="193"/>
    </row>
    <row r="280" spans="19:19" ht="13.5" customHeight="1">
      <c r="S280" s="193"/>
    </row>
    <row r="281" spans="19:19" ht="13.5" customHeight="1">
      <c r="S281" s="193"/>
    </row>
    <row r="282" spans="19:19" ht="13.5" customHeight="1">
      <c r="S282" s="193"/>
    </row>
    <row r="283" spans="19:19" ht="13.5" customHeight="1">
      <c r="S283" s="193"/>
    </row>
    <row r="284" spans="19:19" ht="13.5" customHeight="1">
      <c r="S284" s="193"/>
    </row>
    <row r="285" spans="19:19" ht="13.5" customHeight="1">
      <c r="S285" s="193"/>
    </row>
    <row r="286" spans="19:19" ht="13.5" customHeight="1">
      <c r="S286" s="193"/>
    </row>
    <row r="287" spans="19:19" ht="13.5" customHeight="1">
      <c r="S287" s="193"/>
    </row>
    <row r="288" spans="19:19" ht="13.5" customHeight="1">
      <c r="S288" s="193"/>
    </row>
    <row r="289" spans="19:19" ht="13.5" customHeight="1">
      <c r="S289" s="193"/>
    </row>
    <row r="290" spans="19:19" ht="13.5" customHeight="1">
      <c r="S290" s="193"/>
    </row>
    <row r="291" spans="19:19" ht="13.5" customHeight="1">
      <c r="S291" s="193"/>
    </row>
    <row r="292" spans="19:19" ht="13.5" customHeight="1">
      <c r="S292" s="193"/>
    </row>
    <row r="293" spans="19:19" ht="13.5" customHeight="1">
      <c r="S293" s="193"/>
    </row>
    <row r="294" spans="19:19" ht="13.5" customHeight="1">
      <c r="S294" s="193"/>
    </row>
    <row r="295" spans="19:19" ht="13.5" customHeight="1">
      <c r="S295" s="193"/>
    </row>
    <row r="296" spans="19:19" ht="13.5" customHeight="1">
      <c r="S296" s="193"/>
    </row>
    <row r="297" spans="19:19" ht="13.5" customHeight="1">
      <c r="S297" s="193"/>
    </row>
    <row r="298" spans="19:19" ht="13.5" customHeight="1">
      <c r="S298" s="193"/>
    </row>
    <row r="299" spans="19:19" ht="13.5" customHeight="1">
      <c r="S299" s="193"/>
    </row>
    <row r="300" spans="19:19" ht="13.5" customHeight="1">
      <c r="S300" s="193"/>
    </row>
    <row r="301" spans="19:19" ht="13.5" customHeight="1">
      <c r="S301" s="193"/>
    </row>
    <row r="302" spans="19:19" ht="13.5" customHeight="1">
      <c r="S302" s="193"/>
    </row>
    <row r="303" spans="19:19" ht="13.5" customHeight="1">
      <c r="S303" s="193"/>
    </row>
    <row r="304" spans="19:19" ht="13.5" customHeight="1">
      <c r="S304" s="193"/>
    </row>
    <row r="305" spans="19:19" ht="13.5" customHeight="1">
      <c r="S305" s="193"/>
    </row>
  </sheetData>
  <dataConsolidate/>
  <mergeCells count="31">
    <mergeCell ref="H1:I1"/>
    <mergeCell ref="H72:I73"/>
    <mergeCell ref="L1:O1"/>
    <mergeCell ref="D153:D154"/>
    <mergeCell ref="B130:B135"/>
    <mergeCell ref="J72:J73"/>
    <mergeCell ref="H2:I2"/>
    <mergeCell ref="B113:B119"/>
    <mergeCell ref="B120:B122"/>
    <mergeCell ref="B123:B125"/>
    <mergeCell ref="B126:B129"/>
    <mergeCell ref="A1:F1"/>
    <mergeCell ref="A36:A49"/>
    <mergeCell ref="A27:A35"/>
    <mergeCell ref="A19:A26"/>
    <mergeCell ref="A5:A11"/>
    <mergeCell ref="A12:A18"/>
    <mergeCell ref="A143:C143"/>
    <mergeCell ref="A71:F71"/>
    <mergeCell ref="A50:A70"/>
    <mergeCell ref="B57:B62"/>
    <mergeCell ref="B64:B65"/>
    <mergeCell ref="A72:F73"/>
    <mergeCell ref="A74:B74"/>
    <mergeCell ref="A75:B75"/>
    <mergeCell ref="A77:A110"/>
    <mergeCell ref="B55:B56"/>
    <mergeCell ref="B111:B112"/>
    <mergeCell ref="A111:A135"/>
    <mergeCell ref="B51:B54"/>
    <mergeCell ref="B66:B70"/>
  </mergeCells>
  <phoneticPr fontId="6" type="noConversion"/>
  <dataValidations count="5">
    <dataValidation type="list" allowBlank="1" showInputMessage="1" showErrorMessage="1" sqref="J105">
      <formula1>$M$101:$M$104</formula1>
    </dataValidation>
    <dataValidation type="list" allowBlank="1" showInputMessage="1" showErrorMessage="1" sqref="J107">
      <formula1>$L$107:$L$108</formula1>
    </dataValidation>
    <dataValidation type="list" allowBlank="1" showInputMessage="1" showErrorMessage="1" sqref="H125:I125 C125">
      <formula1>$L$127:$L$130</formula1>
    </dataValidation>
    <dataValidation type="list" allowBlank="1" showInputMessage="1" showErrorMessage="1" sqref="C37">
      <formula1>$L$37:$L$38</formula1>
    </dataValidation>
    <dataValidation type="list" allowBlank="1" showInputMessage="1" showErrorMessage="1" sqref="C123">
      <formula1>$S:$S</formula1>
    </dataValidation>
  </dataValidations>
  <printOptions horizontalCentered="1"/>
  <pageMargins left="7.874015748031496E-2" right="7.874015748031496E-2" top="7.874015748031496E-2" bottom="7.874015748031496E-2" header="0" footer="0"/>
  <pageSetup paperSize="9" scale="85" orientation="portrait" horizontalDpi="180" verticalDpi="180" r:id="rId1"/>
  <headerFooter alignWithMargins="0">
    <oddFooter xml:space="preserve">&amp;L
&amp;C
</oddFooter>
  </headerFooter>
  <rowBreaks count="1" manualBreakCount="1">
    <brk id="71" max="5" man="1"/>
  </rowBreaks>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09"/>
  <sheetViews>
    <sheetView view="pageBreakPreview" topLeftCell="A166" zoomScaleSheetLayoutView="100" workbookViewId="0">
      <selection activeCell="E200" sqref="E200"/>
    </sheetView>
  </sheetViews>
  <sheetFormatPr defaultColWidth="8.875" defaultRowHeight="13.5" customHeight="1"/>
  <cols>
    <col min="1" max="4" width="6" style="3" customWidth="1"/>
    <col min="5" max="5" width="6" style="5" customWidth="1"/>
    <col min="6" max="6" width="8.125" style="3" customWidth="1"/>
    <col min="7" max="7" width="38.625" style="3" customWidth="1"/>
    <col min="8" max="8" width="1.125" style="3" hidden="1" customWidth="1"/>
    <col min="9" max="9" width="5.5" style="3" bestFit="1" customWidth="1"/>
    <col min="10" max="10" width="4.875" style="3" customWidth="1"/>
    <col min="11" max="11" width="13.75" style="4" customWidth="1"/>
    <col min="12" max="12" width="8.875" style="3"/>
    <col min="13" max="13" width="26.5" style="3" customWidth="1"/>
    <col min="14" max="16384" width="8.875" style="3"/>
  </cols>
  <sheetData>
    <row r="1" spans="1:13" ht="21" customHeight="1">
      <c r="A1" s="806" t="s">
        <v>1042</v>
      </c>
      <c r="B1" s="806"/>
      <c r="C1" s="806"/>
      <c r="D1" s="806"/>
      <c r="E1" s="806"/>
      <c r="F1" s="806"/>
      <c r="G1" s="806"/>
      <c r="H1" s="806"/>
      <c r="I1" s="806"/>
      <c r="J1" s="806"/>
      <c r="K1" s="806"/>
    </row>
    <row r="2" spans="1:13" ht="13.5" customHeight="1">
      <c r="A2" s="807" t="s">
        <v>205</v>
      </c>
      <c r="B2" s="807"/>
      <c r="C2" s="258">
        <f>下料单!H2</f>
        <v>0</v>
      </c>
      <c r="D2" s="258"/>
      <c r="E2" s="258"/>
      <c r="F2" s="258"/>
      <c r="G2" s="258"/>
      <c r="H2" s="258"/>
      <c r="I2" s="808" t="s">
        <v>26</v>
      </c>
      <c r="J2" s="807"/>
      <c r="K2" s="293">
        <f>下料单!W2</f>
        <v>0</v>
      </c>
    </row>
    <row r="3" spans="1:13" ht="13.5" customHeight="1">
      <c r="A3" s="802" t="s">
        <v>204</v>
      </c>
      <c r="B3" s="802"/>
      <c r="C3" s="802">
        <f>下料单!C2</f>
        <v>0</v>
      </c>
      <c r="D3" s="802"/>
      <c r="E3" s="802" t="s">
        <v>203</v>
      </c>
      <c r="F3" s="802"/>
      <c r="G3" s="803">
        <f>下料单!AB2</f>
        <v>43075</v>
      </c>
      <c r="H3" s="803"/>
      <c r="I3" s="802" t="s">
        <v>202</v>
      </c>
      <c r="J3" s="802"/>
      <c r="K3" s="783" t="str">
        <f>柜体转序单!B3</f>
        <v>简爱</v>
      </c>
    </row>
    <row r="4" spans="1:13" ht="13.5" customHeight="1">
      <c r="A4" s="802" t="str">
        <f>下料单!P2</f>
        <v>版本型录号</v>
      </c>
      <c r="B4" s="802"/>
      <c r="C4" s="802">
        <f>下料单!R2</f>
        <v>0</v>
      </c>
      <c r="D4" s="802"/>
      <c r="E4" s="804" t="s">
        <v>17</v>
      </c>
      <c r="F4" s="802"/>
      <c r="G4" s="805">
        <f>下料单!AG2</f>
        <v>43076</v>
      </c>
      <c r="H4" s="805"/>
      <c r="I4" s="802"/>
      <c r="J4" s="802"/>
      <c r="K4" s="784"/>
    </row>
    <row r="5" spans="1:13" ht="13.5" customHeight="1">
      <c r="A5" s="795" t="s">
        <v>128</v>
      </c>
      <c r="B5" s="795"/>
      <c r="C5" s="795"/>
      <c r="D5" s="795"/>
      <c r="E5" s="795"/>
      <c r="F5" s="795"/>
      <c r="G5" s="795"/>
      <c r="H5" s="795"/>
      <c r="I5" s="795"/>
      <c r="J5" s="795"/>
      <c r="K5" s="795"/>
    </row>
    <row r="6" spans="1:13" ht="13.5" customHeight="1">
      <c r="A6" s="790" t="s">
        <v>1069</v>
      </c>
      <c r="B6" s="791"/>
      <c r="C6" s="791"/>
      <c r="D6" s="791"/>
      <c r="E6" s="791"/>
      <c r="F6" s="791"/>
      <c r="G6" s="791"/>
      <c r="H6" s="791"/>
      <c r="I6" s="791"/>
      <c r="J6" s="791"/>
      <c r="K6" s="792"/>
    </row>
    <row r="7" spans="1:13" ht="13.5" customHeight="1">
      <c r="A7" s="7" t="s">
        <v>117</v>
      </c>
      <c r="B7" s="7" t="s">
        <v>108</v>
      </c>
      <c r="C7" s="7" t="s">
        <v>107</v>
      </c>
      <c r="D7" s="7" t="s">
        <v>106</v>
      </c>
      <c r="E7" s="15"/>
      <c r="F7" s="7" t="s">
        <v>116</v>
      </c>
      <c r="G7" s="7" t="s">
        <v>104</v>
      </c>
      <c r="H7" s="7" t="s">
        <v>103</v>
      </c>
      <c r="I7" s="7" t="s">
        <v>102</v>
      </c>
      <c r="J7" s="7" t="s">
        <v>101</v>
      </c>
      <c r="K7" s="7" t="s">
        <v>100</v>
      </c>
      <c r="M7" s="17"/>
    </row>
    <row r="8" spans="1:13" ht="13.5" customHeight="1">
      <c r="A8" s="777">
        <v>1</v>
      </c>
      <c r="B8" s="777">
        <v>150</v>
      </c>
      <c r="C8" s="777">
        <v>720</v>
      </c>
      <c r="D8" s="777">
        <v>560</v>
      </c>
      <c r="E8" s="780">
        <v>1</v>
      </c>
      <c r="F8" s="777" t="s">
        <v>125</v>
      </c>
      <c r="G8" s="308" t="s">
        <v>374</v>
      </c>
      <c r="H8" s="8" t="s">
        <v>124</v>
      </c>
      <c r="I8" s="7">
        <f>+E8*1</f>
        <v>1</v>
      </c>
      <c r="J8" s="7" t="s">
        <v>88</v>
      </c>
      <c r="K8" s="777" t="s">
        <v>127</v>
      </c>
    </row>
    <row r="9" spans="1:13" ht="13.5" customHeight="1">
      <c r="A9" s="778"/>
      <c r="B9" s="778"/>
      <c r="C9" s="778"/>
      <c r="D9" s="778"/>
      <c r="E9" s="781"/>
      <c r="F9" s="778"/>
      <c r="G9" s="308" t="s">
        <v>52</v>
      </c>
      <c r="H9" s="8" t="s">
        <v>89</v>
      </c>
      <c r="I9" s="7">
        <f>+E8*8</f>
        <v>8</v>
      </c>
      <c r="J9" s="7" t="s">
        <v>88</v>
      </c>
      <c r="K9" s="778"/>
    </row>
    <row r="10" spans="1:13" ht="13.5" customHeight="1">
      <c r="A10" s="778"/>
      <c r="B10" s="778"/>
      <c r="C10" s="778"/>
      <c r="D10" s="778"/>
      <c r="E10" s="781"/>
      <c r="F10" s="778"/>
      <c r="G10" s="308" t="s">
        <v>930</v>
      </c>
      <c r="H10" s="8" t="s">
        <v>39</v>
      </c>
      <c r="I10" s="7">
        <f>+E8*1.6</f>
        <v>1.6</v>
      </c>
      <c r="J10" s="7" t="s">
        <v>30</v>
      </c>
      <c r="K10" s="778"/>
    </row>
    <row r="11" spans="1:13" ht="13.5" customHeight="1">
      <c r="A11" s="779"/>
      <c r="B11" s="779"/>
      <c r="C11" s="779"/>
      <c r="D11" s="779"/>
      <c r="E11" s="782"/>
      <c r="F11" s="779"/>
      <c r="G11" s="32" t="s">
        <v>1056</v>
      </c>
      <c r="H11" s="308"/>
      <c r="I11" s="307">
        <f>E8*0.5</f>
        <v>0.5</v>
      </c>
      <c r="J11" s="307" t="s">
        <v>31</v>
      </c>
      <c r="K11" s="779"/>
    </row>
    <row r="12" spans="1:13" ht="13.5" customHeight="1">
      <c r="A12" s="777">
        <v>2</v>
      </c>
      <c r="B12" s="777">
        <v>150</v>
      </c>
      <c r="C12" s="777">
        <v>720</v>
      </c>
      <c r="D12" s="777">
        <v>560</v>
      </c>
      <c r="E12" s="780">
        <v>1</v>
      </c>
      <c r="F12" s="777" t="s">
        <v>1054</v>
      </c>
      <c r="G12" s="308" t="s">
        <v>90</v>
      </c>
      <c r="H12" s="8" t="s">
        <v>124</v>
      </c>
      <c r="I12" s="7">
        <f>+E12*0.7</f>
        <v>0.7</v>
      </c>
      <c r="J12" s="7" t="s">
        <v>111</v>
      </c>
      <c r="K12" s="777" t="s">
        <v>126</v>
      </c>
    </row>
    <row r="13" spans="1:13" ht="13.5" customHeight="1">
      <c r="A13" s="778"/>
      <c r="B13" s="778"/>
      <c r="C13" s="778"/>
      <c r="D13" s="778"/>
      <c r="E13" s="781"/>
      <c r="F13" s="778"/>
      <c r="G13" s="308" t="s">
        <v>52</v>
      </c>
      <c r="H13" s="8" t="s">
        <v>89</v>
      </c>
      <c r="I13" s="7">
        <f>+E12*8</f>
        <v>8</v>
      </c>
      <c r="J13" s="7" t="s">
        <v>88</v>
      </c>
      <c r="K13" s="778"/>
    </row>
    <row r="14" spans="1:13" ht="13.5" customHeight="1">
      <c r="A14" s="778"/>
      <c r="B14" s="778"/>
      <c r="C14" s="778"/>
      <c r="D14" s="778"/>
      <c r="E14" s="781"/>
      <c r="F14" s="778"/>
      <c r="G14" s="308" t="s">
        <v>680</v>
      </c>
      <c r="H14" s="8" t="s">
        <v>39</v>
      </c>
      <c r="I14" s="7">
        <f>+E12*1.6</f>
        <v>1.6</v>
      </c>
      <c r="J14" s="7" t="s">
        <v>30</v>
      </c>
      <c r="K14" s="778"/>
    </row>
    <row r="15" spans="1:13" ht="13.5" customHeight="1">
      <c r="A15" s="779"/>
      <c r="B15" s="779"/>
      <c r="C15" s="779"/>
      <c r="D15" s="779"/>
      <c r="E15" s="782"/>
      <c r="F15" s="779"/>
      <c r="G15" s="32" t="s">
        <v>1057</v>
      </c>
      <c r="H15" s="308"/>
      <c r="I15" s="307">
        <f>E12*0.5</f>
        <v>0.5</v>
      </c>
      <c r="J15" s="307" t="s">
        <v>31</v>
      </c>
      <c r="K15" s="779"/>
    </row>
    <row r="16" spans="1:13" ht="13.5" customHeight="1">
      <c r="A16" s="777">
        <v>3</v>
      </c>
      <c r="B16" s="777">
        <v>300</v>
      </c>
      <c r="C16" s="777">
        <v>720</v>
      </c>
      <c r="D16" s="777">
        <v>560</v>
      </c>
      <c r="E16" s="780">
        <v>1</v>
      </c>
      <c r="F16" s="777" t="s">
        <v>1054</v>
      </c>
      <c r="G16" s="308" t="s">
        <v>729</v>
      </c>
      <c r="H16" s="8" t="s">
        <v>124</v>
      </c>
      <c r="I16" s="7">
        <f>+E16*1</f>
        <v>1</v>
      </c>
      <c r="J16" s="7" t="s">
        <v>88</v>
      </c>
      <c r="K16" s="7"/>
    </row>
    <row r="17" spans="1:11" ht="13.5" customHeight="1">
      <c r="A17" s="778"/>
      <c r="B17" s="778"/>
      <c r="C17" s="778"/>
      <c r="D17" s="778"/>
      <c r="E17" s="781"/>
      <c r="F17" s="778"/>
      <c r="G17" s="308" t="s">
        <v>52</v>
      </c>
      <c r="H17" s="8" t="s">
        <v>89</v>
      </c>
      <c r="I17" s="7">
        <f>+E16*8</f>
        <v>8</v>
      </c>
      <c r="J17" s="7" t="s">
        <v>88</v>
      </c>
      <c r="K17" s="7"/>
    </row>
    <row r="18" spans="1:11" ht="13.5" customHeight="1">
      <c r="A18" s="778"/>
      <c r="B18" s="778"/>
      <c r="C18" s="778"/>
      <c r="D18" s="778"/>
      <c r="E18" s="781"/>
      <c r="F18" s="778"/>
      <c r="G18" s="308" t="s">
        <v>930</v>
      </c>
      <c r="H18" s="8" t="s">
        <v>39</v>
      </c>
      <c r="I18" s="7">
        <f>+E16*1.9</f>
        <v>1.9</v>
      </c>
      <c r="J18" s="7" t="s">
        <v>30</v>
      </c>
      <c r="K18" s="7"/>
    </row>
    <row r="19" spans="1:11" ht="13.5" customHeight="1">
      <c r="A19" s="779"/>
      <c r="B19" s="779"/>
      <c r="C19" s="779"/>
      <c r="D19" s="779"/>
      <c r="E19" s="782"/>
      <c r="F19" s="779"/>
      <c r="G19" s="32" t="s">
        <v>1057</v>
      </c>
      <c r="H19" s="308"/>
      <c r="I19" s="307">
        <f>E16*0.5</f>
        <v>0.5</v>
      </c>
      <c r="J19" s="307" t="s">
        <v>31</v>
      </c>
      <c r="K19" s="307"/>
    </row>
    <row r="20" spans="1:11" ht="13.5" customHeight="1">
      <c r="A20" s="777">
        <v>4</v>
      </c>
      <c r="B20" s="777">
        <v>450</v>
      </c>
      <c r="C20" s="777">
        <v>720</v>
      </c>
      <c r="D20" s="777">
        <v>560</v>
      </c>
      <c r="E20" s="780">
        <v>1</v>
      </c>
      <c r="F20" s="777" t="s">
        <v>1055</v>
      </c>
      <c r="G20" s="308" t="s">
        <v>375</v>
      </c>
      <c r="H20" s="8" t="s">
        <v>124</v>
      </c>
      <c r="I20" s="7">
        <f>+E20*1</f>
        <v>1</v>
      </c>
      <c r="J20" s="7" t="s">
        <v>88</v>
      </c>
      <c r="K20" s="7"/>
    </row>
    <row r="21" spans="1:11" ht="13.5" customHeight="1">
      <c r="A21" s="778"/>
      <c r="B21" s="778"/>
      <c r="C21" s="778"/>
      <c r="D21" s="778"/>
      <c r="E21" s="781"/>
      <c r="F21" s="778"/>
      <c r="G21" s="308" t="s">
        <v>52</v>
      </c>
      <c r="H21" s="8" t="s">
        <v>89</v>
      </c>
      <c r="I21" s="7">
        <f>+E20*8</f>
        <v>8</v>
      </c>
      <c r="J21" s="7" t="s">
        <v>88</v>
      </c>
      <c r="K21" s="7"/>
    </row>
    <row r="22" spans="1:11" ht="13.5" customHeight="1">
      <c r="A22" s="778"/>
      <c r="B22" s="778"/>
      <c r="C22" s="778"/>
      <c r="D22" s="778"/>
      <c r="E22" s="781"/>
      <c r="F22" s="778"/>
      <c r="G22" s="308" t="s">
        <v>930</v>
      </c>
      <c r="H22" s="8" t="s">
        <v>39</v>
      </c>
      <c r="I22" s="7">
        <f>+E20*2.2</f>
        <v>2.2000000000000002</v>
      </c>
      <c r="J22" s="7" t="s">
        <v>87</v>
      </c>
      <c r="K22" s="7"/>
    </row>
    <row r="23" spans="1:11" ht="13.5" customHeight="1">
      <c r="A23" s="779"/>
      <c r="B23" s="779"/>
      <c r="C23" s="779"/>
      <c r="D23" s="779"/>
      <c r="E23" s="782"/>
      <c r="F23" s="779"/>
      <c r="G23" s="32" t="s">
        <v>1057</v>
      </c>
      <c r="H23" s="308"/>
      <c r="I23" s="307">
        <f>E20*0.5</f>
        <v>0.5</v>
      </c>
      <c r="J23" s="307" t="s">
        <v>31</v>
      </c>
      <c r="K23" s="307"/>
    </row>
    <row r="24" spans="1:11" ht="13.5" customHeight="1">
      <c r="A24" s="777">
        <v>5</v>
      </c>
      <c r="B24" s="777">
        <v>600</v>
      </c>
      <c r="C24" s="777">
        <v>720</v>
      </c>
      <c r="D24" s="777">
        <v>560</v>
      </c>
      <c r="E24" s="780">
        <v>1</v>
      </c>
      <c r="F24" s="777" t="s">
        <v>1055</v>
      </c>
      <c r="G24" s="320" t="s">
        <v>376</v>
      </c>
      <c r="H24" s="8" t="s">
        <v>123</v>
      </c>
      <c r="I24" s="7">
        <f>+E24*1</f>
        <v>1</v>
      </c>
      <c r="J24" s="7" t="s">
        <v>88</v>
      </c>
      <c r="K24" s="7"/>
    </row>
    <row r="25" spans="1:11" ht="13.5" customHeight="1">
      <c r="A25" s="778"/>
      <c r="B25" s="778"/>
      <c r="C25" s="778"/>
      <c r="D25" s="778"/>
      <c r="E25" s="781"/>
      <c r="F25" s="778"/>
      <c r="G25" s="308" t="s">
        <v>52</v>
      </c>
      <c r="H25" s="8" t="s">
        <v>89</v>
      </c>
      <c r="I25" s="7">
        <f>+E24*8</f>
        <v>8</v>
      </c>
      <c r="J25" s="7" t="s">
        <v>88</v>
      </c>
      <c r="K25" s="7"/>
    </row>
    <row r="26" spans="1:11" ht="13.5" customHeight="1">
      <c r="A26" s="778"/>
      <c r="B26" s="778"/>
      <c r="C26" s="778"/>
      <c r="D26" s="778"/>
      <c r="E26" s="781"/>
      <c r="F26" s="778"/>
      <c r="G26" s="308" t="s">
        <v>680</v>
      </c>
      <c r="H26" s="8" t="s">
        <v>39</v>
      </c>
      <c r="I26" s="7">
        <f>+E24*2.5</f>
        <v>2.5</v>
      </c>
      <c r="J26" s="7" t="s">
        <v>30</v>
      </c>
      <c r="K26" s="7"/>
    </row>
    <row r="27" spans="1:11" ht="13.5" customHeight="1">
      <c r="A27" s="778"/>
      <c r="B27" s="778"/>
      <c r="C27" s="778"/>
      <c r="D27" s="778"/>
      <c r="E27" s="781"/>
      <c r="F27" s="778"/>
      <c r="G27" s="308" t="s">
        <v>121</v>
      </c>
      <c r="H27" s="11" t="s">
        <v>120</v>
      </c>
      <c r="I27" s="785" t="s">
        <v>119</v>
      </c>
      <c r="J27" s="785"/>
      <c r="K27" s="16" t="s">
        <v>118</v>
      </c>
    </row>
    <row r="28" spans="1:11" ht="13.5" customHeight="1">
      <c r="A28" s="779"/>
      <c r="B28" s="779"/>
      <c r="C28" s="779"/>
      <c r="D28" s="779"/>
      <c r="E28" s="782"/>
      <c r="F28" s="779"/>
      <c r="G28" s="32" t="s">
        <v>1057</v>
      </c>
      <c r="H28" s="11"/>
      <c r="I28" s="307">
        <f>E24*0.5</f>
        <v>0.5</v>
      </c>
      <c r="J28" s="307" t="s">
        <v>31</v>
      </c>
      <c r="K28" s="16"/>
    </row>
    <row r="29" spans="1:11" ht="13.5" customHeight="1">
      <c r="A29" s="777">
        <v>6</v>
      </c>
      <c r="B29" s="777">
        <v>900</v>
      </c>
      <c r="C29" s="777">
        <v>720</v>
      </c>
      <c r="D29" s="777">
        <v>560</v>
      </c>
      <c r="E29" s="780">
        <v>1</v>
      </c>
      <c r="F29" s="777" t="s">
        <v>1055</v>
      </c>
      <c r="G29" s="308" t="s">
        <v>738</v>
      </c>
      <c r="H29" s="8" t="s">
        <v>122</v>
      </c>
      <c r="I29" s="7">
        <f>+E29*1</f>
        <v>1</v>
      </c>
      <c r="J29" s="7" t="s">
        <v>88</v>
      </c>
      <c r="K29" s="7"/>
    </row>
    <row r="30" spans="1:11" ht="13.5" customHeight="1">
      <c r="A30" s="778"/>
      <c r="B30" s="778"/>
      <c r="C30" s="778"/>
      <c r="D30" s="778"/>
      <c r="E30" s="781"/>
      <c r="F30" s="778"/>
      <c r="G30" s="8" t="s">
        <v>52</v>
      </c>
      <c r="H30" s="8" t="s">
        <v>89</v>
      </c>
      <c r="I30" s="7">
        <f>+E29*8</f>
        <v>8</v>
      </c>
      <c r="J30" s="7" t="s">
        <v>88</v>
      </c>
      <c r="K30" s="7"/>
    </row>
    <row r="31" spans="1:11" ht="13.5" customHeight="1">
      <c r="A31" s="778"/>
      <c r="B31" s="778"/>
      <c r="C31" s="778"/>
      <c r="D31" s="778"/>
      <c r="E31" s="781"/>
      <c r="F31" s="778"/>
      <c r="G31" s="211" t="s">
        <v>680</v>
      </c>
      <c r="H31" s="8" t="s">
        <v>39</v>
      </c>
      <c r="I31" s="7">
        <f>+E29*3.1</f>
        <v>3.1</v>
      </c>
      <c r="J31" s="7" t="s">
        <v>30</v>
      </c>
      <c r="K31" s="7"/>
    </row>
    <row r="32" spans="1:11" ht="13.5" customHeight="1">
      <c r="A32" s="778"/>
      <c r="B32" s="778"/>
      <c r="C32" s="778"/>
      <c r="D32" s="778"/>
      <c r="E32" s="781"/>
      <c r="F32" s="778"/>
      <c r="G32" s="8" t="s">
        <v>121</v>
      </c>
      <c r="H32" s="11" t="s">
        <v>120</v>
      </c>
      <c r="I32" s="785" t="s">
        <v>119</v>
      </c>
      <c r="J32" s="785"/>
      <c r="K32" s="16" t="s">
        <v>118</v>
      </c>
    </row>
    <row r="33" spans="1:11" ht="13.5" customHeight="1">
      <c r="A33" s="779"/>
      <c r="B33" s="779"/>
      <c r="C33" s="779"/>
      <c r="D33" s="779"/>
      <c r="E33" s="782"/>
      <c r="F33" s="779"/>
      <c r="G33" s="32" t="s">
        <v>1057</v>
      </c>
      <c r="H33" s="311"/>
      <c r="I33" s="307">
        <f>E29*1</f>
        <v>1</v>
      </c>
      <c r="J33" s="307" t="s">
        <v>31</v>
      </c>
      <c r="K33" s="312"/>
    </row>
    <row r="34" spans="1:11" ht="16.5" customHeight="1">
      <c r="A34" s="790" t="s">
        <v>1070</v>
      </c>
      <c r="B34" s="791"/>
      <c r="C34" s="791"/>
      <c r="D34" s="791"/>
      <c r="E34" s="791"/>
      <c r="F34" s="791"/>
      <c r="G34" s="791"/>
      <c r="H34" s="791"/>
      <c r="I34" s="791"/>
      <c r="J34" s="791"/>
      <c r="K34" s="792"/>
    </row>
    <row r="35" spans="1:11" ht="13.5" customHeight="1">
      <c r="A35" s="7" t="s">
        <v>117</v>
      </c>
      <c r="B35" s="7" t="s">
        <v>108</v>
      </c>
      <c r="C35" s="7" t="s">
        <v>107</v>
      </c>
      <c r="D35" s="7" t="s">
        <v>106</v>
      </c>
      <c r="E35" s="15"/>
      <c r="F35" s="7" t="s">
        <v>116</v>
      </c>
      <c r="G35" s="7" t="s">
        <v>104</v>
      </c>
      <c r="H35" s="7" t="s">
        <v>103</v>
      </c>
      <c r="I35" s="7" t="s">
        <v>102</v>
      </c>
      <c r="J35" s="7" t="s">
        <v>101</v>
      </c>
      <c r="K35" s="7" t="s">
        <v>115</v>
      </c>
    </row>
    <row r="36" spans="1:11" ht="13.5" customHeight="1">
      <c r="A36" s="777">
        <v>1</v>
      </c>
      <c r="B36" s="777" t="s">
        <v>92</v>
      </c>
      <c r="C36" s="777" t="s">
        <v>114</v>
      </c>
      <c r="D36" s="777" t="s">
        <v>114</v>
      </c>
      <c r="E36" s="780">
        <v>1</v>
      </c>
      <c r="F36" s="777" t="s">
        <v>113</v>
      </c>
      <c r="G36" s="8" t="s">
        <v>90</v>
      </c>
      <c r="H36" s="11" t="s">
        <v>112</v>
      </c>
      <c r="I36" s="7">
        <f>+E36*1</f>
        <v>1</v>
      </c>
      <c r="J36" s="7" t="s">
        <v>111</v>
      </c>
      <c r="K36" s="7"/>
    </row>
    <row r="37" spans="1:11" ht="13.5" customHeight="1">
      <c r="A37" s="778"/>
      <c r="B37" s="778"/>
      <c r="C37" s="778"/>
      <c r="D37" s="778"/>
      <c r="E37" s="781"/>
      <c r="F37" s="778"/>
      <c r="G37" s="8" t="s">
        <v>52</v>
      </c>
      <c r="H37" s="8" t="s">
        <v>89</v>
      </c>
      <c r="I37" s="7">
        <f>+E36*8</f>
        <v>8</v>
      </c>
      <c r="J37" s="7" t="s">
        <v>88</v>
      </c>
      <c r="K37" s="7"/>
    </row>
    <row r="38" spans="1:11" ht="13.5" customHeight="1">
      <c r="A38" s="778"/>
      <c r="B38" s="778"/>
      <c r="C38" s="778"/>
      <c r="D38" s="778"/>
      <c r="E38" s="781"/>
      <c r="F38" s="778"/>
      <c r="G38" s="211" t="s">
        <v>680</v>
      </c>
      <c r="H38" s="8" t="s">
        <v>39</v>
      </c>
      <c r="I38" s="7">
        <f>+E36*2.5</f>
        <v>2.5</v>
      </c>
      <c r="J38" s="7" t="s">
        <v>30</v>
      </c>
      <c r="K38" s="7"/>
    </row>
    <row r="39" spans="1:11" ht="13.5" customHeight="1">
      <c r="A39" s="779"/>
      <c r="B39" s="779"/>
      <c r="C39" s="779"/>
      <c r="D39" s="779"/>
      <c r="E39" s="782"/>
      <c r="F39" s="779"/>
      <c r="G39" s="32" t="s">
        <v>1057</v>
      </c>
      <c r="H39" s="308"/>
      <c r="I39" s="307">
        <f>E36*0.5</f>
        <v>0.5</v>
      </c>
      <c r="J39" s="307" t="s">
        <v>31</v>
      </c>
      <c r="K39" s="307"/>
    </row>
    <row r="40" spans="1:11" ht="13.5" customHeight="1">
      <c r="A40" s="777">
        <v>2</v>
      </c>
      <c r="B40" s="777" t="s">
        <v>1059</v>
      </c>
      <c r="C40" s="777" t="s">
        <v>1060</v>
      </c>
      <c r="D40" s="777" t="s">
        <v>1060</v>
      </c>
      <c r="E40" s="780">
        <v>1</v>
      </c>
      <c r="F40" s="777" t="s">
        <v>1058</v>
      </c>
      <c r="G40" s="8" t="s">
        <v>90</v>
      </c>
      <c r="H40" s="11" t="s">
        <v>112</v>
      </c>
      <c r="I40" s="7">
        <f>+E40*1.3</f>
        <v>1.3</v>
      </c>
      <c r="J40" s="7" t="s">
        <v>111</v>
      </c>
      <c r="K40" s="7"/>
    </row>
    <row r="41" spans="1:11" ht="13.5" customHeight="1">
      <c r="A41" s="778"/>
      <c r="B41" s="778"/>
      <c r="C41" s="778"/>
      <c r="D41" s="778"/>
      <c r="E41" s="781"/>
      <c r="F41" s="778"/>
      <c r="G41" s="8" t="s">
        <v>52</v>
      </c>
      <c r="H41" s="8" t="s">
        <v>89</v>
      </c>
      <c r="I41" s="7">
        <f>+E40*8</f>
        <v>8</v>
      </c>
      <c r="J41" s="7" t="s">
        <v>88</v>
      </c>
      <c r="K41" s="7"/>
    </row>
    <row r="42" spans="1:11" ht="13.5" customHeight="1">
      <c r="A42" s="778"/>
      <c r="B42" s="778"/>
      <c r="C42" s="778"/>
      <c r="D42" s="778"/>
      <c r="E42" s="781"/>
      <c r="F42" s="778"/>
      <c r="G42" s="211" t="s">
        <v>680</v>
      </c>
      <c r="H42" s="8" t="s">
        <v>39</v>
      </c>
      <c r="I42" s="7">
        <f>+E40*3.2</f>
        <v>3.2</v>
      </c>
      <c r="J42" s="7" t="s">
        <v>30</v>
      </c>
      <c r="K42" s="7"/>
    </row>
    <row r="43" spans="1:11" ht="13.5" customHeight="1">
      <c r="A43" s="779"/>
      <c r="B43" s="779"/>
      <c r="C43" s="779"/>
      <c r="D43" s="779"/>
      <c r="E43" s="782"/>
      <c r="F43" s="779"/>
      <c r="G43" s="32" t="s">
        <v>1057</v>
      </c>
      <c r="H43" s="308"/>
      <c r="I43" s="307">
        <f>E40*1</f>
        <v>1</v>
      </c>
      <c r="J43" s="307" t="s">
        <v>31</v>
      </c>
      <c r="K43" s="307"/>
    </row>
    <row r="44" spans="1:11" ht="13.5" customHeight="1">
      <c r="A44" s="809" t="s">
        <v>201</v>
      </c>
      <c r="B44" s="809"/>
      <c r="C44" s="809"/>
      <c r="D44" s="809"/>
      <c r="E44" s="809"/>
      <c r="F44" s="809"/>
      <c r="G44" s="809"/>
      <c r="H44" s="809"/>
      <c r="I44" s="809"/>
      <c r="J44" s="809"/>
      <c r="K44" s="809"/>
    </row>
    <row r="45" spans="1:11" ht="13.5" customHeight="1">
      <c r="A45" s="7" t="s">
        <v>151</v>
      </c>
      <c r="B45" s="7" t="s">
        <v>108</v>
      </c>
      <c r="C45" s="7" t="s">
        <v>107</v>
      </c>
      <c r="D45" s="7" t="s">
        <v>106</v>
      </c>
      <c r="E45" s="15"/>
      <c r="F45" s="7" t="s">
        <v>136</v>
      </c>
      <c r="G45" s="7" t="s">
        <v>104</v>
      </c>
      <c r="H45" s="7" t="s">
        <v>103</v>
      </c>
      <c r="I45" s="7" t="s">
        <v>105</v>
      </c>
      <c r="J45" s="7" t="s">
        <v>149</v>
      </c>
      <c r="K45" s="7" t="s">
        <v>115</v>
      </c>
    </row>
    <row r="46" spans="1:11" ht="13.5" customHeight="1">
      <c r="A46" s="785" t="s">
        <v>200</v>
      </c>
      <c r="B46" s="785" t="s">
        <v>199</v>
      </c>
      <c r="C46" s="785">
        <v>720</v>
      </c>
      <c r="D46" s="785">
        <v>560</v>
      </c>
      <c r="E46" s="780">
        <v>1</v>
      </c>
      <c r="F46" s="794" t="s">
        <v>191</v>
      </c>
      <c r="G46" s="8" t="s">
        <v>198</v>
      </c>
      <c r="H46" s="8" t="s">
        <v>197</v>
      </c>
      <c r="I46" s="7">
        <f>+E46*1</f>
        <v>1</v>
      </c>
      <c r="J46" s="7" t="s">
        <v>88</v>
      </c>
      <c r="K46" s="777"/>
    </row>
    <row r="47" spans="1:11" ht="13.5" customHeight="1">
      <c r="A47" s="785"/>
      <c r="B47" s="785"/>
      <c r="C47" s="785"/>
      <c r="D47" s="785"/>
      <c r="E47" s="781"/>
      <c r="F47" s="794"/>
      <c r="G47" s="211" t="s">
        <v>680</v>
      </c>
      <c r="H47" s="8" t="s">
        <v>39</v>
      </c>
      <c r="I47" s="7">
        <f>+E46*1.3</f>
        <v>1.3</v>
      </c>
      <c r="J47" s="7" t="s">
        <v>30</v>
      </c>
      <c r="K47" s="778"/>
    </row>
    <row r="48" spans="1:11" ht="13.5" customHeight="1">
      <c r="A48" s="785"/>
      <c r="B48" s="785"/>
      <c r="C48" s="785"/>
      <c r="D48" s="785"/>
      <c r="E48" s="781"/>
      <c r="F48" s="794"/>
      <c r="G48" s="8" t="s">
        <v>121</v>
      </c>
      <c r="H48" s="8"/>
      <c r="I48" s="785" t="s">
        <v>119</v>
      </c>
      <c r="J48" s="785"/>
      <c r="K48" s="778"/>
    </row>
    <row r="49" spans="1:11" ht="13.5" customHeight="1">
      <c r="A49" s="785"/>
      <c r="B49" s="785"/>
      <c r="C49" s="785"/>
      <c r="D49" s="785"/>
      <c r="E49" s="782"/>
      <c r="F49" s="794"/>
      <c r="G49" s="8" t="s">
        <v>196</v>
      </c>
      <c r="H49" s="8" t="s">
        <v>89</v>
      </c>
      <c r="I49" s="7">
        <f>+E46*8</f>
        <v>8</v>
      </c>
      <c r="J49" s="7" t="s">
        <v>88</v>
      </c>
      <c r="K49" s="778"/>
    </row>
    <row r="50" spans="1:11" ht="13.5" customHeight="1">
      <c r="A50" s="785" t="s">
        <v>195</v>
      </c>
      <c r="B50" s="785" t="s">
        <v>180</v>
      </c>
      <c r="C50" s="785">
        <v>720</v>
      </c>
      <c r="D50" s="785">
        <v>560</v>
      </c>
      <c r="E50" s="780">
        <v>1</v>
      </c>
      <c r="F50" s="794" t="s">
        <v>191</v>
      </c>
      <c r="G50" s="8" t="s">
        <v>194</v>
      </c>
      <c r="H50" s="8" t="s">
        <v>193</v>
      </c>
      <c r="I50" s="7">
        <f>+E50*1</f>
        <v>1</v>
      </c>
      <c r="J50" s="7" t="s">
        <v>88</v>
      </c>
      <c r="K50" s="778"/>
    </row>
    <row r="51" spans="1:11" ht="13.5" customHeight="1">
      <c r="A51" s="785"/>
      <c r="B51" s="785"/>
      <c r="C51" s="785"/>
      <c r="D51" s="785"/>
      <c r="E51" s="781"/>
      <c r="F51" s="794"/>
      <c r="G51" s="211" t="s">
        <v>680</v>
      </c>
      <c r="H51" s="8" t="s">
        <v>39</v>
      </c>
      <c r="I51" s="7">
        <f>+E50*1.3</f>
        <v>1.3</v>
      </c>
      <c r="J51" s="7" t="s">
        <v>30</v>
      </c>
      <c r="K51" s="778"/>
    </row>
    <row r="52" spans="1:11" ht="13.5" customHeight="1">
      <c r="A52" s="785"/>
      <c r="B52" s="785"/>
      <c r="C52" s="785"/>
      <c r="D52" s="785"/>
      <c r="E52" s="781"/>
      <c r="F52" s="794"/>
      <c r="G52" s="8" t="s">
        <v>121</v>
      </c>
      <c r="H52" s="8"/>
      <c r="I52" s="785" t="s">
        <v>119</v>
      </c>
      <c r="J52" s="785"/>
      <c r="K52" s="778"/>
    </row>
    <row r="53" spans="1:11" ht="13.5" customHeight="1">
      <c r="A53" s="785"/>
      <c r="B53" s="785"/>
      <c r="C53" s="785"/>
      <c r="D53" s="785"/>
      <c r="E53" s="782"/>
      <c r="F53" s="794"/>
      <c r="G53" s="8" t="s">
        <v>52</v>
      </c>
      <c r="H53" s="8" t="s">
        <v>89</v>
      </c>
      <c r="I53" s="7">
        <f>+E50*8</f>
        <v>8</v>
      </c>
      <c r="J53" s="7" t="s">
        <v>88</v>
      </c>
      <c r="K53" s="778"/>
    </row>
    <row r="54" spans="1:11" ht="13.5" customHeight="1">
      <c r="A54" s="785" t="s">
        <v>192</v>
      </c>
      <c r="B54" s="785" t="s">
        <v>176</v>
      </c>
      <c r="C54" s="785">
        <v>720</v>
      </c>
      <c r="D54" s="785">
        <v>560</v>
      </c>
      <c r="E54" s="780">
        <v>1</v>
      </c>
      <c r="F54" s="794" t="s">
        <v>191</v>
      </c>
      <c r="G54" s="8" t="s">
        <v>190</v>
      </c>
      <c r="H54" s="8" t="s">
        <v>189</v>
      </c>
      <c r="I54" s="7">
        <f>+E54*1</f>
        <v>1</v>
      </c>
      <c r="J54" s="7" t="s">
        <v>88</v>
      </c>
      <c r="K54" s="778"/>
    </row>
    <row r="55" spans="1:11" ht="13.5" customHeight="1">
      <c r="A55" s="785"/>
      <c r="B55" s="785"/>
      <c r="C55" s="785"/>
      <c r="D55" s="785"/>
      <c r="E55" s="781"/>
      <c r="F55" s="794"/>
      <c r="G55" s="211" t="s">
        <v>680</v>
      </c>
      <c r="H55" s="8" t="s">
        <v>39</v>
      </c>
      <c r="I55" s="7">
        <f>+E54*1.5</f>
        <v>1.5</v>
      </c>
      <c r="J55" s="7" t="s">
        <v>30</v>
      </c>
      <c r="K55" s="778"/>
    </row>
    <row r="56" spans="1:11" ht="13.5" customHeight="1">
      <c r="A56" s="785"/>
      <c r="B56" s="785"/>
      <c r="C56" s="785"/>
      <c r="D56" s="785"/>
      <c r="E56" s="781"/>
      <c r="F56" s="794"/>
      <c r="G56" s="8" t="s">
        <v>121</v>
      </c>
      <c r="H56" s="8"/>
      <c r="I56" s="785" t="s">
        <v>119</v>
      </c>
      <c r="J56" s="785"/>
      <c r="K56" s="778"/>
    </row>
    <row r="57" spans="1:11" ht="13.5" customHeight="1">
      <c r="A57" s="785"/>
      <c r="B57" s="785"/>
      <c r="C57" s="785"/>
      <c r="D57" s="785"/>
      <c r="E57" s="782"/>
      <c r="F57" s="794"/>
      <c r="G57" s="8" t="s">
        <v>52</v>
      </c>
      <c r="H57" s="8" t="s">
        <v>89</v>
      </c>
      <c r="I57" s="7">
        <f>+E54*8</f>
        <v>8</v>
      </c>
      <c r="J57" s="7" t="s">
        <v>88</v>
      </c>
      <c r="K57" s="778"/>
    </row>
    <row r="58" spans="1:11" ht="13.5" customHeight="1">
      <c r="A58" s="785" t="s">
        <v>188</v>
      </c>
      <c r="B58" s="785" t="s">
        <v>187</v>
      </c>
      <c r="C58" s="785">
        <v>720</v>
      </c>
      <c r="D58" s="785">
        <v>300</v>
      </c>
      <c r="E58" s="780">
        <v>1</v>
      </c>
      <c r="F58" s="794" t="s">
        <v>184</v>
      </c>
      <c r="G58" s="8" t="s">
        <v>186</v>
      </c>
      <c r="H58" s="18" t="s">
        <v>182</v>
      </c>
      <c r="I58" s="7">
        <f>+E58*1</f>
        <v>1</v>
      </c>
      <c r="J58" s="7" t="s">
        <v>88</v>
      </c>
      <c r="K58" s="778"/>
    </row>
    <row r="59" spans="1:11" ht="13.5" customHeight="1">
      <c r="A59" s="785"/>
      <c r="B59" s="785"/>
      <c r="C59" s="785"/>
      <c r="D59" s="785"/>
      <c r="E59" s="781"/>
      <c r="F59" s="794"/>
      <c r="G59" s="211" t="s">
        <v>680</v>
      </c>
      <c r="H59" s="8" t="s">
        <v>39</v>
      </c>
      <c r="I59" s="7">
        <f>+E58*0.8</f>
        <v>0.8</v>
      </c>
      <c r="J59" s="7" t="s">
        <v>30</v>
      </c>
      <c r="K59" s="778"/>
    </row>
    <row r="60" spans="1:11" ht="13.5" customHeight="1">
      <c r="A60" s="785"/>
      <c r="B60" s="785"/>
      <c r="C60" s="785"/>
      <c r="D60" s="785"/>
      <c r="E60" s="781"/>
      <c r="F60" s="794"/>
      <c r="G60" s="8" t="s">
        <v>121</v>
      </c>
      <c r="H60" s="8"/>
      <c r="I60" s="785" t="s">
        <v>119</v>
      </c>
      <c r="J60" s="785"/>
      <c r="K60" s="778"/>
    </row>
    <row r="61" spans="1:11" ht="13.5" customHeight="1">
      <c r="A61" s="785"/>
      <c r="B61" s="785"/>
      <c r="C61" s="785"/>
      <c r="D61" s="785"/>
      <c r="E61" s="782"/>
      <c r="F61" s="794"/>
      <c r="G61" s="8" t="s">
        <v>52</v>
      </c>
      <c r="H61" s="8" t="s">
        <v>89</v>
      </c>
      <c r="I61" s="7">
        <f>+E58*8</f>
        <v>8</v>
      </c>
      <c r="J61" s="7" t="s">
        <v>88</v>
      </c>
      <c r="K61" s="778"/>
    </row>
    <row r="62" spans="1:11" ht="13.5" customHeight="1">
      <c r="A62" s="785" t="s">
        <v>185</v>
      </c>
      <c r="B62" s="785" t="s">
        <v>206</v>
      </c>
      <c r="C62" s="785">
        <v>720</v>
      </c>
      <c r="D62" s="785">
        <v>300</v>
      </c>
      <c r="E62" s="780">
        <v>1</v>
      </c>
      <c r="F62" s="794" t="s">
        <v>184</v>
      </c>
      <c r="G62" s="8" t="s">
        <v>183</v>
      </c>
      <c r="H62" s="18" t="s">
        <v>182</v>
      </c>
      <c r="I62" s="7">
        <f>+E62*1</f>
        <v>1</v>
      </c>
      <c r="J62" s="7" t="s">
        <v>88</v>
      </c>
      <c r="K62" s="778"/>
    </row>
    <row r="63" spans="1:11" ht="13.5" customHeight="1">
      <c r="A63" s="785"/>
      <c r="B63" s="785"/>
      <c r="C63" s="785"/>
      <c r="D63" s="785"/>
      <c r="E63" s="781"/>
      <c r="F63" s="794"/>
      <c r="G63" s="211" t="s">
        <v>680</v>
      </c>
      <c r="H63" s="8" t="s">
        <v>39</v>
      </c>
      <c r="I63" s="7">
        <f>+E62*0.8</f>
        <v>0.8</v>
      </c>
      <c r="J63" s="7" t="s">
        <v>87</v>
      </c>
      <c r="K63" s="778"/>
    </row>
    <row r="64" spans="1:11" ht="13.5" customHeight="1">
      <c r="A64" s="785"/>
      <c r="B64" s="785"/>
      <c r="C64" s="785"/>
      <c r="D64" s="785"/>
      <c r="E64" s="781"/>
      <c r="F64" s="794"/>
      <c r="G64" s="8" t="s">
        <v>121</v>
      </c>
      <c r="H64" s="8"/>
      <c r="I64" s="785" t="s">
        <v>119</v>
      </c>
      <c r="J64" s="785"/>
      <c r="K64" s="778"/>
    </row>
    <row r="65" spans="1:11" ht="13.5" customHeight="1">
      <c r="A65" s="785"/>
      <c r="B65" s="785"/>
      <c r="C65" s="785"/>
      <c r="D65" s="785"/>
      <c r="E65" s="782"/>
      <c r="F65" s="794"/>
      <c r="G65" s="8" t="s">
        <v>52</v>
      </c>
      <c r="H65" s="8" t="s">
        <v>89</v>
      </c>
      <c r="I65" s="7">
        <f>+E62*8</f>
        <v>8</v>
      </c>
      <c r="J65" s="7" t="s">
        <v>88</v>
      </c>
      <c r="K65" s="778"/>
    </row>
    <row r="66" spans="1:11" ht="13.5" customHeight="1">
      <c r="A66" s="785" t="s">
        <v>181</v>
      </c>
      <c r="B66" s="785" t="s">
        <v>180</v>
      </c>
      <c r="C66" s="785">
        <v>720</v>
      </c>
      <c r="D66" s="785">
        <v>300</v>
      </c>
      <c r="E66" s="780">
        <v>1</v>
      </c>
      <c r="F66" s="794" t="s">
        <v>175</v>
      </c>
      <c r="G66" s="8" t="s">
        <v>179</v>
      </c>
      <c r="H66" s="18" t="s">
        <v>178</v>
      </c>
      <c r="I66" s="7">
        <f>+E66*1</f>
        <v>1</v>
      </c>
      <c r="J66" s="7" t="s">
        <v>88</v>
      </c>
      <c r="K66" s="778"/>
    </row>
    <row r="67" spans="1:11" ht="13.5" customHeight="1">
      <c r="A67" s="785"/>
      <c r="B67" s="785"/>
      <c r="C67" s="785"/>
      <c r="D67" s="785"/>
      <c r="E67" s="781"/>
      <c r="F67" s="794"/>
      <c r="G67" s="211" t="s">
        <v>680</v>
      </c>
      <c r="H67" s="8" t="s">
        <v>39</v>
      </c>
      <c r="I67" s="7">
        <f>+E66*1</f>
        <v>1</v>
      </c>
      <c r="J67" s="7" t="s">
        <v>87</v>
      </c>
      <c r="K67" s="778"/>
    </row>
    <row r="68" spans="1:11" ht="13.5" customHeight="1">
      <c r="A68" s="785"/>
      <c r="B68" s="785"/>
      <c r="C68" s="785"/>
      <c r="D68" s="785"/>
      <c r="E68" s="781"/>
      <c r="F68" s="794"/>
      <c r="G68" s="8" t="s">
        <v>121</v>
      </c>
      <c r="H68" s="8"/>
      <c r="I68" s="785" t="s">
        <v>119</v>
      </c>
      <c r="J68" s="785"/>
      <c r="K68" s="778"/>
    </row>
    <row r="69" spans="1:11" ht="13.5" customHeight="1">
      <c r="A69" s="785"/>
      <c r="B69" s="785"/>
      <c r="C69" s="785"/>
      <c r="D69" s="785"/>
      <c r="E69" s="782"/>
      <c r="F69" s="794"/>
      <c r="G69" s="8" t="s">
        <v>52</v>
      </c>
      <c r="H69" s="8" t="s">
        <v>89</v>
      </c>
      <c r="I69" s="7">
        <f>+E66*8</f>
        <v>8</v>
      </c>
      <c r="J69" s="7" t="s">
        <v>88</v>
      </c>
      <c r="K69" s="778"/>
    </row>
    <row r="70" spans="1:11" ht="13.5" customHeight="1">
      <c r="A70" s="785" t="s">
        <v>177</v>
      </c>
      <c r="B70" s="785" t="s">
        <v>176</v>
      </c>
      <c r="C70" s="785">
        <v>720</v>
      </c>
      <c r="D70" s="785">
        <v>300</v>
      </c>
      <c r="E70" s="780">
        <v>1</v>
      </c>
      <c r="F70" s="794" t="s">
        <v>175</v>
      </c>
      <c r="G70" s="8" t="s">
        <v>174</v>
      </c>
      <c r="H70" s="18" t="s">
        <v>173</v>
      </c>
      <c r="I70" s="7">
        <f>+E70*1</f>
        <v>1</v>
      </c>
      <c r="J70" s="7" t="s">
        <v>88</v>
      </c>
      <c r="K70" s="778"/>
    </row>
    <row r="71" spans="1:11" ht="13.5" customHeight="1">
      <c r="A71" s="785"/>
      <c r="B71" s="785"/>
      <c r="C71" s="785"/>
      <c r="D71" s="785"/>
      <c r="E71" s="781"/>
      <c r="F71" s="794"/>
      <c r="G71" s="211" t="s">
        <v>680</v>
      </c>
      <c r="H71" s="8" t="s">
        <v>39</v>
      </c>
      <c r="I71" s="7">
        <f>+E70*1.4</f>
        <v>1.4</v>
      </c>
      <c r="J71" s="7" t="s">
        <v>87</v>
      </c>
      <c r="K71" s="778"/>
    </row>
    <row r="72" spans="1:11" ht="13.5" customHeight="1">
      <c r="A72" s="785"/>
      <c r="B72" s="785"/>
      <c r="C72" s="785"/>
      <c r="D72" s="785"/>
      <c r="E72" s="781"/>
      <c r="F72" s="794"/>
      <c r="G72" s="8" t="s">
        <v>121</v>
      </c>
      <c r="H72" s="8"/>
      <c r="I72" s="785" t="s">
        <v>119</v>
      </c>
      <c r="J72" s="785"/>
      <c r="K72" s="778"/>
    </row>
    <row r="73" spans="1:11" ht="13.5" customHeight="1">
      <c r="A73" s="785"/>
      <c r="B73" s="785"/>
      <c r="C73" s="785"/>
      <c r="D73" s="785"/>
      <c r="E73" s="782"/>
      <c r="F73" s="794"/>
      <c r="G73" s="8" t="s">
        <v>52</v>
      </c>
      <c r="H73" s="8" t="s">
        <v>89</v>
      </c>
      <c r="I73" s="7">
        <f>+E70*8</f>
        <v>8</v>
      </c>
      <c r="J73" s="7" t="s">
        <v>88</v>
      </c>
      <c r="K73" s="778"/>
    </row>
    <row r="74" spans="1:11" ht="13.5" customHeight="1">
      <c r="A74" s="785" t="s">
        <v>172</v>
      </c>
      <c r="B74" s="785" t="s">
        <v>171</v>
      </c>
      <c r="C74" s="785">
        <v>2160</v>
      </c>
      <c r="D74" s="785">
        <v>560</v>
      </c>
      <c r="E74" s="780">
        <v>1</v>
      </c>
      <c r="F74" s="794" t="s">
        <v>170</v>
      </c>
      <c r="G74" s="8" t="s">
        <v>169</v>
      </c>
      <c r="H74" s="11" t="s">
        <v>112</v>
      </c>
      <c r="I74" s="7">
        <f>+E74*1</f>
        <v>1</v>
      </c>
      <c r="J74" s="7" t="s">
        <v>111</v>
      </c>
      <c r="K74" s="778"/>
    </row>
    <row r="75" spans="1:11" ht="13.5" customHeight="1">
      <c r="A75" s="785"/>
      <c r="B75" s="785"/>
      <c r="C75" s="785"/>
      <c r="D75" s="785"/>
      <c r="E75" s="781"/>
      <c r="F75" s="794"/>
      <c r="G75" s="211" t="s">
        <v>680</v>
      </c>
      <c r="H75" s="8" t="s">
        <v>39</v>
      </c>
      <c r="I75" s="7">
        <f>+E74*2.5</f>
        <v>2.5</v>
      </c>
      <c r="J75" s="7" t="s">
        <v>30</v>
      </c>
      <c r="K75" s="778"/>
    </row>
    <row r="76" spans="1:11" ht="13.5" customHeight="1">
      <c r="A76" s="785"/>
      <c r="B76" s="785"/>
      <c r="C76" s="785"/>
      <c r="D76" s="785"/>
      <c r="E76" s="781"/>
      <c r="F76" s="794"/>
      <c r="G76" s="8" t="s">
        <v>121</v>
      </c>
      <c r="H76" s="8"/>
      <c r="I76" s="785" t="s">
        <v>119</v>
      </c>
      <c r="J76" s="785"/>
      <c r="K76" s="778"/>
    </row>
    <row r="77" spans="1:11" ht="13.5" customHeight="1">
      <c r="A77" s="785"/>
      <c r="B77" s="785"/>
      <c r="C77" s="785"/>
      <c r="D77" s="785"/>
      <c r="E77" s="782"/>
      <c r="F77" s="794"/>
      <c r="G77" s="8" t="s">
        <v>52</v>
      </c>
      <c r="H77" s="8" t="s">
        <v>89</v>
      </c>
      <c r="I77" s="7">
        <f>+E74*8</f>
        <v>8</v>
      </c>
      <c r="J77" s="7" t="s">
        <v>88</v>
      </c>
      <c r="K77" s="779"/>
    </row>
    <row r="78" spans="1:11" ht="13.5" customHeight="1">
      <c r="A78" s="794" t="s">
        <v>168</v>
      </c>
      <c r="B78" s="794"/>
      <c r="C78" s="794"/>
      <c r="D78" s="794"/>
      <c r="E78" s="794"/>
      <c r="F78" s="794"/>
      <c r="G78" s="794"/>
      <c r="H78" s="794"/>
      <c r="I78" s="794"/>
      <c r="J78" s="794"/>
      <c r="K78" s="794"/>
    </row>
    <row r="79" spans="1:11" ht="13.5" customHeight="1">
      <c r="A79" s="789" t="s">
        <v>167</v>
      </c>
      <c r="B79" s="789"/>
      <c r="C79" s="789"/>
      <c r="D79" s="789"/>
      <c r="E79" s="789"/>
      <c r="F79" s="789"/>
      <c r="G79" s="789"/>
      <c r="H79" s="789"/>
      <c r="I79" s="789"/>
      <c r="J79" s="789"/>
      <c r="K79" s="789"/>
    </row>
    <row r="80" spans="1:11" ht="13.5" customHeight="1">
      <c r="A80" s="7" t="s">
        <v>117</v>
      </c>
      <c r="B80" s="7" t="s">
        <v>108</v>
      </c>
      <c r="C80" s="7" t="s">
        <v>107</v>
      </c>
      <c r="D80" s="7" t="s">
        <v>106</v>
      </c>
      <c r="E80" s="15"/>
      <c r="F80" s="7" t="s">
        <v>136</v>
      </c>
      <c r="G80" s="7" t="s">
        <v>104</v>
      </c>
      <c r="H80" s="7" t="s">
        <v>103</v>
      </c>
      <c r="I80" s="7" t="s">
        <v>102</v>
      </c>
      <c r="J80" s="7" t="s">
        <v>101</v>
      </c>
      <c r="K80" s="7" t="s">
        <v>115</v>
      </c>
    </row>
    <row r="81" spans="1:11" ht="13.5" customHeight="1">
      <c r="A81" s="785">
        <v>1</v>
      </c>
      <c r="B81" s="785" t="s">
        <v>92</v>
      </c>
      <c r="C81" s="785" t="s">
        <v>114</v>
      </c>
      <c r="D81" s="785" t="s">
        <v>114</v>
      </c>
      <c r="E81" s="780">
        <v>1</v>
      </c>
      <c r="F81" s="785" t="s">
        <v>166</v>
      </c>
      <c r="G81" s="8" t="s">
        <v>90</v>
      </c>
      <c r="H81" s="11" t="s">
        <v>112</v>
      </c>
      <c r="I81" s="7">
        <f>+E81*0.3</f>
        <v>0.3</v>
      </c>
      <c r="J81" s="7" t="s">
        <v>111</v>
      </c>
      <c r="K81" s="785"/>
    </row>
    <row r="82" spans="1:11" ht="13.5" customHeight="1">
      <c r="A82" s="785"/>
      <c r="B82" s="785"/>
      <c r="C82" s="785"/>
      <c r="D82" s="785"/>
      <c r="E82" s="781"/>
      <c r="F82" s="785"/>
      <c r="G82" s="211" t="s">
        <v>680</v>
      </c>
      <c r="H82" s="8" t="s">
        <v>39</v>
      </c>
      <c r="I82" s="7">
        <f>+E81*1</f>
        <v>1</v>
      </c>
      <c r="J82" s="7" t="s">
        <v>30</v>
      </c>
      <c r="K82" s="785"/>
    </row>
    <row r="83" spans="1:11" ht="13.5" customHeight="1">
      <c r="A83" s="785"/>
      <c r="B83" s="785"/>
      <c r="C83" s="785"/>
      <c r="D83" s="785"/>
      <c r="E83" s="782"/>
      <c r="F83" s="785"/>
      <c r="G83" s="8" t="s">
        <v>52</v>
      </c>
      <c r="H83" s="8" t="s">
        <v>89</v>
      </c>
      <c r="I83" s="7">
        <f>+E81*8</f>
        <v>8</v>
      </c>
      <c r="J83" s="7" t="s">
        <v>88</v>
      </c>
      <c r="K83" s="785"/>
    </row>
    <row r="84" spans="1:11" ht="13.5" customHeight="1">
      <c r="A84" s="785">
        <v>2</v>
      </c>
      <c r="B84" s="785" t="s">
        <v>165</v>
      </c>
      <c r="C84" s="785" t="s">
        <v>114</v>
      </c>
      <c r="D84" s="785" t="s">
        <v>114</v>
      </c>
      <c r="E84" s="780">
        <v>1</v>
      </c>
      <c r="F84" s="785" t="s">
        <v>166</v>
      </c>
      <c r="G84" s="8" t="s">
        <v>90</v>
      </c>
      <c r="H84" s="11" t="s">
        <v>112</v>
      </c>
      <c r="I84" s="7">
        <f>+E84*0.4</f>
        <v>0.4</v>
      </c>
      <c r="J84" s="7" t="s">
        <v>111</v>
      </c>
      <c r="K84" s="785"/>
    </row>
    <row r="85" spans="1:11" ht="13.5" customHeight="1">
      <c r="A85" s="785"/>
      <c r="B85" s="785"/>
      <c r="C85" s="785"/>
      <c r="D85" s="785"/>
      <c r="E85" s="781"/>
      <c r="F85" s="785"/>
      <c r="G85" s="211" t="s">
        <v>680</v>
      </c>
      <c r="H85" s="8" t="s">
        <v>39</v>
      </c>
      <c r="I85" s="7">
        <f>+E84*1.5</f>
        <v>1.5</v>
      </c>
      <c r="J85" s="7" t="s">
        <v>30</v>
      </c>
      <c r="K85" s="785"/>
    </row>
    <row r="86" spans="1:11" ht="13.5" customHeight="1">
      <c r="A86" s="785"/>
      <c r="B86" s="785"/>
      <c r="C86" s="785"/>
      <c r="D86" s="785"/>
      <c r="E86" s="782"/>
      <c r="F86" s="785"/>
      <c r="G86" s="8" t="s">
        <v>52</v>
      </c>
      <c r="H86" s="8" t="s">
        <v>89</v>
      </c>
      <c r="I86" s="7">
        <f>+E84*8</f>
        <v>8</v>
      </c>
      <c r="J86" s="7" t="s">
        <v>88</v>
      </c>
      <c r="K86" s="785"/>
    </row>
    <row r="87" spans="1:11" ht="13.5" customHeight="1">
      <c r="A87" s="785">
        <v>3</v>
      </c>
      <c r="B87" s="785" t="s">
        <v>92</v>
      </c>
      <c r="C87" s="785" t="s">
        <v>114</v>
      </c>
      <c r="D87" s="785" t="s">
        <v>114</v>
      </c>
      <c r="E87" s="780">
        <v>1</v>
      </c>
      <c r="F87" s="785" t="s">
        <v>164</v>
      </c>
      <c r="G87" s="8" t="s">
        <v>90</v>
      </c>
      <c r="H87" s="11" t="s">
        <v>112</v>
      </c>
      <c r="I87" s="7">
        <f>+E87*0.4</f>
        <v>0.4</v>
      </c>
      <c r="J87" s="7" t="s">
        <v>111</v>
      </c>
      <c r="K87" s="785"/>
    </row>
    <row r="88" spans="1:11" ht="13.5" customHeight="1">
      <c r="A88" s="785"/>
      <c r="B88" s="785"/>
      <c r="C88" s="785"/>
      <c r="D88" s="785"/>
      <c r="E88" s="781"/>
      <c r="F88" s="785"/>
      <c r="G88" s="211" t="s">
        <v>680</v>
      </c>
      <c r="H88" s="8" t="s">
        <v>39</v>
      </c>
      <c r="I88" s="7">
        <f>+E87*1.5</f>
        <v>1.5</v>
      </c>
      <c r="J88" s="7" t="s">
        <v>30</v>
      </c>
      <c r="K88" s="785"/>
    </row>
    <row r="89" spans="1:11" ht="13.5" customHeight="1">
      <c r="A89" s="785"/>
      <c r="B89" s="785"/>
      <c r="C89" s="785"/>
      <c r="D89" s="785"/>
      <c r="E89" s="782"/>
      <c r="F89" s="785"/>
      <c r="G89" s="8" t="s">
        <v>52</v>
      </c>
      <c r="H89" s="8" t="s">
        <v>89</v>
      </c>
      <c r="I89" s="7">
        <f>+E87*8</f>
        <v>8</v>
      </c>
      <c r="J89" s="7" t="s">
        <v>88</v>
      </c>
      <c r="K89" s="785"/>
    </row>
    <row r="90" spans="1:11" ht="13.5" customHeight="1">
      <c r="A90" s="785">
        <v>4</v>
      </c>
      <c r="B90" s="785" t="s">
        <v>165</v>
      </c>
      <c r="C90" s="785" t="s">
        <v>114</v>
      </c>
      <c r="D90" s="785" t="s">
        <v>114</v>
      </c>
      <c r="E90" s="780">
        <v>1</v>
      </c>
      <c r="F90" s="785" t="s">
        <v>164</v>
      </c>
      <c r="G90" s="8" t="s">
        <v>90</v>
      </c>
      <c r="H90" s="11" t="s">
        <v>112</v>
      </c>
      <c r="I90" s="7">
        <f>+E90*0.6</f>
        <v>0.6</v>
      </c>
      <c r="J90" s="7" t="s">
        <v>111</v>
      </c>
      <c r="K90" s="785"/>
    </row>
    <row r="91" spans="1:11" ht="13.5" customHeight="1">
      <c r="A91" s="785"/>
      <c r="B91" s="785"/>
      <c r="C91" s="785"/>
      <c r="D91" s="785"/>
      <c r="E91" s="781"/>
      <c r="F91" s="785"/>
      <c r="G91" s="211" t="s">
        <v>680</v>
      </c>
      <c r="H91" s="8" t="s">
        <v>39</v>
      </c>
      <c r="I91" s="7">
        <f>+E90*1.5</f>
        <v>1.5</v>
      </c>
      <c r="J91" s="7" t="s">
        <v>30</v>
      </c>
      <c r="K91" s="785"/>
    </row>
    <row r="92" spans="1:11" ht="13.5" customHeight="1">
      <c r="A92" s="785"/>
      <c r="B92" s="785"/>
      <c r="C92" s="785"/>
      <c r="D92" s="785"/>
      <c r="E92" s="782"/>
      <c r="F92" s="785"/>
      <c r="G92" s="8" t="s">
        <v>52</v>
      </c>
      <c r="H92" s="8" t="s">
        <v>89</v>
      </c>
      <c r="I92" s="7">
        <f>+E90*8</f>
        <v>8</v>
      </c>
      <c r="J92" s="7" t="s">
        <v>88</v>
      </c>
      <c r="K92" s="785"/>
    </row>
    <row r="93" spans="1:11" ht="13.5" customHeight="1">
      <c r="A93" s="785">
        <v>5</v>
      </c>
      <c r="B93" s="785" t="s">
        <v>114</v>
      </c>
      <c r="C93" s="785" t="s">
        <v>114</v>
      </c>
      <c r="D93" s="785" t="s">
        <v>162</v>
      </c>
      <c r="E93" s="780">
        <v>1</v>
      </c>
      <c r="F93" s="794" t="s">
        <v>163</v>
      </c>
      <c r="G93" s="8" t="s">
        <v>90</v>
      </c>
      <c r="H93" s="11" t="s">
        <v>112</v>
      </c>
      <c r="I93" s="7">
        <f>+E93*0.5</f>
        <v>0.5</v>
      </c>
      <c r="J93" s="7" t="s">
        <v>111</v>
      </c>
      <c r="K93" s="785"/>
    </row>
    <row r="94" spans="1:11" ht="13.5" customHeight="1">
      <c r="A94" s="785"/>
      <c r="B94" s="785"/>
      <c r="C94" s="785"/>
      <c r="D94" s="785"/>
      <c r="E94" s="781"/>
      <c r="F94" s="794"/>
      <c r="G94" s="211" t="s">
        <v>680</v>
      </c>
      <c r="H94" s="8" t="s">
        <v>39</v>
      </c>
      <c r="I94" s="7">
        <f>+E93*2</f>
        <v>2</v>
      </c>
      <c r="J94" s="7" t="s">
        <v>30</v>
      </c>
      <c r="K94" s="785"/>
    </row>
    <row r="95" spans="1:11" ht="13.5" customHeight="1">
      <c r="A95" s="785"/>
      <c r="B95" s="785"/>
      <c r="C95" s="785"/>
      <c r="D95" s="785"/>
      <c r="E95" s="782"/>
      <c r="F95" s="794"/>
      <c r="G95" s="8" t="s">
        <v>52</v>
      </c>
      <c r="H95" s="8" t="s">
        <v>89</v>
      </c>
      <c r="I95" s="7">
        <f>+E93*8</f>
        <v>8</v>
      </c>
      <c r="J95" s="7" t="s">
        <v>88</v>
      </c>
      <c r="K95" s="785"/>
    </row>
    <row r="96" spans="1:11" ht="13.5" customHeight="1">
      <c r="A96" s="785">
        <v>6</v>
      </c>
      <c r="B96" s="785" t="s">
        <v>114</v>
      </c>
      <c r="C96" s="785" t="s">
        <v>114</v>
      </c>
      <c r="D96" s="785" t="s">
        <v>161</v>
      </c>
      <c r="E96" s="780">
        <v>1</v>
      </c>
      <c r="F96" s="794" t="s">
        <v>163</v>
      </c>
      <c r="G96" s="8" t="s">
        <v>90</v>
      </c>
      <c r="H96" s="11" t="s">
        <v>112</v>
      </c>
      <c r="I96" s="7">
        <f>+E96*0.8</f>
        <v>0.8</v>
      </c>
      <c r="J96" s="7" t="s">
        <v>111</v>
      </c>
      <c r="K96" s="785"/>
    </row>
    <row r="97" spans="1:11" ht="13.5" customHeight="1">
      <c r="A97" s="785"/>
      <c r="B97" s="785"/>
      <c r="C97" s="785"/>
      <c r="D97" s="785"/>
      <c r="E97" s="781"/>
      <c r="F97" s="794"/>
      <c r="G97" s="211" t="s">
        <v>680</v>
      </c>
      <c r="H97" s="8" t="s">
        <v>39</v>
      </c>
      <c r="I97" s="7">
        <f>+E96*2</f>
        <v>2</v>
      </c>
      <c r="J97" s="7" t="s">
        <v>30</v>
      </c>
      <c r="K97" s="785"/>
    </row>
    <row r="98" spans="1:11" ht="13.5" customHeight="1">
      <c r="A98" s="785"/>
      <c r="B98" s="785"/>
      <c r="C98" s="785"/>
      <c r="D98" s="785"/>
      <c r="E98" s="782"/>
      <c r="F98" s="794"/>
      <c r="G98" s="8" t="s">
        <v>52</v>
      </c>
      <c r="H98" s="8" t="s">
        <v>89</v>
      </c>
      <c r="I98" s="7">
        <f>+E96*8</f>
        <v>8</v>
      </c>
      <c r="J98" s="7" t="s">
        <v>88</v>
      </c>
      <c r="K98" s="785"/>
    </row>
    <row r="99" spans="1:11" ht="13.5" customHeight="1">
      <c r="A99" s="785">
        <v>7</v>
      </c>
      <c r="B99" s="785" t="s">
        <v>114</v>
      </c>
      <c r="C99" s="785" t="s">
        <v>114</v>
      </c>
      <c r="D99" s="785" t="s">
        <v>162</v>
      </c>
      <c r="E99" s="780">
        <v>1</v>
      </c>
      <c r="F99" s="785" t="s">
        <v>160</v>
      </c>
      <c r="G99" s="8" t="s">
        <v>90</v>
      </c>
      <c r="H99" s="11" t="s">
        <v>112</v>
      </c>
      <c r="I99" s="7">
        <f>+E99*0.5</f>
        <v>0.5</v>
      </c>
      <c r="J99" s="7" t="s">
        <v>111</v>
      </c>
      <c r="K99" s="785"/>
    </row>
    <row r="100" spans="1:11" ht="13.5" customHeight="1">
      <c r="A100" s="785"/>
      <c r="B100" s="785"/>
      <c r="C100" s="785"/>
      <c r="D100" s="785"/>
      <c r="E100" s="781"/>
      <c r="F100" s="785"/>
      <c r="G100" s="211" t="s">
        <v>680</v>
      </c>
      <c r="H100" s="8" t="s">
        <v>39</v>
      </c>
      <c r="I100" s="7">
        <f>+E99*2.5</f>
        <v>2.5</v>
      </c>
      <c r="J100" s="7" t="s">
        <v>30</v>
      </c>
      <c r="K100" s="785"/>
    </row>
    <row r="101" spans="1:11" ht="13.5" customHeight="1">
      <c r="A101" s="785"/>
      <c r="B101" s="785"/>
      <c r="C101" s="785"/>
      <c r="D101" s="785"/>
      <c r="E101" s="782"/>
      <c r="F101" s="785"/>
      <c r="G101" s="8" t="s">
        <v>52</v>
      </c>
      <c r="H101" s="8" t="s">
        <v>89</v>
      </c>
      <c r="I101" s="7">
        <f>+E99*8</f>
        <v>8</v>
      </c>
      <c r="J101" s="7" t="s">
        <v>88</v>
      </c>
      <c r="K101" s="785"/>
    </row>
    <row r="102" spans="1:11" ht="13.5" customHeight="1">
      <c r="A102" s="785">
        <v>8</v>
      </c>
      <c r="B102" s="785" t="s">
        <v>114</v>
      </c>
      <c r="C102" s="785" t="s">
        <v>114</v>
      </c>
      <c r="D102" s="785" t="s">
        <v>161</v>
      </c>
      <c r="E102" s="780">
        <v>1</v>
      </c>
      <c r="F102" s="785" t="s">
        <v>160</v>
      </c>
      <c r="G102" s="8" t="s">
        <v>90</v>
      </c>
      <c r="H102" s="11" t="s">
        <v>112</v>
      </c>
      <c r="I102" s="7">
        <f>+E102*1</f>
        <v>1</v>
      </c>
      <c r="J102" s="7" t="s">
        <v>111</v>
      </c>
      <c r="K102" s="785"/>
    </row>
    <row r="103" spans="1:11" ht="13.5" customHeight="1">
      <c r="A103" s="785"/>
      <c r="B103" s="785"/>
      <c r="C103" s="785"/>
      <c r="D103" s="785"/>
      <c r="E103" s="781"/>
      <c r="F103" s="785"/>
      <c r="G103" s="211" t="s">
        <v>680</v>
      </c>
      <c r="H103" s="8" t="s">
        <v>39</v>
      </c>
      <c r="I103" s="7">
        <f>+E102*2.5</f>
        <v>2.5</v>
      </c>
      <c r="J103" s="7" t="s">
        <v>30</v>
      </c>
      <c r="K103" s="785"/>
    </row>
    <row r="104" spans="1:11" ht="13.5" customHeight="1">
      <c r="A104" s="785"/>
      <c r="B104" s="785"/>
      <c r="C104" s="785"/>
      <c r="D104" s="785"/>
      <c r="E104" s="782"/>
      <c r="F104" s="785"/>
      <c r="G104" s="8" t="s">
        <v>52</v>
      </c>
      <c r="H104" s="8" t="s">
        <v>89</v>
      </c>
      <c r="I104" s="7">
        <f>+E102*8</f>
        <v>8</v>
      </c>
      <c r="J104" s="7" t="s">
        <v>88</v>
      </c>
      <c r="K104" s="785"/>
    </row>
    <row r="105" spans="1:11" ht="13.5" customHeight="1">
      <c r="A105" s="789" t="s">
        <v>159</v>
      </c>
      <c r="B105" s="789"/>
      <c r="C105" s="789"/>
      <c r="D105" s="789"/>
      <c r="E105" s="789"/>
      <c r="F105" s="789"/>
      <c r="G105" s="789"/>
      <c r="H105" s="789"/>
      <c r="I105" s="789"/>
      <c r="J105" s="789"/>
      <c r="K105" s="789"/>
    </row>
    <row r="106" spans="1:11" ht="13.5" customHeight="1">
      <c r="A106" s="7" t="s">
        <v>117</v>
      </c>
      <c r="B106" s="7" t="s">
        <v>108</v>
      </c>
      <c r="C106" s="7" t="s">
        <v>107</v>
      </c>
      <c r="D106" s="7" t="s">
        <v>105</v>
      </c>
      <c r="E106" s="15"/>
      <c r="F106" s="7" t="s">
        <v>136</v>
      </c>
      <c r="G106" s="7" t="s">
        <v>104</v>
      </c>
      <c r="H106" s="7" t="s">
        <v>103</v>
      </c>
      <c r="I106" s="7" t="s">
        <v>102</v>
      </c>
      <c r="J106" s="7" t="s">
        <v>101</v>
      </c>
      <c r="K106" s="7" t="s">
        <v>100</v>
      </c>
    </row>
    <row r="107" spans="1:11" ht="13.5" customHeight="1">
      <c r="A107" s="785">
        <v>1</v>
      </c>
      <c r="B107" s="785" t="s">
        <v>156</v>
      </c>
      <c r="C107" s="785" t="s">
        <v>135</v>
      </c>
      <c r="D107" s="785" t="s">
        <v>155</v>
      </c>
      <c r="E107" s="780">
        <v>1</v>
      </c>
      <c r="F107" s="785" t="s">
        <v>158</v>
      </c>
      <c r="G107" s="8" t="s">
        <v>90</v>
      </c>
      <c r="H107" s="11" t="s">
        <v>112</v>
      </c>
      <c r="I107" s="7">
        <f>+E107*0.7</f>
        <v>0.7</v>
      </c>
      <c r="J107" s="7" t="s">
        <v>111</v>
      </c>
      <c r="K107" s="785" t="s">
        <v>157</v>
      </c>
    </row>
    <row r="108" spans="1:11" ht="13.5" customHeight="1">
      <c r="A108" s="785"/>
      <c r="B108" s="785"/>
      <c r="C108" s="785"/>
      <c r="D108" s="785"/>
      <c r="E108" s="781"/>
      <c r="F108" s="785"/>
      <c r="G108" s="308" t="s">
        <v>372</v>
      </c>
      <c r="H108" s="11"/>
      <c r="I108" s="31">
        <f>E107*1</f>
        <v>1</v>
      </c>
      <c r="J108" s="31" t="s">
        <v>31</v>
      </c>
      <c r="K108" s="785"/>
    </row>
    <row r="109" spans="1:11" ht="13.5" customHeight="1">
      <c r="A109" s="785"/>
      <c r="B109" s="785"/>
      <c r="C109" s="785"/>
      <c r="D109" s="785"/>
      <c r="E109" s="782"/>
      <c r="F109" s="785"/>
      <c r="G109" s="308" t="s">
        <v>680</v>
      </c>
      <c r="H109" s="8" t="s">
        <v>39</v>
      </c>
      <c r="I109" s="7">
        <f>+E107*2</f>
        <v>2</v>
      </c>
      <c r="J109" s="7" t="s">
        <v>87</v>
      </c>
      <c r="K109" s="785"/>
    </row>
    <row r="110" spans="1:11" ht="13.5" customHeight="1">
      <c r="A110" s="785">
        <v>2</v>
      </c>
      <c r="B110" s="785" t="s">
        <v>156</v>
      </c>
      <c r="C110" s="785" t="s">
        <v>132</v>
      </c>
      <c r="D110" s="785" t="s">
        <v>155</v>
      </c>
      <c r="E110" s="780">
        <v>1</v>
      </c>
      <c r="F110" s="785" t="s">
        <v>154</v>
      </c>
      <c r="G110" s="308" t="s">
        <v>90</v>
      </c>
      <c r="H110" s="11" t="s">
        <v>112</v>
      </c>
      <c r="I110" s="7">
        <f>+E110*1</f>
        <v>1</v>
      </c>
      <c r="J110" s="7" t="s">
        <v>111</v>
      </c>
      <c r="K110" s="785"/>
    </row>
    <row r="111" spans="1:11" ht="13.5" customHeight="1">
      <c r="A111" s="785"/>
      <c r="B111" s="785"/>
      <c r="C111" s="785"/>
      <c r="D111" s="785"/>
      <c r="E111" s="781"/>
      <c r="F111" s="785"/>
      <c r="G111" s="308" t="s">
        <v>373</v>
      </c>
      <c r="H111" s="11"/>
      <c r="I111" s="31">
        <f>E110*1</f>
        <v>1</v>
      </c>
      <c r="J111" s="31" t="s">
        <v>31</v>
      </c>
      <c r="K111" s="785"/>
    </row>
    <row r="112" spans="1:11" ht="13.5" customHeight="1">
      <c r="A112" s="785"/>
      <c r="B112" s="785"/>
      <c r="C112" s="785"/>
      <c r="D112" s="785"/>
      <c r="E112" s="782"/>
      <c r="F112" s="785"/>
      <c r="G112" s="211" t="s">
        <v>680</v>
      </c>
      <c r="H112" s="8" t="s">
        <v>39</v>
      </c>
      <c r="I112" s="7">
        <f>+E110*2.5</f>
        <v>2.5</v>
      </c>
      <c r="J112" s="7" t="s">
        <v>87</v>
      </c>
      <c r="K112" s="785"/>
    </row>
    <row r="113" spans="1:11" ht="13.5" customHeight="1">
      <c r="A113" s="795" t="s">
        <v>153</v>
      </c>
      <c r="B113" s="795"/>
      <c r="C113" s="795"/>
      <c r="D113" s="795"/>
      <c r="E113" s="795"/>
      <c r="F113" s="795"/>
      <c r="G113" s="795"/>
      <c r="H113" s="795"/>
      <c r="I113" s="795"/>
      <c r="J113" s="795"/>
      <c r="K113" s="795"/>
    </row>
    <row r="114" spans="1:11" ht="13.5" customHeight="1">
      <c r="A114" s="789" t="s">
        <v>152</v>
      </c>
      <c r="B114" s="789"/>
      <c r="C114" s="789"/>
      <c r="D114" s="789"/>
      <c r="E114" s="789"/>
      <c r="F114" s="789"/>
      <c r="G114" s="789"/>
      <c r="H114" s="789"/>
      <c r="I114" s="789"/>
      <c r="J114" s="789"/>
      <c r="K114" s="789"/>
    </row>
    <row r="115" spans="1:11" ht="13.5" customHeight="1">
      <c r="A115" s="7" t="s">
        <v>151</v>
      </c>
      <c r="B115" s="7" t="s">
        <v>108</v>
      </c>
      <c r="C115" s="7" t="s">
        <v>107</v>
      </c>
      <c r="D115" s="7" t="s">
        <v>137</v>
      </c>
      <c r="E115" s="15"/>
      <c r="F115" s="7" t="s">
        <v>150</v>
      </c>
      <c r="G115" s="7" t="s">
        <v>104</v>
      </c>
      <c r="H115" s="7" t="s">
        <v>103</v>
      </c>
      <c r="I115" s="7" t="s">
        <v>105</v>
      </c>
      <c r="J115" s="7" t="s">
        <v>149</v>
      </c>
      <c r="K115" s="7" t="s">
        <v>115</v>
      </c>
    </row>
    <row r="116" spans="1:11" ht="13.5" customHeight="1">
      <c r="A116" s="785" t="s">
        <v>148</v>
      </c>
      <c r="B116" s="785" t="s">
        <v>147</v>
      </c>
      <c r="C116" s="785" t="s">
        <v>141</v>
      </c>
      <c r="D116" s="785" t="s">
        <v>131</v>
      </c>
      <c r="E116" s="780">
        <v>1</v>
      </c>
      <c r="F116" s="794" t="s">
        <v>146</v>
      </c>
      <c r="G116" s="8" t="s">
        <v>145</v>
      </c>
      <c r="H116" s="8" t="s">
        <v>130</v>
      </c>
      <c r="I116" s="7">
        <f>+E116*1</f>
        <v>1</v>
      </c>
      <c r="J116" s="7" t="s">
        <v>88</v>
      </c>
      <c r="K116" s="794" t="s">
        <v>144</v>
      </c>
    </row>
    <row r="117" spans="1:11" ht="13.5" customHeight="1">
      <c r="A117" s="785"/>
      <c r="B117" s="785"/>
      <c r="C117" s="785"/>
      <c r="D117" s="785"/>
      <c r="E117" s="781"/>
      <c r="F117" s="794"/>
      <c r="G117" s="211" t="s">
        <v>680</v>
      </c>
      <c r="H117" s="8" t="s">
        <v>39</v>
      </c>
      <c r="I117" s="7">
        <f>+E116*2.6</f>
        <v>2.6</v>
      </c>
      <c r="J117" s="7" t="s">
        <v>30</v>
      </c>
      <c r="K117" s="794"/>
    </row>
    <row r="118" spans="1:11" ht="13.5" customHeight="1">
      <c r="A118" s="785"/>
      <c r="B118" s="785"/>
      <c r="C118" s="785"/>
      <c r="D118" s="785"/>
      <c r="E118" s="781"/>
      <c r="F118" s="794"/>
      <c r="G118" s="8" t="s">
        <v>129</v>
      </c>
      <c r="H118" s="8"/>
      <c r="I118" s="785" t="s">
        <v>119</v>
      </c>
      <c r="J118" s="785"/>
      <c r="K118" s="794"/>
    </row>
    <row r="119" spans="1:11" ht="13.5" customHeight="1">
      <c r="A119" s="785"/>
      <c r="B119" s="785"/>
      <c r="C119" s="785"/>
      <c r="D119" s="785"/>
      <c r="E119" s="782"/>
      <c r="F119" s="794"/>
      <c r="G119" s="8" t="s">
        <v>52</v>
      </c>
      <c r="H119" s="8" t="s">
        <v>89</v>
      </c>
      <c r="I119" s="7">
        <f>+E116*8</f>
        <v>8</v>
      </c>
      <c r="J119" s="7" t="s">
        <v>88</v>
      </c>
      <c r="K119" s="794"/>
    </row>
    <row r="120" spans="1:11" ht="13.5" customHeight="1">
      <c r="A120" s="785" t="s">
        <v>143</v>
      </c>
      <c r="B120" s="785" t="s">
        <v>142</v>
      </c>
      <c r="C120" s="785" t="s">
        <v>141</v>
      </c>
      <c r="D120" s="785" t="s">
        <v>131</v>
      </c>
      <c r="E120" s="780">
        <v>1</v>
      </c>
      <c r="F120" s="794"/>
      <c r="G120" s="8" t="s">
        <v>140</v>
      </c>
      <c r="H120" s="8" t="s">
        <v>139</v>
      </c>
      <c r="I120" s="7">
        <f>+E120*1</f>
        <v>1</v>
      </c>
      <c r="J120" s="7" t="s">
        <v>88</v>
      </c>
      <c r="K120" s="794"/>
    </row>
    <row r="121" spans="1:11" ht="13.5" customHeight="1">
      <c r="A121" s="785"/>
      <c r="B121" s="785"/>
      <c r="C121" s="785"/>
      <c r="D121" s="785"/>
      <c r="E121" s="781"/>
      <c r="F121" s="794"/>
      <c r="G121" s="211" t="s">
        <v>680</v>
      </c>
      <c r="H121" s="8" t="s">
        <v>39</v>
      </c>
      <c r="I121" s="7">
        <f>+E120*3.4</f>
        <v>3.4</v>
      </c>
      <c r="J121" s="7" t="s">
        <v>30</v>
      </c>
      <c r="K121" s="794"/>
    </row>
    <row r="122" spans="1:11" ht="13.5" customHeight="1">
      <c r="A122" s="785"/>
      <c r="B122" s="785"/>
      <c r="C122" s="785"/>
      <c r="D122" s="785"/>
      <c r="E122" s="781"/>
      <c r="F122" s="794"/>
      <c r="G122" s="8" t="s">
        <v>129</v>
      </c>
      <c r="H122" s="8"/>
      <c r="I122" s="785" t="s">
        <v>119</v>
      </c>
      <c r="J122" s="785"/>
      <c r="K122" s="794"/>
    </row>
    <row r="123" spans="1:11" ht="13.5" customHeight="1">
      <c r="A123" s="785"/>
      <c r="B123" s="785"/>
      <c r="C123" s="785"/>
      <c r="D123" s="785"/>
      <c r="E123" s="782"/>
      <c r="F123" s="794"/>
      <c r="G123" s="8" t="s">
        <v>52</v>
      </c>
      <c r="H123" s="8" t="s">
        <v>89</v>
      </c>
      <c r="I123" s="7">
        <f>+E120*8</f>
        <v>8</v>
      </c>
      <c r="J123" s="7" t="s">
        <v>88</v>
      </c>
      <c r="K123" s="794"/>
    </row>
    <row r="124" spans="1:11" ht="13.5" customHeight="1">
      <c r="A124" s="789" t="s">
        <v>138</v>
      </c>
      <c r="B124" s="789"/>
      <c r="C124" s="789"/>
      <c r="D124" s="789"/>
      <c r="E124" s="789"/>
      <c r="F124" s="789"/>
      <c r="G124" s="789"/>
      <c r="H124" s="789"/>
      <c r="I124" s="789"/>
      <c r="J124" s="789"/>
      <c r="K124" s="789"/>
    </row>
    <row r="125" spans="1:11" ht="13.5" customHeight="1">
      <c r="A125" s="7" t="s">
        <v>117</v>
      </c>
      <c r="B125" s="7" t="s">
        <v>108</v>
      </c>
      <c r="C125" s="7" t="s">
        <v>107</v>
      </c>
      <c r="D125" s="7" t="s">
        <v>137</v>
      </c>
      <c r="E125" s="15"/>
      <c r="F125" s="7" t="s">
        <v>136</v>
      </c>
      <c r="G125" s="7" t="s">
        <v>104</v>
      </c>
      <c r="H125" s="7" t="s">
        <v>103</v>
      </c>
      <c r="I125" s="7" t="s">
        <v>102</v>
      </c>
      <c r="J125" s="7" t="s">
        <v>101</v>
      </c>
      <c r="K125" s="7" t="s">
        <v>115</v>
      </c>
    </row>
    <row r="126" spans="1:11" ht="13.5" customHeight="1">
      <c r="A126" s="785">
        <v>1</v>
      </c>
      <c r="B126" s="785" t="s">
        <v>133</v>
      </c>
      <c r="C126" s="785" t="s">
        <v>135</v>
      </c>
      <c r="D126" s="785" t="s">
        <v>131</v>
      </c>
      <c r="E126" s="780">
        <v>1</v>
      </c>
      <c r="F126" s="794" t="s">
        <v>134</v>
      </c>
      <c r="G126" s="8" t="s">
        <v>90</v>
      </c>
      <c r="H126" s="8" t="s">
        <v>130</v>
      </c>
      <c r="I126" s="7">
        <f>+E126*0.4</f>
        <v>0.4</v>
      </c>
      <c r="J126" s="7" t="s">
        <v>111</v>
      </c>
      <c r="K126" s="794"/>
    </row>
    <row r="127" spans="1:11" ht="13.5" customHeight="1">
      <c r="A127" s="785"/>
      <c r="B127" s="785"/>
      <c r="C127" s="785"/>
      <c r="D127" s="785"/>
      <c r="E127" s="781"/>
      <c r="F127" s="794"/>
      <c r="G127" s="211" t="s">
        <v>680</v>
      </c>
      <c r="H127" s="8" t="s">
        <v>39</v>
      </c>
      <c r="I127" s="7">
        <f>+E126*3.5</f>
        <v>3.5</v>
      </c>
      <c r="J127" s="7" t="s">
        <v>30</v>
      </c>
      <c r="K127" s="794"/>
    </row>
    <row r="128" spans="1:11" ht="13.5" customHeight="1">
      <c r="A128" s="785"/>
      <c r="B128" s="785"/>
      <c r="C128" s="785"/>
      <c r="D128" s="785"/>
      <c r="E128" s="781"/>
      <c r="F128" s="794"/>
      <c r="G128" s="8" t="s">
        <v>129</v>
      </c>
      <c r="H128" s="8"/>
      <c r="I128" s="785" t="s">
        <v>119</v>
      </c>
      <c r="J128" s="785"/>
      <c r="K128" s="794"/>
    </row>
    <row r="129" spans="1:11" ht="13.5" customHeight="1">
      <c r="A129" s="785"/>
      <c r="B129" s="785"/>
      <c r="C129" s="785"/>
      <c r="D129" s="785"/>
      <c r="E129" s="782"/>
      <c r="F129" s="794"/>
      <c r="G129" s="8" t="s">
        <v>52</v>
      </c>
      <c r="H129" s="8" t="s">
        <v>89</v>
      </c>
      <c r="I129" s="7">
        <f>+E126*8</f>
        <v>8</v>
      </c>
      <c r="J129" s="7" t="s">
        <v>88</v>
      </c>
      <c r="K129" s="794"/>
    </row>
    <row r="130" spans="1:11" ht="13.5" customHeight="1">
      <c r="A130" s="785">
        <v>2</v>
      </c>
      <c r="B130" s="785" t="s">
        <v>133</v>
      </c>
      <c r="C130" s="785" t="s">
        <v>132</v>
      </c>
      <c r="D130" s="785" t="s">
        <v>131</v>
      </c>
      <c r="E130" s="780">
        <v>1</v>
      </c>
      <c r="F130" s="794"/>
      <c r="G130" s="8" t="s">
        <v>90</v>
      </c>
      <c r="H130" s="8" t="s">
        <v>130</v>
      </c>
      <c r="I130" s="7">
        <f>+E130*0.7</f>
        <v>0.7</v>
      </c>
      <c r="J130" s="7" t="s">
        <v>111</v>
      </c>
      <c r="K130" s="794"/>
    </row>
    <row r="131" spans="1:11" ht="13.5" customHeight="1">
      <c r="A131" s="785"/>
      <c r="B131" s="785"/>
      <c r="C131" s="785"/>
      <c r="D131" s="785"/>
      <c r="E131" s="781"/>
      <c r="F131" s="794"/>
      <c r="G131" s="8" t="s">
        <v>129</v>
      </c>
      <c r="H131" s="8"/>
      <c r="I131" s="785" t="s">
        <v>119</v>
      </c>
      <c r="J131" s="785"/>
      <c r="K131" s="794"/>
    </row>
    <row r="132" spans="1:11" ht="13.5" customHeight="1">
      <c r="A132" s="785"/>
      <c r="B132" s="785"/>
      <c r="C132" s="785"/>
      <c r="D132" s="785"/>
      <c r="E132" s="781"/>
      <c r="F132" s="794"/>
      <c r="G132" s="211" t="s">
        <v>680</v>
      </c>
      <c r="H132" s="8" t="s">
        <v>39</v>
      </c>
      <c r="I132" s="7">
        <f>+E130*5</f>
        <v>5</v>
      </c>
      <c r="J132" s="7" t="s">
        <v>30</v>
      </c>
      <c r="K132" s="794"/>
    </row>
    <row r="133" spans="1:11" ht="13.5" customHeight="1">
      <c r="A133" s="785"/>
      <c r="B133" s="785"/>
      <c r="C133" s="785"/>
      <c r="D133" s="785"/>
      <c r="E133" s="782"/>
      <c r="F133" s="794"/>
      <c r="G133" s="8" t="s">
        <v>52</v>
      </c>
      <c r="H133" s="8" t="s">
        <v>89</v>
      </c>
      <c r="I133" s="7">
        <f>+E130*8</f>
        <v>8</v>
      </c>
      <c r="J133" s="7" t="s">
        <v>88</v>
      </c>
      <c r="K133" s="794"/>
    </row>
    <row r="134" spans="1:11" ht="13.5" customHeight="1">
      <c r="A134" s="795" t="s">
        <v>110</v>
      </c>
      <c r="B134" s="795"/>
      <c r="C134" s="795"/>
      <c r="D134" s="795"/>
      <c r="E134" s="795"/>
      <c r="F134" s="795"/>
      <c r="G134" s="795"/>
      <c r="H134" s="795"/>
      <c r="I134" s="795"/>
      <c r="J134" s="795"/>
      <c r="K134" s="795"/>
    </row>
    <row r="135" spans="1:11" ht="13.5" customHeight="1">
      <c r="A135" s="7" t="s">
        <v>109</v>
      </c>
      <c r="B135" s="7" t="s">
        <v>108</v>
      </c>
      <c r="C135" s="7" t="s">
        <v>107</v>
      </c>
      <c r="D135" s="7" t="s">
        <v>106</v>
      </c>
      <c r="E135" s="15"/>
      <c r="F135" s="7" t="s">
        <v>105</v>
      </c>
      <c r="G135" s="7" t="s">
        <v>104</v>
      </c>
      <c r="H135" s="7" t="s">
        <v>103</v>
      </c>
      <c r="I135" s="7" t="s">
        <v>102</v>
      </c>
      <c r="J135" s="7" t="s">
        <v>101</v>
      </c>
      <c r="K135" s="7" t="s">
        <v>100</v>
      </c>
    </row>
    <row r="136" spans="1:11" s="14" customFormat="1" ht="13.5" customHeight="1">
      <c r="A136" s="793" t="s">
        <v>86</v>
      </c>
      <c r="B136" s="793">
        <v>50</v>
      </c>
      <c r="C136" s="793" t="s">
        <v>85</v>
      </c>
      <c r="D136" s="793" t="s">
        <v>99</v>
      </c>
      <c r="E136" s="786">
        <v>1</v>
      </c>
      <c r="F136" s="793" t="s">
        <v>91</v>
      </c>
      <c r="G136" s="13" t="s">
        <v>98</v>
      </c>
      <c r="H136" s="9" t="s">
        <v>43</v>
      </c>
      <c r="I136" s="12">
        <f>+E136*0.7</f>
        <v>0.7</v>
      </c>
      <c r="J136" s="12" t="s">
        <v>32</v>
      </c>
      <c r="K136" s="793"/>
    </row>
    <row r="137" spans="1:11" s="14" customFormat="1" ht="13.5" customHeight="1">
      <c r="A137" s="793"/>
      <c r="B137" s="793"/>
      <c r="C137" s="793"/>
      <c r="D137" s="793"/>
      <c r="E137" s="787"/>
      <c r="F137" s="793"/>
      <c r="G137" s="8" t="s">
        <v>96</v>
      </c>
      <c r="H137" s="8" t="s">
        <v>89</v>
      </c>
      <c r="I137" s="7">
        <f>+E136*4</f>
        <v>4</v>
      </c>
      <c r="J137" s="7" t="s">
        <v>88</v>
      </c>
      <c r="K137" s="793"/>
    </row>
    <row r="138" spans="1:11" s="14" customFormat="1" ht="13.5" customHeight="1">
      <c r="A138" s="793"/>
      <c r="B138" s="793"/>
      <c r="C138" s="793"/>
      <c r="D138" s="793"/>
      <c r="E138" s="788"/>
      <c r="F138" s="793"/>
      <c r="G138" s="13" t="s">
        <v>680</v>
      </c>
      <c r="H138" s="13" t="s">
        <v>39</v>
      </c>
      <c r="I138" s="12">
        <f>+E136*1</f>
        <v>1</v>
      </c>
      <c r="J138" s="12" t="s">
        <v>87</v>
      </c>
      <c r="K138" s="793"/>
    </row>
    <row r="139" spans="1:11" s="14" customFormat="1" ht="13.5" customHeight="1">
      <c r="A139" s="793" t="s">
        <v>86</v>
      </c>
      <c r="B139" s="793">
        <v>50</v>
      </c>
      <c r="C139" s="793" t="s">
        <v>85</v>
      </c>
      <c r="D139" s="793" t="s">
        <v>95</v>
      </c>
      <c r="E139" s="786">
        <v>1</v>
      </c>
      <c r="F139" s="793" t="s">
        <v>91</v>
      </c>
      <c r="G139" s="13" t="s">
        <v>97</v>
      </c>
      <c r="H139" s="9" t="s">
        <v>43</v>
      </c>
      <c r="I139" s="12">
        <f>+E139*0.7</f>
        <v>0.7</v>
      </c>
      <c r="J139" s="12" t="s">
        <v>32</v>
      </c>
      <c r="K139" s="793"/>
    </row>
    <row r="140" spans="1:11" s="14" customFormat="1" ht="13.5" customHeight="1">
      <c r="A140" s="793"/>
      <c r="B140" s="793"/>
      <c r="C140" s="793"/>
      <c r="D140" s="793"/>
      <c r="E140" s="787"/>
      <c r="F140" s="793"/>
      <c r="G140" s="8" t="s">
        <v>96</v>
      </c>
      <c r="H140" s="8" t="s">
        <v>89</v>
      </c>
      <c r="I140" s="7">
        <f>+E139*4</f>
        <v>4</v>
      </c>
      <c r="J140" s="7" t="s">
        <v>88</v>
      </c>
      <c r="K140" s="793"/>
    </row>
    <row r="141" spans="1:11" s="14" customFormat="1" ht="13.5" customHeight="1">
      <c r="A141" s="793"/>
      <c r="B141" s="793"/>
      <c r="C141" s="793"/>
      <c r="D141" s="793"/>
      <c r="E141" s="788"/>
      <c r="F141" s="793"/>
      <c r="G141" s="13" t="s">
        <v>680</v>
      </c>
      <c r="H141" s="13" t="s">
        <v>39</v>
      </c>
      <c r="I141" s="12">
        <f>+E139*2</f>
        <v>2</v>
      </c>
      <c r="J141" s="12" t="s">
        <v>87</v>
      </c>
      <c r="K141" s="793"/>
    </row>
    <row r="142" spans="1:11" s="14" customFormat="1" ht="13.5" customHeight="1">
      <c r="A142" s="793" t="s">
        <v>86</v>
      </c>
      <c r="B142" s="793">
        <v>50</v>
      </c>
      <c r="C142" s="793" t="s">
        <v>93</v>
      </c>
      <c r="D142" s="793" t="s">
        <v>92</v>
      </c>
      <c r="E142" s="786">
        <v>1</v>
      </c>
      <c r="F142" s="793" t="s">
        <v>91</v>
      </c>
      <c r="G142" s="13" t="s">
        <v>97</v>
      </c>
      <c r="H142" s="9" t="s">
        <v>43</v>
      </c>
      <c r="I142" s="12">
        <f>+E142*2</f>
        <v>2</v>
      </c>
      <c r="J142" s="12" t="s">
        <v>32</v>
      </c>
      <c r="K142" s="793"/>
    </row>
    <row r="143" spans="1:11" s="14" customFormat="1" ht="13.5" customHeight="1">
      <c r="A143" s="793"/>
      <c r="B143" s="793"/>
      <c r="C143" s="793"/>
      <c r="D143" s="793"/>
      <c r="E143" s="787"/>
      <c r="F143" s="793"/>
      <c r="G143" s="8" t="s">
        <v>96</v>
      </c>
      <c r="H143" s="8" t="s">
        <v>89</v>
      </c>
      <c r="I143" s="7">
        <f>+E142*4</f>
        <v>4</v>
      </c>
      <c r="J143" s="7" t="s">
        <v>88</v>
      </c>
      <c r="K143" s="793"/>
    </row>
    <row r="144" spans="1:11" s="14" customFormat="1" ht="13.5" customHeight="1">
      <c r="A144" s="793"/>
      <c r="B144" s="793"/>
      <c r="C144" s="793"/>
      <c r="D144" s="793"/>
      <c r="E144" s="788"/>
      <c r="F144" s="793"/>
      <c r="G144" s="13" t="s">
        <v>680</v>
      </c>
      <c r="H144" s="13" t="s">
        <v>39</v>
      </c>
      <c r="I144" s="12">
        <f>+E142*2.5</f>
        <v>2.5</v>
      </c>
      <c r="J144" s="12" t="s">
        <v>87</v>
      </c>
      <c r="K144" s="793"/>
    </row>
    <row r="145" spans="1:11" s="14" customFormat="1" ht="13.5" customHeight="1">
      <c r="A145" s="793" t="s">
        <v>86</v>
      </c>
      <c r="B145" s="793">
        <v>75</v>
      </c>
      <c r="C145" s="793" t="s">
        <v>85</v>
      </c>
      <c r="D145" s="793" t="s">
        <v>84</v>
      </c>
      <c r="E145" s="786">
        <v>1</v>
      </c>
      <c r="F145" s="793" t="s">
        <v>94</v>
      </c>
      <c r="G145" s="13" t="s">
        <v>90</v>
      </c>
      <c r="H145" s="9" t="s">
        <v>43</v>
      </c>
      <c r="I145" s="12">
        <f>+E145*0.5</f>
        <v>0.5</v>
      </c>
      <c r="J145" s="12" t="s">
        <v>32</v>
      </c>
      <c r="K145" s="793"/>
    </row>
    <row r="146" spans="1:11" s="14" customFormat="1" ht="13.5" customHeight="1">
      <c r="A146" s="793"/>
      <c r="B146" s="793"/>
      <c r="C146" s="793"/>
      <c r="D146" s="793"/>
      <c r="E146" s="787"/>
      <c r="F146" s="793"/>
      <c r="G146" s="8" t="s">
        <v>52</v>
      </c>
      <c r="H146" s="8" t="s">
        <v>89</v>
      </c>
      <c r="I146" s="7">
        <f>+E145*8</f>
        <v>8</v>
      </c>
      <c r="J146" s="7" t="s">
        <v>88</v>
      </c>
      <c r="K146" s="793"/>
    </row>
    <row r="147" spans="1:11" s="14" customFormat="1" ht="13.5" customHeight="1">
      <c r="A147" s="793"/>
      <c r="B147" s="793"/>
      <c r="C147" s="793"/>
      <c r="D147" s="793"/>
      <c r="E147" s="788"/>
      <c r="F147" s="793"/>
      <c r="G147" s="13" t="s">
        <v>680</v>
      </c>
      <c r="H147" s="13" t="s">
        <v>39</v>
      </c>
      <c r="I147" s="12">
        <f>+E145*1.5</f>
        <v>1.5</v>
      </c>
      <c r="J147" s="12" t="s">
        <v>87</v>
      </c>
      <c r="K147" s="793"/>
    </row>
    <row r="148" spans="1:11" s="14" customFormat="1" ht="13.5" customHeight="1">
      <c r="A148" s="793" t="s">
        <v>86</v>
      </c>
      <c r="B148" s="793">
        <v>75</v>
      </c>
      <c r="C148" s="793" t="s">
        <v>85</v>
      </c>
      <c r="D148" s="793" t="s">
        <v>95</v>
      </c>
      <c r="E148" s="786">
        <v>1</v>
      </c>
      <c r="F148" s="793" t="s">
        <v>94</v>
      </c>
      <c r="G148" s="13" t="s">
        <v>90</v>
      </c>
      <c r="H148" s="9" t="s">
        <v>43</v>
      </c>
      <c r="I148" s="12">
        <f>+E148*0.5</f>
        <v>0.5</v>
      </c>
      <c r="J148" s="12" t="s">
        <v>32</v>
      </c>
      <c r="K148" s="793"/>
    </row>
    <row r="149" spans="1:11" s="14" customFormat="1" ht="13.5" customHeight="1">
      <c r="A149" s="793"/>
      <c r="B149" s="793"/>
      <c r="C149" s="793"/>
      <c r="D149" s="793"/>
      <c r="E149" s="787"/>
      <c r="F149" s="793"/>
      <c r="G149" s="8" t="s">
        <v>52</v>
      </c>
      <c r="H149" s="8" t="s">
        <v>89</v>
      </c>
      <c r="I149" s="7">
        <f>+E148*8</f>
        <v>8</v>
      </c>
      <c r="J149" s="7" t="s">
        <v>88</v>
      </c>
      <c r="K149" s="793"/>
    </row>
    <row r="150" spans="1:11" s="14" customFormat="1" ht="13.5" customHeight="1">
      <c r="A150" s="793"/>
      <c r="B150" s="793"/>
      <c r="C150" s="793"/>
      <c r="D150" s="793"/>
      <c r="E150" s="788"/>
      <c r="F150" s="793"/>
      <c r="G150" s="13" t="s">
        <v>680</v>
      </c>
      <c r="H150" s="13" t="s">
        <v>39</v>
      </c>
      <c r="I150" s="12">
        <f>+E148*2</f>
        <v>2</v>
      </c>
      <c r="J150" s="12" t="s">
        <v>87</v>
      </c>
      <c r="K150" s="793"/>
    </row>
    <row r="151" spans="1:11" s="14" customFormat="1" ht="13.5" customHeight="1">
      <c r="A151" s="793" t="s">
        <v>86</v>
      </c>
      <c r="B151" s="793">
        <v>75</v>
      </c>
      <c r="C151" s="793" t="s">
        <v>93</v>
      </c>
      <c r="D151" s="793" t="s">
        <v>92</v>
      </c>
      <c r="E151" s="786">
        <v>1</v>
      </c>
      <c r="F151" s="793" t="s">
        <v>91</v>
      </c>
      <c r="G151" s="13" t="s">
        <v>90</v>
      </c>
      <c r="H151" s="9" t="s">
        <v>43</v>
      </c>
      <c r="I151" s="12">
        <f>+E151*2</f>
        <v>2</v>
      </c>
      <c r="J151" s="12" t="s">
        <v>32</v>
      </c>
      <c r="K151" s="793"/>
    </row>
    <row r="152" spans="1:11" s="14" customFormat="1" ht="13.5" customHeight="1">
      <c r="A152" s="793"/>
      <c r="B152" s="793"/>
      <c r="C152" s="793"/>
      <c r="D152" s="793"/>
      <c r="E152" s="787"/>
      <c r="F152" s="793"/>
      <c r="G152" s="8" t="s">
        <v>52</v>
      </c>
      <c r="H152" s="8" t="s">
        <v>89</v>
      </c>
      <c r="I152" s="7">
        <f>+E151*8</f>
        <v>8</v>
      </c>
      <c r="J152" s="7" t="s">
        <v>88</v>
      </c>
      <c r="K152" s="793"/>
    </row>
    <row r="153" spans="1:11" s="14" customFormat="1" ht="13.5" customHeight="1">
      <c r="A153" s="793"/>
      <c r="B153" s="793"/>
      <c r="C153" s="793"/>
      <c r="D153" s="793"/>
      <c r="E153" s="788"/>
      <c r="F153" s="793"/>
      <c r="G153" s="13" t="s">
        <v>680</v>
      </c>
      <c r="H153" s="13" t="s">
        <v>39</v>
      </c>
      <c r="I153" s="12">
        <f>+E151*2.5</f>
        <v>2.5</v>
      </c>
      <c r="J153" s="12" t="s">
        <v>87</v>
      </c>
      <c r="K153" s="793"/>
    </row>
    <row r="154" spans="1:11" s="14" customFormat="1" ht="13.5" customHeight="1">
      <c r="A154" s="793" t="s">
        <v>86</v>
      </c>
      <c r="B154" s="793">
        <v>150</v>
      </c>
      <c r="C154" s="793" t="s">
        <v>85</v>
      </c>
      <c r="D154" s="793" t="s">
        <v>84</v>
      </c>
      <c r="E154" s="786">
        <v>1</v>
      </c>
      <c r="F154" s="793" t="s">
        <v>58</v>
      </c>
      <c r="G154" s="13" t="s">
        <v>44</v>
      </c>
      <c r="H154" s="9" t="s">
        <v>43</v>
      </c>
      <c r="I154" s="12">
        <f>+E154*0.5</f>
        <v>0.5</v>
      </c>
      <c r="J154" s="12" t="s">
        <v>32</v>
      </c>
      <c r="K154" s="793"/>
    </row>
    <row r="155" spans="1:11" s="14" customFormat="1" ht="13.5" customHeight="1">
      <c r="A155" s="793"/>
      <c r="B155" s="793"/>
      <c r="C155" s="793"/>
      <c r="D155" s="793"/>
      <c r="E155" s="787"/>
      <c r="F155" s="793"/>
      <c r="G155" s="8" t="s">
        <v>52</v>
      </c>
      <c r="H155" s="8" t="s">
        <v>40</v>
      </c>
      <c r="I155" s="7">
        <f>+E154*8</f>
        <v>8</v>
      </c>
      <c r="J155" s="7" t="s">
        <v>34</v>
      </c>
      <c r="K155" s="793"/>
    </row>
    <row r="156" spans="1:11" s="14" customFormat="1" ht="13.5" customHeight="1">
      <c r="A156" s="793"/>
      <c r="B156" s="793"/>
      <c r="C156" s="793"/>
      <c r="D156" s="793"/>
      <c r="E156" s="788"/>
      <c r="F156" s="793"/>
      <c r="G156" s="13" t="s">
        <v>680</v>
      </c>
      <c r="H156" s="13" t="s">
        <v>39</v>
      </c>
      <c r="I156" s="12">
        <f>+E154*1</f>
        <v>1</v>
      </c>
      <c r="J156" s="12" t="s">
        <v>33</v>
      </c>
      <c r="K156" s="793"/>
    </row>
    <row r="157" spans="1:11" s="14" customFormat="1" ht="13.5" customHeight="1">
      <c r="A157" s="793" t="s">
        <v>81</v>
      </c>
      <c r="B157" s="793">
        <v>150</v>
      </c>
      <c r="C157" s="793" t="s">
        <v>79</v>
      </c>
      <c r="D157" s="793" t="s">
        <v>83</v>
      </c>
      <c r="E157" s="786">
        <v>1</v>
      </c>
      <c r="F157" s="793" t="s">
        <v>58</v>
      </c>
      <c r="G157" s="13" t="s">
        <v>44</v>
      </c>
      <c r="H157" s="9" t="s">
        <v>43</v>
      </c>
      <c r="I157" s="12">
        <f>+E157*0.5</f>
        <v>0.5</v>
      </c>
      <c r="J157" s="12" t="s">
        <v>32</v>
      </c>
      <c r="K157" s="793"/>
    </row>
    <row r="158" spans="1:11" s="14" customFormat="1" ht="13.5" customHeight="1">
      <c r="A158" s="793"/>
      <c r="B158" s="793"/>
      <c r="C158" s="793"/>
      <c r="D158" s="793"/>
      <c r="E158" s="787"/>
      <c r="F158" s="793"/>
      <c r="G158" s="8" t="s">
        <v>52</v>
      </c>
      <c r="H158" s="8" t="s">
        <v>40</v>
      </c>
      <c r="I158" s="7">
        <f>+E157*8</f>
        <v>8</v>
      </c>
      <c r="J158" s="7" t="s">
        <v>34</v>
      </c>
      <c r="K158" s="793"/>
    </row>
    <row r="159" spans="1:11" s="14" customFormat="1" ht="13.5" customHeight="1">
      <c r="A159" s="793"/>
      <c r="B159" s="793"/>
      <c r="C159" s="793"/>
      <c r="D159" s="793"/>
      <c r="E159" s="788"/>
      <c r="F159" s="793"/>
      <c r="G159" s="13" t="s">
        <v>680</v>
      </c>
      <c r="H159" s="13" t="s">
        <v>39</v>
      </c>
      <c r="I159" s="12">
        <f>+E157*1.5</f>
        <v>1.5</v>
      </c>
      <c r="J159" s="12" t="s">
        <v>33</v>
      </c>
      <c r="K159" s="793"/>
    </row>
    <row r="160" spans="1:11" s="14" customFormat="1" ht="13.5" customHeight="1">
      <c r="A160" s="793" t="s">
        <v>81</v>
      </c>
      <c r="B160" s="793">
        <v>150</v>
      </c>
      <c r="C160" s="793" t="s">
        <v>82</v>
      </c>
      <c r="D160" s="793" t="s">
        <v>51</v>
      </c>
      <c r="E160" s="786">
        <v>1</v>
      </c>
      <c r="F160" s="793" t="s">
        <v>58</v>
      </c>
      <c r="G160" s="13" t="s">
        <v>44</v>
      </c>
      <c r="H160" s="9" t="s">
        <v>43</v>
      </c>
      <c r="I160" s="12">
        <f>+E160*2</f>
        <v>2</v>
      </c>
      <c r="J160" s="12" t="s">
        <v>32</v>
      </c>
      <c r="K160" s="793"/>
    </row>
    <row r="161" spans="1:15" s="14" customFormat="1" ht="13.5" customHeight="1">
      <c r="A161" s="793"/>
      <c r="B161" s="793"/>
      <c r="C161" s="793"/>
      <c r="D161" s="793"/>
      <c r="E161" s="787"/>
      <c r="F161" s="793"/>
      <c r="G161" s="8" t="s">
        <v>52</v>
      </c>
      <c r="H161" s="8" t="s">
        <v>40</v>
      </c>
      <c r="I161" s="7">
        <f>+E160*8</f>
        <v>8</v>
      </c>
      <c r="J161" s="7" t="s">
        <v>34</v>
      </c>
      <c r="K161" s="793"/>
    </row>
    <row r="162" spans="1:15" s="14" customFormat="1" ht="13.5" customHeight="1">
      <c r="A162" s="793"/>
      <c r="B162" s="793"/>
      <c r="C162" s="793"/>
      <c r="D162" s="793"/>
      <c r="E162" s="788"/>
      <c r="F162" s="793"/>
      <c r="G162" s="13" t="s">
        <v>680</v>
      </c>
      <c r="H162" s="13" t="s">
        <v>39</v>
      </c>
      <c r="I162" s="12">
        <f>+E160*2.5</f>
        <v>2.5</v>
      </c>
      <c r="J162" s="12" t="s">
        <v>33</v>
      </c>
      <c r="K162" s="793"/>
    </row>
    <row r="163" spans="1:15" ht="13.5" customHeight="1">
      <c r="A163" s="785" t="s">
        <v>81</v>
      </c>
      <c r="B163" s="785" t="s">
        <v>80</v>
      </c>
      <c r="C163" s="785" t="s">
        <v>79</v>
      </c>
      <c r="D163" s="785" t="s">
        <v>78</v>
      </c>
      <c r="E163" s="780">
        <v>1</v>
      </c>
      <c r="F163" s="785" t="s">
        <v>58</v>
      </c>
      <c r="G163" s="13" t="s">
        <v>44</v>
      </c>
      <c r="H163" s="9" t="s">
        <v>43</v>
      </c>
      <c r="I163" s="12">
        <f>+E163*1</f>
        <v>1</v>
      </c>
      <c r="J163" s="12" t="s">
        <v>32</v>
      </c>
      <c r="K163" s="801"/>
    </row>
    <row r="164" spans="1:15" ht="13.5" customHeight="1">
      <c r="A164" s="785"/>
      <c r="B164" s="785"/>
      <c r="C164" s="785"/>
      <c r="D164" s="785"/>
      <c r="E164" s="781"/>
      <c r="F164" s="785"/>
      <c r="G164" s="8" t="s">
        <v>52</v>
      </c>
      <c r="H164" s="8" t="s">
        <v>40</v>
      </c>
      <c r="I164" s="7">
        <f>+E163*8</f>
        <v>8</v>
      </c>
      <c r="J164" s="7" t="s">
        <v>34</v>
      </c>
      <c r="K164" s="801"/>
    </row>
    <row r="165" spans="1:15" ht="13.5" customHeight="1">
      <c r="A165" s="785"/>
      <c r="B165" s="785"/>
      <c r="C165" s="785"/>
      <c r="D165" s="785"/>
      <c r="E165" s="782"/>
      <c r="F165" s="785"/>
      <c r="G165" s="13" t="s">
        <v>680</v>
      </c>
      <c r="H165" s="13" t="s">
        <v>39</v>
      </c>
      <c r="I165" s="12">
        <f>+E163*2.5</f>
        <v>2.5</v>
      </c>
      <c r="J165" s="12" t="s">
        <v>33</v>
      </c>
      <c r="K165" s="801"/>
    </row>
    <row r="166" spans="1:15" ht="17.25" customHeight="1">
      <c r="A166" s="785" t="s">
        <v>77</v>
      </c>
      <c r="B166" s="785" t="s">
        <v>76</v>
      </c>
      <c r="C166" s="785" t="s">
        <v>69</v>
      </c>
      <c r="D166" s="785" t="s">
        <v>69</v>
      </c>
      <c r="E166" s="780">
        <v>1</v>
      </c>
      <c r="F166" s="785" t="s">
        <v>75</v>
      </c>
      <c r="G166" s="8" t="s">
        <v>44</v>
      </c>
      <c r="H166" s="11" t="s">
        <v>43</v>
      </c>
      <c r="I166" s="7">
        <f>+E166*0.5</f>
        <v>0.5</v>
      </c>
      <c r="J166" s="7" t="s">
        <v>31</v>
      </c>
      <c r="K166" s="785"/>
    </row>
    <row r="167" spans="1:15" ht="17.25" customHeight="1">
      <c r="A167" s="785"/>
      <c r="B167" s="785"/>
      <c r="C167" s="785"/>
      <c r="D167" s="785"/>
      <c r="E167" s="781"/>
      <c r="F167" s="785"/>
      <c r="G167" s="8" t="s">
        <v>74</v>
      </c>
      <c r="H167" s="11"/>
      <c r="I167" s="7">
        <f>+E166*5</f>
        <v>5</v>
      </c>
      <c r="J167" s="7" t="s">
        <v>35</v>
      </c>
      <c r="K167" s="785"/>
    </row>
    <row r="168" spans="1:15" ht="17.25" customHeight="1">
      <c r="A168" s="785"/>
      <c r="B168" s="785"/>
      <c r="C168" s="785"/>
      <c r="D168" s="785"/>
      <c r="E168" s="782"/>
      <c r="F168" s="785"/>
      <c r="G168" s="211" t="s">
        <v>680</v>
      </c>
      <c r="H168" s="8" t="s">
        <v>39</v>
      </c>
      <c r="I168" s="7">
        <f>+E166*2.5</f>
        <v>2.5</v>
      </c>
      <c r="J168" s="7" t="s">
        <v>33</v>
      </c>
      <c r="K168" s="785"/>
    </row>
    <row r="169" spans="1:15" ht="13.5" customHeight="1">
      <c r="A169" s="785" t="s">
        <v>72</v>
      </c>
      <c r="B169" s="785" t="s">
        <v>73</v>
      </c>
      <c r="C169" s="785" t="s">
        <v>70</v>
      </c>
      <c r="D169" s="785" t="s">
        <v>69</v>
      </c>
      <c r="E169" s="780">
        <v>1</v>
      </c>
      <c r="F169" s="785" t="s">
        <v>68</v>
      </c>
      <c r="G169" s="8" t="s">
        <v>44</v>
      </c>
      <c r="H169" s="9" t="s">
        <v>43</v>
      </c>
      <c r="I169" s="7">
        <f>+E169*1</f>
        <v>1</v>
      </c>
      <c r="J169" s="7" t="s">
        <v>32</v>
      </c>
      <c r="K169" s="785" t="s">
        <v>57</v>
      </c>
    </row>
    <row r="170" spans="1:15" ht="13.5" customHeight="1">
      <c r="A170" s="785"/>
      <c r="B170" s="785"/>
      <c r="C170" s="785"/>
      <c r="D170" s="785"/>
      <c r="E170" s="781"/>
      <c r="F170" s="785"/>
      <c r="G170" s="8" t="s">
        <v>52</v>
      </c>
      <c r="H170" s="8" t="s">
        <v>40</v>
      </c>
      <c r="I170" s="7">
        <f>+E169*4</f>
        <v>4</v>
      </c>
      <c r="J170" s="7" t="s">
        <v>34</v>
      </c>
      <c r="K170" s="785"/>
    </row>
    <row r="171" spans="1:15" ht="13.5" customHeight="1">
      <c r="A171" s="785"/>
      <c r="B171" s="785"/>
      <c r="C171" s="785"/>
      <c r="D171" s="785"/>
      <c r="E171" s="782"/>
      <c r="F171" s="785"/>
      <c r="G171" s="211" t="s">
        <v>680</v>
      </c>
      <c r="H171" s="8" t="s">
        <v>39</v>
      </c>
      <c r="I171" s="7">
        <f>+E169*3</f>
        <v>3</v>
      </c>
      <c r="J171" s="7" t="s">
        <v>33</v>
      </c>
      <c r="K171" s="785"/>
    </row>
    <row r="172" spans="1:15" ht="13.5" customHeight="1">
      <c r="A172" s="785" t="s">
        <v>72</v>
      </c>
      <c r="B172" s="785" t="s">
        <v>71</v>
      </c>
      <c r="C172" s="785" t="s">
        <v>70</v>
      </c>
      <c r="D172" s="785" t="s">
        <v>69</v>
      </c>
      <c r="E172" s="780">
        <v>1</v>
      </c>
      <c r="F172" s="785" t="s">
        <v>68</v>
      </c>
      <c r="G172" s="8" t="s">
        <v>44</v>
      </c>
      <c r="H172" s="9" t="s">
        <v>43</v>
      </c>
      <c r="I172" s="7">
        <f>+E172*1.5</f>
        <v>1.5</v>
      </c>
      <c r="J172" s="7" t="s">
        <v>32</v>
      </c>
      <c r="K172" s="785" t="s">
        <v>57</v>
      </c>
    </row>
    <row r="173" spans="1:15" ht="13.5" customHeight="1">
      <c r="A173" s="785"/>
      <c r="B173" s="785"/>
      <c r="C173" s="785"/>
      <c r="D173" s="785"/>
      <c r="E173" s="781"/>
      <c r="F173" s="785"/>
      <c r="G173" s="8" t="s">
        <v>52</v>
      </c>
      <c r="H173" s="8" t="s">
        <v>40</v>
      </c>
      <c r="I173" s="7">
        <f>+E172*4</f>
        <v>4</v>
      </c>
      <c r="J173" s="7" t="s">
        <v>34</v>
      </c>
      <c r="K173" s="785"/>
    </row>
    <row r="174" spans="1:15" ht="13.5" customHeight="1">
      <c r="A174" s="785"/>
      <c r="B174" s="785"/>
      <c r="C174" s="785"/>
      <c r="D174" s="785"/>
      <c r="E174" s="782"/>
      <c r="F174" s="785"/>
      <c r="G174" s="211" t="s">
        <v>680</v>
      </c>
      <c r="H174" s="8" t="s">
        <v>39</v>
      </c>
      <c r="I174" s="7">
        <f>+E172*4</f>
        <v>4</v>
      </c>
      <c r="J174" s="7" t="s">
        <v>33</v>
      </c>
      <c r="K174" s="785"/>
    </row>
    <row r="175" spans="1:15" ht="13.5" customHeight="1">
      <c r="A175" s="785" t="s">
        <v>67</v>
      </c>
      <c r="B175" s="785" t="s">
        <v>46</v>
      </c>
      <c r="C175" s="785"/>
      <c r="D175" s="785"/>
      <c r="E175" s="780">
        <v>1</v>
      </c>
      <c r="F175" s="785" t="s">
        <v>58</v>
      </c>
      <c r="G175" s="8" t="s">
        <v>44</v>
      </c>
      <c r="H175" s="9" t="s">
        <v>43</v>
      </c>
      <c r="I175" s="7">
        <f>+E175*1.5</f>
        <v>1.5</v>
      </c>
      <c r="J175" s="7" t="s">
        <v>32</v>
      </c>
      <c r="K175" s="785" t="s">
        <v>57</v>
      </c>
      <c r="L175" s="10"/>
      <c r="M175" s="10"/>
      <c r="N175" s="10"/>
      <c r="O175" s="10"/>
    </row>
    <row r="176" spans="1:15" ht="13.5" customHeight="1">
      <c r="A176" s="785"/>
      <c r="B176" s="785"/>
      <c r="C176" s="785"/>
      <c r="D176" s="785"/>
      <c r="E176" s="782"/>
      <c r="F176" s="785"/>
      <c r="G176" s="211" t="s">
        <v>680</v>
      </c>
      <c r="H176" s="8" t="s">
        <v>39</v>
      </c>
      <c r="I176" s="7">
        <f>+E175*4</f>
        <v>4</v>
      </c>
      <c r="J176" s="7" t="s">
        <v>33</v>
      </c>
      <c r="K176" s="785"/>
      <c r="L176" s="10"/>
      <c r="M176" s="10"/>
      <c r="N176" s="10"/>
      <c r="O176" s="10"/>
    </row>
    <row r="177" spans="1:15" ht="13.5" customHeight="1">
      <c r="A177" s="785" t="s">
        <v>64</v>
      </c>
      <c r="B177" s="785" t="s">
        <v>55</v>
      </c>
      <c r="C177" s="785">
        <v>50</v>
      </c>
      <c r="D177" s="785" t="s">
        <v>66</v>
      </c>
      <c r="E177" s="780">
        <v>1</v>
      </c>
      <c r="F177" s="785" t="s">
        <v>45</v>
      </c>
      <c r="G177" s="8" t="s">
        <v>65</v>
      </c>
      <c r="H177" s="11"/>
      <c r="I177" s="7">
        <f>+E177*1</f>
        <v>1</v>
      </c>
      <c r="J177" s="7" t="s">
        <v>34</v>
      </c>
      <c r="K177" s="785"/>
      <c r="L177" s="10"/>
      <c r="M177" s="10"/>
      <c r="N177" s="10"/>
      <c r="O177" s="10"/>
    </row>
    <row r="178" spans="1:15" ht="13.5" customHeight="1">
      <c r="A178" s="785"/>
      <c r="B178" s="785"/>
      <c r="C178" s="785"/>
      <c r="D178" s="785"/>
      <c r="E178" s="781"/>
      <c r="F178" s="785"/>
      <c r="G178" s="8" t="s">
        <v>60</v>
      </c>
      <c r="H178" s="8" t="s">
        <v>40</v>
      </c>
      <c r="I178" s="7">
        <f>+E177*4</f>
        <v>4</v>
      </c>
      <c r="J178" s="7" t="s">
        <v>34</v>
      </c>
      <c r="K178" s="785"/>
      <c r="L178" s="10"/>
      <c r="M178" s="10"/>
      <c r="N178" s="10"/>
      <c r="O178" s="10"/>
    </row>
    <row r="179" spans="1:15" ht="13.5" customHeight="1">
      <c r="A179" s="785"/>
      <c r="B179" s="785"/>
      <c r="C179" s="785"/>
      <c r="D179" s="785"/>
      <c r="E179" s="782"/>
      <c r="F179" s="785"/>
      <c r="G179" s="211" t="s">
        <v>680</v>
      </c>
      <c r="H179" s="8" t="s">
        <v>39</v>
      </c>
      <c r="I179" s="7">
        <f>+E177*1.5</f>
        <v>1.5</v>
      </c>
      <c r="J179" s="7" t="s">
        <v>33</v>
      </c>
      <c r="K179" s="785"/>
      <c r="L179" s="10"/>
      <c r="M179" s="10"/>
      <c r="N179" s="10"/>
      <c r="O179" s="10"/>
    </row>
    <row r="180" spans="1:15" ht="13.5" customHeight="1">
      <c r="A180" s="785" t="s">
        <v>64</v>
      </c>
      <c r="B180" s="785" t="s">
        <v>63</v>
      </c>
      <c r="C180" s="785">
        <v>50</v>
      </c>
      <c r="D180" s="785" t="s">
        <v>66</v>
      </c>
      <c r="E180" s="780">
        <v>1</v>
      </c>
      <c r="F180" s="785" t="s">
        <v>45</v>
      </c>
      <c r="G180" s="8" t="s">
        <v>65</v>
      </c>
      <c r="H180" s="11"/>
      <c r="I180" s="7">
        <f>+E180*2</f>
        <v>2</v>
      </c>
      <c r="J180" s="7" t="s">
        <v>34</v>
      </c>
      <c r="K180" s="785"/>
      <c r="L180" s="10"/>
      <c r="M180" s="10"/>
      <c r="N180" s="10"/>
      <c r="O180" s="10"/>
    </row>
    <row r="181" spans="1:15" ht="13.5" customHeight="1">
      <c r="A181" s="785"/>
      <c r="B181" s="785"/>
      <c r="C181" s="785"/>
      <c r="D181" s="785"/>
      <c r="E181" s="781"/>
      <c r="F181" s="785"/>
      <c r="G181" s="8" t="s">
        <v>60</v>
      </c>
      <c r="H181" s="8" t="s">
        <v>40</v>
      </c>
      <c r="I181" s="7">
        <f>+E180*4</f>
        <v>4</v>
      </c>
      <c r="J181" s="7" t="s">
        <v>34</v>
      </c>
      <c r="K181" s="785"/>
      <c r="L181" s="10"/>
      <c r="M181" s="10"/>
      <c r="N181" s="10"/>
      <c r="O181" s="10"/>
    </row>
    <row r="182" spans="1:15" ht="13.5" customHeight="1">
      <c r="A182" s="785"/>
      <c r="B182" s="785"/>
      <c r="C182" s="785"/>
      <c r="D182" s="785"/>
      <c r="E182" s="782"/>
      <c r="F182" s="785"/>
      <c r="G182" s="211" t="s">
        <v>680</v>
      </c>
      <c r="H182" s="8" t="s">
        <v>39</v>
      </c>
      <c r="I182" s="7">
        <f>+E180*2.5</f>
        <v>2.5</v>
      </c>
      <c r="J182" s="7" t="s">
        <v>33</v>
      </c>
      <c r="K182" s="785"/>
      <c r="L182" s="10"/>
      <c r="M182" s="10"/>
      <c r="N182" s="10"/>
      <c r="O182" s="10"/>
    </row>
    <row r="183" spans="1:15" ht="13.5" customHeight="1">
      <c r="A183" s="785" t="s">
        <v>64</v>
      </c>
      <c r="B183" s="785" t="s">
        <v>55</v>
      </c>
      <c r="C183" s="785">
        <v>50</v>
      </c>
      <c r="D183" s="785" t="s">
        <v>62</v>
      </c>
      <c r="E183" s="780">
        <v>1</v>
      </c>
      <c r="F183" s="785" t="s">
        <v>45</v>
      </c>
      <c r="G183" s="8" t="s">
        <v>61</v>
      </c>
      <c r="H183" s="11"/>
      <c r="I183" s="7">
        <f>+E183*1</f>
        <v>1</v>
      </c>
      <c r="J183" s="7" t="s">
        <v>34</v>
      </c>
      <c r="K183" s="785"/>
      <c r="L183" s="10"/>
      <c r="M183" s="10"/>
      <c r="N183" s="10"/>
      <c r="O183" s="10"/>
    </row>
    <row r="184" spans="1:15" ht="13.5" customHeight="1">
      <c r="A184" s="785"/>
      <c r="B184" s="785"/>
      <c r="C184" s="785"/>
      <c r="D184" s="785"/>
      <c r="E184" s="781"/>
      <c r="F184" s="785"/>
      <c r="G184" s="8" t="s">
        <v>60</v>
      </c>
      <c r="H184" s="8" t="s">
        <v>40</v>
      </c>
      <c r="I184" s="7">
        <f>+E183*4</f>
        <v>4</v>
      </c>
      <c r="J184" s="7" t="s">
        <v>34</v>
      </c>
      <c r="K184" s="785"/>
      <c r="L184" s="10"/>
      <c r="M184" s="10"/>
      <c r="N184" s="10"/>
      <c r="O184" s="10"/>
    </row>
    <row r="185" spans="1:15" ht="13.5" customHeight="1">
      <c r="A185" s="785"/>
      <c r="B185" s="785"/>
      <c r="C185" s="785"/>
      <c r="D185" s="785"/>
      <c r="E185" s="782"/>
      <c r="F185" s="785"/>
      <c r="G185" s="211" t="s">
        <v>680</v>
      </c>
      <c r="H185" s="8" t="s">
        <v>39</v>
      </c>
      <c r="I185" s="7">
        <f>+E183*1.5</f>
        <v>1.5</v>
      </c>
      <c r="J185" s="7" t="s">
        <v>33</v>
      </c>
      <c r="K185" s="785"/>
      <c r="L185" s="10"/>
      <c r="M185" s="10"/>
      <c r="N185" s="10"/>
      <c r="O185" s="10"/>
    </row>
    <row r="186" spans="1:15" ht="13.5" customHeight="1">
      <c r="A186" s="785" t="s">
        <v>64</v>
      </c>
      <c r="B186" s="785" t="s">
        <v>63</v>
      </c>
      <c r="C186" s="785">
        <v>50</v>
      </c>
      <c r="D186" s="785" t="s">
        <v>62</v>
      </c>
      <c r="E186" s="780">
        <v>1</v>
      </c>
      <c r="F186" s="785" t="s">
        <v>45</v>
      </c>
      <c r="G186" s="8" t="s">
        <v>61</v>
      </c>
      <c r="H186" s="11"/>
      <c r="I186" s="7">
        <f>+E186*2</f>
        <v>2</v>
      </c>
      <c r="J186" s="7" t="s">
        <v>34</v>
      </c>
      <c r="K186" s="785"/>
      <c r="L186" s="10"/>
      <c r="M186" s="10"/>
      <c r="N186" s="10"/>
      <c r="O186" s="10"/>
    </row>
    <row r="187" spans="1:15" ht="13.5" customHeight="1">
      <c r="A187" s="785"/>
      <c r="B187" s="785"/>
      <c r="C187" s="785"/>
      <c r="D187" s="785"/>
      <c r="E187" s="781"/>
      <c r="F187" s="785"/>
      <c r="G187" s="8" t="s">
        <v>60</v>
      </c>
      <c r="H187" s="8" t="s">
        <v>40</v>
      </c>
      <c r="I187" s="7">
        <f>+E186*4</f>
        <v>4</v>
      </c>
      <c r="J187" s="7" t="s">
        <v>34</v>
      </c>
      <c r="K187" s="785"/>
      <c r="L187" s="10"/>
      <c r="M187" s="10"/>
      <c r="N187" s="10"/>
      <c r="O187" s="10"/>
    </row>
    <row r="188" spans="1:15" ht="13.5" customHeight="1">
      <c r="A188" s="785"/>
      <c r="B188" s="785"/>
      <c r="C188" s="785"/>
      <c r="D188" s="785"/>
      <c r="E188" s="782"/>
      <c r="F188" s="785"/>
      <c r="G188" s="211" t="s">
        <v>680</v>
      </c>
      <c r="H188" s="8" t="s">
        <v>39</v>
      </c>
      <c r="I188" s="7">
        <f>+E186*2.5</f>
        <v>2.5</v>
      </c>
      <c r="J188" s="7" t="s">
        <v>33</v>
      </c>
      <c r="K188" s="785"/>
      <c r="L188" s="10"/>
      <c r="M188" s="10"/>
      <c r="N188" s="10"/>
      <c r="O188" s="10"/>
    </row>
    <row r="189" spans="1:15" ht="13.5" customHeight="1">
      <c r="A189" s="785" t="s">
        <v>59</v>
      </c>
      <c r="B189" s="785" t="s">
        <v>46</v>
      </c>
      <c r="C189" s="785" t="s">
        <v>46</v>
      </c>
      <c r="D189" s="785" t="s">
        <v>46</v>
      </c>
      <c r="E189" s="780">
        <v>1</v>
      </c>
      <c r="F189" s="785" t="s">
        <v>58</v>
      </c>
      <c r="G189" s="8" t="s">
        <v>44</v>
      </c>
      <c r="H189" s="9" t="s">
        <v>43</v>
      </c>
      <c r="I189" s="7">
        <f>+E189*1</f>
        <v>1</v>
      </c>
      <c r="J189" s="7" t="s">
        <v>32</v>
      </c>
      <c r="K189" s="785" t="s">
        <v>57</v>
      </c>
      <c r="L189" s="10"/>
      <c r="M189" s="10"/>
      <c r="N189" s="10"/>
      <c r="O189" s="10"/>
    </row>
    <row r="190" spans="1:15" ht="13.5" customHeight="1">
      <c r="A190" s="785"/>
      <c r="B190" s="785"/>
      <c r="C190" s="785"/>
      <c r="D190" s="785"/>
      <c r="E190" s="782"/>
      <c r="F190" s="785"/>
      <c r="G190" s="211" t="s">
        <v>680</v>
      </c>
      <c r="H190" s="8" t="s">
        <v>39</v>
      </c>
      <c r="I190" s="7">
        <f>+E189*3</f>
        <v>3</v>
      </c>
      <c r="J190" s="7" t="s">
        <v>33</v>
      </c>
      <c r="K190" s="785"/>
      <c r="L190" s="10"/>
      <c r="M190" s="10"/>
      <c r="N190" s="10"/>
      <c r="O190" s="10"/>
    </row>
    <row r="191" spans="1:15" ht="13.5" customHeight="1">
      <c r="A191" s="785" t="s">
        <v>56</v>
      </c>
      <c r="B191" s="785" t="s">
        <v>55</v>
      </c>
      <c r="C191" s="785" t="s">
        <v>46</v>
      </c>
      <c r="D191" s="785" t="s">
        <v>54</v>
      </c>
      <c r="E191" s="780">
        <v>1</v>
      </c>
      <c r="F191" s="797" t="s">
        <v>53</v>
      </c>
      <c r="G191" s="8" t="s">
        <v>44</v>
      </c>
      <c r="H191" s="9" t="s">
        <v>43</v>
      </c>
      <c r="I191" s="7">
        <f>+E191*0.3</f>
        <v>0.3</v>
      </c>
      <c r="J191" s="7" t="s">
        <v>32</v>
      </c>
      <c r="K191" s="785"/>
      <c r="L191" s="10"/>
      <c r="M191" s="10"/>
      <c r="N191" s="10"/>
      <c r="O191" s="10"/>
    </row>
    <row r="192" spans="1:15" ht="13.5" customHeight="1">
      <c r="A192" s="785"/>
      <c r="B192" s="785"/>
      <c r="C192" s="785"/>
      <c r="D192" s="785"/>
      <c r="E192" s="781"/>
      <c r="F192" s="797"/>
      <c r="G192" s="8" t="s">
        <v>52</v>
      </c>
      <c r="H192" s="8" t="s">
        <v>40</v>
      </c>
      <c r="I192" s="7">
        <f>+E191*8</f>
        <v>8</v>
      </c>
      <c r="J192" s="7" t="s">
        <v>34</v>
      </c>
      <c r="K192" s="785"/>
      <c r="L192" s="10"/>
      <c r="M192" s="10"/>
      <c r="N192" s="10"/>
      <c r="O192" s="10"/>
    </row>
    <row r="193" spans="1:15" ht="13.5" customHeight="1">
      <c r="A193" s="785"/>
      <c r="B193" s="785"/>
      <c r="C193" s="785"/>
      <c r="D193" s="785"/>
      <c r="E193" s="782"/>
      <c r="F193" s="797"/>
      <c r="G193" s="211" t="s">
        <v>680</v>
      </c>
      <c r="H193" s="8" t="s">
        <v>39</v>
      </c>
      <c r="I193" s="7">
        <f>+E191*1.5</f>
        <v>1.5</v>
      </c>
      <c r="J193" s="7" t="s">
        <v>33</v>
      </c>
      <c r="K193" s="785"/>
      <c r="L193" s="10"/>
      <c r="M193" s="10"/>
      <c r="N193" s="10"/>
      <c r="O193" s="10"/>
    </row>
    <row r="194" spans="1:15" ht="13.5" customHeight="1">
      <c r="A194" s="785" t="s">
        <v>49</v>
      </c>
      <c r="B194" s="785" t="s">
        <v>51</v>
      </c>
      <c r="C194" s="785" t="s">
        <v>47</v>
      </c>
      <c r="D194" s="785" t="s">
        <v>46</v>
      </c>
      <c r="E194" s="780">
        <v>1</v>
      </c>
      <c r="F194" s="797" t="s">
        <v>50</v>
      </c>
      <c r="G194" s="8" t="s">
        <v>44</v>
      </c>
      <c r="H194" s="9" t="s">
        <v>43</v>
      </c>
      <c r="I194" s="7">
        <f>+E194*1</f>
        <v>1</v>
      </c>
      <c r="J194" s="7" t="s">
        <v>32</v>
      </c>
      <c r="K194" s="785" t="s">
        <v>42</v>
      </c>
      <c r="L194" s="10"/>
      <c r="M194" s="10"/>
      <c r="N194" s="10"/>
      <c r="O194" s="10"/>
    </row>
    <row r="195" spans="1:15" ht="13.5" customHeight="1">
      <c r="A195" s="785"/>
      <c r="B195" s="785"/>
      <c r="C195" s="785"/>
      <c r="D195" s="785"/>
      <c r="E195" s="781"/>
      <c r="F195" s="797"/>
      <c r="G195" s="8" t="s">
        <v>41</v>
      </c>
      <c r="H195" s="8" t="s">
        <v>40</v>
      </c>
      <c r="I195" s="7">
        <f>+E194*4</f>
        <v>4</v>
      </c>
      <c r="J195" s="7" t="s">
        <v>34</v>
      </c>
      <c r="K195" s="785"/>
      <c r="L195" s="10"/>
      <c r="M195" s="10"/>
      <c r="N195" s="10"/>
      <c r="O195" s="10"/>
    </row>
    <row r="196" spans="1:15" ht="13.5" customHeight="1">
      <c r="A196" s="777"/>
      <c r="B196" s="777"/>
      <c r="C196" s="777"/>
      <c r="D196" s="777"/>
      <c r="E196" s="781"/>
      <c r="F196" s="798"/>
      <c r="G196" s="19" t="s">
        <v>680</v>
      </c>
      <c r="H196" s="19" t="s">
        <v>39</v>
      </c>
      <c r="I196" s="309">
        <f>+E194*5</f>
        <v>5</v>
      </c>
      <c r="J196" s="309" t="s">
        <v>33</v>
      </c>
      <c r="K196" s="777"/>
      <c r="L196" s="10"/>
      <c r="M196" s="10"/>
      <c r="N196" s="10"/>
      <c r="O196" s="10"/>
    </row>
    <row r="197" spans="1:15" ht="13.5" customHeight="1">
      <c r="A197" s="796" t="s">
        <v>49</v>
      </c>
      <c r="B197" s="796" t="s">
        <v>48</v>
      </c>
      <c r="C197" s="796" t="s">
        <v>47</v>
      </c>
      <c r="D197" s="796" t="s">
        <v>46</v>
      </c>
      <c r="E197" s="800">
        <v>1</v>
      </c>
      <c r="F197" s="799" t="s">
        <v>45</v>
      </c>
      <c r="G197" s="321" t="s">
        <v>44</v>
      </c>
      <c r="H197" s="322" t="s">
        <v>43</v>
      </c>
      <c r="I197" s="317">
        <f>+E197*1.5</f>
        <v>1.5</v>
      </c>
      <c r="J197" s="317" t="s">
        <v>32</v>
      </c>
      <c r="K197" s="796" t="s">
        <v>42</v>
      </c>
      <c r="L197" s="6"/>
      <c r="M197" s="6"/>
      <c r="N197" s="6"/>
      <c r="O197" s="6"/>
    </row>
    <row r="198" spans="1:15" ht="13.5" customHeight="1">
      <c r="A198" s="796"/>
      <c r="B198" s="796"/>
      <c r="C198" s="796"/>
      <c r="D198" s="796"/>
      <c r="E198" s="800"/>
      <c r="F198" s="799"/>
      <c r="G198" s="321" t="s">
        <v>41</v>
      </c>
      <c r="H198" s="321" t="s">
        <v>40</v>
      </c>
      <c r="I198" s="317">
        <f>+E197*4</f>
        <v>4</v>
      </c>
      <c r="J198" s="317" t="s">
        <v>34</v>
      </c>
      <c r="K198" s="796"/>
      <c r="L198" s="6"/>
      <c r="M198" s="6"/>
      <c r="N198" s="6"/>
      <c r="O198" s="6"/>
    </row>
    <row r="199" spans="1:15" ht="13.5" customHeight="1">
      <c r="A199" s="796"/>
      <c r="B199" s="796"/>
      <c r="C199" s="796"/>
      <c r="D199" s="796"/>
      <c r="E199" s="800"/>
      <c r="F199" s="799"/>
      <c r="G199" s="321" t="s">
        <v>680</v>
      </c>
      <c r="H199" s="321" t="s">
        <v>39</v>
      </c>
      <c r="I199" s="317">
        <f>+E197*5</f>
        <v>5</v>
      </c>
      <c r="J199" s="317" t="s">
        <v>33</v>
      </c>
      <c r="K199" s="796"/>
      <c r="L199" s="6"/>
      <c r="M199" s="6"/>
      <c r="N199" s="6"/>
      <c r="O199" s="6"/>
    </row>
    <row r="200" spans="1:15" ht="18" customHeight="1">
      <c r="A200" s="323"/>
      <c r="B200" s="323"/>
      <c r="C200" s="323"/>
      <c r="D200" s="323"/>
      <c r="E200" s="324"/>
      <c r="F200" s="317" t="s">
        <v>207</v>
      </c>
      <c r="G200" s="321" t="s">
        <v>681</v>
      </c>
      <c r="H200" s="323"/>
      <c r="I200" s="323"/>
      <c r="J200" s="317" t="s">
        <v>35</v>
      </c>
      <c r="K200" s="325"/>
    </row>
    <row r="201" spans="1:15" ht="18" customHeight="1">
      <c r="A201" s="323"/>
      <c r="B201" s="323"/>
      <c r="C201" s="323"/>
      <c r="D201" s="323"/>
      <c r="E201" s="324"/>
      <c r="F201" s="317"/>
      <c r="G201" s="32" t="s">
        <v>1067</v>
      </c>
      <c r="H201" s="315"/>
      <c r="I201" s="32"/>
      <c r="J201" s="32" t="s">
        <v>35</v>
      </c>
      <c r="K201" s="325"/>
    </row>
    <row r="202" spans="1:15" ht="13.5" customHeight="1">
      <c r="A202" s="28" t="s">
        <v>361</v>
      </c>
      <c r="B202" s="29"/>
      <c r="C202" s="29"/>
      <c r="D202" s="29"/>
      <c r="E202" s="30"/>
      <c r="F202" s="29"/>
      <c r="G202" s="29"/>
    </row>
    <row r="209" spans="7:7" ht="13.5" customHeight="1">
      <c r="G209" s="32"/>
    </row>
  </sheetData>
  <mergeCells count="382">
    <mergeCell ref="C4:D4"/>
    <mergeCell ref="E4:F4"/>
    <mergeCell ref="G4:H4"/>
    <mergeCell ref="A1:K1"/>
    <mergeCell ref="A2:B2"/>
    <mergeCell ref="I2:J2"/>
    <mergeCell ref="E145:E147"/>
    <mergeCell ref="K81:K83"/>
    <mergeCell ref="D62:D65"/>
    <mergeCell ref="F62:F65"/>
    <mergeCell ref="A54:A57"/>
    <mergeCell ref="B54:B57"/>
    <mergeCell ref="C54:C57"/>
    <mergeCell ref="D54:D57"/>
    <mergeCell ref="F54:F57"/>
    <mergeCell ref="K145:K147"/>
    <mergeCell ref="A44:K44"/>
    <mergeCell ref="A46:A49"/>
    <mergeCell ref="B46:B49"/>
    <mergeCell ref="C46:C49"/>
    <mergeCell ref="D46:D49"/>
    <mergeCell ref="F46:F49"/>
    <mergeCell ref="K46:K77"/>
    <mergeCell ref="A3:B3"/>
    <mergeCell ref="C3:D3"/>
    <mergeCell ref="E3:F3"/>
    <mergeCell ref="G3:H3"/>
    <mergeCell ref="I3:J4"/>
    <mergeCell ref="A4:B4"/>
    <mergeCell ref="D116:D119"/>
    <mergeCell ref="F116:F123"/>
    <mergeCell ref="A74:A77"/>
    <mergeCell ref="B74:B77"/>
    <mergeCell ref="C74:C77"/>
    <mergeCell ref="I48:J48"/>
    <mergeCell ref="I52:J52"/>
    <mergeCell ref="I56:J56"/>
    <mergeCell ref="I60:J60"/>
    <mergeCell ref="D81:D83"/>
    <mergeCell ref="F81:F83"/>
    <mergeCell ref="A78:K78"/>
    <mergeCell ref="I72:J72"/>
    <mergeCell ref="I76:J76"/>
    <mergeCell ref="A62:A65"/>
    <mergeCell ref="B62:B65"/>
    <mergeCell ref="C62:C65"/>
    <mergeCell ref="A6:K6"/>
    <mergeCell ref="A50:A53"/>
    <mergeCell ref="K154:K156"/>
    <mergeCell ref="F145:F147"/>
    <mergeCell ref="D151:D153"/>
    <mergeCell ref="E74:E77"/>
    <mergeCell ref="E81:E83"/>
    <mergeCell ref="A113:K113"/>
    <mergeCell ref="A114:K114"/>
    <mergeCell ref="E46:E49"/>
    <mergeCell ref="E50:E53"/>
    <mergeCell ref="E54:E57"/>
    <mergeCell ref="E58:E61"/>
    <mergeCell ref="E62:E65"/>
    <mergeCell ref="E66:E69"/>
    <mergeCell ref="I64:J64"/>
    <mergeCell ref="I68:J68"/>
    <mergeCell ref="A58:A61"/>
    <mergeCell ref="B58:B61"/>
    <mergeCell ref="C58:C61"/>
    <mergeCell ref="D58:D61"/>
    <mergeCell ref="F58:F61"/>
    <mergeCell ref="A81:A83"/>
    <mergeCell ref="D74:D77"/>
    <mergeCell ref="F74:F77"/>
    <mergeCell ref="I118:J118"/>
    <mergeCell ref="K151:K153"/>
    <mergeCell ref="C50:C53"/>
    <mergeCell ref="D50:D53"/>
    <mergeCell ref="F50:F53"/>
    <mergeCell ref="K93:K95"/>
    <mergeCell ref="K102:K104"/>
    <mergeCell ref="E120:E123"/>
    <mergeCell ref="A124:K124"/>
    <mergeCell ref="A126:A129"/>
    <mergeCell ref="B126:B129"/>
    <mergeCell ref="C126:C129"/>
    <mergeCell ref="D126:D129"/>
    <mergeCell ref="A79:K79"/>
    <mergeCell ref="E70:E73"/>
    <mergeCell ref="F70:F73"/>
    <mergeCell ref="B81:B83"/>
    <mergeCell ref="K116:K123"/>
    <mergeCell ref="A120:A123"/>
    <mergeCell ref="B120:B123"/>
    <mergeCell ref="C120:C123"/>
    <mergeCell ref="I122:J122"/>
    <mergeCell ref="E116:E119"/>
    <mergeCell ref="C81:C83"/>
    <mergeCell ref="E148:E150"/>
    <mergeCell ref="F175:F176"/>
    <mergeCell ref="K175:K176"/>
    <mergeCell ref="K157:K159"/>
    <mergeCell ref="B172:B174"/>
    <mergeCell ref="B169:B171"/>
    <mergeCell ref="E157:E159"/>
    <mergeCell ref="E160:E162"/>
    <mergeCell ref="E163:E165"/>
    <mergeCell ref="E166:E168"/>
    <mergeCell ref="E169:E171"/>
    <mergeCell ref="F157:F159"/>
    <mergeCell ref="C163:C165"/>
    <mergeCell ref="D163:D165"/>
    <mergeCell ref="F163:F165"/>
    <mergeCell ref="K163:K165"/>
    <mergeCell ref="C172:C174"/>
    <mergeCell ref="D172:D174"/>
    <mergeCell ref="F172:F174"/>
    <mergeCell ref="K169:K171"/>
    <mergeCell ref="C160:C162"/>
    <mergeCell ref="B50:B53"/>
    <mergeCell ref="A66:A69"/>
    <mergeCell ref="B66:B69"/>
    <mergeCell ref="C66:C69"/>
    <mergeCell ref="D66:D69"/>
    <mergeCell ref="F66:F69"/>
    <mergeCell ref="A70:A73"/>
    <mergeCell ref="B70:B73"/>
    <mergeCell ref="C70:C73"/>
    <mergeCell ref="D70:D73"/>
    <mergeCell ref="A84:A86"/>
    <mergeCell ref="B84:B86"/>
    <mergeCell ref="C84:C86"/>
    <mergeCell ref="D84:D86"/>
    <mergeCell ref="F84:F86"/>
    <mergeCell ref="K84:K86"/>
    <mergeCell ref="E84:E86"/>
    <mergeCell ref="A87:A89"/>
    <mergeCell ref="B87:B89"/>
    <mergeCell ref="C87:C89"/>
    <mergeCell ref="D87:D89"/>
    <mergeCell ref="F87:F89"/>
    <mergeCell ref="K87:K89"/>
    <mergeCell ref="E87:E89"/>
    <mergeCell ref="A90:A92"/>
    <mergeCell ref="B90:B92"/>
    <mergeCell ref="C90:C92"/>
    <mergeCell ref="D90:D92"/>
    <mergeCell ref="F90:F92"/>
    <mergeCell ref="K90:K92"/>
    <mergeCell ref="E90:E92"/>
    <mergeCell ref="E93:E95"/>
    <mergeCell ref="D102:D104"/>
    <mergeCell ref="F102:F104"/>
    <mergeCell ref="E96:E98"/>
    <mergeCell ref="E99:E101"/>
    <mergeCell ref="E102:E104"/>
    <mergeCell ref="A93:A95"/>
    <mergeCell ref="B93:B95"/>
    <mergeCell ref="C93:C95"/>
    <mergeCell ref="D93:D95"/>
    <mergeCell ref="F93:F95"/>
    <mergeCell ref="A96:A98"/>
    <mergeCell ref="B96:B98"/>
    <mergeCell ref="C96:C98"/>
    <mergeCell ref="D96:D98"/>
    <mergeCell ref="F96:F98"/>
    <mergeCell ref="K96:K98"/>
    <mergeCell ref="F139:F141"/>
    <mergeCell ref="D142:D144"/>
    <mergeCell ref="A99:A101"/>
    <mergeCell ref="B99:B101"/>
    <mergeCell ref="C99:C101"/>
    <mergeCell ref="D99:D101"/>
    <mergeCell ref="F99:F101"/>
    <mergeCell ref="K99:K101"/>
    <mergeCell ref="A102:A104"/>
    <mergeCell ref="B102:B104"/>
    <mergeCell ref="C102:C104"/>
    <mergeCell ref="C142:C144"/>
    <mergeCell ref="F136:F138"/>
    <mergeCell ref="A136:A138"/>
    <mergeCell ref="B136:B138"/>
    <mergeCell ref="C136:C138"/>
    <mergeCell ref="K136:K138"/>
    <mergeCell ref="A134:K134"/>
    <mergeCell ref="C116:C119"/>
    <mergeCell ref="D120:D123"/>
    <mergeCell ref="A116:A119"/>
    <mergeCell ref="B116:B119"/>
    <mergeCell ref="E139:E141"/>
    <mergeCell ref="A139:A141"/>
    <mergeCell ref="B139:B141"/>
    <mergeCell ref="C139:C141"/>
    <mergeCell ref="D139:D141"/>
    <mergeCell ref="A166:A168"/>
    <mergeCell ref="B166:B168"/>
    <mergeCell ref="A145:A147"/>
    <mergeCell ref="B145:B147"/>
    <mergeCell ref="A157:A159"/>
    <mergeCell ref="A163:A165"/>
    <mergeCell ref="B163:B165"/>
    <mergeCell ref="A154:A156"/>
    <mergeCell ref="B154:B156"/>
    <mergeCell ref="A148:A150"/>
    <mergeCell ref="B148:B150"/>
    <mergeCell ref="A151:A153"/>
    <mergeCell ref="A189:A190"/>
    <mergeCell ref="B189:B190"/>
    <mergeCell ref="A175:A176"/>
    <mergeCell ref="A169:A171"/>
    <mergeCell ref="B142:B144"/>
    <mergeCell ref="A160:A162"/>
    <mergeCell ref="B160:B162"/>
    <mergeCell ref="A186:A188"/>
    <mergeCell ref="B186:B188"/>
    <mergeCell ref="A172:A174"/>
    <mergeCell ref="B157:B159"/>
    <mergeCell ref="B151:B153"/>
    <mergeCell ref="B175:D176"/>
    <mergeCell ref="D157:D159"/>
    <mergeCell ref="C151:C153"/>
    <mergeCell ref="D166:D168"/>
    <mergeCell ref="C186:C188"/>
    <mergeCell ref="A183:A185"/>
    <mergeCell ref="B180:B182"/>
    <mergeCell ref="C180:C182"/>
    <mergeCell ref="A142:A144"/>
    <mergeCell ref="A180:A182"/>
    <mergeCell ref="A177:A179"/>
    <mergeCell ref="E151:E153"/>
    <mergeCell ref="E154:E156"/>
    <mergeCell ref="C157:C159"/>
    <mergeCell ref="C154:C156"/>
    <mergeCell ref="C169:C171"/>
    <mergeCell ref="B183:B185"/>
    <mergeCell ref="C183:C185"/>
    <mergeCell ref="D183:D185"/>
    <mergeCell ref="D169:D171"/>
    <mergeCell ref="B177:B179"/>
    <mergeCell ref="A197:A199"/>
    <mergeCell ref="B197:B199"/>
    <mergeCell ref="D189:D190"/>
    <mergeCell ref="F189:F190"/>
    <mergeCell ref="K189:K190"/>
    <mergeCell ref="C145:C147"/>
    <mergeCell ref="D145:D147"/>
    <mergeCell ref="E194:E196"/>
    <mergeCell ref="E197:E199"/>
    <mergeCell ref="E172:E174"/>
    <mergeCell ref="E175:E176"/>
    <mergeCell ref="E177:E179"/>
    <mergeCell ref="E180:E182"/>
    <mergeCell ref="D186:D188"/>
    <mergeCell ref="C177:C179"/>
    <mergeCell ref="D177:D179"/>
    <mergeCell ref="C197:C199"/>
    <mergeCell ref="D197:D199"/>
    <mergeCell ref="D154:D156"/>
    <mergeCell ref="D160:D162"/>
    <mergeCell ref="D180:D182"/>
    <mergeCell ref="C148:C150"/>
    <mergeCell ref="D148:D150"/>
    <mergeCell ref="C166:C168"/>
    <mergeCell ref="I32:J32"/>
    <mergeCell ref="K197:K199"/>
    <mergeCell ref="K191:K193"/>
    <mergeCell ref="E189:E190"/>
    <mergeCell ref="E191:E193"/>
    <mergeCell ref="F191:F193"/>
    <mergeCell ref="C189:C190"/>
    <mergeCell ref="A194:A196"/>
    <mergeCell ref="B194:B196"/>
    <mergeCell ref="C194:C196"/>
    <mergeCell ref="D194:D196"/>
    <mergeCell ref="F194:F196"/>
    <mergeCell ref="K194:K196"/>
    <mergeCell ref="A191:A193"/>
    <mergeCell ref="B191:B193"/>
    <mergeCell ref="C191:C193"/>
    <mergeCell ref="F197:F199"/>
    <mergeCell ref="D191:D193"/>
    <mergeCell ref="B110:B112"/>
    <mergeCell ref="C110:C112"/>
    <mergeCell ref="D110:D112"/>
    <mergeCell ref="F110:F112"/>
    <mergeCell ref="F126:F133"/>
    <mergeCell ref="A130:A133"/>
    <mergeCell ref="F186:F188"/>
    <mergeCell ref="F169:F171"/>
    <mergeCell ref="K180:K182"/>
    <mergeCell ref="E183:E185"/>
    <mergeCell ref="E186:E188"/>
    <mergeCell ref="K139:K141"/>
    <mergeCell ref="K172:K174"/>
    <mergeCell ref="K177:K179"/>
    <mergeCell ref="K183:K185"/>
    <mergeCell ref="F142:F144"/>
    <mergeCell ref="K142:K144"/>
    <mergeCell ref="E142:E144"/>
    <mergeCell ref="F160:F162"/>
    <mergeCell ref="K186:K188"/>
    <mergeCell ref="K160:K162"/>
    <mergeCell ref="F180:F182"/>
    <mergeCell ref="F177:F179"/>
    <mergeCell ref="F183:F185"/>
    <mergeCell ref="F151:F153"/>
    <mergeCell ref="F148:F150"/>
    <mergeCell ref="F166:F168"/>
    <mergeCell ref="K166:K168"/>
    <mergeCell ref="K148:K150"/>
    <mergeCell ref="F154:F156"/>
    <mergeCell ref="K3:K4"/>
    <mergeCell ref="I27:J27"/>
    <mergeCell ref="E136:E138"/>
    <mergeCell ref="A105:K105"/>
    <mergeCell ref="F107:F109"/>
    <mergeCell ref="B107:B109"/>
    <mergeCell ref="C107:C109"/>
    <mergeCell ref="D107:D109"/>
    <mergeCell ref="A34:K34"/>
    <mergeCell ref="K107:K112"/>
    <mergeCell ref="E107:E109"/>
    <mergeCell ref="E110:E112"/>
    <mergeCell ref="D136:D138"/>
    <mergeCell ref="K126:K133"/>
    <mergeCell ref="A5:K5"/>
    <mergeCell ref="I128:J128"/>
    <mergeCell ref="I131:J131"/>
    <mergeCell ref="E126:E129"/>
    <mergeCell ref="E130:E133"/>
    <mergeCell ref="B130:B133"/>
    <mergeCell ref="C130:C133"/>
    <mergeCell ref="D130:D133"/>
    <mergeCell ref="A107:A109"/>
    <mergeCell ref="A110:A112"/>
    <mergeCell ref="A8:A11"/>
    <mergeCell ref="B8:B11"/>
    <mergeCell ref="C8:C11"/>
    <mergeCell ref="D8:D11"/>
    <mergeCell ref="E8:E11"/>
    <mergeCell ref="F8:F11"/>
    <mergeCell ref="A12:A15"/>
    <mergeCell ref="B12:B15"/>
    <mergeCell ref="C12:C15"/>
    <mergeCell ref="D12:D15"/>
    <mergeCell ref="E12:E15"/>
    <mergeCell ref="F12:F15"/>
    <mergeCell ref="E29:E33"/>
    <mergeCell ref="F29:F33"/>
    <mergeCell ref="A16:A19"/>
    <mergeCell ref="B16:B19"/>
    <mergeCell ref="C16:C19"/>
    <mergeCell ref="D16:D19"/>
    <mergeCell ref="E16:E19"/>
    <mergeCell ref="F16:F19"/>
    <mergeCell ref="A20:A23"/>
    <mergeCell ref="B20:B23"/>
    <mergeCell ref="C20:C23"/>
    <mergeCell ref="D20:D23"/>
    <mergeCell ref="E20:E23"/>
    <mergeCell ref="F20:F23"/>
    <mergeCell ref="K8:K11"/>
    <mergeCell ref="K12:K15"/>
    <mergeCell ref="A36:A39"/>
    <mergeCell ref="B36:B39"/>
    <mergeCell ref="C36:C39"/>
    <mergeCell ref="D36:D39"/>
    <mergeCell ref="E36:E39"/>
    <mergeCell ref="F36:F39"/>
    <mergeCell ref="A40:A43"/>
    <mergeCell ref="B40:B43"/>
    <mergeCell ref="C40:C43"/>
    <mergeCell ref="D40:D43"/>
    <mergeCell ref="E40:E43"/>
    <mergeCell ref="F40:F43"/>
    <mergeCell ref="A24:A28"/>
    <mergeCell ref="B24:B28"/>
    <mergeCell ref="C24:C28"/>
    <mergeCell ref="D24:D28"/>
    <mergeCell ref="E24:E28"/>
    <mergeCell ref="F24:F28"/>
    <mergeCell ref="A29:A33"/>
    <mergeCell ref="B29:B33"/>
    <mergeCell ref="C29:C33"/>
    <mergeCell ref="D29:D33"/>
  </mergeCells>
  <phoneticPr fontId="15" type="noConversion"/>
  <printOptions horizontalCentered="1" verticalCentered="1"/>
  <pageMargins left="0.39370078740157483" right="0.39370078740157483" top="0.59055118110236227" bottom="0.23622047244094491" header="0.15748031496062992" footer="0.23622047244094491"/>
  <pageSetup paperSize="9" scale="85" orientation="portrait" r:id="rId1"/>
  <headerFooter>
    <oddHeader>&amp;C&amp;"-,加粗"&amp;12
                    &amp;16厨柜、浴室柜包装材料用量表          &amp;8版本号：130222</oddHeader>
    <oddFooter>&amp;L&amp;8北京意德法家木业有限公司技术部编制&amp;R第 &amp;P 页，共 &amp;N 页</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13"/>
  <sheetViews>
    <sheetView view="pageBreakPreview" topLeftCell="A181" zoomScaleSheetLayoutView="100" workbookViewId="0">
      <selection activeCell="A207" sqref="A207"/>
    </sheetView>
  </sheetViews>
  <sheetFormatPr defaultRowHeight="14.25"/>
  <cols>
    <col min="1" max="1" width="7.25" style="252" customWidth="1"/>
    <col min="2" max="4" width="5.875" style="252" customWidth="1"/>
    <col min="5" max="5" width="4.75" style="253" customWidth="1"/>
    <col min="6" max="6" width="6.875" style="252" customWidth="1"/>
    <col min="7" max="7" width="38.5" style="252" customWidth="1"/>
    <col min="8" max="8" width="16.125" style="252" hidden="1" customWidth="1"/>
    <col min="9" max="9" width="4.125" style="252" customWidth="1"/>
    <col min="10" max="10" width="4.875" style="252" customWidth="1"/>
    <col min="11" max="11" width="13.75" style="254" customWidth="1"/>
  </cols>
  <sheetData>
    <row r="1" spans="1:13" ht="20.25">
      <c r="A1" s="806" t="s">
        <v>1047</v>
      </c>
      <c r="B1" s="806"/>
      <c r="C1" s="806"/>
      <c r="D1" s="806"/>
      <c r="E1" s="806"/>
      <c r="F1" s="806"/>
      <c r="G1" s="806"/>
      <c r="H1" s="806"/>
      <c r="I1" s="806"/>
      <c r="J1" s="806"/>
      <c r="K1" s="806"/>
    </row>
    <row r="2" spans="1:13">
      <c r="A2" s="808" t="s">
        <v>714</v>
      </c>
      <c r="B2" s="808"/>
      <c r="C2" s="259">
        <f>领料单!C3</f>
        <v>0</v>
      </c>
      <c r="D2" s="259"/>
      <c r="E2" s="259"/>
      <c r="F2" s="259"/>
      <c r="G2" s="259"/>
      <c r="H2" s="259"/>
      <c r="I2" s="808" t="s">
        <v>246</v>
      </c>
      <c r="J2" s="808"/>
      <c r="K2" s="255">
        <f>铝材玻璃单!L3</f>
        <v>0</v>
      </c>
    </row>
    <row r="3" spans="1:13">
      <c r="A3" s="804" t="s">
        <v>243</v>
      </c>
      <c r="B3" s="804"/>
      <c r="C3" s="804">
        <f>领料单!C2</f>
        <v>0</v>
      </c>
      <c r="D3" s="804"/>
      <c r="E3" s="804" t="s">
        <v>245</v>
      </c>
      <c r="F3" s="804"/>
      <c r="G3" s="815">
        <f>下料单!AB2</f>
        <v>43075</v>
      </c>
      <c r="H3" s="815"/>
      <c r="I3" s="804" t="s">
        <v>211</v>
      </c>
      <c r="J3" s="804"/>
      <c r="K3" s="816" t="str">
        <f>铝材玻璃单!L2</f>
        <v>简爱</v>
      </c>
    </row>
    <row r="4" spans="1:13">
      <c r="A4" s="804" t="str">
        <f>[1]下料单!L2</f>
        <v>版本型录号</v>
      </c>
      <c r="B4" s="804"/>
      <c r="C4" s="804">
        <f>下料单!R2</f>
        <v>0</v>
      </c>
      <c r="D4" s="804"/>
      <c r="E4" s="804" t="s">
        <v>715</v>
      </c>
      <c r="F4" s="804"/>
      <c r="G4" s="814">
        <f>下料单!AG2</f>
        <v>43076</v>
      </c>
      <c r="H4" s="814"/>
      <c r="I4" s="804"/>
      <c r="J4" s="804"/>
      <c r="K4" s="817"/>
    </row>
    <row r="5" spans="1:13">
      <c r="A5" s="795" t="s">
        <v>716</v>
      </c>
      <c r="B5" s="795"/>
      <c r="C5" s="795"/>
      <c r="D5" s="795"/>
      <c r="E5" s="795"/>
      <c r="F5" s="795"/>
      <c r="G5" s="795"/>
      <c r="H5" s="795"/>
      <c r="I5" s="795"/>
      <c r="J5" s="795"/>
      <c r="K5" s="795"/>
    </row>
    <row r="6" spans="1:13" ht="30.75" customHeight="1">
      <c r="A6" s="790" t="s">
        <v>1061</v>
      </c>
      <c r="B6" s="791"/>
      <c r="C6" s="791"/>
      <c r="D6" s="791"/>
      <c r="E6" s="791"/>
      <c r="F6" s="791"/>
      <c r="G6" s="791"/>
      <c r="H6" s="791"/>
      <c r="I6" s="791"/>
      <c r="J6" s="791"/>
      <c r="K6" s="792"/>
    </row>
    <row r="7" spans="1:13">
      <c r="A7" s="245" t="s">
        <v>117</v>
      </c>
      <c r="B7" s="245" t="s">
        <v>717</v>
      </c>
      <c r="C7" s="245" t="s">
        <v>718</v>
      </c>
      <c r="D7" s="245" t="s">
        <v>719</v>
      </c>
      <c r="E7" s="15"/>
      <c r="F7" s="245" t="s">
        <v>720</v>
      </c>
      <c r="G7" s="245" t="s">
        <v>721</v>
      </c>
      <c r="H7" s="245" t="s">
        <v>722</v>
      </c>
      <c r="I7" s="245" t="s">
        <v>102</v>
      </c>
      <c r="J7" s="245" t="s">
        <v>101</v>
      </c>
      <c r="K7" s="245" t="s">
        <v>100</v>
      </c>
    </row>
    <row r="8" spans="1:13">
      <c r="A8" s="777">
        <v>1</v>
      </c>
      <c r="B8" s="777">
        <v>150</v>
      </c>
      <c r="C8" s="777">
        <v>720</v>
      </c>
      <c r="D8" s="777">
        <v>560</v>
      </c>
      <c r="E8" s="780">
        <v>1</v>
      </c>
      <c r="F8" s="777" t="s">
        <v>723</v>
      </c>
      <c r="G8" s="308" t="s">
        <v>724</v>
      </c>
      <c r="H8" s="32" t="s">
        <v>725</v>
      </c>
      <c r="I8" s="245">
        <f>+E8*1</f>
        <v>1</v>
      </c>
      <c r="J8" s="245" t="s">
        <v>726</v>
      </c>
      <c r="K8" s="777"/>
    </row>
    <row r="9" spans="1:13">
      <c r="A9" s="778"/>
      <c r="B9" s="778"/>
      <c r="C9" s="778"/>
      <c r="D9" s="778"/>
      <c r="E9" s="781"/>
      <c r="F9" s="778"/>
      <c r="G9" s="246" t="s">
        <v>52</v>
      </c>
      <c r="H9" s="246" t="s">
        <v>727</v>
      </c>
      <c r="I9" s="245">
        <f>+E8*8</f>
        <v>8</v>
      </c>
      <c r="J9" s="245" t="s">
        <v>726</v>
      </c>
      <c r="K9" s="778"/>
    </row>
    <row r="10" spans="1:13">
      <c r="A10" s="778"/>
      <c r="B10" s="778"/>
      <c r="C10" s="778"/>
      <c r="D10" s="778"/>
      <c r="E10" s="781"/>
      <c r="F10" s="778"/>
      <c r="G10" s="246" t="s">
        <v>728</v>
      </c>
      <c r="H10" s="246" t="s">
        <v>39</v>
      </c>
      <c r="I10" s="245">
        <f>+E8*1.6</f>
        <v>1.6</v>
      </c>
      <c r="J10" s="245" t="s">
        <v>30</v>
      </c>
      <c r="K10" s="778"/>
      <c r="M10" t="s">
        <v>1064</v>
      </c>
    </row>
    <row r="11" spans="1:13">
      <c r="A11" s="778"/>
      <c r="B11" s="778"/>
      <c r="C11" s="778"/>
      <c r="D11" s="778"/>
      <c r="E11" s="781"/>
      <c r="F11" s="778"/>
      <c r="G11" s="32" t="s">
        <v>1068</v>
      </c>
      <c r="H11" s="313"/>
      <c r="I11" s="307">
        <f>E8*0.5</f>
        <v>0.5</v>
      </c>
      <c r="J11" s="307" t="s">
        <v>31</v>
      </c>
      <c r="K11" s="779"/>
      <c r="M11" s="319" t="s">
        <v>1065</v>
      </c>
    </row>
    <row r="12" spans="1:13">
      <c r="A12" s="779"/>
      <c r="B12" s="779"/>
      <c r="C12" s="779"/>
      <c r="D12" s="779"/>
      <c r="E12" s="782"/>
      <c r="F12" s="779"/>
      <c r="G12" s="32"/>
      <c r="H12" s="313"/>
      <c r="I12" s="307">
        <f>E8</f>
        <v>1</v>
      </c>
      <c r="J12" s="307" t="s">
        <v>35</v>
      </c>
      <c r="K12" s="310" t="s">
        <v>1062</v>
      </c>
    </row>
    <row r="13" spans="1:13">
      <c r="A13" s="777">
        <v>2</v>
      </c>
      <c r="B13" s="777">
        <v>300</v>
      </c>
      <c r="C13" s="777">
        <v>720</v>
      </c>
      <c r="D13" s="777">
        <v>560</v>
      </c>
      <c r="E13" s="780">
        <v>1</v>
      </c>
      <c r="F13" s="777" t="s">
        <v>723</v>
      </c>
      <c r="G13" s="308" t="s">
        <v>729</v>
      </c>
      <c r="H13" s="32" t="s">
        <v>730</v>
      </c>
      <c r="I13" s="245">
        <f>+E13*1</f>
        <v>1</v>
      </c>
      <c r="J13" s="245" t="s">
        <v>726</v>
      </c>
      <c r="K13" s="245"/>
    </row>
    <row r="14" spans="1:13">
      <c r="A14" s="778"/>
      <c r="B14" s="778"/>
      <c r="C14" s="778"/>
      <c r="D14" s="778"/>
      <c r="E14" s="781"/>
      <c r="F14" s="778"/>
      <c r="G14" s="246" t="s">
        <v>52</v>
      </c>
      <c r="H14" s="246" t="s">
        <v>727</v>
      </c>
      <c r="I14" s="245">
        <f>+E13*8</f>
        <v>8</v>
      </c>
      <c r="J14" s="245" t="s">
        <v>726</v>
      </c>
      <c r="K14" s="245"/>
    </row>
    <row r="15" spans="1:13">
      <c r="A15" s="778"/>
      <c r="B15" s="778"/>
      <c r="C15" s="778"/>
      <c r="D15" s="778"/>
      <c r="E15" s="781"/>
      <c r="F15" s="778"/>
      <c r="G15" s="246" t="s">
        <v>728</v>
      </c>
      <c r="H15" s="246" t="s">
        <v>39</v>
      </c>
      <c r="I15" s="245">
        <f>+E13*1.9</f>
        <v>1.9</v>
      </c>
      <c r="J15" s="245" t="s">
        <v>30</v>
      </c>
      <c r="K15" s="245"/>
    </row>
    <row r="16" spans="1:13">
      <c r="A16" s="778"/>
      <c r="B16" s="778"/>
      <c r="C16" s="778"/>
      <c r="D16" s="778"/>
      <c r="E16" s="781"/>
      <c r="F16" s="778"/>
      <c r="G16" s="32" t="s">
        <v>1068</v>
      </c>
      <c r="H16" s="313"/>
      <c r="I16" s="307">
        <f>E13*0.5</f>
        <v>0.5</v>
      </c>
      <c r="J16" s="307" t="s">
        <v>31</v>
      </c>
      <c r="K16" s="307"/>
    </row>
    <row r="17" spans="1:11">
      <c r="A17" s="779"/>
      <c r="B17" s="779"/>
      <c r="C17" s="779"/>
      <c r="D17" s="779"/>
      <c r="E17" s="782"/>
      <c r="F17" s="779"/>
      <c r="G17" s="32"/>
      <c r="H17" s="313"/>
      <c r="I17" s="307">
        <f>E13</f>
        <v>1</v>
      </c>
      <c r="J17" s="307" t="s">
        <v>35</v>
      </c>
      <c r="K17" s="310" t="s">
        <v>1062</v>
      </c>
    </row>
    <row r="18" spans="1:11" ht="14.25" customHeight="1">
      <c r="A18" s="777">
        <v>3</v>
      </c>
      <c r="B18" s="777">
        <v>450</v>
      </c>
      <c r="C18" s="777">
        <v>720</v>
      </c>
      <c r="D18" s="777">
        <v>560</v>
      </c>
      <c r="E18" s="780">
        <v>1</v>
      </c>
      <c r="F18" s="777" t="s">
        <v>1055</v>
      </c>
      <c r="G18" s="308" t="s">
        <v>375</v>
      </c>
      <c r="H18" s="32" t="s">
        <v>732</v>
      </c>
      <c r="I18" s="245">
        <f>+E18*1</f>
        <v>1</v>
      </c>
      <c r="J18" s="245" t="s">
        <v>726</v>
      </c>
      <c r="K18" s="245"/>
    </row>
    <row r="19" spans="1:11">
      <c r="A19" s="778"/>
      <c r="B19" s="778"/>
      <c r="C19" s="778"/>
      <c r="D19" s="778"/>
      <c r="E19" s="781"/>
      <c r="F19" s="778"/>
      <c r="G19" s="246" t="s">
        <v>52</v>
      </c>
      <c r="H19" s="246" t="s">
        <v>727</v>
      </c>
      <c r="I19" s="245">
        <f>+E18*8</f>
        <v>8</v>
      </c>
      <c r="J19" s="245" t="s">
        <v>726</v>
      </c>
      <c r="K19" s="245"/>
    </row>
    <row r="20" spans="1:11">
      <c r="A20" s="778"/>
      <c r="B20" s="778"/>
      <c r="C20" s="778"/>
      <c r="D20" s="778"/>
      <c r="E20" s="781"/>
      <c r="F20" s="778"/>
      <c r="G20" s="246" t="s">
        <v>728</v>
      </c>
      <c r="H20" s="246" t="s">
        <v>39</v>
      </c>
      <c r="I20" s="245">
        <f>+E18*2.2</f>
        <v>2.2000000000000002</v>
      </c>
      <c r="J20" s="245" t="s">
        <v>733</v>
      </c>
      <c r="K20" s="245"/>
    </row>
    <row r="21" spans="1:11">
      <c r="A21" s="778"/>
      <c r="B21" s="778"/>
      <c r="C21" s="778"/>
      <c r="D21" s="778"/>
      <c r="E21" s="781"/>
      <c r="F21" s="778"/>
      <c r="G21" s="32" t="s">
        <v>1068</v>
      </c>
      <c r="H21" s="308"/>
      <c r="I21" s="307">
        <f>E18*0.5</f>
        <v>0.5</v>
      </c>
      <c r="J21" s="307" t="s">
        <v>31</v>
      </c>
      <c r="K21" s="307"/>
    </row>
    <row r="22" spans="1:11">
      <c r="A22" s="779"/>
      <c r="B22" s="779"/>
      <c r="C22" s="779"/>
      <c r="D22" s="779"/>
      <c r="E22" s="782"/>
      <c r="F22" s="779"/>
      <c r="G22" s="32"/>
      <c r="H22" s="308"/>
      <c r="I22" s="307">
        <f>E18</f>
        <v>1</v>
      </c>
      <c r="J22" s="307" t="s">
        <v>35</v>
      </c>
      <c r="K22" s="310" t="s">
        <v>1062</v>
      </c>
    </row>
    <row r="23" spans="1:11" ht="14.25" customHeight="1">
      <c r="A23" s="777">
        <v>4</v>
      </c>
      <c r="B23" s="777">
        <v>600</v>
      </c>
      <c r="C23" s="777">
        <v>720</v>
      </c>
      <c r="D23" s="777">
        <v>560</v>
      </c>
      <c r="E23" s="780">
        <v>1</v>
      </c>
      <c r="F23" s="777" t="s">
        <v>1055</v>
      </c>
      <c r="G23" s="308" t="s">
        <v>376</v>
      </c>
      <c r="H23" s="32" t="s">
        <v>734</v>
      </c>
      <c r="I23" s="245">
        <f>+E23*1</f>
        <v>1</v>
      </c>
      <c r="J23" s="245" t="s">
        <v>726</v>
      </c>
      <c r="K23" s="245"/>
    </row>
    <row r="24" spans="1:11">
      <c r="A24" s="778"/>
      <c r="B24" s="778"/>
      <c r="C24" s="778"/>
      <c r="D24" s="778"/>
      <c r="E24" s="781"/>
      <c r="F24" s="778"/>
      <c r="G24" s="246" t="s">
        <v>52</v>
      </c>
      <c r="H24" s="246" t="s">
        <v>727</v>
      </c>
      <c r="I24" s="245">
        <f>+E23*8</f>
        <v>8</v>
      </c>
      <c r="J24" s="245" t="s">
        <v>726</v>
      </c>
      <c r="K24" s="245"/>
    </row>
    <row r="25" spans="1:11">
      <c r="A25" s="778"/>
      <c r="B25" s="778"/>
      <c r="C25" s="778"/>
      <c r="D25" s="778"/>
      <c r="E25" s="781"/>
      <c r="F25" s="778"/>
      <c r="G25" s="246" t="s">
        <v>728</v>
      </c>
      <c r="H25" s="246" t="s">
        <v>39</v>
      </c>
      <c r="I25" s="245">
        <f>+E23*2.5</f>
        <v>2.5</v>
      </c>
      <c r="J25" s="245" t="s">
        <v>30</v>
      </c>
      <c r="K25" s="245"/>
    </row>
    <row r="26" spans="1:11">
      <c r="A26" s="778"/>
      <c r="B26" s="778"/>
      <c r="C26" s="778"/>
      <c r="D26" s="778"/>
      <c r="E26" s="781"/>
      <c r="F26" s="778"/>
      <c r="G26" s="246" t="s">
        <v>735</v>
      </c>
      <c r="H26" s="11" t="s">
        <v>120</v>
      </c>
      <c r="I26" s="785" t="s">
        <v>736</v>
      </c>
      <c r="J26" s="785"/>
      <c r="K26" s="16" t="s">
        <v>737</v>
      </c>
    </row>
    <row r="27" spans="1:11">
      <c r="A27" s="778"/>
      <c r="B27" s="778"/>
      <c r="C27" s="778"/>
      <c r="D27" s="778"/>
      <c r="E27" s="781"/>
      <c r="F27" s="778"/>
      <c r="G27" s="32" t="s">
        <v>1068</v>
      </c>
      <c r="H27" s="308"/>
      <c r="I27" s="307">
        <f>E23*0.5</f>
        <v>0.5</v>
      </c>
      <c r="J27" s="307" t="s">
        <v>31</v>
      </c>
      <c r="K27" s="16"/>
    </row>
    <row r="28" spans="1:11">
      <c r="A28" s="779"/>
      <c r="B28" s="779"/>
      <c r="C28" s="779"/>
      <c r="D28" s="779"/>
      <c r="E28" s="782"/>
      <c r="F28" s="779"/>
      <c r="G28" s="32"/>
      <c r="H28" s="308"/>
      <c r="I28" s="307">
        <f>E23</f>
        <v>1</v>
      </c>
      <c r="J28" s="307" t="s">
        <v>35</v>
      </c>
      <c r="K28" s="310" t="s">
        <v>1062</v>
      </c>
    </row>
    <row r="29" spans="1:11" ht="14.25" customHeight="1">
      <c r="A29" s="777">
        <v>5</v>
      </c>
      <c r="B29" s="777">
        <v>900</v>
      </c>
      <c r="C29" s="777">
        <v>720</v>
      </c>
      <c r="D29" s="777">
        <v>560</v>
      </c>
      <c r="E29" s="780">
        <v>1</v>
      </c>
      <c r="F29" s="777" t="s">
        <v>731</v>
      </c>
      <c r="G29" s="308" t="s">
        <v>729</v>
      </c>
      <c r="H29" s="32" t="s">
        <v>739</v>
      </c>
      <c r="I29" s="245">
        <f>+E29*1</f>
        <v>1</v>
      </c>
      <c r="J29" s="245" t="s">
        <v>726</v>
      </c>
      <c r="K29" s="245"/>
    </row>
    <row r="30" spans="1:11">
      <c r="A30" s="778"/>
      <c r="B30" s="778"/>
      <c r="C30" s="778"/>
      <c r="D30" s="778"/>
      <c r="E30" s="781"/>
      <c r="F30" s="778"/>
      <c r="G30" s="246" t="s">
        <v>52</v>
      </c>
      <c r="H30" s="246" t="s">
        <v>727</v>
      </c>
      <c r="I30" s="245">
        <f>+E29*8</f>
        <v>8</v>
      </c>
      <c r="J30" s="245" t="s">
        <v>726</v>
      </c>
      <c r="K30" s="245"/>
    </row>
    <row r="31" spans="1:11">
      <c r="A31" s="778"/>
      <c r="B31" s="778"/>
      <c r="C31" s="778"/>
      <c r="D31" s="778"/>
      <c r="E31" s="781"/>
      <c r="F31" s="778"/>
      <c r="G31" s="246" t="s">
        <v>728</v>
      </c>
      <c r="H31" s="246" t="s">
        <v>39</v>
      </c>
      <c r="I31" s="245">
        <f>+E29*3.1</f>
        <v>3.1</v>
      </c>
      <c r="J31" s="245" t="s">
        <v>30</v>
      </c>
      <c r="K31" s="245"/>
    </row>
    <row r="32" spans="1:11">
      <c r="A32" s="778"/>
      <c r="B32" s="778"/>
      <c r="C32" s="778"/>
      <c r="D32" s="778"/>
      <c r="E32" s="781"/>
      <c r="F32" s="778"/>
      <c r="G32" s="246" t="s">
        <v>735</v>
      </c>
      <c r="H32" s="11" t="s">
        <v>120</v>
      </c>
      <c r="I32" s="785" t="s">
        <v>736</v>
      </c>
      <c r="J32" s="785"/>
      <c r="K32" s="16" t="s">
        <v>737</v>
      </c>
    </row>
    <row r="33" spans="1:11">
      <c r="A33" s="778"/>
      <c r="B33" s="778"/>
      <c r="C33" s="778"/>
      <c r="D33" s="778"/>
      <c r="E33" s="781"/>
      <c r="F33" s="778"/>
      <c r="G33" s="32" t="s">
        <v>1068</v>
      </c>
      <c r="H33" s="308"/>
      <c r="I33" s="307">
        <f>E29*1</f>
        <v>1</v>
      </c>
      <c r="J33" s="307" t="s">
        <v>31</v>
      </c>
      <c r="K33" s="16"/>
    </row>
    <row r="34" spans="1:11">
      <c r="A34" s="779"/>
      <c r="B34" s="779"/>
      <c r="C34" s="779"/>
      <c r="D34" s="779"/>
      <c r="E34" s="782"/>
      <c r="F34" s="779"/>
      <c r="G34" s="32"/>
      <c r="H34" s="308"/>
      <c r="I34" s="307">
        <f>E29</f>
        <v>1</v>
      </c>
      <c r="J34" s="307" t="s">
        <v>35</v>
      </c>
      <c r="K34" s="310" t="s">
        <v>1062</v>
      </c>
    </row>
    <row r="35" spans="1:11">
      <c r="A35" s="789" t="s">
        <v>1066</v>
      </c>
      <c r="B35" s="789"/>
      <c r="C35" s="789"/>
      <c r="D35" s="789"/>
      <c r="E35" s="789"/>
      <c r="F35" s="789"/>
      <c r="G35" s="789"/>
      <c r="H35" s="789"/>
      <c r="I35" s="789"/>
      <c r="J35" s="789"/>
      <c r="K35" s="789"/>
    </row>
    <row r="36" spans="1:11">
      <c r="A36" s="245" t="s">
        <v>117</v>
      </c>
      <c r="B36" s="245" t="s">
        <v>717</v>
      </c>
      <c r="C36" s="245" t="s">
        <v>718</v>
      </c>
      <c r="D36" s="245" t="s">
        <v>719</v>
      </c>
      <c r="E36" s="15"/>
      <c r="F36" s="245" t="s">
        <v>720</v>
      </c>
      <c r="G36" s="245" t="s">
        <v>721</v>
      </c>
      <c r="H36" s="245" t="s">
        <v>722</v>
      </c>
      <c r="I36" s="245" t="s">
        <v>102</v>
      </c>
      <c r="J36" s="245" t="s">
        <v>101</v>
      </c>
      <c r="K36" s="245" t="s">
        <v>740</v>
      </c>
    </row>
    <row r="37" spans="1:11" ht="14.25" customHeight="1">
      <c r="A37" s="777">
        <v>1</v>
      </c>
      <c r="B37" s="777" t="s">
        <v>741</v>
      </c>
      <c r="C37" s="777" t="s">
        <v>742</v>
      </c>
      <c r="D37" s="777" t="s">
        <v>742</v>
      </c>
      <c r="E37" s="780">
        <v>1</v>
      </c>
      <c r="F37" s="777" t="s">
        <v>1058</v>
      </c>
      <c r="G37" s="246" t="s">
        <v>743</v>
      </c>
      <c r="H37" s="11" t="s">
        <v>744</v>
      </c>
      <c r="I37" s="245">
        <f>+E37*1</f>
        <v>1</v>
      </c>
      <c r="J37" s="245" t="s">
        <v>745</v>
      </c>
      <c r="K37" s="245"/>
    </row>
    <row r="38" spans="1:11">
      <c r="A38" s="778"/>
      <c r="B38" s="778"/>
      <c r="C38" s="778"/>
      <c r="D38" s="778"/>
      <c r="E38" s="781"/>
      <c r="F38" s="778"/>
      <c r="G38" s="246" t="s">
        <v>52</v>
      </c>
      <c r="H38" s="246" t="s">
        <v>746</v>
      </c>
      <c r="I38" s="245">
        <f>+E37*8</f>
        <v>8</v>
      </c>
      <c r="J38" s="245" t="s">
        <v>747</v>
      </c>
      <c r="K38" s="245"/>
    </row>
    <row r="39" spans="1:11">
      <c r="A39" s="778"/>
      <c r="B39" s="778"/>
      <c r="C39" s="778"/>
      <c r="D39" s="778"/>
      <c r="E39" s="781"/>
      <c r="F39" s="778"/>
      <c r="G39" s="246" t="s">
        <v>748</v>
      </c>
      <c r="H39" s="246" t="s">
        <v>39</v>
      </c>
      <c r="I39" s="245">
        <f>+E37*2.5</f>
        <v>2.5</v>
      </c>
      <c r="J39" s="245" t="s">
        <v>30</v>
      </c>
      <c r="K39" s="245"/>
    </row>
    <row r="40" spans="1:11">
      <c r="A40" s="778"/>
      <c r="B40" s="778"/>
      <c r="C40" s="778"/>
      <c r="D40" s="778"/>
      <c r="E40" s="781"/>
      <c r="F40" s="778"/>
      <c r="G40" s="32" t="s">
        <v>1068</v>
      </c>
      <c r="H40" s="308"/>
      <c r="I40" s="307">
        <f>E37*0.5</f>
        <v>0.5</v>
      </c>
      <c r="J40" s="307" t="s">
        <v>31</v>
      </c>
      <c r="K40" s="307"/>
    </row>
    <row r="41" spans="1:11">
      <c r="A41" s="779"/>
      <c r="B41" s="779"/>
      <c r="C41" s="779"/>
      <c r="D41" s="779"/>
      <c r="E41" s="782"/>
      <c r="F41" s="779"/>
      <c r="G41" s="32"/>
      <c r="H41" s="308"/>
      <c r="I41" s="307">
        <f>E37</f>
        <v>1</v>
      </c>
      <c r="J41" s="307" t="s">
        <v>35</v>
      </c>
      <c r="K41" s="310" t="s">
        <v>1062</v>
      </c>
    </row>
    <row r="42" spans="1:11" ht="14.25" customHeight="1">
      <c r="A42" s="777">
        <v>2</v>
      </c>
      <c r="B42" s="777" t="s">
        <v>1059</v>
      </c>
      <c r="C42" s="777" t="s">
        <v>1060</v>
      </c>
      <c r="D42" s="777" t="s">
        <v>1060</v>
      </c>
      <c r="E42" s="780">
        <v>1</v>
      </c>
      <c r="F42" s="777" t="s">
        <v>1058</v>
      </c>
      <c r="G42" s="246" t="s">
        <v>743</v>
      </c>
      <c r="H42" s="11" t="s">
        <v>744</v>
      </c>
      <c r="I42" s="245">
        <f>+E42*1.3</f>
        <v>1.3</v>
      </c>
      <c r="J42" s="245" t="s">
        <v>745</v>
      </c>
      <c r="K42" s="245"/>
    </row>
    <row r="43" spans="1:11">
      <c r="A43" s="778"/>
      <c r="B43" s="778"/>
      <c r="C43" s="778"/>
      <c r="D43" s="778"/>
      <c r="E43" s="781"/>
      <c r="F43" s="778"/>
      <c r="G43" s="246" t="s">
        <v>52</v>
      </c>
      <c r="H43" s="246" t="s">
        <v>746</v>
      </c>
      <c r="I43" s="245">
        <f>+E42*8</f>
        <v>8</v>
      </c>
      <c r="J43" s="245" t="s">
        <v>747</v>
      </c>
      <c r="K43" s="245"/>
    </row>
    <row r="44" spans="1:11">
      <c r="A44" s="778"/>
      <c r="B44" s="778"/>
      <c r="C44" s="778"/>
      <c r="D44" s="778"/>
      <c r="E44" s="781"/>
      <c r="F44" s="778"/>
      <c r="G44" s="246" t="s">
        <v>748</v>
      </c>
      <c r="H44" s="246" t="s">
        <v>39</v>
      </c>
      <c r="I44" s="245">
        <f>+E42*3.2</f>
        <v>3.2</v>
      </c>
      <c r="J44" s="245" t="s">
        <v>30</v>
      </c>
      <c r="K44" s="245"/>
    </row>
    <row r="45" spans="1:11">
      <c r="A45" s="778"/>
      <c r="B45" s="778"/>
      <c r="C45" s="778"/>
      <c r="D45" s="778"/>
      <c r="E45" s="781"/>
      <c r="F45" s="778"/>
      <c r="G45" s="32" t="s">
        <v>1068</v>
      </c>
      <c r="H45" s="308"/>
      <c r="I45" s="307">
        <f>E42*1</f>
        <v>1</v>
      </c>
      <c r="J45" s="307" t="s">
        <v>31</v>
      </c>
      <c r="K45" s="307"/>
    </row>
    <row r="46" spans="1:11">
      <c r="A46" s="779"/>
      <c r="B46" s="779"/>
      <c r="C46" s="779"/>
      <c r="D46" s="779"/>
      <c r="E46" s="782"/>
      <c r="F46" s="779"/>
      <c r="G46" s="32"/>
      <c r="H46" s="308"/>
      <c r="I46" s="307">
        <f>E42</f>
        <v>1</v>
      </c>
      <c r="J46" s="307" t="s">
        <v>35</v>
      </c>
      <c r="K46" s="310" t="s">
        <v>1062</v>
      </c>
    </row>
    <row r="47" spans="1:11">
      <c r="A47" s="809" t="s">
        <v>749</v>
      </c>
      <c r="B47" s="809"/>
      <c r="C47" s="809"/>
      <c r="D47" s="809"/>
      <c r="E47" s="809"/>
      <c r="F47" s="809"/>
      <c r="G47" s="809"/>
      <c r="H47" s="809"/>
      <c r="I47" s="809"/>
      <c r="J47" s="809"/>
      <c r="K47" s="809"/>
    </row>
    <row r="48" spans="1:11" ht="24">
      <c r="A48" s="245" t="s">
        <v>750</v>
      </c>
      <c r="B48" s="245" t="s">
        <v>751</v>
      </c>
      <c r="C48" s="245" t="s">
        <v>752</v>
      </c>
      <c r="D48" s="245" t="s">
        <v>753</v>
      </c>
      <c r="E48" s="15"/>
      <c r="F48" s="245" t="s">
        <v>754</v>
      </c>
      <c r="G48" s="245" t="s">
        <v>755</v>
      </c>
      <c r="H48" s="245" t="s">
        <v>756</v>
      </c>
      <c r="I48" s="245" t="s">
        <v>757</v>
      </c>
      <c r="J48" s="245" t="s">
        <v>758</v>
      </c>
      <c r="K48" s="245" t="s">
        <v>759</v>
      </c>
    </row>
    <row r="49" spans="1:11">
      <c r="A49" s="785" t="s">
        <v>760</v>
      </c>
      <c r="B49" s="785" t="s">
        <v>761</v>
      </c>
      <c r="C49" s="785">
        <v>720</v>
      </c>
      <c r="D49" s="785">
        <v>560</v>
      </c>
      <c r="E49" s="780">
        <v>1</v>
      </c>
      <c r="F49" s="794" t="s">
        <v>762</v>
      </c>
      <c r="G49" s="246" t="s">
        <v>763</v>
      </c>
      <c r="H49" s="246" t="s">
        <v>764</v>
      </c>
      <c r="I49" s="245">
        <f>+E49*1</f>
        <v>1</v>
      </c>
      <c r="J49" s="245" t="s">
        <v>747</v>
      </c>
      <c r="K49" s="777"/>
    </row>
    <row r="50" spans="1:11">
      <c r="A50" s="785"/>
      <c r="B50" s="785"/>
      <c r="C50" s="785"/>
      <c r="D50" s="785"/>
      <c r="E50" s="781"/>
      <c r="F50" s="794"/>
      <c r="G50" s="246" t="s">
        <v>748</v>
      </c>
      <c r="H50" s="246" t="s">
        <v>39</v>
      </c>
      <c r="I50" s="245">
        <f>+E49*1.3</f>
        <v>1.3</v>
      </c>
      <c r="J50" s="245" t="s">
        <v>30</v>
      </c>
      <c r="K50" s="778"/>
    </row>
    <row r="51" spans="1:11">
      <c r="A51" s="785"/>
      <c r="B51" s="785"/>
      <c r="C51" s="785"/>
      <c r="D51" s="785"/>
      <c r="E51" s="781"/>
      <c r="F51" s="794"/>
      <c r="G51" s="246" t="s">
        <v>121</v>
      </c>
      <c r="H51" s="246"/>
      <c r="I51" s="785" t="s">
        <v>765</v>
      </c>
      <c r="J51" s="785"/>
      <c r="K51" s="778"/>
    </row>
    <row r="52" spans="1:11">
      <c r="A52" s="785"/>
      <c r="B52" s="785"/>
      <c r="C52" s="785"/>
      <c r="D52" s="785"/>
      <c r="E52" s="782"/>
      <c r="F52" s="794"/>
      <c r="G52" s="246" t="s">
        <v>766</v>
      </c>
      <c r="H52" s="246" t="s">
        <v>746</v>
      </c>
      <c r="I52" s="245">
        <f>+E49*8</f>
        <v>8</v>
      </c>
      <c r="J52" s="245" t="s">
        <v>747</v>
      </c>
      <c r="K52" s="778"/>
    </row>
    <row r="53" spans="1:11">
      <c r="A53" s="785" t="s">
        <v>767</v>
      </c>
      <c r="B53" s="785" t="s">
        <v>768</v>
      </c>
      <c r="C53" s="785">
        <v>720</v>
      </c>
      <c r="D53" s="785">
        <v>560</v>
      </c>
      <c r="E53" s="780">
        <v>1</v>
      </c>
      <c r="F53" s="794" t="s">
        <v>769</v>
      </c>
      <c r="G53" s="246" t="s">
        <v>770</v>
      </c>
      <c r="H53" s="246" t="s">
        <v>771</v>
      </c>
      <c r="I53" s="245">
        <f>+E53*1</f>
        <v>1</v>
      </c>
      <c r="J53" s="245" t="s">
        <v>772</v>
      </c>
      <c r="K53" s="778"/>
    </row>
    <row r="54" spans="1:11">
      <c r="A54" s="785"/>
      <c r="B54" s="785"/>
      <c r="C54" s="785"/>
      <c r="D54" s="785"/>
      <c r="E54" s="781"/>
      <c r="F54" s="794"/>
      <c r="G54" s="246" t="s">
        <v>773</v>
      </c>
      <c r="H54" s="246" t="s">
        <v>39</v>
      </c>
      <c r="I54" s="245">
        <f>+E53*1.3</f>
        <v>1.3</v>
      </c>
      <c r="J54" s="245" t="s">
        <v>30</v>
      </c>
      <c r="K54" s="778"/>
    </row>
    <row r="55" spans="1:11">
      <c r="A55" s="785"/>
      <c r="B55" s="785"/>
      <c r="C55" s="785"/>
      <c r="D55" s="785"/>
      <c r="E55" s="781"/>
      <c r="F55" s="794"/>
      <c r="G55" s="246" t="s">
        <v>774</v>
      </c>
      <c r="H55" s="246"/>
      <c r="I55" s="785" t="s">
        <v>775</v>
      </c>
      <c r="J55" s="785"/>
      <c r="K55" s="778"/>
    </row>
    <row r="56" spans="1:11">
      <c r="A56" s="785"/>
      <c r="B56" s="785"/>
      <c r="C56" s="785"/>
      <c r="D56" s="785"/>
      <c r="E56" s="782"/>
      <c r="F56" s="794"/>
      <c r="G56" s="246" t="s">
        <v>52</v>
      </c>
      <c r="H56" s="246" t="s">
        <v>776</v>
      </c>
      <c r="I56" s="245">
        <f>+E53*8</f>
        <v>8</v>
      </c>
      <c r="J56" s="245" t="s">
        <v>772</v>
      </c>
      <c r="K56" s="778"/>
    </row>
    <row r="57" spans="1:11">
      <c r="A57" s="785" t="s">
        <v>777</v>
      </c>
      <c r="B57" s="785" t="s">
        <v>778</v>
      </c>
      <c r="C57" s="785">
        <v>720</v>
      </c>
      <c r="D57" s="785">
        <v>560</v>
      </c>
      <c r="E57" s="780">
        <v>1</v>
      </c>
      <c r="F57" s="794" t="s">
        <v>769</v>
      </c>
      <c r="G57" s="246" t="s">
        <v>779</v>
      </c>
      <c r="H57" s="246" t="s">
        <v>780</v>
      </c>
      <c r="I57" s="245">
        <f>+E57*1</f>
        <v>1</v>
      </c>
      <c r="J57" s="245" t="s">
        <v>772</v>
      </c>
      <c r="K57" s="778"/>
    </row>
    <row r="58" spans="1:11">
      <c r="A58" s="785"/>
      <c r="B58" s="785"/>
      <c r="C58" s="785"/>
      <c r="D58" s="785"/>
      <c r="E58" s="781"/>
      <c r="F58" s="794"/>
      <c r="G58" s="246" t="s">
        <v>773</v>
      </c>
      <c r="H58" s="246" t="s">
        <v>39</v>
      </c>
      <c r="I58" s="245">
        <f>+E57*1.5</f>
        <v>1.5</v>
      </c>
      <c r="J58" s="245" t="s">
        <v>30</v>
      </c>
      <c r="K58" s="778"/>
    </row>
    <row r="59" spans="1:11">
      <c r="A59" s="785"/>
      <c r="B59" s="785"/>
      <c r="C59" s="785"/>
      <c r="D59" s="785"/>
      <c r="E59" s="781"/>
      <c r="F59" s="794"/>
      <c r="G59" s="246" t="s">
        <v>774</v>
      </c>
      <c r="H59" s="246"/>
      <c r="I59" s="785" t="s">
        <v>775</v>
      </c>
      <c r="J59" s="785"/>
      <c r="K59" s="778"/>
    </row>
    <row r="60" spans="1:11">
      <c r="A60" s="785"/>
      <c r="B60" s="785"/>
      <c r="C60" s="785"/>
      <c r="D60" s="785"/>
      <c r="E60" s="782"/>
      <c r="F60" s="794"/>
      <c r="G60" s="246" t="s">
        <v>52</v>
      </c>
      <c r="H60" s="246" t="s">
        <v>776</v>
      </c>
      <c r="I60" s="245">
        <f>+E57*8</f>
        <v>8</v>
      </c>
      <c r="J60" s="245" t="s">
        <v>772</v>
      </c>
      <c r="K60" s="778"/>
    </row>
    <row r="61" spans="1:11">
      <c r="A61" s="785" t="s">
        <v>781</v>
      </c>
      <c r="B61" s="785" t="s">
        <v>782</v>
      </c>
      <c r="C61" s="785">
        <v>720</v>
      </c>
      <c r="D61" s="785">
        <v>300</v>
      </c>
      <c r="E61" s="780">
        <v>1</v>
      </c>
      <c r="F61" s="794" t="s">
        <v>783</v>
      </c>
      <c r="G61" s="246" t="s">
        <v>784</v>
      </c>
      <c r="H61" s="18" t="s">
        <v>785</v>
      </c>
      <c r="I61" s="245">
        <f>+E61*1</f>
        <v>1</v>
      </c>
      <c r="J61" s="245" t="s">
        <v>772</v>
      </c>
      <c r="K61" s="778"/>
    </row>
    <row r="62" spans="1:11">
      <c r="A62" s="785"/>
      <c r="B62" s="785"/>
      <c r="C62" s="785"/>
      <c r="D62" s="785"/>
      <c r="E62" s="781"/>
      <c r="F62" s="794"/>
      <c r="G62" s="246" t="s">
        <v>773</v>
      </c>
      <c r="H62" s="246" t="s">
        <v>39</v>
      </c>
      <c r="I62" s="245">
        <f>+E61*0.8</f>
        <v>0.8</v>
      </c>
      <c r="J62" s="245" t="s">
        <v>30</v>
      </c>
      <c r="K62" s="778"/>
    </row>
    <row r="63" spans="1:11">
      <c r="A63" s="785"/>
      <c r="B63" s="785"/>
      <c r="C63" s="785"/>
      <c r="D63" s="785"/>
      <c r="E63" s="781"/>
      <c r="F63" s="794"/>
      <c r="G63" s="246" t="s">
        <v>774</v>
      </c>
      <c r="H63" s="246"/>
      <c r="I63" s="785" t="s">
        <v>775</v>
      </c>
      <c r="J63" s="785"/>
      <c r="K63" s="778"/>
    </row>
    <row r="64" spans="1:11">
      <c r="A64" s="785"/>
      <c r="B64" s="785"/>
      <c r="C64" s="785"/>
      <c r="D64" s="785"/>
      <c r="E64" s="782"/>
      <c r="F64" s="794"/>
      <c r="G64" s="246" t="s">
        <v>52</v>
      </c>
      <c r="H64" s="246" t="s">
        <v>776</v>
      </c>
      <c r="I64" s="245">
        <f>+E61*8</f>
        <v>8</v>
      </c>
      <c r="J64" s="245" t="s">
        <v>772</v>
      </c>
      <c r="K64" s="778"/>
    </row>
    <row r="65" spans="1:11">
      <c r="A65" s="785" t="s">
        <v>786</v>
      </c>
      <c r="B65" s="785" t="s">
        <v>787</v>
      </c>
      <c r="C65" s="785">
        <v>720</v>
      </c>
      <c r="D65" s="785">
        <v>300</v>
      </c>
      <c r="E65" s="780">
        <v>1</v>
      </c>
      <c r="F65" s="794" t="s">
        <v>783</v>
      </c>
      <c r="G65" s="246" t="s">
        <v>788</v>
      </c>
      <c r="H65" s="18" t="s">
        <v>785</v>
      </c>
      <c r="I65" s="245">
        <f>+E65*1</f>
        <v>1</v>
      </c>
      <c r="J65" s="245" t="s">
        <v>772</v>
      </c>
      <c r="K65" s="778"/>
    </row>
    <row r="66" spans="1:11">
      <c r="A66" s="785"/>
      <c r="B66" s="785"/>
      <c r="C66" s="785"/>
      <c r="D66" s="785"/>
      <c r="E66" s="781"/>
      <c r="F66" s="794"/>
      <c r="G66" s="246" t="s">
        <v>773</v>
      </c>
      <c r="H66" s="246" t="s">
        <v>39</v>
      </c>
      <c r="I66" s="245">
        <f>+E65*0.8</f>
        <v>0.8</v>
      </c>
      <c r="J66" s="245" t="s">
        <v>789</v>
      </c>
      <c r="K66" s="778"/>
    </row>
    <row r="67" spans="1:11">
      <c r="A67" s="785"/>
      <c r="B67" s="785"/>
      <c r="C67" s="785"/>
      <c r="D67" s="785"/>
      <c r="E67" s="781"/>
      <c r="F67" s="794"/>
      <c r="G67" s="246" t="s">
        <v>774</v>
      </c>
      <c r="H67" s="246"/>
      <c r="I67" s="785" t="s">
        <v>775</v>
      </c>
      <c r="J67" s="785"/>
      <c r="K67" s="778"/>
    </row>
    <row r="68" spans="1:11">
      <c r="A68" s="785"/>
      <c r="B68" s="785"/>
      <c r="C68" s="785"/>
      <c r="D68" s="785"/>
      <c r="E68" s="782"/>
      <c r="F68" s="794"/>
      <c r="G68" s="246" t="s">
        <v>52</v>
      </c>
      <c r="H68" s="246" t="s">
        <v>776</v>
      </c>
      <c r="I68" s="245">
        <f>+E65*8</f>
        <v>8</v>
      </c>
      <c r="J68" s="245" t="s">
        <v>772</v>
      </c>
      <c r="K68" s="778"/>
    </row>
    <row r="69" spans="1:11">
      <c r="A69" s="785" t="s">
        <v>790</v>
      </c>
      <c r="B69" s="785" t="s">
        <v>768</v>
      </c>
      <c r="C69" s="785">
        <v>720</v>
      </c>
      <c r="D69" s="785">
        <v>300</v>
      </c>
      <c r="E69" s="780">
        <v>1</v>
      </c>
      <c r="F69" s="794" t="s">
        <v>791</v>
      </c>
      <c r="G69" s="246" t="s">
        <v>792</v>
      </c>
      <c r="H69" s="18" t="s">
        <v>793</v>
      </c>
      <c r="I69" s="245">
        <f>+E69*1</f>
        <v>1</v>
      </c>
      <c r="J69" s="245" t="s">
        <v>772</v>
      </c>
      <c r="K69" s="778"/>
    </row>
    <row r="70" spans="1:11">
      <c r="A70" s="785"/>
      <c r="B70" s="785"/>
      <c r="C70" s="785"/>
      <c r="D70" s="785"/>
      <c r="E70" s="781"/>
      <c r="F70" s="794"/>
      <c r="G70" s="246" t="s">
        <v>773</v>
      </c>
      <c r="H70" s="246" t="s">
        <v>39</v>
      </c>
      <c r="I70" s="245">
        <f>+E69*1</f>
        <v>1</v>
      </c>
      <c r="J70" s="245" t="s">
        <v>789</v>
      </c>
      <c r="K70" s="778"/>
    </row>
    <row r="71" spans="1:11">
      <c r="A71" s="785"/>
      <c r="B71" s="785"/>
      <c r="C71" s="785"/>
      <c r="D71" s="785"/>
      <c r="E71" s="781"/>
      <c r="F71" s="794"/>
      <c r="G71" s="246" t="s">
        <v>774</v>
      </c>
      <c r="H71" s="246"/>
      <c r="I71" s="785" t="s">
        <v>775</v>
      </c>
      <c r="J71" s="785"/>
      <c r="K71" s="778"/>
    </row>
    <row r="72" spans="1:11">
      <c r="A72" s="785"/>
      <c r="B72" s="785"/>
      <c r="C72" s="785"/>
      <c r="D72" s="785"/>
      <c r="E72" s="782"/>
      <c r="F72" s="794"/>
      <c r="G72" s="246" t="s">
        <v>52</v>
      </c>
      <c r="H72" s="246" t="s">
        <v>776</v>
      </c>
      <c r="I72" s="245">
        <f>+E69*8</f>
        <v>8</v>
      </c>
      <c r="J72" s="245" t="s">
        <v>772</v>
      </c>
      <c r="K72" s="778"/>
    </row>
    <row r="73" spans="1:11">
      <c r="A73" s="785" t="s">
        <v>794</v>
      </c>
      <c r="B73" s="785" t="s">
        <v>778</v>
      </c>
      <c r="C73" s="785">
        <v>720</v>
      </c>
      <c r="D73" s="785">
        <v>300</v>
      </c>
      <c r="E73" s="780">
        <v>1</v>
      </c>
      <c r="F73" s="794" t="s">
        <v>791</v>
      </c>
      <c r="G73" s="246" t="s">
        <v>795</v>
      </c>
      <c r="H73" s="18" t="s">
        <v>796</v>
      </c>
      <c r="I73" s="245">
        <f>+E73*1</f>
        <v>1</v>
      </c>
      <c r="J73" s="245" t="s">
        <v>772</v>
      </c>
      <c r="K73" s="778"/>
    </row>
    <row r="74" spans="1:11">
      <c r="A74" s="785"/>
      <c r="B74" s="785"/>
      <c r="C74" s="785"/>
      <c r="D74" s="785"/>
      <c r="E74" s="781"/>
      <c r="F74" s="794"/>
      <c r="G74" s="246" t="s">
        <v>773</v>
      </c>
      <c r="H74" s="246" t="s">
        <v>39</v>
      </c>
      <c r="I74" s="245">
        <f>+E73*1.4</f>
        <v>1.4</v>
      </c>
      <c r="J74" s="245" t="s">
        <v>789</v>
      </c>
      <c r="K74" s="778"/>
    </row>
    <row r="75" spans="1:11">
      <c r="A75" s="785"/>
      <c r="B75" s="785"/>
      <c r="C75" s="785"/>
      <c r="D75" s="785"/>
      <c r="E75" s="781"/>
      <c r="F75" s="794"/>
      <c r="G75" s="246" t="s">
        <v>774</v>
      </c>
      <c r="H75" s="246"/>
      <c r="I75" s="785" t="s">
        <v>775</v>
      </c>
      <c r="J75" s="785"/>
      <c r="K75" s="778"/>
    </row>
    <row r="76" spans="1:11">
      <c r="A76" s="785"/>
      <c r="B76" s="785"/>
      <c r="C76" s="785"/>
      <c r="D76" s="785"/>
      <c r="E76" s="782"/>
      <c r="F76" s="794"/>
      <c r="G76" s="246" t="s">
        <v>52</v>
      </c>
      <c r="H76" s="246" t="s">
        <v>776</v>
      </c>
      <c r="I76" s="245">
        <f>+E73*8</f>
        <v>8</v>
      </c>
      <c r="J76" s="245" t="s">
        <v>772</v>
      </c>
      <c r="K76" s="778"/>
    </row>
    <row r="77" spans="1:11">
      <c r="A77" s="785" t="s">
        <v>172</v>
      </c>
      <c r="B77" s="785" t="s">
        <v>171</v>
      </c>
      <c r="C77" s="785">
        <v>2160</v>
      </c>
      <c r="D77" s="785">
        <v>560</v>
      </c>
      <c r="E77" s="780">
        <v>1</v>
      </c>
      <c r="F77" s="794" t="s">
        <v>797</v>
      </c>
      <c r="G77" s="246" t="s">
        <v>798</v>
      </c>
      <c r="H77" s="11" t="s">
        <v>799</v>
      </c>
      <c r="I77" s="245">
        <f>+E77*1</f>
        <v>1</v>
      </c>
      <c r="J77" s="245" t="s">
        <v>800</v>
      </c>
      <c r="K77" s="778"/>
    </row>
    <row r="78" spans="1:11">
      <c r="A78" s="785"/>
      <c r="B78" s="785"/>
      <c r="C78" s="785"/>
      <c r="D78" s="785"/>
      <c r="E78" s="781"/>
      <c r="F78" s="794"/>
      <c r="G78" s="246" t="s">
        <v>773</v>
      </c>
      <c r="H78" s="246" t="s">
        <v>39</v>
      </c>
      <c r="I78" s="245">
        <f>+E77*2.5</f>
        <v>2.5</v>
      </c>
      <c r="J78" s="245" t="s">
        <v>30</v>
      </c>
      <c r="K78" s="778"/>
    </row>
    <row r="79" spans="1:11">
      <c r="A79" s="785"/>
      <c r="B79" s="785"/>
      <c r="C79" s="785"/>
      <c r="D79" s="785"/>
      <c r="E79" s="781"/>
      <c r="F79" s="794"/>
      <c r="G79" s="246" t="s">
        <v>774</v>
      </c>
      <c r="H79" s="246"/>
      <c r="I79" s="785" t="s">
        <v>775</v>
      </c>
      <c r="J79" s="785"/>
      <c r="K79" s="778"/>
    </row>
    <row r="80" spans="1:11">
      <c r="A80" s="785"/>
      <c r="B80" s="785"/>
      <c r="C80" s="785"/>
      <c r="D80" s="785"/>
      <c r="E80" s="782"/>
      <c r="F80" s="794"/>
      <c r="G80" s="246" t="s">
        <v>52</v>
      </c>
      <c r="H80" s="246" t="s">
        <v>776</v>
      </c>
      <c r="I80" s="245">
        <f>+E77*8</f>
        <v>8</v>
      </c>
      <c r="J80" s="245" t="s">
        <v>772</v>
      </c>
      <c r="K80" s="779"/>
    </row>
    <row r="81" spans="1:11">
      <c r="A81" s="794" t="s">
        <v>801</v>
      </c>
      <c r="B81" s="794"/>
      <c r="C81" s="794"/>
      <c r="D81" s="794"/>
      <c r="E81" s="794"/>
      <c r="F81" s="794"/>
      <c r="G81" s="794"/>
      <c r="H81" s="794"/>
      <c r="I81" s="794"/>
      <c r="J81" s="794"/>
      <c r="K81" s="794"/>
    </row>
    <row r="82" spans="1:11">
      <c r="A82" s="789" t="s">
        <v>802</v>
      </c>
      <c r="B82" s="789"/>
      <c r="C82" s="789"/>
      <c r="D82" s="789"/>
      <c r="E82" s="789"/>
      <c r="F82" s="789"/>
      <c r="G82" s="789"/>
      <c r="H82" s="789"/>
      <c r="I82" s="789"/>
      <c r="J82" s="789"/>
      <c r="K82" s="789"/>
    </row>
    <row r="83" spans="1:11" ht="24">
      <c r="A83" s="245" t="s">
        <v>117</v>
      </c>
      <c r="B83" s="245" t="s">
        <v>803</v>
      </c>
      <c r="C83" s="245" t="s">
        <v>804</v>
      </c>
      <c r="D83" s="245" t="s">
        <v>805</v>
      </c>
      <c r="E83" s="15"/>
      <c r="F83" s="245" t="s">
        <v>806</v>
      </c>
      <c r="G83" s="245" t="s">
        <v>807</v>
      </c>
      <c r="H83" s="245" t="s">
        <v>808</v>
      </c>
      <c r="I83" s="245" t="s">
        <v>102</v>
      </c>
      <c r="J83" s="245" t="s">
        <v>101</v>
      </c>
      <c r="K83" s="245" t="s">
        <v>809</v>
      </c>
    </row>
    <row r="84" spans="1:11">
      <c r="A84" s="785">
        <v>1</v>
      </c>
      <c r="B84" s="785" t="s">
        <v>810</v>
      </c>
      <c r="C84" s="785" t="s">
        <v>811</v>
      </c>
      <c r="D84" s="785" t="s">
        <v>811</v>
      </c>
      <c r="E84" s="780">
        <v>1</v>
      </c>
      <c r="F84" s="785" t="s">
        <v>812</v>
      </c>
      <c r="G84" s="246" t="s">
        <v>813</v>
      </c>
      <c r="H84" s="11" t="s">
        <v>814</v>
      </c>
      <c r="I84" s="245">
        <f>+E84*0.3</f>
        <v>0.3</v>
      </c>
      <c r="J84" s="245" t="s">
        <v>815</v>
      </c>
      <c r="K84" s="785"/>
    </row>
    <row r="85" spans="1:11">
      <c r="A85" s="785"/>
      <c r="B85" s="785"/>
      <c r="C85" s="785"/>
      <c r="D85" s="785"/>
      <c r="E85" s="781"/>
      <c r="F85" s="785"/>
      <c r="G85" s="246" t="s">
        <v>816</v>
      </c>
      <c r="H85" s="246" t="s">
        <v>39</v>
      </c>
      <c r="I85" s="245">
        <f>+E84*1</f>
        <v>1</v>
      </c>
      <c r="J85" s="245" t="s">
        <v>30</v>
      </c>
      <c r="K85" s="785"/>
    </row>
    <row r="86" spans="1:11">
      <c r="A86" s="785"/>
      <c r="B86" s="785"/>
      <c r="C86" s="785"/>
      <c r="D86" s="785"/>
      <c r="E86" s="782"/>
      <c r="F86" s="785"/>
      <c r="G86" s="246" t="s">
        <v>52</v>
      </c>
      <c r="H86" s="246" t="s">
        <v>817</v>
      </c>
      <c r="I86" s="245">
        <f>+E84*8</f>
        <v>8</v>
      </c>
      <c r="J86" s="245" t="s">
        <v>818</v>
      </c>
      <c r="K86" s="785"/>
    </row>
    <row r="87" spans="1:11">
      <c r="A87" s="785">
        <v>2</v>
      </c>
      <c r="B87" s="785" t="s">
        <v>819</v>
      </c>
      <c r="C87" s="785" t="s">
        <v>820</v>
      </c>
      <c r="D87" s="785" t="s">
        <v>820</v>
      </c>
      <c r="E87" s="780">
        <v>1</v>
      </c>
      <c r="F87" s="785" t="s">
        <v>812</v>
      </c>
      <c r="G87" s="246" t="s">
        <v>813</v>
      </c>
      <c r="H87" s="11" t="s">
        <v>814</v>
      </c>
      <c r="I87" s="245">
        <f>+E87*0.4</f>
        <v>0.4</v>
      </c>
      <c r="J87" s="245" t="s">
        <v>815</v>
      </c>
      <c r="K87" s="785"/>
    </row>
    <row r="88" spans="1:11">
      <c r="A88" s="785"/>
      <c r="B88" s="785"/>
      <c r="C88" s="785"/>
      <c r="D88" s="785"/>
      <c r="E88" s="781"/>
      <c r="F88" s="785"/>
      <c r="G88" s="246" t="s">
        <v>816</v>
      </c>
      <c r="H88" s="246" t="s">
        <v>39</v>
      </c>
      <c r="I88" s="245">
        <f>+E87*1.5</f>
        <v>1.5</v>
      </c>
      <c r="J88" s="245" t="s">
        <v>30</v>
      </c>
      <c r="K88" s="785"/>
    </row>
    <row r="89" spans="1:11">
      <c r="A89" s="785"/>
      <c r="B89" s="785"/>
      <c r="C89" s="785"/>
      <c r="D89" s="785"/>
      <c r="E89" s="782"/>
      <c r="F89" s="785"/>
      <c r="G89" s="246" t="s">
        <v>52</v>
      </c>
      <c r="H89" s="246" t="s">
        <v>817</v>
      </c>
      <c r="I89" s="245">
        <f>+E87*8</f>
        <v>8</v>
      </c>
      <c r="J89" s="245" t="s">
        <v>818</v>
      </c>
      <c r="K89" s="785"/>
    </row>
    <row r="90" spans="1:11">
      <c r="A90" s="785">
        <v>3</v>
      </c>
      <c r="B90" s="785" t="s">
        <v>821</v>
      </c>
      <c r="C90" s="785" t="s">
        <v>820</v>
      </c>
      <c r="D90" s="785" t="s">
        <v>820</v>
      </c>
      <c r="E90" s="780">
        <v>1</v>
      </c>
      <c r="F90" s="785" t="s">
        <v>822</v>
      </c>
      <c r="G90" s="246" t="s">
        <v>813</v>
      </c>
      <c r="H90" s="11" t="s">
        <v>814</v>
      </c>
      <c r="I90" s="245">
        <f>+E90*0.4</f>
        <v>0.4</v>
      </c>
      <c r="J90" s="245" t="s">
        <v>815</v>
      </c>
      <c r="K90" s="785"/>
    </row>
    <row r="91" spans="1:11">
      <c r="A91" s="785"/>
      <c r="B91" s="785"/>
      <c r="C91" s="785"/>
      <c r="D91" s="785"/>
      <c r="E91" s="781"/>
      <c r="F91" s="785"/>
      <c r="G91" s="246" t="s">
        <v>816</v>
      </c>
      <c r="H91" s="246" t="s">
        <v>39</v>
      </c>
      <c r="I91" s="245">
        <f>+E90*1.5</f>
        <v>1.5</v>
      </c>
      <c r="J91" s="245" t="s">
        <v>30</v>
      </c>
      <c r="K91" s="785"/>
    </row>
    <row r="92" spans="1:11">
      <c r="A92" s="785"/>
      <c r="B92" s="785"/>
      <c r="C92" s="785"/>
      <c r="D92" s="785"/>
      <c r="E92" s="782"/>
      <c r="F92" s="785"/>
      <c r="G92" s="246" t="s">
        <v>52</v>
      </c>
      <c r="H92" s="246" t="s">
        <v>817</v>
      </c>
      <c r="I92" s="245">
        <f>+E90*8</f>
        <v>8</v>
      </c>
      <c r="J92" s="245" t="s">
        <v>818</v>
      </c>
      <c r="K92" s="785"/>
    </row>
    <row r="93" spans="1:11">
      <c r="A93" s="785">
        <v>4</v>
      </c>
      <c r="B93" s="785" t="s">
        <v>819</v>
      </c>
      <c r="C93" s="785" t="s">
        <v>820</v>
      </c>
      <c r="D93" s="785" t="s">
        <v>820</v>
      </c>
      <c r="E93" s="780">
        <v>1</v>
      </c>
      <c r="F93" s="785" t="s">
        <v>822</v>
      </c>
      <c r="G93" s="246" t="s">
        <v>813</v>
      </c>
      <c r="H93" s="11" t="s">
        <v>814</v>
      </c>
      <c r="I93" s="245">
        <f>+E93*0.6</f>
        <v>0.6</v>
      </c>
      <c r="J93" s="245" t="s">
        <v>815</v>
      </c>
      <c r="K93" s="785"/>
    </row>
    <row r="94" spans="1:11">
      <c r="A94" s="785"/>
      <c r="B94" s="785"/>
      <c r="C94" s="785"/>
      <c r="D94" s="785"/>
      <c r="E94" s="781"/>
      <c r="F94" s="785"/>
      <c r="G94" s="246" t="s">
        <v>816</v>
      </c>
      <c r="H94" s="246" t="s">
        <v>39</v>
      </c>
      <c r="I94" s="245">
        <f>+E93*1.5</f>
        <v>1.5</v>
      </c>
      <c r="J94" s="245" t="s">
        <v>30</v>
      </c>
      <c r="K94" s="785"/>
    </row>
    <row r="95" spans="1:11">
      <c r="A95" s="785"/>
      <c r="B95" s="785"/>
      <c r="C95" s="785"/>
      <c r="D95" s="785"/>
      <c r="E95" s="782"/>
      <c r="F95" s="785"/>
      <c r="G95" s="246" t="s">
        <v>52</v>
      </c>
      <c r="H95" s="246" t="s">
        <v>817</v>
      </c>
      <c r="I95" s="245">
        <f>+E93*8</f>
        <v>8</v>
      </c>
      <c r="J95" s="245" t="s">
        <v>818</v>
      </c>
      <c r="K95" s="785"/>
    </row>
    <row r="96" spans="1:11">
      <c r="A96" s="785">
        <v>5</v>
      </c>
      <c r="B96" s="785" t="s">
        <v>820</v>
      </c>
      <c r="C96" s="785" t="s">
        <v>820</v>
      </c>
      <c r="D96" s="785" t="s">
        <v>823</v>
      </c>
      <c r="E96" s="780">
        <v>1</v>
      </c>
      <c r="F96" s="794" t="s">
        <v>824</v>
      </c>
      <c r="G96" s="246" t="s">
        <v>813</v>
      </c>
      <c r="H96" s="11" t="s">
        <v>814</v>
      </c>
      <c r="I96" s="245">
        <f>+E96*0.5</f>
        <v>0.5</v>
      </c>
      <c r="J96" s="245" t="s">
        <v>815</v>
      </c>
      <c r="K96" s="785"/>
    </row>
    <row r="97" spans="1:11">
      <c r="A97" s="785"/>
      <c r="B97" s="785"/>
      <c r="C97" s="785"/>
      <c r="D97" s="785"/>
      <c r="E97" s="781"/>
      <c r="F97" s="794"/>
      <c r="G97" s="246" t="s">
        <v>816</v>
      </c>
      <c r="H97" s="246" t="s">
        <v>39</v>
      </c>
      <c r="I97" s="245">
        <f>+E96*2</f>
        <v>2</v>
      </c>
      <c r="J97" s="245" t="s">
        <v>30</v>
      </c>
      <c r="K97" s="785"/>
    </row>
    <row r="98" spans="1:11">
      <c r="A98" s="785"/>
      <c r="B98" s="785"/>
      <c r="C98" s="785"/>
      <c r="D98" s="785"/>
      <c r="E98" s="782"/>
      <c r="F98" s="794"/>
      <c r="G98" s="246" t="s">
        <v>52</v>
      </c>
      <c r="H98" s="246" t="s">
        <v>817</v>
      </c>
      <c r="I98" s="245">
        <f>+E96*8</f>
        <v>8</v>
      </c>
      <c r="J98" s="245" t="s">
        <v>818</v>
      </c>
      <c r="K98" s="785"/>
    </row>
    <row r="99" spans="1:11">
      <c r="A99" s="785">
        <v>6</v>
      </c>
      <c r="B99" s="785" t="s">
        <v>820</v>
      </c>
      <c r="C99" s="785" t="s">
        <v>820</v>
      </c>
      <c r="D99" s="785" t="s">
        <v>825</v>
      </c>
      <c r="E99" s="780">
        <v>1</v>
      </c>
      <c r="F99" s="794" t="s">
        <v>826</v>
      </c>
      <c r="G99" s="246" t="s">
        <v>743</v>
      </c>
      <c r="H99" s="11" t="s">
        <v>744</v>
      </c>
      <c r="I99" s="245">
        <f>+E99*0.8</f>
        <v>0.8</v>
      </c>
      <c r="J99" s="245" t="s">
        <v>745</v>
      </c>
      <c r="K99" s="785"/>
    </row>
    <row r="100" spans="1:11">
      <c r="A100" s="785"/>
      <c r="B100" s="785"/>
      <c r="C100" s="785"/>
      <c r="D100" s="785"/>
      <c r="E100" s="781"/>
      <c r="F100" s="794"/>
      <c r="G100" s="246" t="s">
        <v>748</v>
      </c>
      <c r="H100" s="246" t="s">
        <v>39</v>
      </c>
      <c r="I100" s="245">
        <f>+E99*2</f>
        <v>2</v>
      </c>
      <c r="J100" s="245" t="s">
        <v>30</v>
      </c>
      <c r="K100" s="785"/>
    </row>
    <row r="101" spans="1:11">
      <c r="A101" s="785"/>
      <c r="B101" s="785"/>
      <c r="C101" s="785"/>
      <c r="D101" s="785"/>
      <c r="E101" s="782"/>
      <c r="F101" s="794"/>
      <c r="G101" s="246" t="s">
        <v>52</v>
      </c>
      <c r="H101" s="246" t="s">
        <v>746</v>
      </c>
      <c r="I101" s="245">
        <f>+E99*8</f>
        <v>8</v>
      </c>
      <c r="J101" s="245" t="s">
        <v>747</v>
      </c>
      <c r="K101" s="785"/>
    </row>
    <row r="102" spans="1:11">
      <c r="A102" s="785">
        <v>7</v>
      </c>
      <c r="B102" s="785" t="s">
        <v>742</v>
      </c>
      <c r="C102" s="785" t="s">
        <v>742</v>
      </c>
      <c r="D102" s="785" t="s">
        <v>827</v>
      </c>
      <c r="E102" s="780">
        <v>1</v>
      </c>
      <c r="F102" s="785" t="s">
        <v>828</v>
      </c>
      <c r="G102" s="246" t="s">
        <v>743</v>
      </c>
      <c r="H102" s="11" t="s">
        <v>744</v>
      </c>
      <c r="I102" s="245">
        <f>+E102*0.5</f>
        <v>0.5</v>
      </c>
      <c r="J102" s="245" t="s">
        <v>745</v>
      </c>
      <c r="K102" s="785"/>
    </row>
    <row r="103" spans="1:11">
      <c r="A103" s="785"/>
      <c r="B103" s="785"/>
      <c r="C103" s="785"/>
      <c r="D103" s="785"/>
      <c r="E103" s="781"/>
      <c r="F103" s="785"/>
      <c r="G103" s="246" t="s">
        <v>748</v>
      </c>
      <c r="H103" s="246" t="s">
        <v>39</v>
      </c>
      <c r="I103" s="245">
        <f>+E102*2.5</f>
        <v>2.5</v>
      </c>
      <c r="J103" s="245" t="s">
        <v>30</v>
      </c>
      <c r="K103" s="785"/>
    </row>
    <row r="104" spans="1:11">
      <c r="A104" s="785"/>
      <c r="B104" s="785"/>
      <c r="C104" s="785"/>
      <c r="D104" s="785"/>
      <c r="E104" s="782"/>
      <c r="F104" s="785"/>
      <c r="G104" s="246" t="s">
        <v>52</v>
      </c>
      <c r="H104" s="246" t="s">
        <v>746</v>
      </c>
      <c r="I104" s="245">
        <f>+E102*8</f>
        <v>8</v>
      </c>
      <c r="J104" s="245" t="s">
        <v>747</v>
      </c>
      <c r="K104" s="785"/>
    </row>
    <row r="105" spans="1:11">
      <c r="A105" s="785">
        <v>8</v>
      </c>
      <c r="B105" s="785" t="s">
        <v>742</v>
      </c>
      <c r="C105" s="785" t="s">
        <v>742</v>
      </c>
      <c r="D105" s="785" t="s">
        <v>825</v>
      </c>
      <c r="E105" s="780">
        <v>1</v>
      </c>
      <c r="F105" s="785" t="s">
        <v>828</v>
      </c>
      <c r="G105" s="246" t="s">
        <v>743</v>
      </c>
      <c r="H105" s="11" t="s">
        <v>744</v>
      </c>
      <c r="I105" s="245">
        <f>+E105*1</f>
        <v>1</v>
      </c>
      <c r="J105" s="245" t="s">
        <v>745</v>
      </c>
      <c r="K105" s="785"/>
    </row>
    <row r="106" spans="1:11">
      <c r="A106" s="785"/>
      <c r="B106" s="785"/>
      <c r="C106" s="785"/>
      <c r="D106" s="785"/>
      <c r="E106" s="781"/>
      <c r="F106" s="785"/>
      <c r="G106" s="246" t="s">
        <v>748</v>
      </c>
      <c r="H106" s="246" t="s">
        <v>39</v>
      </c>
      <c r="I106" s="245">
        <f>+E105*2.5</f>
        <v>2.5</v>
      </c>
      <c r="J106" s="245" t="s">
        <v>30</v>
      </c>
      <c r="K106" s="785"/>
    </row>
    <row r="107" spans="1:11">
      <c r="A107" s="785"/>
      <c r="B107" s="785"/>
      <c r="C107" s="785"/>
      <c r="D107" s="785"/>
      <c r="E107" s="782"/>
      <c r="F107" s="785"/>
      <c r="G107" s="246" t="s">
        <v>52</v>
      </c>
      <c r="H107" s="246" t="s">
        <v>746</v>
      </c>
      <c r="I107" s="245">
        <f>+E105*8</f>
        <v>8</v>
      </c>
      <c r="J107" s="245" t="s">
        <v>747</v>
      </c>
      <c r="K107" s="785"/>
    </row>
    <row r="108" spans="1:11">
      <c r="A108" s="789" t="s">
        <v>829</v>
      </c>
      <c r="B108" s="789"/>
      <c r="C108" s="789"/>
      <c r="D108" s="789"/>
      <c r="E108" s="789"/>
      <c r="F108" s="789"/>
      <c r="G108" s="789"/>
      <c r="H108" s="789"/>
      <c r="I108" s="789"/>
      <c r="J108" s="789"/>
      <c r="K108" s="789"/>
    </row>
    <row r="109" spans="1:11" ht="24">
      <c r="A109" s="245" t="s">
        <v>117</v>
      </c>
      <c r="B109" s="245" t="s">
        <v>803</v>
      </c>
      <c r="C109" s="245" t="s">
        <v>804</v>
      </c>
      <c r="D109" s="245" t="s">
        <v>830</v>
      </c>
      <c r="E109" s="15"/>
      <c r="F109" s="245" t="s">
        <v>806</v>
      </c>
      <c r="G109" s="245" t="s">
        <v>807</v>
      </c>
      <c r="H109" s="245" t="s">
        <v>808</v>
      </c>
      <c r="I109" s="245" t="s">
        <v>102</v>
      </c>
      <c r="J109" s="245" t="s">
        <v>101</v>
      </c>
      <c r="K109" s="245" t="s">
        <v>100</v>
      </c>
    </row>
    <row r="110" spans="1:11">
      <c r="A110" s="785">
        <v>1</v>
      </c>
      <c r="B110" s="785" t="s">
        <v>831</v>
      </c>
      <c r="C110" s="785" t="s">
        <v>832</v>
      </c>
      <c r="D110" s="785" t="s">
        <v>833</v>
      </c>
      <c r="E110" s="780">
        <v>1</v>
      </c>
      <c r="F110" s="785" t="s">
        <v>834</v>
      </c>
      <c r="G110" s="246" t="s">
        <v>835</v>
      </c>
      <c r="H110" s="11" t="s">
        <v>799</v>
      </c>
      <c r="I110" s="245">
        <f>+E110*0.7</f>
        <v>0.7</v>
      </c>
      <c r="J110" s="245" t="s">
        <v>800</v>
      </c>
      <c r="K110" s="785" t="s">
        <v>836</v>
      </c>
    </row>
    <row r="111" spans="1:11">
      <c r="A111" s="785"/>
      <c r="B111" s="785"/>
      <c r="C111" s="785"/>
      <c r="D111" s="785"/>
      <c r="E111" s="781"/>
      <c r="F111" s="785"/>
      <c r="G111" s="308" t="s">
        <v>837</v>
      </c>
      <c r="H111" s="248" t="s">
        <v>838</v>
      </c>
      <c r="I111" s="245">
        <f>E110*1</f>
        <v>1</v>
      </c>
      <c r="J111" s="245" t="s">
        <v>839</v>
      </c>
      <c r="K111" s="785"/>
    </row>
    <row r="112" spans="1:11">
      <c r="A112" s="785"/>
      <c r="B112" s="785"/>
      <c r="C112" s="785"/>
      <c r="D112" s="785"/>
      <c r="E112" s="782"/>
      <c r="F112" s="785"/>
      <c r="G112" s="308" t="s">
        <v>773</v>
      </c>
      <c r="H112" s="246" t="s">
        <v>39</v>
      </c>
      <c r="I112" s="245">
        <f>+E110*2</f>
        <v>2</v>
      </c>
      <c r="J112" s="245" t="s">
        <v>789</v>
      </c>
      <c r="K112" s="785"/>
    </row>
    <row r="113" spans="1:11">
      <c r="A113" s="785">
        <v>2</v>
      </c>
      <c r="B113" s="785" t="s">
        <v>831</v>
      </c>
      <c r="C113" s="785" t="s">
        <v>840</v>
      </c>
      <c r="D113" s="785" t="s">
        <v>833</v>
      </c>
      <c r="E113" s="780">
        <v>1</v>
      </c>
      <c r="F113" s="785" t="s">
        <v>841</v>
      </c>
      <c r="G113" s="308" t="s">
        <v>835</v>
      </c>
      <c r="H113" s="11" t="s">
        <v>799</v>
      </c>
      <c r="I113" s="245">
        <f>+E113*1</f>
        <v>1</v>
      </c>
      <c r="J113" s="245" t="s">
        <v>800</v>
      </c>
      <c r="K113" s="785"/>
    </row>
    <row r="114" spans="1:11">
      <c r="A114" s="785"/>
      <c r="B114" s="785"/>
      <c r="C114" s="785"/>
      <c r="D114" s="785"/>
      <c r="E114" s="781"/>
      <c r="F114" s="785"/>
      <c r="G114" s="308" t="s">
        <v>842</v>
      </c>
      <c r="H114" s="248" t="s">
        <v>843</v>
      </c>
      <c r="I114" s="245">
        <f>E113*1</f>
        <v>1</v>
      </c>
      <c r="J114" s="245" t="s">
        <v>839</v>
      </c>
      <c r="K114" s="785"/>
    </row>
    <row r="115" spans="1:11">
      <c r="A115" s="785"/>
      <c r="B115" s="785"/>
      <c r="C115" s="785"/>
      <c r="D115" s="785"/>
      <c r="E115" s="782"/>
      <c r="F115" s="785"/>
      <c r="G115" s="246" t="s">
        <v>773</v>
      </c>
      <c r="H115" s="246" t="s">
        <v>39</v>
      </c>
      <c r="I115" s="245">
        <f>+E113*2.5</f>
        <v>2.5</v>
      </c>
      <c r="J115" s="245" t="s">
        <v>789</v>
      </c>
      <c r="K115" s="785"/>
    </row>
    <row r="116" spans="1:11">
      <c r="A116" s="795" t="s">
        <v>844</v>
      </c>
      <c r="B116" s="795"/>
      <c r="C116" s="795"/>
      <c r="D116" s="795"/>
      <c r="E116" s="795"/>
      <c r="F116" s="795"/>
      <c r="G116" s="795"/>
      <c r="H116" s="795"/>
      <c r="I116" s="795"/>
      <c r="J116" s="795"/>
      <c r="K116" s="795"/>
    </row>
    <row r="117" spans="1:11">
      <c r="A117" s="789" t="s">
        <v>845</v>
      </c>
      <c r="B117" s="789"/>
      <c r="C117" s="789"/>
      <c r="D117" s="789"/>
      <c r="E117" s="789"/>
      <c r="F117" s="789"/>
      <c r="G117" s="789"/>
      <c r="H117" s="789"/>
      <c r="I117" s="789"/>
      <c r="J117" s="789"/>
      <c r="K117" s="789"/>
    </row>
    <row r="118" spans="1:11" ht="24">
      <c r="A118" s="245" t="s">
        <v>846</v>
      </c>
      <c r="B118" s="245" t="s">
        <v>803</v>
      </c>
      <c r="C118" s="245" t="s">
        <v>804</v>
      </c>
      <c r="D118" s="245" t="s">
        <v>847</v>
      </c>
      <c r="E118" s="15"/>
      <c r="F118" s="245" t="s">
        <v>848</v>
      </c>
      <c r="G118" s="245" t="s">
        <v>807</v>
      </c>
      <c r="H118" s="245" t="s">
        <v>808</v>
      </c>
      <c r="I118" s="245" t="s">
        <v>830</v>
      </c>
      <c r="J118" s="245" t="s">
        <v>849</v>
      </c>
      <c r="K118" s="245" t="s">
        <v>809</v>
      </c>
    </row>
    <row r="119" spans="1:11">
      <c r="A119" s="785" t="s">
        <v>850</v>
      </c>
      <c r="B119" s="785" t="s">
        <v>851</v>
      </c>
      <c r="C119" s="785" t="s">
        <v>852</v>
      </c>
      <c r="D119" s="785" t="s">
        <v>853</v>
      </c>
      <c r="E119" s="780">
        <v>1</v>
      </c>
      <c r="F119" s="794" t="s">
        <v>854</v>
      </c>
      <c r="G119" s="246" t="s">
        <v>855</v>
      </c>
      <c r="H119" s="246" t="s">
        <v>130</v>
      </c>
      <c r="I119" s="245">
        <f>+E119*1</f>
        <v>1</v>
      </c>
      <c r="J119" s="245" t="s">
        <v>772</v>
      </c>
      <c r="K119" s="794" t="s">
        <v>856</v>
      </c>
    </row>
    <row r="120" spans="1:11" ht="24">
      <c r="A120" s="785"/>
      <c r="B120" s="785"/>
      <c r="C120" s="785"/>
      <c r="D120" s="785"/>
      <c r="E120" s="781"/>
      <c r="F120" s="794"/>
      <c r="G120" s="32" t="s">
        <v>857</v>
      </c>
      <c r="H120" s="248" t="s">
        <v>858</v>
      </c>
      <c r="I120" s="245">
        <f>E119*1</f>
        <v>1</v>
      </c>
      <c r="J120" s="245" t="s">
        <v>772</v>
      </c>
      <c r="K120" s="794"/>
    </row>
    <row r="121" spans="1:11">
      <c r="A121" s="785"/>
      <c r="B121" s="785"/>
      <c r="C121" s="785"/>
      <c r="D121" s="785"/>
      <c r="E121" s="781"/>
      <c r="F121" s="794"/>
      <c r="G121" s="246" t="s">
        <v>773</v>
      </c>
      <c r="H121" s="246" t="s">
        <v>39</v>
      </c>
      <c r="I121" s="245">
        <f>+E119*2.6</f>
        <v>2.6</v>
      </c>
      <c r="J121" s="245" t="s">
        <v>30</v>
      </c>
      <c r="K121" s="794"/>
    </row>
    <row r="122" spans="1:11">
      <c r="A122" s="785"/>
      <c r="B122" s="785"/>
      <c r="C122" s="785"/>
      <c r="D122" s="785"/>
      <c r="E122" s="781"/>
      <c r="F122" s="794"/>
      <c r="G122" s="246" t="s">
        <v>859</v>
      </c>
      <c r="H122" s="246"/>
      <c r="I122" s="785" t="s">
        <v>775</v>
      </c>
      <c r="J122" s="785"/>
      <c r="K122" s="794"/>
    </row>
    <row r="123" spans="1:11">
      <c r="A123" s="785"/>
      <c r="B123" s="785"/>
      <c r="C123" s="785"/>
      <c r="D123" s="785"/>
      <c r="E123" s="782"/>
      <c r="F123" s="794"/>
      <c r="G123" s="246" t="s">
        <v>52</v>
      </c>
      <c r="H123" s="246" t="s">
        <v>776</v>
      </c>
      <c r="I123" s="245">
        <f>+E119*8</f>
        <v>8</v>
      </c>
      <c r="J123" s="245" t="s">
        <v>772</v>
      </c>
      <c r="K123" s="794"/>
    </row>
    <row r="124" spans="1:11">
      <c r="A124" s="785" t="s">
        <v>143</v>
      </c>
      <c r="B124" s="785" t="s">
        <v>860</v>
      </c>
      <c r="C124" s="785" t="s">
        <v>852</v>
      </c>
      <c r="D124" s="785" t="s">
        <v>853</v>
      </c>
      <c r="E124" s="780">
        <v>1</v>
      </c>
      <c r="F124" s="794"/>
      <c r="G124" s="246" t="s">
        <v>861</v>
      </c>
      <c r="H124" s="246" t="s">
        <v>139</v>
      </c>
      <c r="I124" s="245">
        <f>+E124*1</f>
        <v>1</v>
      </c>
      <c r="J124" s="245" t="s">
        <v>772</v>
      </c>
      <c r="K124" s="794"/>
    </row>
    <row r="125" spans="1:11" ht="24">
      <c r="A125" s="785"/>
      <c r="B125" s="785"/>
      <c r="C125" s="785"/>
      <c r="D125" s="785"/>
      <c r="E125" s="781"/>
      <c r="F125" s="794"/>
      <c r="G125" s="32" t="s">
        <v>862</v>
      </c>
      <c r="H125" s="248" t="s">
        <v>863</v>
      </c>
      <c r="I125" s="245">
        <f>E124*1</f>
        <v>1</v>
      </c>
      <c r="J125" s="245" t="s">
        <v>772</v>
      </c>
      <c r="K125" s="794"/>
    </row>
    <row r="126" spans="1:11">
      <c r="A126" s="785"/>
      <c r="B126" s="785"/>
      <c r="C126" s="785"/>
      <c r="D126" s="785"/>
      <c r="E126" s="781"/>
      <c r="F126" s="794"/>
      <c r="G126" s="246" t="s">
        <v>773</v>
      </c>
      <c r="H126" s="246" t="s">
        <v>39</v>
      </c>
      <c r="I126" s="245">
        <f>+E124*3.4</f>
        <v>3.4</v>
      </c>
      <c r="J126" s="245" t="s">
        <v>30</v>
      </c>
      <c r="K126" s="794"/>
    </row>
    <row r="127" spans="1:11">
      <c r="A127" s="785"/>
      <c r="B127" s="785"/>
      <c r="C127" s="785"/>
      <c r="D127" s="785"/>
      <c r="E127" s="781"/>
      <c r="F127" s="794"/>
      <c r="G127" s="246" t="s">
        <v>859</v>
      </c>
      <c r="H127" s="246"/>
      <c r="I127" s="785" t="s">
        <v>775</v>
      </c>
      <c r="J127" s="785"/>
      <c r="K127" s="794"/>
    </row>
    <row r="128" spans="1:11">
      <c r="A128" s="785"/>
      <c r="B128" s="785"/>
      <c r="C128" s="785"/>
      <c r="D128" s="785"/>
      <c r="E128" s="782"/>
      <c r="F128" s="794"/>
      <c r="G128" s="246" t="s">
        <v>52</v>
      </c>
      <c r="H128" s="246" t="s">
        <v>776</v>
      </c>
      <c r="I128" s="245">
        <f>+E124*8</f>
        <v>8</v>
      </c>
      <c r="J128" s="245" t="s">
        <v>772</v>
      </c>
      <c r="K128" s="794"/>
    </row>
    <row r="129" spans="1:11">
      <c r="A129" s="789" t="s">
        <v>864</v>
      </c>
      <c r="B129" s="789"/>
      <c r="C129" s="789"/>
      <c r="D129" s="789"/>
      <c r="E129" s="789"/>
      <c r="F129" s="789"/>
      <c r="G129" s="789"/>
      <c r="H129" s="789"/>
      <c r="I129" s="789"/>
      <c r="J129" s="789"/>
      <c r="K129" s="789"/>
    </row>
    <row r="130" spans="1:11" ht="24">
      <c r="A130" s="245" t="s">
        <v>117</v>
      </c>
      <c r="B130" s="245" t="s">
        <v>803</v>
      </c>
      <c r="C130" s="245" t="s">
        <v>804</v>
      </c>
      <c r="D130" s="245" t="s">
        <v>847</v>
      </c>
      <c r="E130" s="15"/>
      <c r="F130" s="245" t="s">
        <v>806</v>
      </c>
      <c r="G130" s="245" t="s">
        <v>807</v>
      </c>
      <c r="H130" s="245" t="s">
        <v>808</v>
      </c>
      <c r="I130" s="245" t="s">
        <v>102</v>
      </c>
      <c r="J130" s="245" t="s">
        <v>101</v>
      </c>
      <c r="K130" s="245" t="s">
        <v>809</v>
      </c>
    </row>
    <row r="131" spans="1:11">
      <c r="A131" s="785">
        <v>1</v>
      </c>
      <c r="B131" s="785" t="s">
        <v>865</v>
      </c>
      <c r="C131" s="785" t="s">
        <v>832</v>
      </c>
      <c r="D131" s="785" t="s">
        <v>853</v>
      </c>
      <c r="E131" s="780">
        <v>1</v>
      </c>
      <c r="F131" s="794" t="s">
        <v>866</v>
      </c>
      <c r="G131" s="246" t="s">
        <v>835</v>
      </c>
      <c r="H131" s="246" t="s">
        <v>130</v>
      </c>
      <c r="I131" s="245">
        <f>+E131*0.4*2</f>
        <v>0.8</v>
      </c>
      <c r="J131" s="245" t="s">
        <v>800</v>
      </c>
      <c r="K131" s="794"/>
    </row>
    <row r="132" spans="1:11">
      <c r="A132" s="785"/>
      <c r="B132" s="785"/>
      <c r="C132" s="785"/>
      <c r="D132" s="785"/>
      <c r="E132" s="781"/>
      <c r="F132" s="794"/>
      <c r="G132" s="246" t="s">
        <v>773</v>
      </c>
      <c r="H132" s="246" t="s">
        <v>39</v>
      </c>
      <c r="I132" s="245">
        <f>+E131*3.5</f>
        <v>3.5</v>
      </c>
      <c r="J132" s="245" t="s">
        <v>30</v>
      </c>
      <c r="K132" s="794"/>
    </row>
    <row r="133" spans="1:11">
      <c r="A133" s="785"/>
      <c r="B133" s="785"/>
      <c r="C133" s="785"/>
      <c r="D133" s="785"/>
      <c r="E133" s="781"/>
      <c r="F133" s="794"/>
      <c r="G133" s="246" t="s">
        <v>859</v>
      </c>
      <c r="H133" s="246"/>
      <c r="I133" s="785" t="s">
        <v>775</v>
      </c>
      <c r="J133" s="785"/>
      <c r="K133" s="794"/>
    </row>
    <row r="134" spans="1:11">
      <c r="A134" s="785"/>
      <c r="B134" s="785"/>
      <c r="C134" s="785"/>
      <c r="D134" s="785"/>
      <c r="E134" s="782"/>
      <c r="F134" s="794"/>
      <c r="G134" s="246" t="s">
        <v>52</v>
      </c>
      <c r="H134" s="246" t="s">
        <v>776</v>
      </c>
      <c r="I134" s="245">
        <f>+E131*8</f>
        <v>8</v>
      </c>
      <c r="J134" s="245" t="s">
        <v>772</v>
      </c>
      <c r="K134" s="794"/>
    </row>
    <row r="135" spans="1:11">
      <c r="A135" s="785">
        <v>2</v>
      </c>
      <c r="B135" s="785" t="s">
        <v>865</v>
      </c>
      <c r="C135" s="785" t="s">
        <v>840</v>
      </c>
      <c r="D135" s="785" t="s">
        <v>853</v>
      </c>
      <c r="E135" s="780">
        <v>1</v>
      </c>
      <c r="F135" s="794"/>
      <c r="G135" s="246" t="s">
        <v>835</v>
      </c>
      <c r="H135" s="246" t="s">
        <v>130</v>
      </c>
      <c r="I135" s="245">
        <f>+E135*0.7*2</f>
        <v>1.4</v>
      </c>
      <c r="J135" s="245" t="s">
        <v>800</v>
      </c>
      <c r="K135" s="794"/>
    </row>
    <row r="136" spans="1:11">
      <c r="A136" s="785"/>
      <c r="B136" s="785"/>
      <c r="C136" s="785"/>
      <c r="D136" s="785"/>
      <c r="E136" s="781"/>
      <c r="F136" s="794"/>
      <c r="G136" s="246" t="s">
        <v>859</v>
      </c>
      <c r="H136" s="246"/>
      <c r="I136" s="785" t="s">
        <v>775</v>
      </c>
      <c r="J136" s="785"/>
      <c r="K136" s="794"/>
    </row>
    <row r="137" spans="1:11">
      <c r="A137" s="785"/>
      <c r="B137" s="785"/>
      <c r="C137" s="785"/>
      <c r="D137" s="785"/>
      <c r="E137" s="781"/>
      <c r="F137" s="794"/>
      <c r="G137" s="246" t="s">
        <v>773</v>
      </c>
      <c r="H137" s="246" t="s">
        <v>39</v>
      </c>
      <c r="I137" s="245">
        <f>+E135*5</f>
        <v>5</v>
      </c>
      <c r="J137" s="245" t="s">
        <v>30</v>
      </c>
      <c r="K137" s="794"/>
    </row>
    <row r="138" spans="1:11">
      <c r="A138" s="785"/>
      <c r="B138" s="785"/>
      <c r="C138" s="785"/>
      <c r="D138" s="785"/>
      <c r="E138" s="782"/>
      <c r="F138" s="794"/>
      <c r="G138" s="246" t="s">
        <v>52</v>
      </c>
      <c r="H138" s="246" t="s">
        <v>776</v>
      </c>
      <c r="I138" s="245">
        <f>+E135*8</f>
        <v>8</v>
      </c>
      <c r="J138" s="245" t="s">
        <v>772</v>
      </c>
      <c r="K138" s="794"/>
    </row>
    <row r="139" spans="1:11">
      <c r="A139" s="795" t="s">
        <v>867</v>
      </c>
      <c r="B139" s="795"/>
      <c r="C139" s="795"/>
      <c r="D139" s="795"/>
      <c r="E139" s="795"/>
      <c r="F139" s="795"/>
      <c r="G139" s="795"/>
      <c r="H139" s="795"/>
      <c r="I139" s="795"/>
      <c r="J139" s="795"/>
      <c r="K139" s="795"/>
    </row>
    <row r="140" spans="1:11">
      <c r="A140" s="245" t="s">
        <v>868</v>
      </c>
      <c r="B140" s="245" t="s">
        <v>869</v>
      </c>
      <c r="C140" s="245" t="s">
        <v>870</v>
      </c>
      <c r="D140" s="245" t="s">
        <v>871</v>
      </c>
      <c r="E140" s="15"/>
      <c r="F140" s="245" t="s">
        <v>872</v>
      </c>
      <c r="G140" s="245" t="s">
        <v>873</v>
      </c>
      <c r="H140" s="245" t="s">
        <v>874</v>
      </c>
      <c r="I140" s="245" t="s">
        <v>102</v>
      </c>
      <c r="J140" s="245" t="s">
        <v>101</v>
      </c>
      <c r="K140" s="245" t="s">
        <v>100</v>
      </c>
    </row>
    <row r="141" spans="1:11">
      <c r="A141" s="810" t="s">
        <v>875</v>
      </c>
      <c r="B141" s="810">
        <v>50</v>
      </c>
      <c r="C141" s="810" t="s">
        <v>876</v>
      </c>
      <c r="D141" s="810" t="s">
        <v>877</v>
      </c>
      <c r="E141" s="811">
        <v>1</v>
      </c>
      <c r="F141" s="810" t="s">
        <v>878</v>
      </c>
      <c r="G141" s="249" t="s">
        <v>879</v>
      </c>
      <c r="H141" s="250" t="s">
        <v>43</v>
      </c>
      <c r="I141" s="251">
        <f>+E141*0.7</f>
        <v>0.7</v>
      </c>
      <c r="J141" s="251" t="s">
        <v>32</v>
      </c>
      <c r="K141" s="810"/>
    </row>
    <row r="142" spans="1:11">
      <c r="A142" s="810"/>
      <c r="B142" s="810"/>
      <c r="C142" s="810"/>
      <c r="D142" s="810"/>
      <c r="E142" s="812"/>
      <c r="F142" s="810"/>
      <c r="G142" s="246" t="s">
        <v>880</v>
      </c>
      <c r="H142" s="246" t="s">
        <v>776</v>
      </c>
      <c r="I142" s="245">
        <f>+E141*4</f>
        <v>4</v>
      </c>
      <c r="J142" s="245" t="s">
        <v>772</v>
      </c>
      <c r="K142" s="810"/>
    </row>
    <row r="143" spans="1:11">
      <c r="A143" s="810"/>
      <c r="B143" s="810"/>
      <c r="C143" s="810"/>
      <c r="D143" s="810"/>
      <c r="E143" s="813"/>
      <c r="F143" s="810"/>
      <c r="G143" s="249" t="s">
        <v>773</v>
      </c>
      <c r="H143" s="249" t="s">
        <v>39</v>
      </c>
      <c r="I143" s="251">
        <f>+E141*1</f>
        <v>1</v>
      </c>
      <c r="J143" s="251" t="s">
        <v>789</v>
      </c>
      <c r="K143" s="810"/>
    </row>
    <row r="144" spans="1:11">
      <c r="A144" s="810" t="s">
        <v>881</v>
      </c>
      <c r="B144" s="810">
        <v>50</v>
      </c>
      <c r="C144" s="810" t="s">
        <v>882</v>
      </c>
      <c r="D144" s="810" t="s">
        <v>883</v>
      </c>
      <c r="E144" s="811">
        <v>1</v>
      </c>
      <c r="F144" s="810" t="s">
        <v>884</v>
      </c>
      <c r="G144" s="249" t="s">
        <v>885</v>
      </c>
      <c r="H144" s="250" t="s">
        <v>43</v>
      </c>
      <c r="I144" s="251">
        <f>+E144*0.7</f>
        <v>0.7</v>
      </c>
      <c r="J144" s="251" t="s">
        <v>32</v>
      </c>
      <c r="K144" s="810"/>
    </row>
    <row r="145" spans="1:11">
      <c r="A145" s="810"/>
      <c r="B145" s="810"/>
      <c r="C145" s="810"/>
      <c r="D145" s="810"/>
      <c r="E145" s="812"/>
      <c r="F145" s="810"/>
      <c r="G145" s="246" t="s">
        <v>880</v>
      </c>
      <c r="H145" s="246" t="s">
        <v>776</v>
      </c>
      <c r="I145" s="245">
        <f>+E144*4</f>
        <v>4</v>
      </c>
      <c r="J145" s="245" t="s">
        <v>772</v>
      </c>
      <c r="K145" s="810"/>
    </row>
    <row r="146" spans="1:11">
      <c r="A146" s="810"/>
      <c r="B146" s="810"/>
      <c r="C146" s="810"/>
      <c r="D146" s="810"/>
      <c r="E146" s="813"/>
      <c r="F146" s="810"/>
      <c r="G146" s="249" t="s">
        <v>773</v>
      </c>
      <c r="H146" s="249" t="s">
        <v>39</v>
      </c>
      <c r="I146" s="251">
        <f>+E144*2</f>
        <v>2</v>
      </c>
      <c r="J146" s="251" t="s">
        <v>789</v>
      </c>
      <c r="K146" s="810"/>
    </row>
    <row r="147" spans="1:11">
      <c r="A147" s="810" t="s">
        <v>881</v>
      </c>
      <c r="B147" s="810">
        <v>50</v>
      </c>
      <c r="C147" s="810" t="s">
        <v>886</v>
      </c>
      <c r="D147" s="810" t="s">
        <v>810</v>
      </c>
      <c r="E147" s="811">
        <v>1</v>
      </c>
      <c r="F147" s="810" t="s">
        <v>884</v>
      </c>
      <c r="G147" s="249" t="s">
        <v>885</v>
      </c>
      <c r="H147" s="250" t="s">
        <v>43</v>
      </c>
      <c r="I147" s="251">
        <f>+E147*2</f>
        <v>2</v>
      </c>
      <c r="J147" s="251" t="s">
        <v>32</v>
      </c>
      <c r="K147" s="810"/>
    </row>
    <row r="148" spans="1:11">
      <c r="A148" s="810"/>
      <c r="B148" s="810"/>
      <c r="C148" s="810"/>
      <c r="D148" s="810"/>
      <c r="E148" s="812"/>
      <c r="F148" s="810"/>
      <c r="G148" s="246" t="s">
        <v>880</v>
      </c>
      <c r="H148" s="246" t="s">
        <v>776</v>
      </c>
      <c r="I148" s="245">
        <f>+E147*4</f>
        <v>4</v>
      </c>
      <c r="J148" s="245" t="s">
        <v>772</v>
      </c>
      <c r="K148" s="810"/>
    </row>
    <row r="149" spans="1:11">
      <c r="A149" s="810"/>
      <c r="B149" s="810"/>
      <c r="C149" s="810"/>
      <c r="D149" s="810"/>
      <c r="E149" s="813"/>
      <c r="F149" s="810"/>
      <c r="G149" s="249" t="s">
        <v>773</v>
      </c>
      <c r="H149" s="249" t="s">
        <v>39</v>
      </c>
      <c r="I149" s="251">
        <f>+E147*2.5</f>
        <v>2.5</v>
      </c>
      <c r="J149" s="251" t="s">
        <v>789</v>
      </c>
      <c r="K149" s="810"/>
    </row>
    <row r="150" spans="1:11">
      <c r="A150" s="810" t="s">
        <v>881</v>
      </c>
      <c r="B150" s="810">
        <v>75</v>
      </c>
      <c r="C150" s="810" t="s">
        <v>882</v>
      </c>
      <c r="D150" s="810" t="s">
        <v>887</v>
      </c>
      <c r="E150" s="811">
        <v>1</v>
      </c>
      <c r="F150" s="810" t="s">
        <v>888</v>
      </c>
      <c r="G150" s="249" t="s">
        <v>835</v>
      </c>
      <c r="H150" s="250" t="s">
        <v>43</v>
      </c>
      <c r="I150" s="251">
        <f>+E150*0.5</f>
        <v>0.5</v>
      </c>
      <c r="J150" s="251" t="s">
        <v>32</v>
      </c>
      <c r="K150" s="810"/>
    </row>
    <row r="151" spans="1:11">
      <c r="A151" s="810"/>
      <c r="B151" s="810"/>
      <c r="C151" s="810"/>
      <c r="D151" s="810"/>
      <c r="E151" s="812"/>
      <c r="F151" s="810"/>
      <c r="G151" s="246" t="s">
        <v>52</v>
      </c>
      <c r="H151" s="246" t="s">
        <v>776</v>
      </c>
      <c r="I151" s="245">
        <f>+E150*8</f>
        <v>8</v>
      </c>
      <c r="J151" s="245" t="s">
        <v>772</v>
      </c>
      <c r="K151" s="810"/>
    </row>
    <row r="152" spans="1:11">
      <c r="A152" s="810"/>
      <c r="B152" s="810"/>
      <c r="C152" s="810"/>
      <c r="D152" s="810"/>
      <c r="E152" s="813"/>
      <c r="F152" s="810"/>
      <c r="G152" s="249" t="s">
        <v>773</v>
      </c>
      <c r="H152" s="249" t="s">
        <v>39</v>
      </c>
      <c r="I152" s="251">
        <f>+E150*1.5</f>
        <v>1.5</v>
      </c>
      <c r="J152" s="251" t="s">
        <v>789</v>
      </c>
      <c r="K152" s="810"/>
    </row>
    <row r="153" spans="1:11">
      <c r="A153" s="810" t="s">
        <v>881</v>
      </c>
      <c r="B153" s="810">
        <v>75</v>
      </c>
      <c r="C153" s="810" t="s">
        <v>882</v>
      </c>
      <c r="D153" s="810" t="s">
        <v>883</v>
      </c>
      <c r="E153" s="811">
        <v>1</v>
      </c>
      <c r="F153" s="810" t="s">
        <v>888</v>
      </c>
      <c r="G153" s="249" t="s">
        <v>835</v>
      </c>
      <c r="H153" s="250" t="s">
        <v>43</v>
      </c>
      <c r="I153" s="251">
        <f>+E153*0.5</f>
        <v>0.5</v>
      </c>
      <c r="J153" s="251" t="s">
        <v>32</v>
      </c>
      <c r="K153" s="810"/>
    </row>
    <row r="154" spans="1:11">
      <c r="A154" s="810"/>
      <c r="B154" s="810"/>
      <c r="C154" s="810"/>
      <c r="D154" s="810"/>
      <c r="E154" s="812"/>
      <c r="F154" s="810"/>
      <c r="G154" s="246" t="s">
        <v>52</v>
      </c>
      <c r="H154" s="246" t="s">
        <v>776</v>
      </c>
      <c r="I154" s="245">
        <f>+E153*8</f>
        <v>8</v>
      </c>
      <c r="J154" s="245" t="s">
        <v>772</v>
      </c>
      <c r="K154" s="810"/>
    </row>
    <row r="155" spans="1:11">
      <c r="A155" s="810"/>
      <c r="B155" s="810"/>
      <c r="C155" s="810"/>
      <c r="D155" s="810"/>
      <c r="E155" s="813"/>
      <c r="F155" s="810"/>
      <c r="G155" s="249" t="s">
        <v>773</v>
      </c>
      <c r="H155" s="249" t="s">
        <v>39</v>
      </c>
      <c r="I155" s="251">
        <f>+E153*2</f>
        <v>2</v>
      </c>
      <c r="J155" s="251" t="s">
        <v>789</v>
      </c>
      <c r="K155" s="810"/>
    </row>
    <row r="156" spans="1:11">
      <c r="A156" s="810" t="s">
        <v>881</v>
      </c>
      <c r="B156" s="810">
        <v>75</v>
      </c>
      <c r="C156" s="810" t="s">
        <v>886</v>
      </c>
      <c r="D156" s="810" t="s">
        <v>810</v>
      </c>
      <c r="E156" s="811">
        <v>1</v>
      </c>
      <c r="F156" s="810" t="s">
        <v>884</v>
      </c>
      <c r="G156" s="249" t="s">
        <v>835</v>
      </c>
      <c r="H156" s="250" t="s">
        <v>43</v>
      </c>
      <c r="I156" s="251">
        <f>+E156*2</f>
        <v>2</v>
      </c>
      <c r="J156" s="251" t="s">
        <v>32</v>
      </c>
      <c r="K156" s="810"/>
    </row>
    <row r="157" spans="1:11">
      <c r="A157" s="810"/>
      <c r="B157" s="810"/>
      <c r="C157" s="810"/>
      <c r="D157" s="810"/>
      <c r="E157" s="812"/>
      <c r="F157" s="810"/>
      <c r="G157" s="246" t="s">
        <v>52</v>
      </c>
      <c r="H157" s="246" t="s">
        <v>776</v>
      </c>
      <c r="I157" s="245">
        <f>+E156*8</f>
        <v>8</v>
      </c>
      <c r="J157" s="245" t="s">
        <v>772</v>
      </c>
      <c r="K157" s="810"/>
    </row>
    <row r="158" spans="1:11">
      <c r="A158" s="810"/>
      <c r="B158" s="810"/>
      <c r="C158" s="810"/>
      <c r="D158" s="810"/>
      <c r="E158" s="813"/>
      <c r="F158" s="810"/>
      <c r="G158" s="249" t="s">
        <v>773</v>
      </c>
      <c r="H158" s="249" t="s">
        <v>39</v>
      </c>
      <c r="I158" s="251">
        <f>+E156*2.5</f>
        <v>2.5</v>
      </c>
      <c r="J158" s="251" t="s">
        <v>789</v>
      </c>
      <c r="K158" s="810"/>
    </row>
    <row r="159" spans="1:11">
      <c r="A159" s="810" t="s">
        <v>881</v>
      </c>
      <c r="B159" s="810">
        <v>150</v>
      </c>
      <c r="C159" s="810" t="s">
        <v>882</v>
      </c>
      <c r="D159" s="810" t="s">
        <v>887</v>
      </c>
      <c r="E159" s="811">
        <v>1</v>
      </c>
      <c r="F159" s="810" t="s">
        <v>884</v>
      </c>
      <c r="G159" s="249" t="s">
        <v>835</v>
      </c>
      <c r="H159" s="250" t="s">
        <v>43</v>
      </c>
      <c r="I159" s="251">
        <f>+E159*0.5</f>
        <v>0.5</v>
      </c>
      <c r="J159" s="251" t="s">
        <v>32</v>
      </c>
      <c r="K159" s="810"/>
    </row>
    <row r="160" spans="1:11">
      <c r="A160" s="810"/>
      <c r="B160" s="810"/>
      <c r="C160" s="810"/>
      <c r="D160" s="810"/>
      <c r="E160" s="812"/>
      <c r="F160" s="810"/>
      <c r="G160" s="246" t="s">
        <v>52</v>
      </c>
      <c r="H160" s="246" t="s">
        <v>776</v>
      </c>
      <c r="I160" s="245">
        <f>+E159*8</f>
        <v>8</v>
      </c>
      <c r="J160" s="245" t="s">
        <v>772</v>
      </c>
      <c r="K160" s="810"/>
    </row>
    <row r="161" spans="1:11">
      <c r="A161" s="810"/>
      <c r="B161" s="810"/>
      <c r="C161" s="810"/>
      <c r="D161" s="810"/>
      <c r="E161" s="813"/>
      <c r="F161" s="810"/>
      <c r="G161" s="249" t="s">
        <v>773</v>
      </c>
      <c r="H161" s="249" t="s">
        <v>39</v>
      </c>
      <c r="I161" s="251">
        <f>+E159*1</f>
        <v>1</v>
      </c>
      <c r="J161" s="251" t="s">
        <v>789</v>
      </c>
      <c r="K161" s="810"/>
    </row>
    <row r="162" spans="1:11">
      <c r="A162" s="810" t="s">
        <v>881</v>
      </c>
      <c r="B162" s="810">
        <v>150</v>
      </c>
      <c r="C162" s="810" t="s">
        <v>882</v>
      </c>
      <c r="D162" s="810" t="s">
        <v>883</v>
      </c>
      <c r="E162" s="811">
        <v>1</v>
      </c>
      <c r="F162" s="810" t="s">
        <v>884</v>
      </c>
      <c r="G162" s="249" t="s">
        <v>835</v>
      </c>
      <c r="H162" s="250" t="s">
        <v>43</v>
      </c>
      <c r="I162" s="251">
        <f>+E162*0.5</f>
        <v>0.5</v>
      </c>
      <c r="J162" s="251" t="s">
        <v>32</v>
      </c>
      <c r="K162" s="810"/>
    </row>
    <row r="163" spans="1:11">
      <c r="A163" s="810"/>
      <c r="B163" s="810"/>
      <c r="C163" s="810"/>
      <c r="D163" s="810"/>
      <c r="E163" s="812"/>
      <c r="F163" s="810"/>
      <c r="G163" s="246" t="s">
        <v>52</v>
      </c>
      <c r="H163" s="246" t="s">
        <v>776</v>
      </c>
      <c r="I163" s="245">
        <f>+E162*8</f>
        <v>8</v>
      </c>
      <c r="J163" s="245" t="s">
        <v>772</v>
      </c>
      <c r="K163" s="810"/>
    </row>
    <row r="164" spans="1:11">
      <c r="A164" s="810"/>
      <c r="B164" s="810"/>
      <c r="C164" s="810"/>
      <c r="D164" s="810"/>
      <c r="E164" s="813"/>
      <c r="F164" s="810"/>
      <c r="G164" s="249" t="s">
        <v>773</v>
      </c>
      <c r="H164" s="249" t="s">
        <v>39</v>
      </c>
      <c r="I164" s="251">
        <f>+E162*1.5</f>
        <v>1.5</v>
      </c>
      <c r="J164" s="251" t="s">
        <v>789</v>
      </c>
      <c r="K164" s="810"/>
    </row>
    <row r="165" spans="1:11">
      <c r="A165" s="810" t="s">
        <v>881</v>
      </c>
      <c r="B165" s="810">
        <v>150</v>
      </c>
      <c r="C165" s="810" t="s">
        <v>886</v>
      </c>
      <c r="D165" s="810" t="s">
        <v>810</v>
      </c>
      <c r="E165" s="811">
        <v>1</v>
      </c>
      <c r="F165" s="810" t="s">
        <v>884</v>
      </c>
      <c r="G165" s="249" t="s">
        <v>835</v>
      </c>
      <c r="H165" s="250" t="s">
        <v>43</v>
      </c>
      <c r="I165" s="251">
        <f>+E165*2</f>
        <v>2</v>
      </c>
      <c r="J165" s="251" t="s">
        <v>32</v>
      </c>
      <c r="K165" s="810"/>
    </row>
    <row r="166" spans="1:11">
      <c r="A166" s="810"/>
      <c r="B166" s="810"/>
      <c r="C166" s="810"/>
      <c r="D166" s="810"/>
      <c r="E166" s="812"/>
      <c r="F166" s="810"/>
      <c r="G166" s="246" t="s">
        <v>52</v>
      </c>
      <c r="H166" s="246" t="s">
        <v>776</v>
      </c>
      <c r="I166" s="245">
        <f>+E165*8</f>
        <v>8</v>
      </c>
      <c r="J166" s="245" t="s">
        <v>772</v>
      </c>
      <c r="K166" s="810"/>
    </row>
    <row r="167" spans="1:11">
      <c r="A167" s="810"/>
      <c r="B167" s="810"/>
      <c r="C167" s="810"/>
      <c r="D167" s="810"/>
      <c r="E167" s="813"/>
      <c r="F167" s="810"/>
      <c r="G167" s="249" t="s">
        <v>773</v>
      </c>
      <c r="H167" s="249" t="s">
        <v>39</v>
      </c>
      <c r="I167" s="251">
        <f>+E165*2.5</f>
        <v>2.5</v>
      </c>
      <c r="J167" s="251" t="s">
        <v>789</v>
      </c>
      <c r="K167" s="810"/>
    </row>
    <row r="168" spans="1:11">
      <c r="A168" s="785" t="s">
        <v>881</v>
      </c>
      <c r="B168" s="785" t="s">
        <v>889</v>
      </c>
      <c r="C168" s="785" t="s">
        <v>882</v>
      </c>
      <c r="D168" s="785" t="s">
        <v>890</v>
      </c>
      <c r="E168" s="780">
        <v>1</v>
      </c>
      <c r="F168" s="785" t="s">
        <v>884</v>
      </c>
      <c r="G168" s="249" t="s">
        <v>835</v>
      </c>
      <c r="H168" s="250" t="s">
        <v>43</v>
      </c>
      <c r="I168" s="251">
        <f>+E168*1</f>
        <v>1</v>
      </c>
      <c r="J168" s="251" t="s">
        <v>32</v>
      </c>
      <c r="K168" s="801"/>
    </row>
    <row r="169" spans="1:11">
      <c r="A169" s="785"/>
      <c r="B169" s="785"/>
      <c r="C169" s="785"/>
      <c r="D169" s="785"/>
      <c r="E169" s="781"/>
      <c r="F169" s="785"/>
      <c r="G169" s="246" t="s">
        <v>52</v>
      </c>
      <c r="H169" s="246" t="s">
        <v>776</v>
      </c>
      <c r="I169" s="245">
        <f>+E168*8</f>
        <v>8</v>
      </c>
      <c r="J169" s="245" t="s">
        <v>772</v>
      </c>
      <c r="K169" s="801"/>
    </row>
    <row r="170" spans="1:11">
      <c r="A170" s="785"/>
      <c r="B170" s="785"/>
      <c r="C170" s="785"/>
      <c r="D170" s="785"/>
      <c r="E170" s="782"/>
      <c r="F170" s="785"/>
      <c r="G170" s="249" t="s">
        <v>773</v>
      </c>
      <c r="H170" s="249" t="s">
        <v>39</v>
      </c>
      <c r="I170" s="251">
        <f>+E168*2.5</f>
        <v>2.5</v>
      </c>
      <c r="J170" s="251" t="s">
        <v>789</v>
      </c>
      <c r="K170" s="801"/>
    </row>
    <row r="171" spans="1:11">
      <c r="A171" s="785" t="s">
        <v>891</v>
      </c>
      <c r="B171" s="785" t="s">
        <v>892</v>
      </c>
      <c r="C171" s="785" t="s">
        <v>811</v>
      </c>
      <c r="D171" s="785" t="s">
        <v>811</v>
      </c>
      <c r="E171" s="780">
        <v>1</v>
      </c>
      <c r="F171" s="785" t="s">
        <v>893</v>
      </c>
      <c r="G171" s="246" t="s">
        <v>835</v>
      </c>
      <c r="H171" s="11" t="s">
        <v>43</v>
      </c>
      <c r="I171" s="245">
        <f>+E171*0.5</f>
        <v>0.5</v>
      </c>
      <c r="J171" s="245" t="s">
        <v>800</v>
      </c>
      <c r="K171" s="785"/>
    </row>
    <row r="172" spans="1:11">
      <c r="A172" s="785"/>
      <c r="B172" s="785"/>
      <c r="C172" s="785"/>
      <c r="D172" s="785"/>
      <c r="E172" s="781"/>
      <c r="F172" s="785"/>
      <c r="G172" s="246" t="s">
        <v>894</v>
      </c>
      <c r="H172" s="11"/>
      <c r="I172" s="245">
        <f>+E171*5</f>
        <v>5</v>
      </c>
      <c r="J172" s="245" t="s">
        <v>895</v>
      </c>
      <c r="K172" s="785"/>
    </row>
    <row r="173" spans="1:11">
      <c r="A173" s="785"/>
      <c r="B173" s="785"/>
      <c r="C173" s="785"/>
      <c r="D173" s="785"/>
      <c r="E173" s="782"/>
      <c r="F173" s="785"/>
      <c r="G173" s="246" t="s">
        <v>773</v>
      </c>
      <c r="H173" s="246" t="s">
        <v>39</v>
      </c>
      <c r="I173" s="245">
        <f>+E171*2.5</f>
        <v>2.5</v>
      </c>
      <c r="J173" s="245" t="s">
        <v>789</v>
      </c>
      <c r="K173" s="785"/>
    </row>
    <row r="174" spans="1:11">
      <c r="A174" s="785" t="s">
        <v>896</v>
      </c>
      <c r="B174" s="785" t="s">
        <v>897</v>
      </c>
      <c r="C174" s="785" t="s">
        <v>898</v>
      </c>
      <c r="D174" s="785" t="s">
        <v>811</v>
      </c>
      <c r="E174" s="780">
        <v>1</v>
      </c>
      <c r="F174" s="785" t="s">
        <v>899</v>
      </c>
      <c r="G174" s="246" t="s">
        <v>835</v>
      </c>
      <c r="H174" s="250" t="s">
        <v>43</v>
      </c>
      <c r="I174" s="245">
        <f>+E174*1</f>
        <v>1</v>
      </c>
      <c r="J174" s="245" t="s">
        <v>32</v>
      </c>
      <c r="K174" s="785" t="s">
        <v>900</v>
      </c>
    </row>
    <row r="175" spans="1:11">
      <c r="A175" s="785"/>
      <c r="B175" s="785"/>
      <c r="C175" s="785"/>
      <c r="D175" s="785"/>
      <c r="E175" s="781"/>
      <c r="F175" s="785"/>
      <c r="G175" s="246" t="s">
        <v>52</v>
      </c>
      <c r="H175" s="246" t="s">
        <v>776</v>
      </c>
      <c r="I175" s="245">
        <f>+E174*4</f>
        <v>4</v>
      </c>
      <c r="J175" s="245" t="s">
        <v>772</v>
      </c>
      <c r="K175" s="785"/>
    </row>
    <row r="176" spans="1:11">
      <c r="A176" s="785"/>
      <c r="B176" s="785"/>
      <c r="C176" s="785"/>
      <c r="D176" s="785"/>
      <c r="E176" s="782"/>
      <c r="F176" s="785"/>
      <c r="G176" s="246" t="s">
        <v>773</v>
      </c>
      <c r="H176" s="246" t="s">
        <v>39</v>
      </c>
      <c r="I176" s="245">
        <f>+E174*3</f>
        <v>3</v>
      </c>
      <c r="J176" s="245" t="s">
        <v>789</v>
      </c>
      <c r="K176" s="785"/>
    </row>
    <row r="177" spans="1:11">
      <c r="A177" s="785" t="s">
        <v>896</v>
      </c>
      <c r="B177" s="785" t="s">
        <v>901</v>
      </c>
      <c r="C177" s="785" t="s">
        <v>898</v>
      </c>
      <c r="D177" s="785" t="s">
        <v>811</v>
      </c>
      <c r="E177" s="780">
        <v>1</v>
      </c>
      <c r="F177" s="785" t="s">
        <v>899</v>
      </c>
      <c r="G177" s="246" t="s">
        <v>835</v>
      </c>
      <c r="H177" s="250" t="s">
        <v>43</v>
      </c>
      <c r="I177" s="245">
        <f>+E177*1.5</f>
        <v>1.5</v>
      </c>
      <c r="J177" s="245" t="s">
        <v>32</v>
      </c>
      <c r="K177" s="785" t="s">
        <v>900</v>
      </c>
    </row>
    <row r="178" spans="1:11">
      <c r="A178" s="785"/>
      <c r="B178" s="785"/>
      <c r="C178" s="785"/>
      <c r="D178" s="785"/>
      <c r="E178" s="781"/>
      <c r="F178" s="785"/>
      <c r="G178" s="246" t="s">
        <v>52</v>
      </c>
      <c r="H178" s="246" t="s">
        <v>776</v>
      </c>
      <c r="I178" s="245">
        <f>+E177*4</f>
        <v>4</v>
      </c>
      <c r="J178" s="245" t="s">
        <v>772</v>
      </c>
      <c r="K178" s="785"/>
    </row>
    <row r="179" spans="1:11">
      <c r="A179" s="785"/>
      <c r="B179" s="785"/>
      <c r="C179" s="785"/>
      <c r="D179" s="785"/>
      <c r="E179" s="782"/>
      <c r="F179" s="785"/>
      <c r="G179" s="246" t="s">
        <v>773</v>
      </c>
      <c r="H179" s="246" t="s">
        <v>39</v>
      </c>
      <c r="I179" s="245">
        <f>+E177*4</f>
        <v>4</v>
      </c>
      <c r="J179" s="245" t="s">
        <v>789</v>
      </c>
      <c r="K179" s="785"/>
    </row>
    <row r="180" spans="1:11">
      <c r="A180" s="785" t="s">
        <v>902</v>
      </c>
      <c r="B180" s="785" t="s">
        <v>903</v>
      </c>
      <c r="C180" s="785"/>
      <c r="D180" s="785"/>
      <c r="E180" s="780">
        <v>1</v>
      </c>
      <c r="F180" s="785" t="s">
        <v>884</v>
      </c>
      <c r="G180" s="246" t="s">
        <v>835</v>
      </c>
      <c r="H180" s="250" t="s">
        <v>43</v>
      </c>
      <c r="I180" s="245">
        <f>+E180*1.5</f>
        <v>1.5</v>
      </c>
      <c r="J180" s="245" t="s">
        <v>32</v>
      </c>
      <c r="K180" s="785" t="s">
        <v>900</v>
      </c>
    </row>
    <row r="181" spans="1:11">
      <c r="A181" s="785"/>
      <c r="B181" s="785"/>
      <c r="C181" s="785"/>
      <c r="D181" s="785"/>
      <c r="E181" s="782"/>
      <c r="F181" s="785"/>
      <c r="G181" s="246" t="s">
        <v>773</v>
      </c>
      <c r="H181" s="246" t="s">
        <v>39</v>
      </c>
      <c r="I181" s="245">
        <f>+E180*4</f>
        <v>4</v>
      </c>
      <c r="J181" s="245" t="s">
        <v>789</v>
      </c>
      <c r="K181" s="785"/>
    </row>
    <row r="182" spans="1:11">
      <c r="A182" s="785" t="s">
        <v>904</v>
      </c>
      <c r="B182" s="785" t="s">
        <v>905</v>
      </c>
      <c r="C182" s="785">
        <v>50</v>
      </c>
      <c r="D182" s="785" t="s">
        <v>906</v>
      </c>
      <c r="E182" s="780">
        <v>1</v>
      </c>
      <c r="F182" s="785" t="s">
        <v>907</v>
      </c>
      <c r="G182" s="246" t="s">
        <v>908</v>
      </c>
      <c r="H182" s="11"/>
      <c r="I182" s="245">
        <f>+E182*1</f>
        <v>1</v>
      </c>
      <c r="J182" s="245" t="s">
        <v>747</v>
      </c>
      <c r="K182" s="785"/>
    </row>
    <row r="183" spans="1:11">
      <c r="A183" s="785"/>
      <c r="B183" s="785"/>
      <c r="C183" s="785"/>
      <c r="D183" s="785"/>
      <c r="E183" s="781"/>
      <c r="F183" s="785"/>
      <c r="G183" s="246" t="s">
        <v>909</v>
      </c>
      <c r="H183" s="246" t="s">
        <v>746</v>
      </c>
      <c r="I183" s="245">
        <f>+E182*4</f>
        <v>4</v>
      </c>
      <c r="J183" s="245" t="s">
        <v>747</v>
      </c>
      <c r="K183" s="785"/>
    </row>
    <row r="184" spans="1:11">
      <c r="A184" s="785"/>
      <c r="B184" s="785"/>
      <c r="C184" s="785"/>
      <c r="D184" s="785"/>
      <c r="E184" s="782"/>
      <c r="F184" s="785"/>
      <c r="G184" s="246" t="s">
        <v>748</v>
      </c>
      <c r="H184" s="246" t="s">
        <v>39</v>
      </c>
      <c r="I184" s="245">
        <f>+E182*1.5</f>
        <v>1.5</v>
      </c>
      <c r="J184" s="245" t="s">
        <v>910</v>
      </c>
      <c r="K184" s="785"/>
    </row>
    <row r="185" spans="1:11">
      <c r="A185" s="785" t="s">
        <v>911</v>
      </c>
      <c r="B185" s="785" t="s">
        <v>912</v>
      </c>
      <c r="C185" s="785">
        <v>50</v>
      </c>
      <c r="D185" s="785" t="s">
        <v>906</v>
      </c>
      <c r="E185" s="780">
        <v>1</v>
      </c>
      <c r="F185" s="785" t="s">
        <v>907</v>
      </c>
      <c r="G185" s="246" t="s">
        <v>908</v>
      </c>
      <c r="H185" s="11"/>
      <c r="I185" s="245">
        <f>+E185*2</f>
        <v>2</v>
      </c>
      <c r="J185" s="245" t="s">
        <v>747</v>
      </c>
      <c r="K185" s="785"/>
    </row>
    <row r="186" spans="1:11">
      <c r="A186" s="785"/>
      <c r="B186" s="785"/>
      <c r="C186" s="785"/>
      <c r="D186" s="785"/>
      <c r="E186" s="781"/>
      <c r="F186" s="785"/>
      <c r="G186" s="246" t="s">
        <v>909</v>
      </c>
      <c r="H186" s="246" t="s">
        <v>746</v>
      </c>
      <c r="I186" s="245">
        <f>+E185*4</f>
        <v>4</v>
      </c>
      <c r="J186" s="245" t="s">
        <v>747</v>
      </c>
      <c r="K186" s="785"/>
    </row>
    <row r="187" spans="1:11">
      <c r="A187" s="785"/>
      <c r="B187" s="785"/>
      <c r="C187" s="785"/>
      <c r="D187" s="785"/>
      <c r="E187" s="782"/>
      <c r="F187" s="785"/>
      <c r="G187" s="246" t="s">
        <v>748</v>
      </c>
      <c r="H187" s="246" t="s">
        <v>39</v>
      </c>
      <c r="I187" s="245">
        <f>+E185*2.5</f>
        <v>2.5</v>
      </c>
      <c r="J187" s="245" t="s">
        <v>910</v>
      </c>
      <c r="K187" s="785"/>
    </row>
    <row r="188" spans="1:11">
      <c r="A188" s="785" t="s">
        <v>911</v>
      </c>
      <c r="B188" s="785" t="s">
        <v>913</v>
      </c>
      <c r="C188" s="785">
        <v>50</v>
      </c>
      <c r="D188" s="785" t="s">
        <v>914</v>
      </c>
      <c r="E188" s="780">
        <v>1</v>
      </c>
      <c r="F188" s="785" t="s">
        <v>907</v>
      </c>
      <c r="G188" s="246" t="s">
        <v>915</v>
      </c>
      <c r="H188" s="11"/>
      <c r="I188" s="245">
        <f>+E188*1</f>
        <v>1</v>
      </c>
      <c r="J188" s="245" t="s">
        <v>747</v>
      </c>
      <c r="K188" s="785"/>
    </row>
    <row r="189" spans="1:11">
      <c r="A189" s="785"/>
      <c r="B189" s="785"/>
      <c r="C189" s="785"/>
      <c r="D189" s="785"/>
      <c r="E189" s="781"/>
      <c r="F189" s="785"/>
      <c r="G189" s="246" t="s">
        <v>909</v>
      </c>
      <c r="H189" s="246" t="s">
        <v>746</v>
      </c>
      <c r="I189" s="245">
        <f>+E188*4</f>
        <v>4</v>
      </c>
      <c r="J189" s="245" t="s">
        <v>747</v>
      </c>
      <c r="K189" s="785"/>
    </row>
    <row r="190" spans="1:11">
      <c r="A190" s="785"/>
      <c r="B190" s="785"/>
      <c r="C190" s="785"/>
      <c r="D190" s="785"/>
      <c r="E190" s="782"/>
      <c r="F190" s="785"/>
      <c r="G190" s="246" t="s">
        <v>748</v>
      </c>
      <c r="H190" s="246" t="s">
        <v>39</v>
      </c>
      <c r="I190" s="245">
        <f>+E188*1.5</f>
        <v>1.5</v>
      </c>
      <c r="J190" s="245" t="s">
        <v>910</v>
      </c>
      <c r="K190" s="785"/>
    </row>
    <row r="191" spans="1:11">
      <c r="A191" s="785" t="s">
        <v>911</v>
      </c>
      <c r="B191" s="785" t="s">
        <v>912</v>
      </c>
      <c r="C191" s="785">
        <v>50</v>
      </c>
      <c r="D191" s="785" t="s">
        <v>914</v>
      </c>
      <c r="E191" s="780">
        <v>1</v>
      </c>
      <c r="F191" s="785" t="s">
        <v>907</v>
      </c>
      <c r="G191" s="246" t="s">
        <v>915</v>
      </c>
      <c r="H191" s="11"/>
      <c r="I191" s="245">
        <f>+E191*2</f>
        <v>2</v>
      </c>
      <c r="J191" s="245" t="s">
        <v>747</v>
      </c>
      <c r="K191" s="785"/>
    </row>
    <row r="192" spans="1:11">
      <c r="A192" s="785"/>
      <c r="B192" s="785"/>
      <c r="C192" s="785"/>
      <c r="D192" s="785"/>
      <c r="E192" s="781"/>
      <c r="F192" s="785"/>
      <c r="G192" s="246" t="s">
        <v>909</v>
      </c>
      <c r="H192" s="246" t="s">
        <v>746</v>
      </c>
      <c r="I192" s="245">
        <f>+E191*4</f>
        <v>4</v>
      </c>
      <c r="J192" s="245" t="s">
        <v>747</v>
      </c>
      <c r="K192" s="785"/>
    </row>
    <row r="193" spans="1:11">
      <c r="A193" s="785"/>
      <c r="B193" s="785"/>
      <c r="C193" s="785"/>
      <c r="D193" s="785"/>
      <c r="E193" s="782"/>
      <c r="F193" s="785"/>
      <c r="G193" s="246" t="s">
        <v>748</v>
      </c>
      <c r="H193" s="246" t="s">
        <v>39</v>
      </c>
      <c r="I193" s="245">
        <f>+E191*2.5</f>
        <v>2.5</v>
      </c>
      <c r="J193" s="245" t="s">
        <v>910</v>
      </c>
      <c r="K193" s="785"/>
    </row>
    <row r="194" spans="1:11">
      <c r="A194" s="785" t="s">
        <v>916</v>
      </c>
      <c r="B194" s="785" t="s">
        <v>917</v>
      </c>
      <c r="C194" s="785" t="s">
        <v>917</v>
      </c>
      <c r="D194" s="785" t="s">
        <v>917</v>
      </c>
      <c r="E194" s="780">
        <v>1</v>
      </c>
      <c r="F194" s="785" t="s">
        <v>918</v>
      </c>
      <c r="G194" s="246" t="s">
        <v>743</v>
      </c>
      <c r="H194" s="250" t="s">
        <v>43</v>
      </c>
      <c r="I194" s="245">
        <f>+E194*1</f>
        <v>1</v>
      </c>
      <c r="J194" s="245" t="s">
        <v>32</v>
      </c>
      <c r="K194" s="785" t="s">
        <v>919</v>
      </c>
    </row>
    <row r="195" spans="1:11">
      <c r="A195" s="785"/>
      <c r="B195" s="785"/>
      <c r="C195" s="785"/>
      <c r="D195" s="785"/>
      <c r="E195" s="782"/>
      <c r="F195" s="785"/>
      <c r="G195" s="246" t="s">
        <v>748</v>
      </c>
      <c r="H195" s="246" t="s">
        <v>39</v>
      </c>
      <c r="I195" s="245">
        <f>+E194*3</f>
        <v>3</v>
      </c>
      <c r="J195" s="245" t="s">
        <v>910</v>
      </c>
      <c r="K195" s="785"/>
    </row>
    <row r="196" spans="1:11">
      <c r="A196" s="785" t="s">
        <v>920</v>
      </c>
      <c r="B196" s="785" t="s">
        <v>913</v>
      </c>
      <c r="C196" s="785" t="s">
        <v>917</v>
      </c>
      <c r="D196" s="785" t="s">
        <v>827</v>
      </c>
      <c r="E196" s="780">
        <v>1</v>
      </c>
      <c r="F196" s="797" t="s">
        <v>921</v>
      </c>
      <c r="G196" s="246" t="s">
        <v>743</v>
      </c>
      <c r="H196" s="250" t="s">
        <v>43</v>
      </c>
      <c r="I196" s="245">
        <f>+E196*0.3</f>
        <v>0.3</v>
      </c>
      <c r="J196" s="245" t="s">
        <v>32</v>
      </c>
      <c r="K196" s="785"/>
    </row>
    <row r="197" spans="1:11">
      <c r="A197" s="785"/>
      <c r="B197" s="785"/>
      <c r="C197" s="785"/>
      <c r="D197" s="785"/>
      <c r="E197" s="781"/>
      <c r="F197" s="797"/>
      <c r="G197" s="246" t="s">
        <v>52</v>
      </c>
      <c r="H197" s="246" t="s">
        <v>746</v>
      </c>
      <c r="I197" s="245">
        <f>+E196*8</f>
        <v>8</v>
      </c>
      <c r="J197" s="245" t="s">
        <v>747</v>
      </c>
      <c r="K197" s="785"/>
    </row>
    <row r="198" spans="1:11">
      <c r="A198" s="785"/>
      <c r="B198" s="785"/>
      <c r="C198" s="785"/>
      <c r="D198" s="785"/>
      <c r="E198" s="782"/>
      <c r="F198" s="797"/>
      <c r="G198" s="246" t="s">
        <v>748</v>
      </c>
      <c r="H198" s="246" t="s">
        <v>39</v>
      </c>
      <c r="I198" s="245">
        <f>+E196*1.5</f>
        <v>1.5</v>
      </c>
      <c r="J198" s="245" t="s">
        <v>910</v>
      </c>
      <c r="K198" s="785"/>
    </row>
    <row r="199" spans="1:11">
      <c r="A199" s="785" t="s">
        <v>922</v>
      </c>
      <c r="B199" s="785" t="s">
        <v>923</v>
      </c>
      <c r="C199" s="785" t="s">
        <v>924</v>
      </c>
      <c r="D199" s="785" t="s">
        <v>917</v>
      </c>
      <c r="E199" s="780">
        <v>1</v>
      </c>
      <c r="F199" s="797" t="s">
        <v>925</v>
      </c>
      <c r="G199" s="246" t="s">
        <v>743</v>
      </c>
      <c r="H199" s="250" t="s">
        <v>43</v>
      </c>
      <c r="I199" s="245">
        <f>+E199*1</f>
        <v>1</v>
      </c>
      <c r="J199" s="245" t="s">
        <v>32</v>
      </c>
      <c r="K199" s="785" t="s">
        <v>926</v>
      </c>
    </row>
    <row r="200" spans="1:11">
      <c r="A200" s="785"/>
      <c r="B200" s="785"/>
      <c r="C200" s="785"/>
      <c r="D200" s="785"/>
      <c r="E200" s="781"/>
      <c r="F200" s="797"/>
      <c r="G200" s="246" t="s">
        <v>927</v>
      </c>
      <c r="H200" s="246" t="s">
        <v>746</v>
      </c>
      <c r="I200" s="245">
        <f>+E199*4</f>
        <v>4</v>
      </c>
      <c r="J200" s="245" t="s">
        <v>747</v>
      </c>
      <c r="K200" s="785"/>
    </row>
    <row r="201" spans="1:11">
      <c r="A201" s="785"/>
      <c r="B201" s="785"/>
      <c r="C201" s="785"/>
      <c r="D201" s="785"/>
      <c r="E201" s="782"/>
      <c r="F201" s="797"/>
      <c r="G201" s="246" t="s">
        <v>748</v>
      </c>
      <c r="H201" s="246" t="s">
        <v>39</v>
      </c>
      <c r="I201" s="245">
        <f>+E199*5</f>
        <v>5</v>
      </c>
      <c r="J201" s="245" t="s">
        <v>910</v>
      </c>
      <c r="K201" s="785"/>
    </row>
    <row r="202" spans="1:11">
      <c r="A202" s="785" t="s">
        <v>922</v>
      </c>
      <c r="B202" s="785" t="s">
        <v>928</v>
      </c>
      <c r="C202" s="785" t="s">
        <v>924</v>
      </c>
      <c r="D202" s="785" t="s">
        <v>917</v>
      </c>
      <c r="E202" s="780">
        <v>1</v>
      </c>
      <c r="F202" s="797" t="s">
        <v>907</v>
      </c>
      <c r="G202" s="246" t="s">
        <v>743</v>
      </c>
      <c r="H202" s="250" t="s">
        <v>43</v>
      </c>
      <c r="I202" s="245">
        <f>+E202*1.5</f>
        <v>1.5</v>
      </c>
      <c r="J202" s="245" t="s">
        <v>32</v>
      </c>
      <c r="K202" s="785" t="s">
        <v>926</v>
      </c>
    </row>
    <row r="203" spans="1:11">
      <c r="A203" s="785"/>
      <c r="B203" s="785"/>
      <c r="C203" s="785"/>
      <c r="D203" s="785"/>
      <c r="E203" s="781"/>
      <c r="F203" s="797"/>
      <c r="G203" s="246" t="s">
        <v>927</v>
      </c>
      <c r="H203" s="246" t="s">
        <v>746</v>
      </c>
      <c r="I203" s="245">
        <f>+E202*4</f>
        <v>4</v>
      </c>
      <c r="J203" s="245" t="s">
        <v>747</v>
      </c>
      <c r="K203" s="785"/>
    </row>
    <row r="204" spans="1:11">
      <c r="A204" s="777"/>
      <c r="B204" s="777"/>
      <c r="C204" s="777"/>
      <c r="D204" s="777"/>
      <c r="E204" s="781"/>
      <c r="F204" s="798"/>
      <c r="G204" s="19" t="s">
        <v>748</v>
      </c>
      <c r="H204" s="19" t="s">
        <v>39</v>
      </c>
      <c r="I204" s="247">
        <f>+E202*5</f>
        <v>5</v>
      </c>
      <c r="J204" s="247" t="s">
        <v>910</v>
      </c>
      <c r="K204" s="777"/>
    </row>
    <row r="205" spans="1:11" ht="15" customHeight="1">
      <c r="A205" s="314"/>
      <c r="B205" s="314"/>
      <c r="C205" s="314"/>
      <c r="D205" s="314"/>
      <c r="E205" s="315"/>
      <c r="F205" s="314" t="s">
        <v>929</v>
      </c>
      <c r="G205" s="316" t="s">
        <v>933</v>
      </c>
      <c r="H205" s="314"/>
      <c r="I205" s="314"/>
      <c r="J205" s="317" t="s">
        <v>1063</v>
      </c>
      <c r="K205" s="318"/>
    </row>
    <row r="206" spans="1:11" ht="15" customHeight="1">
      <c r="A206" s="314"/>
      <c r="B206" s="314"/>
      <c r="C206" s="314"/>
      <c r="D206" s="314"/>
      <c r="E206" s="315"/>
      <c r="F206" s="314"/>
      <c r="G206" s="32" t="s">
        <v>1067</v>
      </c>
      <c r="H206" s="315"/>
      <c r="I206" s="32"/>
      <c r="J206" s="32" t="s">
        <v>35</v>
      </c>
      <c r="K206" s="318"/>
    </row>
    <row r="207" spans="1:11">
      <c r="A207" s="252" t="s">
        <v>1591</v>
      </c>
    </row>
    <row r="213" spans="10:10">
      <c r="J213" s="32"/>
    </row>
  </sheetData>
  <mergeCells count="375">
    <mergeCell ref="A4:B4"/>
    <mergeCell ref="C4:D4"/>
    <mergeCell ref="E4:F4"/>
    <mergeCell ref="G4:H4"/>
    <mergeCell ref="A5:K5"/>
    <mergeCell ref="A6:K6"/>
    <mergeCell ref="A1:K1"/>
    <mergeCell ref="A2:B2"/>
    <mergeCell ref="I2:J2"/>
    <mergeCell ref="A3:B3"/>
    <mergeCell ref="C3:D3"/>
    <mergeCell ref="E3:F3"/>
    <mergeCell ref="G3:H3"/>
    <mergeCell ref="I3:J4"/>
    <mergeCell ref="K3:K4"/>
    <mergeCell ref="B53:B56"/>
    <mergeCell ref="C53:C56"/>
    <mergeCell ref="D53:D56"/>
    <mergeCell ref="E53:E56"/>
    <mergeCell ref="F53:F56"/>
    <mergeCell ref="I55:J55"/>
    <mergeCell ref="A47:K47"/>
    <mergeCell ref="A49:A52"/>
    <mergeCell ref="B49:B52"/>
    <mergeCell ref="C49:C52"/>
    <mergeCell ref="D49:D52"/>
    <mergeCell ref="E49:E52"/>
    <mergeCell ref="F49:F52"/>
    <mergeCell ref="K49:K80"/>
    <mergeCell ref="I51:J51"/>
    <mergeCell ref="A53:A56"/>
    <mergeCell ref="I59:J59"/>
    <mergeCell ref="A61:A64"/>
    <mergeCell ref="B61:B64"/>
    <mergeCell ref="C61:C64"/>
    <mergeCell ref="D61:D64"/>
    <mergeCell ref="E61:E64"/>
    <mergeCell ref="F61:F64"/>
    <mergeCell ref="I63:J63"/>
    <mergeCell ref="A57:A60"/>
    <mergeCell ref="B57:B60"/>
    <mergeCell ref="C57:C60"/>
    <mergeCell ref="D57:D60"/>
    <mergeCell ref="E57:E60"/>
    <mergeCell ref="F57:F60"/>
    <mergeCell ref="I67:J67"/>
    <mergeCell ref="A69:A72"/>
    <mergeCell ref="B69:B72"/>
    <mergeCell ref="C69:C72"/>
    <mergeCell ref="D69:D72"/>
    <mergeCell ref="E69:E72"/>
    <mergeCell ref="F69:F72"/>
    <mergeCell ref="I71:J71"/>
    <mergeCell ref="A65:A68"/>
    <mergeCell ref="B65:B68"/>
    <mergeCell ref="C65:C68"/>
    <mergeCell ref="D65:D68"/>
    <mergeCell ref="E65:E68"/>
    <mergeCell ref="F65:F68"/>
    <mergeCell ref="I75:J75"/>
    <mergeCell ref="A77:A80"/>
    <mergeCell ref="B77:B80"/>
    <mergeCell ref="C77:C80"/>
    <mergeCell ref="D77:D80"/>
    <mergeCell ref="E77:E80"/>
    <mergeCell ref="F77:F80"/>
    <mergeCell ref="I79:J79"/>
    <mergeCell ref="A73:A76"/>
    <mergeCell ref="B73:B76"/>
    <mergeCell ref="C73:C76"/>
    <mergeCell ref="D73:D76"/>
    <mergeCell ref="E73:E76"/>
    <mergeCell ref="F73:F76"/>
    <mergeCell ref="A81:K81"/>
    <mergeCell ref="A82:K82"/>
    <mergeCell ref="A84:A86"/>
    <mergeCell ref="B84:B86"/>
    <mergeCell ref="C84:C86"/>
    <mergeCell ref="D84:D86"/>
    <mergeCell ref="E84:E86"/>
    <mergeCell ref="F84:F86"/>
    <mergeCell ref="K84:K86"/>
    <mergeCell ref="K87:K89"/>
    <mergeCell ref="A90:A92"/>
    <mergeCell ref="B90:B92"/>
    <mergeCell ref="C90:C92"/>
    <mergeCell ref="D90:D92"/>
    <mergeCell ref="E90:E92"/>
    <mergeCell ref="F90:F92"/>
    <mergeCell ref="K90:K92"/>
    <mergeCell ref="A87:A89"/>
    <mergeCell ref="B87:B89"/>
    <mergeCell ref="C87:C89"/>
    <mergeCell ref="D87:D89"/>
    <mergeCell ref="E87:E89"/>
    <mergeCell ref="F87:F89"/>
    <mergeCell ref="K93:K95"/>
    <mergeCell ref="A96:A98"/>
    <mergeCell ref="B96:B98"/>
    <mergeCell ref="C96:C98"/>
    <mergeCell ref="D96:D98"/>
    <mergeCell ref="E96:E98"/>
    <mergeCell ref="F96:F98"/>
    <mergeCell ref="K96:K98"/>
    <mergeCell ref="A93:A95"/>
    <mergeCell ref="B93:B95"/>
    <mergeCell ref="C93:C95"/>
    <mergeCell ref="D93:D95"/>
    <mergeCell ref="E93:E95"/>
    <mergeCell ref="F93:F95"/>
    <mergeCell ref="K99:K101"/>
    <mergeCell ref="A102:A104"/>
    <mergeCell ref="B102:B104"/>
    <mergeCell ref="C102:C104"/>
    <mergeCell ref="D102:D104"/>
    <mergeCell ref="E102:E104"/>
    <mergeCell ref="F102:F104"/>
    <mergeCell ref="K102:K104"/>
    <mergeCell ref="A99:A101"/>
    <mergeCell ref="B99:B101"/>
    <mergeCell ref="C99:C101"/>
    <mergeCell ref="D99:D101"/>
    <mergeCell ref="E99:E101"/>
    <mergeCell ref="F99:F101"/>
    <mergeCell ref="B113:B115"/>
    <mergeCell ref="C113:C115"/>
    <mergeCell ref="D113:D115"/>
    <mergeCell ref="E113:E115"/>
    <mergeCell ref="F113:F115"/>
    <mergeCell ref="A116:K116"/>
    <mergeCell ref="K105:K107"/>
    <mergeCell ref="A108:K108"/>
    <mergeCell ref="A110:A112"/>
    <mergeCell ref="B110:B112"/>
    <mergeCell ref="C110:C112"/>
    <mergeCell ref="D110:D112"/>
    <mergeCell ref="E110:E112"/>
    <mergeCell ref="F110:F112"/>
    <mergeCell ref="K110:K115"/>
    <mergeCell ref="A113:A115"/>
    <mergeCell ref="A105:A107"/>
    <mergeCell ref="B105:B107"/>
    <mergeCell ref="C105:C107"/>
    <mergeCell ref="D105:D107"/>
    <mergeCell ref="E105:E107"/>
    <mergeCell ref="F105:F107"/>
    <mergeCell ref="B124:B128"/>
    <mergeCell ref="C124:C128"/>
    <mergeCell ref="D124:D128"/>
    <mergeCell ref="E124:E128"/>
    <mergeCell ref="I127:J127"/>
    <mergeCell ref="A129:K129"/>
    <mergeCell ref="A117:K117"/>
    <mergeCell ref="A119:A123"/>
    <mergeCell ref="B119:B123"/>
    <mergeCell ref="C119:C123"/>
    <mergeCell ref="D119:D123"/>
    <mergeCell ref="E119:E123"/>
    <mergeCell ref="F119:F128"/>
    <mergeCell ref="K119:K128"/>
    <mergeCell ref="I122:J122"/>
    <mergeCell ref="A124:A128"/>
    <mergeCell ref="A139:K139"/>
    <mergeCell ref="A141:A143"/>
    <mergeCell ref="B141:B143"/>
    <mergeCell ref="C141:C143"/>
    <mergeCell ref="D141:D143"/>
    <mergeCell ref="E141:E143"/>
    <mergeCell ref="F141:F143"/>
    <mergeCell ref="K141:K143"/>
    <mergeCell ref="K131:K138"/>
    <mergeCell ref="I133:J133"/>
    <mergeCell ref="A135:A138"/>
    <mergeCell ref="B135:B138"/>
    <mergeCell ref="C135:C138"/>
    <mergeCell ref="D135:D138"/>
    <mergeCell ref="E135:E138"/>
    <mergeCell ref="I136:J136"/>
    <mergeCell ref="A131:A134"/>
    <mergeCell ref="B131:B134"/>
    <mergeCell ref="C131:C134"/>
    <mergeCell ref="D131:D134"/>
    <mergeCell ref="E131:E134"/>
    <mergeCell ref="F131:F138"/>
    <mergeCell ref="K144:K146"/>
    <mergeCell ref="A147:A149"/>
    <mergeCell ref="B147:B149"/>
    <mergeCell ref="C147:C149"/>
    <mergeCell ref="D147:D149"/>
    <mergeCell ref="E147:E149"/>
    <mergeCell ref="F147:F149"/>
    <mergeCell ref="K147:K149"/>
    <mergeCell ref="A144:A146"/>
    <mergeCell ref="B144:B146"/>
    <mergeCell ref="C144:C146"/>
    <mergeCell ref="D144:D146"/>
    <mergeCell ref="E144:E146"/>
    <mergeCell ref="F144:F146"/>
    <mergeCell ref="K150:K152"/>
    <mergeCell ref="A153:A155"/>
    <mergeCell ref="B153:B155"/>
    <mergeCell ref="C153:C155"/>
    <mergeCell ref="D153:D155"/>
    <mergeCell ref="E153:E155"/>
    <mergeCell ref="F153:F155"/>
    <mergeCell ref="K153:K155"/>
    <mergeCell ref="A150:A152"/>
    <mergeCell ref="B150:B152"/>
    <mergeCell ref="C150:C152"/>
    <mergeCell ref="D150:D152"/>
    <mergeCell ref="E150:E152"/>
    <mergeCell ref="F150:F152"/>
    <mergeCell ref="K156:K158"/>
    <mergeCell ref="A159:A161"/>
    <mergeCell ref="B159:B161"/>
    <mergeCell ref="C159:C161"/>
    <mergeCell ref="D159:D161"/>
    <mergeCell ref="E159:E161"/>
    <mergeCell ref="F159:F161"/>
    <mergeCell ref="K159:K161"/>
    <mergeCell ref="A156:A158"/>
    <mergeCell ref="B156:B158"/>
    <mergeCell ref="C156:C158"/>
    <mergeCell ref="D156:D158"/>
    <mergeCell ref="E156:E158"/>
    <mergeCell ref="F156:F158"/>
    <mergeCell ref="K162:K164"/>
    <mergeCell ref="A165:A167"/>
    <mergeCell ref="B165:B167"/>
    <mergeCell ref="C165:C167"/>
    <mergeCell ref="D165:D167"/>
    <mergeCell ref="E165:E167"/>
    <mergeCell ref="F165:F167"/>
    <mergeCell ref="K165:K167"/>
    <mergeCell ref="A162:A164"/>
    <mergeCell ref="B162:B164"/>
    <mergeCell ref="C162:C164"/>
    <mergeCell ref="D162:D164"/>
    <mergeCell ref="E162:E164"/>
    <mergeCell ref="F162:F164"/>
    <mergeCell ref="K168:K170"/>
    <mergeCell ref="A171:A173"/>
    <mergeCell ref="B171:B173"/>
    <mergeCell ref="C171:C173"/>
    <mergeCell ref="D171:D173"/>
    <mergeCell ref="E171:E173"/>
    <mergeCell ref="F171:F173"/>
    <mergeCell ref="K171:K173"/>
    <mergeCell ref="A168:A170"/>
    <mergeCell ref="B168:B170"/>
    <mergeCell ref="C168:C170"/>
    <mergeCell ref="D168:D170"/>
    <mergeCell ref="E168:E170"/>
    <mergeCell ref="F168:F170"/>
    <mergeCell ref="K174:K176"/>
    <mergeCell ref="A177:A179"/>
    <mergeCell ref="B177:B179"/>
    <mergeCell ref="C177:C179"/>
    <mergeCell ref="D177:D179"/>
    <mergeCell ref="E177:E179"/>
    <mergeCell ref="F177:F179"/>
    <mergeCell ref="K177:K179"/>
    <mergeCell ref="A174:A176"/>
    <mergeCell ref="B174:B176"/>
    <mergeCell ref="C174:C176"/>
    <mergeCell ref="D174:D176"/>
    <mergeCell ref="E174:E176"/>
    <mergeCell ref="F174:F176"/>
    <mergeCell ref="A180:A181"/>
    <mergeCell ref="B180:D181"/>
    <mergeCell ref="E180:E181"/>
    <mergeCell ref="F180:F181"/>
    <mergeCell ref="K180:K181"/>
    <mergeCell ref="A182:A184"/>
    <mergeCell ref="B182:B184"/>
    <mergeCell ref="C182:C184"/>
    <mergeCell ref="D182:D184"/>
    <mergeCell ref="E182:E184"/>
    <mergeCell ref="F182:F184"/>
    <mergeCell ref="K182:K184"/>
    <mergeCell ref="A185:A187"/>
    <mergeCell ref="B185:B187"/>
    <mergeCell ref="C185:C187"/>
    <mergeCell ref="D185:D187"/>
    <mergeCell ref="E185:E187"/>
    <mergeCell ref="F185:F187"/>
    <mergeCell ref="K185:K187"/>
    <mergeCell ref="K188:K190"/>
    <mergeCell ref="A191:A193"/>
    <mergeCell ref="B191:B193"/>
    <mergeCell ref="C191:C193"/>
    <mergeCell ref="D191:D193"/>
    <mergeCell ref="E191:E193"/>
    <mergeCell ref="F191:F193"/>
    <mergeCell ref="K191:K193"/>
    <mergeCell ref="A188:A190"/>
    <mergeCell ref="B188:B190"/>
    <mergeCell ref="C188:C190"/>
    <mergeCell ref="D188:D190"/>
    <mergeCell ref="E188:E190"/>
    <mergeCell ref="F188:F190"/>
    <mergeCell ref="K194:K195"/>
    <mergeCell ref="A196:A198"/>
    <mergeCell ref="B196:B198"/>
    <mergeCell ref="C196:C198"/>
    <mergeCell ref="D196:D198"/>
    <mergeCell ref="E196:E198"/>
    <mergeCell ref="F196:F198"/>
    <mergeCell ref="K196:K198"/>
    <mergeCell ref="A194:A195"/>
    <mergeCell ref="B194:B195"/>
    <mergeCell ref="C194:C195"/>
    <mergeCell ref="D194:D195"/>
    <mergeCell ref="E194:E195"/>
    <mergeCell ref="F194:F195"/>
    <mergeCell ref="K199:K201"/>
    <mergeCell ref="A202:A204"/>
    <mergeCell ref="B202:B204"/>
    <mergeCell ref="C202:C204"/>
    <mergeCell ref="D202:D204"/>
    <mergeCell ref="E202:E204"/>
    <mergeCell ref="F202:F204"/>
    <mergeCell ref="K202:K204"/>
    <mergeCell ref="A199:A201"/>
    <mergeCell ref="B199:B201"/>
    <mergeCell ref="C199:C201"/>
    <mergeCell ref="D199:D201"/>
    <mergeCell ref="E199:E201"/>
    <mergeCell ref="F199:F201"/>
    <mergeCell ref="E29:E34"/>
    <mergeCell ref="F29:F34"/>
    <mergeCell ref="A37:A41"/>
    <mergeCell ref="B37:B41"/>
    <mergeCell ref="C37:C41"/>
    <mergeCell ref="D37:D41"/>
    <mergeCell ref="K8:K11"/>
    <mergeCell ref="A8:A12"/>
    <mergeCell ref="B8:B12"/>
    <mergeCell ref="C8:C12"/>
    <mergeCell ref="D8:D12"/>
    <mergeCell ref="E8:E12"/>
    <mergeCell ref="F8:F12"/>
    <mergeCell ref="A13:A17"/>
    <mergeCell ref="B13:B17"/>
    <mergeCell ref="C13:C17"/>
    <mergeCell ref="D13:D17"/>
    <mergeCell ref="A35:K35"/>
    <mergeCell ref="E37:E41"/>
    <mergeCell ref="F37:F41"/>
    <mergeCell ref="I26:J26"/>
    <mergeCell ref="I32:J32"/>
    <mergeCell ref="A42:A46"/>
    <mergeCell ref="B42:B46"/>
    <mergeCell ref="C42:C46"/>
    <mergeCell ref="D42:D46"/>
    <mergeCell ref="E42:E46"/>
    <mergeCell ref="F42:F46"/>
    <mergeCell ref="E13:E17"/>
    <mergeCell ref="F13:F17"/>
    <mergeCell ref="A18:A22"/>
    <mergeCell ref="B18:B22"/>
    <mergeCell ref="C18:C22"/>
    <mergeCell ref="D18:D22"/>
    <mergeCell ref="E18:E22"/>
    <mergeCell ref="F18:F22"/>
    <mergeCell ref="A23:A28"/>
    <mergeCell ref="B23:B28"/>
    <mergeCell ref="C23:C28"/>
    <mergeCell ref="D23:D28"/>
    <mergeCell ref="E23:E28"/>
    <mergeCell ref="F23:F28"/>
    <mergeCell ref="A29:A34"/>
    <mergeCell ref="B29:B34"/>
    <mergeCell ref="C29:C34"/>
    <mergeCell ref="D29:D34"/>
  </mergeCells>
  <phoneticPr fontId="15" type="noConversion"/>
  <dataValidations count="1">
    <dataValidation type="list" allowBlank="1" showInputMessage="1" showErrorMessage="1" sqref="G12 G17 G22 G28 G34 G41 G46">
      <formula1>$M$10:$M$11</formula1>
    </dataValidation>
  </dataValidations>
  <pageMargins left="0.19685039370078741" right="0.19685039370078741" top="0.74803149606299213" bottom="0.74803149606299213" header="0.31496062992125984" footer="0.31496062992125984"/>
  <pageSetup paperSize="9" scale="95" orientation="portrait"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J28"/>
  <sheetViews>
    <sheetView view="pageBreakPreview" zoomScaleSheetLayoutView="100" workbookViewId="0">
      <selection activeCell="L12" sqref="L12"/>
    </sheetView>
  </sheetViews>
  <sheetFormatPr defaultRowHeight="20.100000000000001" customHeight="1"/>
  <cols>
    <col min="1" max="1" width="8.375" customWidth="1"/>
    <col min="2" max="2" width="8.125" customWidth="1"/>
    <col min="4" max="4" width="8.375" customWidth="1"/>
    <col min="5" max="5" width="7.375" customWidth="1"/>
    <col min="9" max="10" width="6.5" customWidth="1"/>
  </cols>
  <sheetData>
    <row r="1" spans="1:10" ht="20.100000000000001" customHeight="1">
      <c r="A1" s="819" t="s">
        <v>267</v>
      </c>
      <c r="B1" s="819"/>
      <c r="C1" s="819"/>
      <c r="D1" s="819"/>
      <c r="E1" s="819"/>
      <c r="F1" s="819"/>
      <c r="G1" s="819"/>
      <c r="H1" s="819"/>
      <c r="I1" s="819"/>
      <c r="J1" s="819"/>
    </row>
    <row r="2" spans="1:10" ht="20.100000000000001" customHeight="1">
      <c r="A2" s="334" t="s">
        <v>1134</v>
      </c>
      <c r="B2" s="818">
        <f>A6免漆下料单!B2</f>
        <v>0</v>
      </c>
      <c r="C2" s="818"/>
      <c r="D2" s="21" t="s">
        <v>1133</v>
      </c>
      <c r="E2" s="818">
        <f>A6免漆下料单!K2</f>
        <v>0</v>
      </c>
      <c r="F2" s="818"/>
      <c r="G2" s="818"/>
      <c r="H2" s="21" t="s">
        <v>1132</v>
      </c>
      <c r="I2" s="820">
        <f>柜体转序单!I2</f>
        <v>0</v>
      </c>
      <c r="J2" s="820"/>
    </row>
    <row r="3" spans="1:10" ht="20.100000000000001" customHeight="1">
      <c r="A3" s="21" t="s">
        <v>1131</v>
      </c>
      <c r="B3" s="818" t="str">
        <f>A6免漆下料单!G3</f>
        <v>简爱</v>
      </c>
      <c r="C3" s="818"/>
      <c r="D3" s="21" t="s">
        <v>1130</v>
      </c>
      <c r="E3" s="818" t="str">
        <f>A6免漆下料单!B4</f>
        <v>M28白蜡木(横纹)</v>
      </c>
      <c r="F3" s="818"/>
      <c r="G3" s="818"/>
      <c r="H3" s="21" t="s">
        <v>1129</v>
      </c>
      <c r="I3" s="820">
        <f>柜体转序单!I3</f>
        <v>43075</v>
      </c>
      <c r="J3" s="820"/>
    </row>
    <row r="4" spans="1:10" ht="24" customHeight="1">
      <c r="A4" s="21" t="s">
        <v>1128</v>
      </c>
      <c r="B4" s="818">
        <f>A6免漆下料单!D2</f>
        <v>0</v>
      </c>
      <c r="C4" s="818"/>
      <c r="D4" s="333" t="s">
        <v>1127</v>
      </c>
      <c r="E4" s="821">
        <f>A6免漆下料单!M2</f>
        <v>0</v>
      </c>
      <c r="F4" s="821"/>
      <c r="G4" s="821"/>
      <c r="H4" s="21" t="s">
        <v>1126</v>
      </c>
      <c r="I4" s="820">
        <f>A6免漆下料单!M3</f>
        <v>43076</v>
      </c>
      <c r="J4" s="820"/>
    </row>
    <row r="5" spans="1:10" ht="20.100000000000001" customHeight="1">
      <c r="A5" s="21" t="s">
        <v>1125</v>
      </c>
      <c r="B5" s="21" t="s">
        <v>1124</v>
      </c>
      <c r="C5" s="21" t="s">
        <v>1123</v>
      </c>
      <c r="D5" s="21" t="s">
        <v>1122</v>
      </c>
      <c r="E5" s="21" t="s">
        <v>1121</v>
      </c>
      <c r="F5" s="332" t="s">
        <v>1120</v>
      </c>
      <c r="G5" s="21" t="s">
        <v>1119</v>
      </c>
      <c r="H5" s="21" t="s">
        <v>1118</v>
      </c>
      <c r="I5" s="818" t="s">
        <v>1117</v>
      </c>
      <c r="J5" s="818"/>
    </row>
    <row r="6" spans="1:10" ht="20.100000000000001" customHeight="1">
      <c r="A6" s="21" t="s">
        <v>1116</v>
      </c>
      <c r="B6" s="818"/>
      <c r="C6" s="818"/>
      <c r="D6" s="21" t="s">
        <v>1115</v>
      </c>
      <c r="E6" s="818"/>
      <c r="F6" s="818"/>
      <c r="G6" s="818"/>
      <c r="H6" s="21" t="s">
        <v>1114</v>
      </c>
      <c r="I6" s="818"/>
      <c r="J6" s="818"/>
    </row>
    <row r="7" spans="1:10" ht="20.100000000000001" customHeight="1">
      <c r="A7" s="21" t="s">
        <v>1113</v>
      </c>
      <c r="B7" s="21" t="s">
        <v>1112</v>
      </c>
      <c r="C7" s="21" t="s">
        <v>1111</v>
      </c>
      <c r="D7" s="21" t="s">
        <v>1110</v>
      </c>
      <c r="E7" s="21" t="s">
        <v>1109</v>
      </c>
      <c r="F7" s="21" t="s">
        <v>1108</v>
      </c>
      <c r="G7" s="21" t="s">
        <v>1107</v>
      </c>
      <c r="H7" s="21" t="s">
        <v>1106</v>
      </c>
      <c r="I7" s="21" t="s">
        <v>1105</v>
      </c>
      <c r="J7" s="21" t="s">
        <v>1104</v>
      </c>
    </row>
    <row r="8" spans="1:10" ht="20.100000000000001" customHeight="1">
      <c r="A8" s="21">
        <v>1</v>
      </c>
      <c r="B8" s="824" t="s">
        <v>1103</v>
      </c>
      <c r="C8" s="328" t="s">
        <v>1100</v>
      </c>
      <c r="D8" s="21"/>
      <c r="E8" s="21" t="s">
        <v>1087</v>
      </c>
      <c r="F8" s="21"/>
      <c r="G8" s="21"/>
      <c r="H8" s="21"/>
      <c r="I8" s="21"/>
      <c r="J8" s="2"/>
    </row>
    <row r="9" spans="1:10" ht="20.100000000000001" customHeight="1">
      <c r="A9" s="21">
        <v>2</v>
      </c>
      <c r="B9" s="824"/>
      <c r="C9" s="328" t="s">
        <v>266</v>
      </c>
      <c r="D9" s="21"/>
      <c r="E9" s="21" t="s">
        <v>1087</v>
      </c>
      <c r="F9" s="21"/>
      <c r="G9" s="21"/>
      <c r="H9" s="21"/>
      <c r="I9" s="21"/>
      <c r="J9" s="2"/>
    </row>
    <row r="10" spans="1:10" ht="20.100000000000001" customHeight="1">
      <c r="A10" s="21">
        <v>3</v>
      </c>
      <c r="B10" s="824"/>
      <c r="C10" s="330" t="s">
        <v>1102</v>
      </c>
      <c r="D10" s="21"/>
      <c r="E10" s="21" t="s">
        <v>1087</v>
      </c>
      <c r="F10" s="21"/>
      <c r="G10" s="21"/>
      <c r="H10" s="21"/>
      <c r="I10" s="21"/>
      <c r="J10" s="2"/>
    </row>
    <row r="11" spans="1:10" ht="20.100000000000001" customHeight="1">
      <c r="A11" s="21">
        <v>4</v>
      </c>
      <c r="B11" s="824" t="s">
        <v>1101</v>
      </c>
      <c r="C11" s="328" t="s">
        <v>1100</v>
      </c>
      <c r="D11" s="21"/>
      <c r="E11" s="21" t="s">
        <v>1087</v>
      </c>
      <c r="F11" s="21"/>
      <c r="G11" s="21"/>
      <c r="H11" s="21"/>
      <c r="I11" s="21"/>
      <c r="J11" s="2"/>
    </row>
    <row r="12" spans="1:10" ht="20.100000000000001" customHeight="1">
      <c r="A12" s="21">
        <v>5</v>
      </c>
      <c r="B12" s="824"/>
      <c r="C12" s="328" t="s">
        <v>266</v>
      </c>
      <c r="D12" s="21"/>
      <c r="E12" s="21" t="s">
        <v>1087</v>
      </c>
      <c r="F12" s="21"/>
      <c r="G12" s="21"/>
      <c r="H12" s="21"/>
      <c r="I12" s="21"/>
      <c r="J12" s="2"/>
    </row>
    <row r="13" spans="1:10" ht="20.100000000000001" customHeight="1">
      <c r="A13" s="21">
        <v>6</v>
      </c>
      <c r="B13" s="824"/>
      <c r="C13" s="330" t="s">
        <v>1099</v>
      </c>
      <c r="D13" s="21"/>
      <c r="E13" s="21" t="s">
        <v>1087</v>
      </c>
      <c r="F13" s="21"/>
      <c r="G13" s="21"/>
      <c r="H13" s="21"/>
      <c r="I13" s="21"/>
      <c r="J13" s="2"/>
    </row>
    <row r="14" spans="1:10" ht="20.100000000000001" customHeight="1">
      <c r="A14" s="21">
        <v>7</v>
      </c>
      <c r="B14" s="25" t="s">
        <v>1098</v>
      </c>
      <c r="C14" s="20" t="s">
        <v>1097</v>
      </c>
      <c r="D14" s="326"/>
      <c r="E14" s="326" t="s">
        <v>1090</v>
      </c>
      <c r="F14" s="21"/>
      <c r="G14" s="21"/>
      <c r="H14" s="21"/>
      <c r="I14" s="21"/>
      <c r="J14" s="2"/>
    </row>
    <row r="15" spans="1:10" ht="20.100000000000001" customHeight="1">
      <c r="A15" s="21">
        <v>8</v>
      </c>
      <c r="B15" s="824" t="s">
        <v>1096</v>
      </c>
      <c r="C15" s="328" t="s">
        <v>1095</v>
      </c>
      <c r="D15" s="21">
        <f>A6免漆下料单!I3</f>
        <v>10</v>
      </c>
      <c r="E15" s="21" t="s">
        <v>1090</v>
      </c>
      <c r="F15" s="21"/>
      <c r="G15" s="21"/>
      <c r="H15" s="21"/>
      <c r="I15" s="21"/>
      <c r="J15" s="2"/>
    </row>
    <row r="16" spans="1:10" ht="20.100000000000001" customHeight="1">
      <c r="A16" s="21">
        <v>9</v>
      </c>
      <c r="B16" s="824"/>
      <c r="C16" s="328" t="s">
        <v>1094</v>
      </c>
      <c r="D16" s="21">
        <f>A6免漆下料单!I3</f>
        <v>10</v>
      </c>
      <c r="E16" s="21" t="s">
        <v>1090</v>
      </c>
      <c r="F16" s="21"/>
      <c r="G16" s="21"/>
      <c r="H16" s="21"/>
      <c r="I16" s="21"/>
      <c r="J16" s="2"/>
    </row>
    <row r="17" spans="1:10" ht="20.100000000000001" customHeight="1">
      <c r="A17" s="21">
        <v>10</v>
      </c>
      <c r="B17" s="824" t="s">
        <v>1093</v>
      </c>
      <c r="C17" s="328" t="s">
        <v>1092</v>
      </c>
      <c r="D17" s="21"/>
      <c r="E17" s="21" t="s">
        <v>1090</v>
      </c>
      <c r="F17" s="21"/>
      <c r="G17" s="21"/>
      <c r="H17" s="21"/>
      <c r="I17" s="21"/>
      <c r="J17" s="2"/>
    </row>
    <row r="18" spans="1:10" ht="20.100000000000001" customHeight="1">
      <c r="A18" s="21">
        <v>11</v>
      </c>
      <c r="B18" s="824"/>
      <c r="C18" s="328" t="s">
        <v>1091</v>
      </c>
      <c r="D18" s="21"/>
      <c r="E18" s="21" t="s">
        <v>1090</v>
      </c>
      <c r="F18" s="21"/>
      <c r="G18" s="21"/>
      <c r="H18" s="21"/>
      <c r="I18" s="21"/>
      <c r="J18" s="2"/>
    </row>
    <row r="19" spans="1:10" ht="20.100000000000001" customHeight="1">
      <c r="A19" s="21">
        <v>12</v>
      </c>
      <c r="B19" s="824"/>
      <c r="C19" s="328" t="s">
        <v>1089</v>
      </c>
      <c r="D19" s="21"/>
      <c r="E19" s="21" t="s">
        <v>1087</v>
      </c>
      <c r="F19" s="21"/>
      <c r="G19" s="21"/>
      <c r="H19" s="21"/>
      <c r="I19" s="21"/>
      <c r="J19" s="2"/>
    </row>
    <row r="20" spans="1:10" ht="20.100000000000001" customHeight="1">
      <c r="A20" s="21">
        <v>13</v>
      </c>
      <c r="B20" s="824"/>
      <c r="C20" s="328" t="s">
        <v>1088</v>
      </c>
      <c r="D20" s="21"/>
      <c r="E20" s="21" t="s">
        <v>1087</v>
      </c>
      <c r="F20" s="21"/>
      <c r="G20" s="21"/>
      <c r="H20" s="21"/>
      <c r="I20" s="21"/>
      <c r="J20" s="2"/>
    </row>
    <row r="21" spans="1:10" ht="20.100000000000001" customHeight="1">
      <c r="A21" s="21">
        <v>14</v>
      </c>
      <c r="B21" s="824" t="s">
        <v>1086</v>
      </c>
      <c r="C21" s="328" t="s">
        <v>1085</v>
      </c>
      <c r="D21" s="21"/>
      <c r="E21" s="21" t="s">
        <v>1084</v>
      </c>
      <c r="F21" s="21"/>
      <c r="G21" s="21"/>
      <c r="H21" s="21"/>
      <c r="I21" s="21"/>
      <c r="J21" s="2"/>
    </row>
    <row r="22" spans="1:10" ht="20.100000000000001" customHeight="1">
      <c r="A22" s="21">
        <v>15</v>
      </c>
      <c r="B22" s="824"/>
      <c r="C22" s="328" t="s">
        <v>1083</v>
      </c>
      <c r="D22" s="21"/>
      <c r="E22" s="21" t="s">
        <v>1074</v>
      </c>
      <c r="F22" s="21"/>
      <c r="G22" s="21"/>
      <c r="H22" s="21"/>
      <c r="I22" s="21"/>
      <c r="J22" s="2"/>
    </row>
    <row r="23" spans="1:10" ht="20.100000000000001" customHeight="1">
      <c r="A23" s="21">
        <v>16</v>
      </c>
      <c r="B23" s="824"/>
      <c r="C23" s="331" t="s">
        <v>1082</v>
      </c>
      <c r="D23" s="21"/>
      <c r="E23" s="21" t="s">
        <v>1081</v>
      </c>
      <c r="F23" s="21"/>
      <c r="G23" s="21"/>
      <c r="H23" s="21"/>
      <c r="I23" s="21"/>
      <c r="J23" s="2"/>
    </row>
    <row r="24" spans="1:10" ht="20.100000000000001" customHeight="1">
      <c r="A24" s="21">
        <v>17</v>
      </c>
      <c r="B24" s="821" t="s">
        <v>1080</v>
      </c>
      <c r="C24" s="22" t="s">
        <v>1079</v>
      </c>
      <c r="D24" s="21"/>
      <c r="E24" s="21" t="s">
        <v>1074</v>
      </c>
      <c r="F24" s="21"/>
      <c r="G24" s="21"/>
      <c r="H24" s="21"/>
      <c r="I24" s="21"/>
      <c r="J24" s="2"/>
    </row>
    <row r="25" spans="1:10" ht="20.100000000000001" customHeight="1">
      <c r="A25" s="21">
        <v>18</v>
      </c>
      <c r="B25" s="821"/>
      <c r="C25" s="22" t="s">
        <v>1078</v>
      </c>
      <c r="D25" s="21"/>
      <c r="E25" s="21" t="s">
        <v>1074</v>
      </c>
      <c r="F25" s="21"/>
      <c r="G25" s="21"/>
      <c r="H25" s="21"/>
      <c r="I25" s="21"/>
      <c r="J25" s="2"/>
    </row>
    <row r="26" spans="1:10" ht="20.100000000000001" customHeight="1">
      <c r="A26" s="21">
        <v>19</v>
      </c>
      <c r="B26" s="822" t="s">
        <v>1077</v>
      </c>
      <c r="C26" s="22" t="s">
        <v>1076</v>
      </c>
      <c r="D26" s="21"/>
      <c r="E26" s="21" t="s">
        <v>1074</v>
      </c>
      <c r="F26" s="21"/>
      <c r="G26" s="21"/>
      <c r="H26" s="21"/>
      <c r="I26" s="21"/>
      <c r="J26" s="2"/>
    </row>
    <row r="27" spans="1:10" ht="20.100000000000001" customHeight="1">
      <c r="A27" s="21">
        <v>20</v>
      </c>
      <c r="B27" s="823"/>
      <c r="C27" s="22" t="s">
        <v>1075</v>
      </c>
      <c r="D27" s="21"/>
      <c r="E27" s="21" t="s">
        <v>1074</v>
      </c>
      <c r="F27" s="21"/>
      <c r="G27" s="21"/>
      <c r="H27" s="21"/>
      <c r="I27" s="21"/>
      <c r="J27" s="2"/>
    </row>
    <row r="28" spans="1:10" ht="20.100000000000001" customHeight="1">
      <c r="A28" s="21">
        <v>21</v>
      </c>
      <c r="B28" s="330" t="s">
        <v>1073</v>
      </c>
      <c r="C28" s="22" t="s">
        <v>1072</v>
      </c>
      <c r="D28" s="21">
        <f>A6免漆下料单!I3</f>
        <v>10</v>
      </c>
      <c r="E28" s="21" t="s">
        <v>1071</v>
      </c>
      <c r="F28" s="21"/>
      <c r="G28" s="21"/>
      <c r="H28" s="21"/>
      <c r="I28" s="21"/>
      <c r="J28" s="2"/>
    </row>
  </sheetData>
  <mergeCells count="21">
    <mergeCell ref="B26:B27"/>
    <mergeCell ref="B24:B25"/>
    <mergeCell ref="B8:B10"/>
    <mergeCell ref="B11:B13"/>
    <mergeCell ref="B15:B16"/>
    <mergeCell ref="B17:B20"/>
    <mergeCell ref="B21:B23"/>
    <mergeCell ref="I4:J4"/>
    <mergeCell ref="B6:C6"/>
    <mergeCell ref="E6:G6"/>
    <mergeCell ref="I6:J6"/>
    <mergeCell ref="B4:C4"/>
    <mergeCell ref="E4:G4"/>
    <mergeCell ref="I5:J5"/>
    <mergeCell ref="B2:C2"/>
    <mergeCell ref="B3:C3"/>
    <mergeCell ref="A1:J1"/>
    <mergeCell ref="E2:G2"/>
    <mergeCell ref="I2:J2"/>
    <mergeCell ref="E3:G3"/>
    <mergeCell ref="I3:J3"/>
  </mergeCells>
  <phoneticPr fontId="72" type="noConversion"/>
  <conditionalFormatting sqref="C18:C19">
    <cfRule type="duplicateValues" dxfId="51" priority="13" stopIfTrue="1"/>
  </conditionalFormatting>
  <conditionalFormatting sqref="C21">
    <cfRule type="duplicateValues" dxfId="50" priority="12" stopIfTrue="1"/>
  </conditionalFormatting>
  <conditionalFormatting sqref="C20 C22">
    <cfRule type="duplicateValues" dxfId="49" priority="11" stopIfTrue="1"/>
  </conditionalFormatting>
  <conditionalFormatting sqref="C20">
    <cfRule type="duplicateValues" dxfId="48" priority="10"/>
  </conditionalFormatting>
  <conditionalFormatting sqref="C13:C17">
    <cfRule type="duplicateValues" dxfId="47" priority="9" stopIfTrue="1"/>
  </conditionalFormatting>
  <conditionalFormatting sqref="C10">
    <cfRule type="duplicateValues" dxfId="46" priority="8" stopIfTrue="1"/>
  </conditionalFormatting>
  <conditionalFormatting sqref="C11">
    <cfRule type="duplicateValues" dxfId="45" priority="7" stopIfTrue="1"/>
  </conditionalFormatting>
  <conditionalFormatting sqref="C12">
    <cfRule type="duplicateValues" dxfId="44" priority="6" stopIfTrue="1"/>
  </conditionalFormatting>
  <conditionalFormatting sqref="C17">
    <cfRule type="duplicateValues" dxfId="43" priority="5" stopIfTrue="1"/>
  </conditionalFormatting>
  <conditionalFormatting sqref="C23">
    <cfRule type="duplicateValues" dxfId="42" priority="4"/>
  </conditionalFormatting>
  <conditionalFormatting sqref="C13:C14">
    <cfRule type="duplicateValues" dxfId="41" priority="3" stopIfTrue="1"/>
  </conditionalFormatting>
  <conditionalFormatting sqref="C14">
    <cfRule type="duplicateValues" dxfId="40" priority="2" stopIfTrue="1"/>
  </conditionalFormatting>
  <conditionalFormatting sqref="C14">
    <cfRule type="duplicateValues" dxfId="39" priority="1" stopIfTrue="1"/>
  </conditionalFormatting>
  <pageMargins left="0.7" right="0.7" top="0.75" bottom="0.75" header="0.3" footer="0.3"/>
  <pageSetup paperSize="9"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AG107"/>
  <sheetViews>
    <sheetView view="pageBreakPreview" topLeftCell="A28" zoomScaleSheetLayoutView="100" workbookViewId="0">
      <selection activeCell="D56" sqref="D56"/>
    </sheetView>
  </sheetViews>
  <sheetFormatPr defaultRowHeight="16.5"/>
  <cols>
    <col min="1" max="1" width="8.25" style="335" customWidth="1"/>
    <col min="2" max="2" width="11.25" style="335" customWidth="1"/>
    <col min="3" max="4" width="6.875" style="335" customWidth="1"/>
    <col min="5" max="5" width="10" style="338" customWidth="1"/>
    <col min="6" max="6" width="7.375" style="337" customWidth="1"/>
    <col min="7" max="8" width="7.375" style="335" customWidth="1"/>
    <col min="9" max="9" width="13.125" style="335" customWidth="1"/>
    <col min="10" max="13" width="9.75" style="335" customWidth="1"/>
    <col min="14" max="14" width="15" style="335" customWidth="1"/>
    <col min="15" max="15" width="9" style="335"/>
    <col min="16" max="16" width="13.5" style="335" customWidth="1"/>
    <col min="17" max="17" width="10.75" style="335" customWidth="1"/>
    <col min="18" max="18" width="12.5" style="335" customWidth="1"/>
    <col min="19" max="19" width="11.5" style="336" customWidth="1"/>
    <col min="20" max="21" width="12.125" style="335" customWidth="1"/>
    <col min="22" max="22" width="9.625" style="335" customWidth="1"/>
    <col min="23" max="23" width="12.75" style="335" customWidth="1"/>
    <col min="24" max="24" width="15.5" style="335" customWidth="1"/>
    <col min="25" max="25" width="18.25" style="335" customWidth="1"/>
    <col min="26" max="27" width="9" style="335" customWidth="1"/>
    <col min="28" max="28" width="43" style="335" customWidth="1"/>
    <col min="29" max="29" width="36.125" style="335" customWidth="1"/>
    <col min="30" max="30" width="9.625" style="335" customWidth="1"/>
    <col min="31" max="31" width="44.125" style="335" customWidth="1"/>
    <col min="32" max="32" width="23.375" style="335" customWidth="1"/>
    <col min="33" max="16384" width="9" style="335"/>
  </cols>
  <sheetData>
    <row r="1" spans="1:33" s="374" customFormat="1" ht="24" customHeight="1">
      <c r="A1" s="827" t="s">
        <v>1360</v>
      </c>
      <c r="B1" s="828"/>
      <c r="C1" s="828"/>
      <c r="D1" s="828"/>
      <c r="E1" s="828"/>
      <c r="F1" s="828"/>
      <c r="G1" s="828"/>
      <c r="H1" s="828"/>
      <c r="I1" s="828"/>
      <c r="J1" s="828"/>
      <c r="K1" s="828"/>
      <c r="L1" s="828"/>
      <c r="M1" s="829"/>
      <c r="S1" s="377"/>
    </row>
    <row r="2" spans="1:33" s="374" customFormat="1">
      <c r="A2" s="401" t="s">
        <v>6</v>
      </c>
      <c r="B2" s="414">
        <f>下料单!C2</f>
        <v>0</v>
      </c>
      <c r="C2" s="401" t="s">
        <v>16</v>
      </c>
      <c r="D2" s="414">
        <f>下料单!W2</f>
        <v>0</v>
      </c>
      <c r="E2" s="401" t="s">
        <v>1287</v>
      </c>
      <c r="F2" s="401" t="s">
        <v>1286</v>
      </c>
      <c r="G2" s="401" t="s">
        <v>484</v>
      </c>
      <c r="H2" s="401" t="s">
        <v>2</v>
      </c>
      <c r="I2" s="401" t="s">
        <v>1285</v>
      </c>
      <c r="J2" s="401" t="s">
        <v>244</v>
      </c>
      <c r="K2" s="401">
        <f>下料单!H2</f>
        <v>0</v>
      </c>
      <c r="L2" s="413" t="s">
        <v>37</v>
      </c>
      <c r="M2" s="401">
        <f>下料单!R2</f>
        <v>0</v>
      </c>
      <c r="S2" s="377"/>
    </row>
    <row r="3" spans="1:33" s="374" customFormat="1">
      <c r="A3" s="401" t="s">
        <v>1145</v>
      </c>
      <c r="B3" s="411" t="s">
        <v>1362</v>
      </c>
      <c r="C3" s="411" t="s">
        <v>1284</v>
      </c>
      <c r="D3" s="411" t="s">
        <v>247</v>
      </c>
      <c r="E3" s="411" t="str">
        <f>VLOOKUP(B4,AC:AH,2,0)</f>
        <v>横纹</v>
      </c>
      <c r="F3" s="411" t="s">
        <v>211</v>
      </c>
      <c r="G3" s="411" t="str">
        <f>下料单!AQ2</f>
        <v>简爱</v>
      </c>
      <c r="H3" s="411" t="s">
        <v>1283</v>
      </c>
      <c r="I3" s="412">
        <f>SUM(D7:D43)</f>
        <v>10</v>
      </c>
      <c r="J3" s="411" t="s">
        <v>8</v>
      </c>
      <c r="K3" s="410">
        <f>下料单!AB2</f>
        <v>43075</v>
      </c>
      <c r="L3" s="411" t="s">
        <v>17</v>
      </c>
      <c r="M3" s="410">
        <f>下料单!AG2</f>
        <v>43076</v>
      </c>
      <c r="R3" s="374" t="s">
        <v>20</v>
      </c>
      <c r="S3" s="409" t="s">
        <v>1282</v>
      </c>
      <c r="T3" s="408"/>
    </row>
    <row r="4" spans="1:33" s="374" customFormat="1">
      <c r="A4" s="407" t="s">
        <v>1281</v>
      </c>
      <c r="B4" s="830" t="s">
        <v>1359</v>
      </c>
      <c r="C4" s="831"/>
      <c r="D4" s="831"/>
      <c r="E4" s="831"/>
      <c r="F4" s="831"/>
      <c r="G4" s="831"/>
      <c r="H4" s="831"/>
      <c r="I4" s="831"/>
      <c r="J4" s="831"/>
      <c r="K4" s="831"/>
      <c r="L4" s="831"/>
      <c r="M4" s="832"/>
      <c r="R4" s="374" t="s">
        <v>1280</v>
      </c>
      <c r="S4" s="377"/>
    </row>
    <row r="5" spans="1:33" s="374" customFormat="1">
      <c r="A5" s="406" t="s">
        <v>215</v>
      </c>
      <c r="B5" s="833" t="s">
        <v>216</v>
      </c>
      <c r="C5" s="834"/>
      <c r="D5" s="835"/>
      <c r="E5" s="833" t="s">
        <v>217</v>
      </c>
      <c r="F5" s="834"/>
      <c r="G5" s="834"/>
      <c r="H5" s="834"/>
      <c r="I5" s="835"/>
      <c r="J5" s="404" t="s">
        <v>0</v>
      </c>
      <c r="K5" s="403" t="s">
        <v>218</v>
      </c>
      <c r="L5" s="403"/>
      <c r="M5" s="403"/>
      <c r="N5" s="374">
        <f>VLOOKUP(B4,AC:AG,5,0)</f>
        <v>2</v>
      </c>
      <c r="S5" s="377"/>
      <c r="AB5" s="374" t="str">
        <f>AC5&amp;"+"&amp;AF5</f>
        <v>M01-01触感浅橡(横纹)+浅橡PVC封边条2.0*22</v>
      </c>
      <c r="AC5" s="374" t="s">
        <v>1279</v>
      </c>
      <c r="AD5" s="374" t="s">
        <v>232</v>
      </c>
      <c r="AE5" s="374" t="s">
        <v>1239</v>
      </c>
      <c r="AF5" s="374" t="s">
        <v>1238</v>
      </c>
      <c r="AG5" s="374">
        <v>2</v>
      </c>
    </row>
    <row r="6" spans="1:33" s="374" customFormat="1" ht="49.5">
      <c r="A6" s="401" t="s">
        <v>219</v>
      </c>
      <c r="B6" s="401" t="s">
        <v>214</v>
      </c>
      <c r="C6" s="401" t="s">
        <v>220</v>
      </c>
      <c r="D6" s="401" t="s">
        <v>5</v>
      </c>
      <c r="E6" s="401" t="s">
        <v>301</v>
      </c>
      <c r="F6" s="401" t="s">
        <v>414</v>
      </c>
      <c r="G6" s="401" t="s">
        <v>214</v>
      </c>
      <c r="H6" s="401" t="s">
        <v>220</v>
      </c>
      <c r="I6" s="401" t="s">
        <v>5</v>
      </c>
      <c r="J6" s="401" t="s">
        <v>500</v>
      </c>
      <c r="K6" s="401" t="s">
        <v>1278</v>
      </c>
      <c r="L6" s="401"/>
      <c r="M6" s="401"/>
      <c r="N6" s="402" t="s">
        <v>1277</v>
      </c>
      <c r="O6" s="401" t="s">
        <v>20</v>
      </c>
      <c r="P6" s="399" t="s">
        <v>1276</v>
      </c>
      <c r="Q6" s="401" t="s">
        <v>222</v>
      </c>
      <c r="R6" s="401" t="s">
        <v>223</v>
      </c>
      <c r="S6" s="400" t="s">
        <v>1275</v>
      </c>
      <c r="T6" s="399" t="s">
        <v>1274</v>
      </c>
      <c r="U6" s="399" t="s">
        <v>234</v>
      </c>
      <c r="V6" s="398" t="s">
        <v>1273</v>
      </c>
      <c r="X6" s="825" t="s">
        <v>1272</v>
      </c>
      <c r="Y6" s="346" t="s">
        <v>1271</v>
      </c>
      <c r="AB6" s="374" t="str">
        <f>AC6&amp;"+"&amp;AF6</f>
        <v>M03-01触感红樱桃(横纹)+红樱桃PVC封边条2.0*22</v>
      </c>
      <c r="AC6" s="375" t="s">
        <v>1270</v>
      </c>
      <c r="AD6" s="374" t="s">
        <v>1245</v>
      </c>
      <c r="AE6" s="374" t="s">
        <v>1235</v>
      </c>
      <c r="AF6" s="374" t="s">
        <v>1234</v>
      </c>
      <c r="AG6" s="374">
        <v>2</v>
      </c>
    </row>
    <row r="7" spans="1:33" s="374" customFormat="1">
      <c r="A7" s="397" t="s">
        <v>1593</v>
      </c>
      <c r="B7" s="396">
        <v>447</v>
      </c>
      <c r="C7" s="395">
        <v>715</v>
      </c>
      <c r="D7" s="395">
        <v>10</v>
      </c>
      <c r="E7" s="380" t="s">
        <v>1594</v>
      </c>
      <c r="F7" s="380">
        <v>1</v>
      </c>
      <c r="G7" s="380">
        <f t="shared" ref="G7:G26" si="0">IF($E$3="横纹",C7-$T$48,IF($E$3="竖纹",B7-3,IF($E$3="纯色",B7-3)))</f>
        <v>712</v>
      </c>
      <c r="H7" s="380">
        <f t="shared" ref="H7:H26" si="1">IF($E$3="横纹",B7-3,IF($E$3="竖纹",C7-$T$48,IF($E$3="纯色",C7-$T$48)))</f>
        <v>444</v>
      </c>
      <c r="I7" s="380">
        <f t="shared" ref="I7:I26" si="2">D7</f>
        <v>10</v>
      </c>
      <c r="J7" s="394">
        <v>1</v>
      </c>
      <c r="K7" s="394">
        <v>1</v>
      </c>
      <c r="L7" s="380">
        <v>1</v>
      </c>
      <c r="M7" s="380">
        <v>1</v>
      </c>
      <c r="N7" s="374">
        <f>IF(AND($B$3="外置拉手",$I$2="2.0*22同色PVC"),(B7+C7+120)*2*I7/1000,0)</f>
        <v>25.64</v>
      </c>
      <c r="O7" s="374">
        <f t="shared" ref="O7:O26" si="3">IF(AND($I$2="T型铝封边",J7=""),(B7+C7+120)*2*I7/1000,0)</f>
        <v>0</v>
      </c>
      <c r="P7" s="374">
        <f t="shared" ref="P7:P26" si="4">IF(AND($I$2="T型铝封边",J7="2.0*22同色PVC"),(B7+C7+120)*2*I7/1000,0)</f>
        <v>0</v>
      </c>
      <c r="Q7" s="374">
        <f t="shared" ref="Q7:Q26" si="5">(B7+C7)*D7*2/0.9/1000</f>
        <v>25.822222222222223</v>
      </c>
      <c r="R7" s="374">
        <f t="shared" ref="R7:R26" si="6">B7*C7*D7/1000000</f>
        <v>3.1960500000000001</v>
      </c>
      <c r="S7" s="377">
        <f t="shared" ref="S7:S43" si="7">B7*C7*D7/1000000/1.22/2.44</f>
        <v>1.0736529158828274</v>
      </c>
      <c r="T7" s="374">
        <f t="shared" ref="T7:T26" si="8">IF($B$3&lt;&gt;"外置拉手",((B7+C7*2)+180)*I7/1000,0)</f>
        <v>0</v>
      </c>
      <c r="U7" s="376">
        <f t="shared" ref="U7:U26" si="9">IF($B$3&lt;&gt;"外置拉手",B7*D7/0.9/1000,0)</f>
        <v>0</v>
      </c>
      <c r="V7" s="374">
        <f>IF(OR(AND(B7&lt;100,B3="外置拉手"),AND(C7&lt;100,B3="外置拉手")),D7*0.2,0)+IF(OR(AND(B7&lt;100,B3="通长铝拉手"),AND(C7&lt;100,B3="通长铝拉手")),D7*0.1,0)</f>
        <v>0</v>
      </c>
      <c r="X7" s="825"/>
      <c r="Y7" s="346" t="s">
        <v>1269</v>
      </c>
      <c r="AB7" s="374" t="str">
        <f>AC7&amp;"+"&amp;AF7</f>
        <v>M06-01触感深橡(横纹)+深橡PVC封边条2.0*22</v>
      </c>
      <c r="AC7" s="375" t="s">
        <v>1268</v>
      </c>
      <c r="AD7" s="374" t="s">
        <v>1245</v>
      </c>
      <c r="AE7" s="374" t="s">
        <v>1231</v>
      </c>
      <c r="AF7" s="374" t="s">
        <v>1230</v>
      </c>
      <c r="AG7" s="374">
        <v>2</v>
      </c>
    </row>
    <row r="8" spans="1:33" s="374" customFormat="1">
      <c r="A8" s="373"/>
      <c r="B8" s="372"/>
      <c r="C8" s="371"/>
      <c r="D8" s="371"/>
      <c r="E8" s="380"/>
      <c r="F8" s="378"/>
      <c r="G8" s="378">
        <f t="shared" si="0"/>
        <v>-3</v>
      </c>
      <c r="H8" s="378">
        <f t="shared" si="1"/>
        <v>-3</v>
      </c>
      <c r="I8" s="378">
        <f t="shared" si="2"/>
        <v>0</v>
      </c>
      <c r="J8" s="379" t="str">
        <f t="shared" ref="J8:J26" si="10">IF(OR(AND($I$2="T型铝封边",B8&lt;80),AND($I$2="T型铝封边",C8&lt;80)),$R$4,"")</f>
        <v/>
      </c>
      <c r="K8" s="379"/>
      <c r="L8" s="378"/>
      <c r="M8" s="378"/>
      <c r="N8" s="374">
        <f t="shared" ref="N8:N26" si="11">IF(AND($B$3="外置拉手",$I$2=$R$4),(B8+C8+120)*2*I8/1000,0)</f>
        <v>0</v>
      </c>
      <c r="O8" s="374">
        <f t="shared" si="3"/>
        <v>0</v>
      </c>
      <c r="P8" s="374">
        <f t="shared" si="4"/>
        <v>0</v>
      </c>
      <c r="Q8" s="374">
        <f t="shared" si="5"/>
        <v>0</v>
      </c>
      <c r="R8" s="374">
        <f t="shared" si="6"/>
        <v>0</v>
      </c>
      <c r="S8" s="377">
        <f t="shared" si="7"/>
        <v>0</v>
      </c>
      <c r="T8" s="374">
        <f t="shared" si="8"/>
        <v>0</v>
      </c>
      <c r="U8" s="376">
        <f t="shared" si="9"/>
        <v>0</v>
      </c>
      <c r="V8" s="374">
        <f>IF(OR(AND(B8&lt;100,B5="外置拉手"),AND(C8&lt;100,B5="外置拉手")),D8*0.2,0)+IF(OR(AND(B8&lt;100,B5="通长铝拉手"),AND(C8&lt;100,B5="通长铝拉手")),D8*0.1,0)</f>
        <v>0</v>
      </c>
      <c r="X8" s="825"/>
      <c r="Y8" s="346" t="s">
        <v>1267</v>
      </c>
      <c r="AB8" s="374" t="str">
        <f>AC8&amp;"+"&amp;AF8</f>
        <v>M07艺术胡桃(横纹)+艺术胡桃PVC封边条2.0*22</v>
      </c>
      <c r="AC8" s="375" t="s">
        <v>1266</v>
      </c>
      <c r="AD8" s="374" t="s">
        <v>1245</v>
      </c>
      <c r="AE8" s="374" t="s">
        <v>1265</v>
      </c>
      <c r="AF8" s="374" t="s">
        <v>1226</v>
      </c>
      <c r="AG8" s="374">
        <v>2</v>
      </c>
    </row>
    <row r="9" spans="1:33" s="374" customFormat="1">
      <c r="A9" s="393"/>
      <c r="B9" s="378"/>
      <c r="C9" s="378"/>
      <c r="D9" s="378"/>
      <c r="E9" s="380"/>
      <c r="F9" s="378"/>
      <c r="G9" s="378">
        <f t="shared" si="0"/>
        <v>-3</v>
      </c>
      <c r="H9" s="378">
        <f t="shared" si="1"/>
        <v>-3</v>
      </c>
      <c r="I9" s="378">
        <f t="shared" si="2"/>
        <v>0</v>
      </c>
      <c r="J9" s="379" t="str">
        <f t="shared" si="10"/>
        <v/>
      </c>
      <c r="K9" s="379"/>
      <c r="L9" s="378"/>
      <c r="M9" s="378"/>
      <c r="N9" s="374">
        <f t="shared" si="11"/>
        <v>0</v>
      </c>
      <c r="O9" s="374">
        <f t="shared" si="3"/>
        <v>0</v>
      </c>
      <c r="P9" s="374">
        <f t="shared" si="4"/>
        <v>0</v>
      </c>
      <c r="Q9" s="374">
        <f t="shared" si="5"/>
        <v>0</v>
      </c>
      <c r="R9" s="374">
        <f t="shared" si="6"/>
        <v>0</v>
      </c>
      <c r="S9" s="377">
        <f t="shared" si="7"/>
        <v>0</v>
      </c>
      <c r="T9" s="374">
        <f t="shared" si="8"/>
        <v>0</v>
      </c>
      <c r="U9" s="376">
        <f t="shared" si="9"/>
        <v>0</v>
      </c>
      <c r="V9" s="374">
        <f t="shared" ref="V9:V26" si="12">IF(OR(AND(B9&lt;100,C6="外置拉手"),AND(C9&lt;100,C6="外置拉手")),D9*0.2,0)+IF(OR(AND(B9&lt;100,C6="通长铝拉手"),AND(C9&lt;100,C6="通长铝拉手")),D9*0.1,0)</f>
        <v>0</v>
      </c>
      <c r="X9" s="825"/>
      <c r="Y9" s="346" t="s">
        <v>1264</v>
      </c>
      <c r="AC9" s="375"/>
    </row>
    <row r="10" spans="1:33" s="374" customFormat="1">
      <c r="A10" s="393"/>
      <c r="B10" s="378"/>
      <c r="C10" s="378"/>
      <c r="D10" s="378"/>
      <c r="E10" s="380"/>
      <c r="F10" s="378"/>
      <c r="G10" s="378">
        <f t="shared" si="0"/>
        <v>-3</v>
      </c>
      <c r="H10" s="378">
        <f t="shared" si="1"/>
        <v>-3</v>
      </c>
      <c r="I10" s="378">
        <f t="shared" si="2"/>
        <v>0</v>
      </c>
      <c r="J10" s="379" t="str">
        <f t="shared" si="10"/>
        <v/>
      </c>
      <c r="K10" s="379"/>
      <c r="L10" s="378"/>
      <c r="M10" s="378"/>
      <c r="N10" s="374">
        <f t="shared" si="11"/>
        <v>0</v>
      </c>
      <c r="O10" s="374">
        <f t="shared" si="3"/>
        <v>0</v>
      </c>
      <c r="P10" s="374">
        <f t="shared" si="4"/>
        <v>0</v>
      </c>
      <c r="Q10" s="374">
        <f t="shared" si="5"/>
        <v>0</v>
      </c>
      <c r="R10" s="374">
        <f t="shared" si="6"/>
        <v>0</v>
      </c>
      <c r="S10" s="377">
        <f t="shared" si="7"/>
        <v>0</v>
      </c>
      <c r="T10" s="374">
        <f t="shared" si="8"/>
        <v>0</v>
      </c>
      <c r="U10" s="376">
        <f t="shared" si="9"/>
        <v>0</v>
      </c>
      <c r="V10" s="374">
        <f t="shared" si="12"/>
        <v>0</v>
      </c>
      <c r="X10" s="825"/>
      <c r="Y10" s="346" t="s">
        <v>1263</v>
      </c>
      <c r="AB10" s="374" t="str">
        <f t="shared" ref="AB10:AB18" si="13">AC10&amp;"+"&amp;AF10</f>
        <v>M54白漆木(横纹)+白漆木PVC封边条2.0*22</v>
      </c>
      <c r="AC10" s="375" t="s">
        <v>1262</v>
      </c>
      <c r="AD10" s="374" t="s">
        <v>1245</v>
      </c>
      <c r="AE10" s="374" t="s">
        <v>1221</v>
      </c>
      <c r="AF10" s="374" t="s">
        <v>1220</v>
      </c>
      <c r="AG10" s="374">
        <v>2</v>
      </c>
    </row>
    <row r="11" spans="1:33" s="374" customFormat="1">
      <c r="A11" s="393"/>
      <c r="B11" s="378"/>
      <c r="C11" s="378"/>
      <c r="D11" s="378"/>
      <c r="E11" s="380"/>
      <c r="F11" s="378"/>
      <c r="G11" s="378">
        <f t="shared" si="0"/>
        <v>-3</v>
      </c>
      <c r="H11" s="378">
        <f t="shared" si="1"/>
        <v>-3</v>
      </c>
      <c r="I11" s="378">
        <f t="shared" si="2"/>
        <v>0</v>
      </c>
      <c r="J11" s="379" t="str">
        <f t="shared" si="10"/>
        <v/>
      </c>
      <c r="K11" s="379"/>
      <c r="L11" s="378"/>
      <c r="M11" s="378"/>
      <c r="N11" s="374">
        <f t="shared" si="11"/>
        <v>0</v>
      </c>
      <c r="O11" s="374">
        <f t="shared" si="3"/>
        <v>0</v>
      </c>
      <c r="P11" s="374">
        <f t="shared" si="4"/>
        <v>0</v>
      </c>
      <c r="Q11" s="374">
        <f t="shared" si="5"/>
        <v>0</v>
      </c>
      <c r="R11" s="374">
        <f t="shared" si="6"/>
        <v>0</v>
      </c>
      <c r="S11" s="377">
        <f t="shared" si="7"/>
        <v>0</v>
      </c>
      <c r="T11" s="374">
        <f t="shared" si="8"/>
        <v>0</v>
      </c>
      <c r="U11" s="376">
        <f t="shared" si="9"/>
        <v>0</v>
      </c>
      <c r="V11" s="374">
        <f t="shared" si="12"/>
        <v>0</v>
      </c>
      <c r="X11" s="825"/>
      <c r="Y11" s="346" t="s">
        <v>1261</v>
      </c>
      <c r="AB11" s="374" t="str">
        <f t="shared" si="13"/>
        <v>M55腊木(横纹)+腊木PVC封边条2.0*22</v>
      </c>
      <c r="AC11" s="375" t="s">
        <v>1260</v>
      </c>
      <c r="AD11" s="374" t="s">
        <v>1245</v>
      </c>
      <c r="AE11" s="374" t="s">
        <v>1216</v>
      </c>
      <c r="AF11" s="374" t="s">
        <v>1215</v>
      </c>
      <c r="AG11" s="374">
        <v>2</v>
      </c>
    </row>
    <row r="12" spans="1:33" s="374" customFormat="1">
      <c r="A12" s="393"/>
      <c r="B12" s="378"/>
      <c r="C12" s="378"/>
      <c r="D12" s="378"/>
      <c r="E12" s="380"/>
      <c r="F12" s="378"/>
      <c r="G12" s="378">
        <f t="shared" si="0"/>
        <v>-3</v>
      </c>
      <c r="H12" s="378">
        <f t="shared" si="1"/>
        <v>-3</v>
      </c>
      <c r="I12" s="378">
        <f t="shared" si="2"/>
        <v>0</v>
      </c>
      <c r="J12" s="379" t="str">
        <f t="shared" si="10"/>
        <v/>
      </c>
      <c r="K12" s="379"/>
      <c r="L12" s="378"/>
      <c r="M12" s="378"/>
      <c r="N12" s="374">
        <f t="shared" si="11"/>
        <v>0</v>
      </c>
      <c r="O12" s="374">
        <f t="shared" si="3"/>
        <v>0</v>
      </c>
      <c r="P12" s="374">
        <f t="shared" si="4"/>
        <v>0</v>
      </c>
      <c r="Q12" s="374">
        <f t="shared" si="5"/>
        <v>0</v>
      </c>
      <c r="R12" s="374">
        <f t="shared" si="6"/>
        <v>0</v>
      </c>
      <c r="S12" s="377">
        <f t="shared" si="7"/>
        <v>0</v>
      </c>
      <c r="T12" s="374">
        <f t="shared" si="8"/>
        <v>0</v>
      </c>
      <c r="U12" s="376">
        <f t="shared" si="9"/>
        <v>0</v>
      </c>
      <c r="V12" s="374">
        <f t="shared" si="12"/>
        <v>0</v>
      </c>
      <c r="X12" s="825"/>
      <c r="Y12" s="346" t="s">
        <v>1259</v>
      </c>
      <c r="AB12" s="374" t="str">
        <f t="shared" si="13"/>
        <v>M28白蜡木(横纹)+白蜡木PVC封边条2.0*22</v>
      </c>
      <c r="AC12" s="375" t="s">
        <v>1258</v>
      </c>
      <c r="AD12" s="374" t="s">
        <v>1245</v>
      </c>
      <c r="AE12" s="374" t="s">
        <v>1212</v>
      </c>
      <c r="AF12" s="374" t="s">
        <v>1211</v>
      </c>
      <c r="AG12" s="374">
        <v>2</v>
      </c>
    </row>
    <row r="13" spans="1:33" s="374" customFormat="1">
      <c r="A13" s="393"/>
      <c r="B13" s="378"/>
      <c r="C13" s="378"/>
      <c r="D13" s="378"/>
      <c r="E13" s="380"/>
      <c r="F13" s="378"/>
      <c r="G13" s="378">
        <f t="shared" si="0"/>
        <v>-3</v>
      </c>
      <c r="H13" s="378">
        <f t="shared" si="1"/>
        <v>-3</v>
      </c>
      <c r="I13" s="378">
        <f t="shared" si="2"/>
        <v>0</v>
      </c>
      <c r="J13" s="379" t="str">
        <f t="shared" si="10"/>
        <v/>
      </c>
      <c r="K13" s="379"/>
      <c r="L13" s="378"/>
      <c r="M13" s="378"/>
      <c r="N13" s="374">
        <f t="shared" si="11"/>
        <v>0</v>
      </c>
      <c r="O13" s="374">
        <f t="shared" si="3"/>
        <v>0</v>
      </c>
      <c r="P13" s="374">
        <f t="shared" si="4"/>
        <v>0</v>
      </c>
      <c r="Q13" s="374">
        <f t="shared" si="5"/>
        <v>0</v>
      </c>
      <c r="R13" s="374">
        <f t="shared" si="6"/>
        <v>0</v>
      </c>
      <c r="S13" s="377">
        <f t="shared" si="7"/>
        <v>0</v>
      </c>
      <c r="T13" s="374">
        <f t="shared" si="8"/>
        <v>0</v>
      </c>
      <c r="U13" s="376">
        <f t="shared" si="9"/>
        <v>0</v>
      </c>
      <c r="V13" s="374">
        <f t="shared" si="12"/>
        <v>0</v>
      </c>
      <c r="X13" s="825"/>
      <c r="Y13" s="392" t="s">
        <v>1257</v>
      </c>
      <c r="AB13" s="374" t="str">
        <f t="shared" si="13"/>
        <v>M29-深胡桃(横纹)+深胡桃PVC封边条2.0*22</v>
      </c>
      <c r="AC13" s="375" t="s">
        <v>1256</v>
      </c>
      <c r="AD13" s="374" t="s">
        <v>1245</v>
      </c>
      <c r="AE13" s="374" t="s">
        <v>1208</v>
      </c>
      <c r="AF13" s="374" t="s">
        <v>1207</v>
      </c>
      <c r="AG13" s="374">
        <v>2</v>
      </c>
    </row>
    <row r="14" spans="1:33" s="374" customFormat="1">
      <c r="A14" s="393"/>
      <c r="B14" s="378"/>
      <c r="C14" s="378"/>
      <c r="D14" s="378"/>
      <c r="E14" s="380"/>
      <c r="F14" s="378"/>
      <c r="G14" s="378">
        <f t="shared" si="0"/>
        <v>-3</v>
      </c>
      <c r="H14" s="378">
        <f t="shared" si="1"/>
        <v>-3</v>
      </c>
      <c r="I14" s="378">
        <f t="shared" si="2"/>
        <v>0</v>
      </c>
      <c r="J14" s="379" t="str">
        <f t="shared" si="10"/>
        <v/>
      </c>
      <c r="K14" s="379"/>
      <c r="L14" s="378"/>
      <c r="M14" s="378"/>
      <c r="N14" s="374">
        <f t="shared" si="11"/>
        <v>0</v>
      </c>
      <c r="O14" s="374">
        <f t="shared" si="3"/>
        <v>0</v>
      </c>
      <c r="P14" s="374">
        <f t="shared" si="4"/>
        <v>0</v>
      </c>
      <c r="Q14" s="374">
        <f t="shared" si="5"/>
        <v>0</v>
      </c>
      <c r="R14" s="374">
        <f t="shared" si="6"/>
        <v>0</v>
      </c>
      <c r="S14" s="377">
        <f t="shared" si="7"/>
        <v>0</v>
      </c>
      <c r="T14" s="374">
        <f t="shared" si="8"/>
        <v>0</v>
      </c>
      <c r="U14" s="376">
        <f t="shared" si="9"/>
        <v>0</v>
      </c>
      <c r="V14" s="374">
        <f t="shared" si="12"/>
        <v>0</v>
      </c>
      <c r="X14" s="825"/>
      <c r="Y14" s="392" t="s">
        <v>1255</v>
      </c>
      <c r="AB14" s="374" t="str">
        <f t="shared" si="13"/>
        <v>M30柚木(横纹)+柚木PVC封边条2.0*22</v>
      </c>
      <c r="AC14" s="375" t="s">
        <v>1254</v>
      </c>
      <c r="AD14" s="374" t="s">
        <v>1245</v>
      </c>
      <c r="AE14" s="374" t="s">
        <v>1203</v>
      </c>
      <c r="AF14" s="374" t="s">
        <v>1202</v>
      </c>
      <c r="AG14" s="374">
        <v>2</v>
      </c>
    </row>
    <row r="15" spans="1:33" s="374" customFormat="1">
      <c r="A15" s="393"/>
      <c r="B15" s="378"/>
      <c r="C15" s="378"/>
      <c r="D15" s="378"/>
      <c r="E15" s="380"/>
      <c r="F15" s="378"/>
      <c r="G15" s="378">
        <f t="shared" si="0"/>
        <v>-3</v>
      </c>
      <c r="H15" s="378">
        <f t="shared" si="1"/>
        <v>-3</v>
      </c>
      <c r="I15" s="378">
        <f t="shared" si="2"/>
        <v>0</v>
      </c>
      <c r="J15" s="379" t="str">
        <f t="shared" si="10"/>
        <v/>
      </c>
      <c r="K15" s="379"/>
      <c r="L15" s="378"/>
      <c r="M15" s="378"/>
      <c r="N15" s="374">
        <f t="shared" si="11"/>
        <v>0</v>
      </c>
      <c r="O15" s="374">
        <f t="shared" si="3"/>
        <v>0</v>
      </c>
      <c r="P15" s="374">
        <f t="shared" si="4"/>
        <v>0</v>
      </c>
      <c r="Q15" s="374">
        <f t="shared" si="5"/>
        <v>0</v>
      </c>
      <c r="R15" s="374">
        <f t="shared" si="6"/>
        <v>0</v>
      </c>
      <c r="S15" s="377">
        <f t="shared" si="7"/>
        <v>0</v>
      </c>
      <c r="T15" s="374">
        <f t="shared" si="8"/>
        <v>0</v>
      </c>
      <c r="U15" s="376">
        <f t="shared" si="9"/>
        <v>0</v>
      </c>
      <c r="V15" s="374">
        <f t="shared" si="12"/>
        <v>0</v>
      </c>
      <c r="X15" s="825"/>
      <c r="Y15" s="392" t="s">
        <v>1253</v>
      </c>
      <c r="AB15" s="374" t="str">
        <f t="shared" si="13"/>
        <v>M01-2浮雕浅橡(横纹)+浅橡浮雕PVC封边条2.0*22</v>
      </c>
      <c r="AC15" s="375" t="s">
        <v>1252</v>
      </c>
      <c r="AD15" s="374" t="s">
        <v>1245</v>
      </c>
      <c r="AE15" s="374" t="s">
        <v>1200</v>
      </c>
      <c r="AF15" s="374" t="s">
        <v>1199</v>
      </c>
      <c r="AG15" s="374">
        <v>2</v>
      </c>
    </row>
    <row r="16" spans="1:33" s="374" customFormat="1">
      <c r="A16" s="393"/>
      <c r="B16" s="378"/>
      <c r="C16" s="378"/>
      <c r="D16" s="378"/>
      <c r="E16" s="380"/>
      <c r="F16" s="378"/>
      <c r="G16" s="378">
        <f t="shared" si="0"/>
        <v>-3</v>
      </c>
      <c r="H16" s="378">
        <f t="shared" si="1"/>
        <v>-3</v>
      </c>
      <c r="I16" s="378">
        <f t="shared" si="2"/>
        <v>0</v>
      </c>
      <c r="J16" s="379" t="str">
        <f t="shared" si="10"/>
        <v/>
      </c>
      <c r="K16" s="379"/>
      <c r="L16" s="378"/>
      <c r="M16" s="378"/>
      <c r="N16" s="374">
        <f t="shared" si="11"/>
        <v>0</v>
      </c>
      <c r="O16" s="374">
        <f t="shared" si="3"/>
        <v>0</v>
      </c>
      <c r="P16" s="374">
        <f t="shared" si="4"/>
        <v>0</v>
      </c>
      <c r="Q16" s="374">
        <f t="shared" si="5"/>
        <v>0</v>
      </c>
      <c r="R16" s="374">
        <f t="shared" si="6"/>
        <v>0</v>
      </c>
      <c r="S16" s="377">
        <f t="shared" si="7"/>
        <v>0</v>
      </c>
      <c r="T16" s="374">
        <f t="shared" si="8"/>
        <v>0</v>
      </c>
      <c r="U16" s="376">
        <f t="shared" si="9"/>
        <v>0</v>
      </c>
      <c r="V16" s="374">
        <f t="shared" si="12"/>
        <v>0</v>
      </c>
      <c r="X16" s="825"/>
      <c r="Y16" s="392" t="s">
        <v>1251</v>
      </c>
      <c r="AB16" s="374" t="str">
        <f t="shared" si="13"/>
        <v>M57横纹锯齿(横纹)+横纹锯齿PVC封边条2.0*22</v>
      </c>
      <c r="AC16" s="374" t="s">
        <v>1250</v>
      </c>
      <c r="AD16" s="374" t="s">
        <v>1245</v>
      </c>
      <c r="AE16" s="374" t="s">
        <v>1197</v>
      </c>
      <c r="AF16" s="374" t="s">
        <v>1196</v>
      </c>
      <c r="AG16" s="374">
        <v>2</v>
      </c>
    </row>
    <row r="17" spans="1:33" s="374" customFormat="1">
      <c r="A17" s="393"/>
      <c r="B17" s="378"/>
      <c r="C17" s="378"/>
      <c r="D17" s="378"/>
      <c r="E17" s="380"/>
      <c r="F17" s="378"/>
      <c r="G17" s="378">
        <f t="shared" si="0"/>
        <v>-3</v>
      </c>
      <c r="H17" s="378">
        <f t="shared" si="1"/>
        <v>-3</v>
      </c>
      <c r="I17" s="378">
        <f t="shared" si="2"/>
        <v>0</v>
      </c>
      <c r="J17" s="379" t="str">
        <f t="shared" si="10"/>
        <v/>
      </c>
      <c r="K17" s="379"/>
      <c r="L17" s="378"/>
      <c r="M17" s="378"/>
      <c r="N17" s="374">
        <f t="shared" si="11"/>
        <v>0</v>
      </c>
      <c r="O17" s="374">
        <f t="shared" si="3"/>
        <v>0</v>
      </c>
      <c r="P17" s="374">
        <f t="shared" si="4"/>
        <v>0</v>
      </c>
      <c r="Q17" s="374">
        <f t="shared" si="5"/>
        <v>0</v>
      </c>
      <c r="R17" s="375">
        <f t="shared" si="6"/>
        <v>0</v>
      </c>
      <c r="S17" s="377">
        <f t="shared" si="7"/>
        <v>0</v>
      </c>
      <c r="T17" s="374">
        <f t="shared" si="8"/>
        <v>0</v>
      </c>
      <c r="U17" s="376">
        <f t="shared" si="9"/>
        <v>0</v>
      </c>
      <c r="V17" s="374">
        <f t="shared" si="12"/>
        <v>0</v>
      </c>
      <c r="X17" s="825"/>
      <c r="Y17" s="392" t="s">
        <v>1249</v>
      </c>
      <c r="AB17" s="374" t="str">
        <f t="shared" si="13"/>
        <v>M56锯纹橡木(横纹)+锯纹橡木PVC封边条2.0*22</v>
      </c>
      <c r="AC17" s="375" t="s">
        <v>1248</v>
      </c>
      <c r="AD17" s="374" t="s">
        <v>1245</v>
      </c>
      <c r="AE17" s="374" t="s">
        <v>1192</v>
      </c>
      <c r="AF17" s="374" t="s">
        <v>1191</v>
      </c>
      <c r="AG17" s="374">
        <v>2</v>
      </c>
    </row>
    <row r="18" spans="1:33" s="374" customFormat="1">
      <c r="A18" s="393"/>
      <c r="B18" s="378"/>
      <c r="C18" s="378"/>
      <c r="D18" s="378"/>
      <c r="E18" s="380"/>
      <c r="F18" s="378"/>
      <c r="G18" s="378">
        <f t="shared" si="0"/>
        <v>-3</v>
      </c>
      <c r="H18" s="378">
        <f t="shared" si="1"/>
        <v>-3</v>
      </c>
      <c r="I18" s="378">
        <f t="shared" si="2"/>
        <v>0</v>
      </c>
      <c r="J18" s="379" t="str">
        <f t="shared" si="10"/>
        <v/>
      </c>
      <c r="K18" s="379"/>
      <c r="L18" s="378"/>
      <c r="M18" s="378"/>
      <c r="N18" s="374">
        <f t="shared" si="11"/>
        <v>0</v>
      </c>
      <c r="O18" s="374">
        <f t="shared" si="3"/>
        <v>0</v>
      </c>
      <c r="P18" s="374">
        <f t="shared" si="4"/>
        <v>0</v>
      </c>
      <c r="Q18" s="374">
        <f t="shared" si="5"/>
        <v>0</v>
      </c>
      <c r="R18" s="375">
        <f t="shared" si="6"/>
        <v>0</v>
      </c>
      <c r="S18" s="377">
        <f t="shared" si="7"/>
        <v>0</v>
      </c>
      <c r="T18" s="374">
        <f t="shared" si="8"/>
        <v>0</v>
      </c>
      <c r="U18" s="376">
        <f t="shared" si="9"/>
        <v>0</v>
      </c>
      <c r="V18" s="374">
        <f t="shared" si="12"/>
        <v>0</v>
      </c>
      <c r="X18" s="825"/>
      <c r="Y18" s="392" t="s">
        <v>1247</v>
      </c>
      <c r="AB18" s="374" t="str">
        <f t="shared" si="13"/>
        <v>M45黑檀高光(横纹)+黑檀高光PVC封边条2.0*22</v>
      </c>
      <c r="AC18" s="375" t="s">
        <v>1246</v>
      </c>
      <c r="AD18" s="374" t="s">
        <v>1245</v>
      </c>
      <c r="AE18" s="374" t="s">
        <v>1187</v>
      </c>
      <c r="AF18" s="374" t="s">
        <v>1186</v>
      </c>
      <c r="AG18" s="374">
        <v>2</v>
      </c>
    </row>
    <row r="19" spans="1:33" s="374" customFormat="1">
      <c r="A19" s="393"/>
      <c r="B19" s="378"/>
      <c r="C19" s="378"/>
      <c r="D19" s="378"/>
      <c r="E19" s="380"/>
      <c r="F19" s="378"/>
      <c r="G19" s="378">
        <f t="shared" si="0"/>
        <v>-3</v>
      </c>
      <c r="H19" s="378">
        <f t="shared" si="1"/>
        <v>-3</v>
      </c>
      <c r="I19" s="378">
        <f t="shared" si="2"/>
        <v>0</v>
      </c>
      <c r="J19" s="379" t="str">
        <f t="shared" si="10"/>
        <v/>
      </c>
      <c r="K19" s="379"/>
      <c r="L19" s="378"/>
      <c r="M19" s="378"/>
      <c r="N19" s="374">
        <f t="shared" si="11"/>
        <v>0</v>
      </c>
      <c r="O19" s="374">
        <f t="shared" si="3"/>
        <v>0</v>
      </c>
      <c r="P19" s="374">
        <f t="shared" si="4"/>
        <v>0</v>
      </c>
      <c r="Q19" s="374">
        <f t="shared" si="5"/>
        <v>0</v>
      </c>
      <c r="R19" s="375">
        <f t="shared" si="6"/>
        <v>0</v>
      </c>
      <c r="S19" s="377">
        <f t="shared" si="7"/>
        <v>0</v>
      </c>
      <c r="T19" s="374">
        <f t="shared" si="8"/>
        <v>0</v>
      </c>
      <c r="U19" s="376">
        <f t="shared" si="9"/>
        <v>0</v>
      </c>
      <c r="V19" s="374">
        <f t="shared" si="12"/>
        <v>0</v>
      </c>
      <c r="X19" s="825" t="s">
        <v>1244</v>
      </c>
      <c r="Y19" s="392" t="s">
        <v>1243</v>
      </c>
    </row>
    <row r="20" spans="1:33" s="374" customFormat="1">
      <c r="A20" s="393"/>
      <c r="B20" s="378"/>
      <c r="C20" s="378"/>
      <c r="D20" s="378"/>
      <c r="E20" s="380"/>
      <c r="F20" s="378"/>
      <c r="G20" s="378">
        <f t="shared" si="0"/>
        <v>-3</v>
      </c>
      <c r="H20" s="378">
        <f t="shared" si="1"/>
        <v>-3</v>
      </c>
      <c r="I20" s="378">
        <f t="shared" si="2"/>
        <v>0</v>
      </c>
      <c r="J20" s="379" t="str">
        <f t="shared" si="10"/>
        <v/>
      </c>
      <c r="K20" s="379"/>
      <c r="L20" s="378"/>
      <c r="M20" s="378"/>
      <c r="N20" s="374">
        <f t="shared" si="11"/>
        <v>0</v>
      </c>
      <c r="O20" s="374">
        <f t="shared" si="3"/>
        <v>0</v>
      </c>
      <c r="P20" s="374">
        <f t="shared" si="4"/>
        <v>0</v>
      </c>
      <c r="Q20" s="374">
        <f t="shared" si="5"/>
        <v>0</v>
      </c>
      <c r="R20" s="375">
        <f t="shared" si="6"/>
        <v>0</v>
      </c>
      <c r="S20" s="377">
        <f t="shared" si="7"/>
        <v>0</v>
      </c>
      <c r="T20" s="374">
        <f t="shared" si="8"/>
        <v>0</v>
      </c>
      <c r="U20" s="376">
        <f t="shared" si="9"/>
        <v>0</v>
      </c>
      <c r="V20" s="374">
        <f t="shared" si="12"/>
        <v>0</v>
      </c>
      <c r="X20" s="825"/>
      <c r="Y20" s="346" t="s">
        <v>1242</v>
      </c>
    </row>
    <row r="21" spans="1:33" s="374" customFormat="1">
      <c r="A21" s="393"/>
      <c r="B21" s="378"/>
      <c r="C21" s="378"/>
      <c r="D21" s="378"/>
      <c r="E21" s="380"/>
      <c r="F21" s="378"/>
      <c r="G21" s="378">
        <f t="shared" si="0"/>
        <v>-3</v>
      </c>
      <c r="H21" s="378">
        <f t="shared" si="1"/>
        <v>-3</v>
      </c>
      <c r="I21" s="378">
        <f t="shared" si="2"/>
        <v>0</v>
      </c>
      <c r="J21" s="379" t="str">
        <f t="shared" si="10"/>
        <v/>
      </c>
      <c r="K21" s="379"/>
      <c r="L21" s="378"/>
      <c r="M21" s="378"/>
      <c r="N21" s="374">
        <f t="shared" si="11"/>
        <v>0</v>
      </c>
      <c r="O21" s="374">
        <f t="shared" si="3"/>
        <v>0</v>
      </c>
      <c r="P21" s="374">
        <f t="shared" si="4"/>
        <v>0</v>
      </c>
      <c r="Q21" s="374">
        <f t="shared" si="5"/>
        <v>0</v>
      </c>
      <c r="R21" s="375">
        <f t="shared" si="6"/>
        <v>0</v>
      </c>
      <c r="S21" s="377">
        <f t="shared" si="7"/>
        <v>0</v>
      </c>
      <c r="T21" s="374">
        <f t="shared" si="8"/>
        <v>0</v>
      </c>
      <c r="U21" s="376">
        <f t="shared" si="9"/>
        <v>0</v>
      </c>
      <c r="V21" s="374">
        <f t="shared" si="12"/>
        <v>0</v>
      </c>
      <c r="X21" s="825"/>
      <c r="Y21" s="346" t="s">
        <v>1241</v>
      </c>
      <c r="AB21" s="374" t="str">
        <f>AC21&amp;"+"&amp;AF21</f>
        <v>M01-01触感浅橡(竖纹)+浅橡PVC封边条2.0*22</v>
      </c>
      <c r="AC21" s="374" t="s">
        <v>1240</v>
      </c>
      <c r="AD21" s="374" t="s">
        <v>1188</v>
      </c>
      <c r="AE21" s="374" t="s">
        <v>1239</v>
      </c>
      <c r="AF21" s="374" t="s">
        <v>1238</v>
      </c>
      <c r="AG21" s="374">
        <v>1</v>
      </c>
    </row>
    <row r="22" spans="1:33" s="374" customFormat="1">
      <c r="A22" s="393"/>
      <c r="B22" s="378"/>
      <c r="C22" s="378"/>
      <c r="D22" s="378"/>
      <c r="E22" s="380"/>
      <c r="F22" s="378"/>
      <c r="G22" s="378">
        <f t="shared" si="0"/>
        <v>-3</v>
      </c>
      <c r="H22" s="378">
        <f t="shared" si="1"/>
        <v>-3</v>
      </c>
      <c r="I22" s="378">
        <f t="shared" si="2"/>
        <v>0</v>
      </c>
      <c r="J22" s="379" t="str">
        <f t="shared" si="10"/>
        <v/>
      </c>
      <c r="K22" s="379"/>
      <c r="L22" s="378"/>
      <c r="M22" s="378"/>
      <c r="N22" s="374">
        <f t="shared" si="11"/>
        <v>0</v>
      </c>
      <c r="O22" s="374">
        <f t="shared" si="3"/>
        <v>0</v>
      </c>
      <c r="P22" s="374">
        <f t="shared" si="4"/>
        <v>0</v>
      </c>
      <c r="Q22" s="374">
        <f t="shared" si="5"/>
        <v>0</v>
      </c>
      <c r="R22" s="374">
        <f t="shared" si="6"/>
        <v>0</v>
      </c>
      <c r="S22" s="377">
        <f t="shared" si="7"/>
        <v>0</v>
      </c>
      <c r="T22" s="374">
        <f t="shared" si="8"/>
        <v>0</v>
      </c>
      <c r="U22" s="376">
        <f t="shared" si="9"/>
        <v>0</v>
      </c>
      <c r="V22" s="374">
        <f t="shared" si="12"/>
        <v>0</v>
      </c>
      <c r="X22" s="825"/>
      <c r="Y22" s="346" t="s">
        <v>1237</v>
      </c>
      <c r="AB22" s="374" t="str">
        <f>AC22&amp;"+"&amp;AF22</f>
        <v>M03-01触感红樱桃(竖纹)+红樱桃PVC封边条2.0*22</v>
      </c>
      <c r="AC22" s="375" t="s">
        <v>1236</v>
      </c>
      <c r="AD22" s="374" t="s">
        <v>1188</v>
      </c>
      <c r="AE22" s="374" t="s">
        <v>1235</v>
      </c>
      <c r="AF22" s="374" t="s">
        <v>1234</v>
      </c>
      <c r="AG22" s="374">
        <v>1</v>
      </c>
    </row>
    <row r="23" spans="1:33" s="374" customFormat="1">
      <c r="A23" s="393"/>
      <c r="B23" s="378"/>
      <c r="C23" s="378"/>
      <c r="D23" s="378"/>
      <c r="E23" s="380"/>
      <c r="F23" s="378"/>
      <c r="G23" s="378">
        <f t="shared" si="0"/>
        <v>-3</v>
      </c>
      <c r="H23" s="378">
        <f t="shared" si="1"/>
        <v>-3</v>
      </c>
      <c r="I23" s="378">
        <f t="shared" si="2"/>
        <v>0</v>
      </c>
      <c r="J23" s="379" t="str">
        <f t="shared" si="10"/>
        <v/>
      </c>
      <c r="K23" s="379"/>
      <c r="L23" s="378"/>
      <c r="M23" s="378"/>
      <c r="N23" s="374">
        <f t="shared" si="11"/>
        <v>0</v>
      </c>
      <c r="O23" s="374">
        <f t="shared" si="3"/>
        <v>0</v>
      </c>
      <c r="P23" s="374">
        <f t="shared" si="4"/>
        <v>0</v>
      </c>
      <c r="Q23" s="374">
        <f t="shared" si="5"/>
        <v>0</v>
      </c>
      <c r="R23" s="374">
        <f t="shared" si="6"/>
        <v>0</v>
      </c>
      <c r="S23" s="377">
        <f t="shared" si="7"/>
        <v>0</v>
      </c>
      <c r="T23" s="374">
        <f t="shared" si="8"/>
        <v>0</v>
      </c>
      <c r="U23" s="376">
        <f t="shared" si="9"/>
        <v>0</v>
      </c>
      <c r="V23" s="374">
        <f t="shared" si="12"/>
        <v>0</v>
      </c>
      <c r="X23" s="825"/>
      <c r="Y23" s="346" t="s">
        <v>1233</v>
      </c>
      <c r="AB23" s="374" t="str">
        <f>AC23&amp;"+"&amp;AF23</f>
        <v>M06-01触感深橡(竖纹)+深橡PVC封边条2.0*22</v>
      </c>
      <c r="AC23" s="375" t="s">
        <v>1232</v>
      </c>
      <c r="AD23" s="374" t="s">
        <v>1188</v>
      </c>
      <c r="AE23" s="374" t="s">
        <v>1231</v>
      </c>
      <c r="AF23" s="374" t="s">
        <v>1230</v>
      </c>
      <c r="AG23" s="374">
        <v>1</v>
      </c>
    </row>
    <row r="24" spans="1:33" s="374" customFormat="1">
      <c r="A24" s="391"/>
      <c r="B24" s="378"/>
      <c r="C24" s="378"/>
      <c r="D24" s="378"/>
      <c r="E24" s="380"/>
      <c r="F24" s="378"/>
      <c r="G24" s="378">
        <f t="shared" si="0"/>
        <v>-3</v>
      </c>
      <c r="H24" s="378">
        <f t="shared" si="1"/>
        <v>-3</v>
      </c>
      <c r="I24" s="378">
        <f t="shared" si="2"/>
        <v>0</v>
      </c>
      <c r="J24" s="379" t="str">
        <f t="shared" si="10"/>
        <v/>
      </c>
      <c r="K24" s="379"/>
      <c r="L24" s="378"/>
      <c r="M24" s="378"/>
      <c r="N24" s="374">
        <f t="shared" si="11"/>
        <v>0</v>
      </c>
      <c r="O24" s="374">
        <f t="shared" si="3"/>
        <v>0</v>
      </c>
      <c r="P24" s="374">
        <f t="shared" si="4"/>
        <v>0</v>
      </c>
      <c r="Q24" s="374">
        <f t="shared" si="5"/>
        <v>0</v>
      </c>
      <c r="R24" s="374">
        <f t="shared" si="6"/>
        <v>0</v>
      </c>
      <c r="S24" s="377">
        <f t="shared" si="7"/>
        <v>0</v>
      </c>
      <c r="T24" s="374">
        <f t="shared" si="8"/>
        <v>0</v>
      </c>
      <c r="U24" s="376">
        <f t="shared" si="9"/>
        <v>0</v>
      </c>
      <c r="V24" s="374">
        <f t="shared" si="12"/>
        <v>0</v>
      </c>
      <c r="X24" s="825"/>
      <c r="Y24" s="346" t="s">
        <v>1229</v>
      </c>
      <c r="AB24" s="374" t="str">
        <f>AC24&amp;"+"&amp;AF24</f>
        <v>M07艺术胡桃(竖纹)+艺术胡桃PVC封边条2.0*22</v>
      </c>
      <c r="AC24" s="375" t="s">
        <v>1228</v>
      </c>
      <c r="AD24" s="374" t="s">
        <v>1188</v>
      </c>
      <c r="AE24" s="374" t="s">
        <v>1227</v>
      </c>
      <c r="AF24" s="374" t="s">
        <v>1226</v>
      </c>
      <c r="AG24" s="374">
        <v>1</v>
      </c>
    </row>
    <row r="25" spans="1:33" s="374" customFormat="1">
      <c r="A25" s="391"/>
      <c r="B25" s="378"/>
      <c r="C25" s="378"/>
      <c r="D25" s="378"/>
      <c r="E25" s="380"/>
      <c r="F25" s="378"/>
      <c r="G25" s="378">
        <f t="shared" si="0"/>
        <v>-3</v>
      </c>
      <c r="H25" s="378">
        <f t="shared" si="1"/>
        <v>-3</v>
      </c>
      <c r="I25" s="378">
        <f t="shared" si="2"/>
        <v>0</v>
      </c>
      <c r="J25" s="379" t="str">
        <f t="shared" si="10"/>
        <v/>
      </c>
      <c r="K25" s="379"/>
      <c r="L25" s="378"/>
      <c r="M25" s="378"/>
      <c r="N25" s="374">
        <f t="shared" si="11"/>
        <v>0</v>
      </c>
      <c r="O25" s="374">
        <f t="shared" si="3"/>
        <v>0</v>
      </c>
      <c r="P25" s="374">
        <f t="shared" si="4"/>
        <v>0</v>
      </c>
      <c r="Q25" s="374">
        <f t="shared" si="5"/>
        <v>0</v>
      </c>
      <c r="R25" s="374">
        <f t="shared" si="6"/>
        <v>0</v>
      </c>
      <c r="S25" s="377">
        <f t="shared" si="7"/>
        <v>0</v>
      </c>
      <c r="T25" s="374">
        <f t="shared" si="8"/>
        <v>0</v>
      </c>
      <c r="U25" s="376">
        <f t="shared" si="9"/>
        <v>0</v>
      </c>
      <c r="V25" s="374">
        <f t="shared" si="12"/>
        <v>0</v>
      </c>
      <c r="X25" s="825"/>
      <c r="Y25" s="392" t="s">
        <v>1225</v>
      </c>
      <c r="AC25" s="375"/>
    </row>
    <row r="26" spans="1:33" s="374" customFormat="1">
      <c r="A26" s="391"/>
      <c r="B26" s="378"/>
      <c r="C26" s="378"/>
      <c r="D26" s="378"/>
      <c r="E26" s="380"/>
      <c r="F26" s="378"/>
      <c r="G26" s="378">
        <f t="shared" si="0"/>
        <v>-3</v>
      </c>
      <c r="H26" s="378">
        <f t="shared" si="1"/>
        <v>-3</v>
      </c>
      <c r="I26" s="378">
        <f t="shared" si="2"/>
        <v>0</v>
      </c>
      <c r="J26" s="379" t="str">
        <f t="shared" si="10"/>
        <v/>
      </c>
      <c r="K26" s="379"/>
      <c r="L26" s="378"/>
      <c r="M26" s="378"/>
      <c r="N26" s="374">
        <f t="shared" si="11"/>
        <v>0</v>
      </c>
      <c r="O26" s="374">
        <f t="shared" si="3"/>
        <v>0</v>
      </c>
      <c r="P26" s="374">
        <f t="shared" si="4"/>
        <v>0</v>
      </c>
      <c r="Q26" s="374">
        <f t="shared" si="5"/>
        <v>0</v>
      </c>
      <c r="R26" s="374">
        <f t="shared" si="6"/>
        <v>0</v>
      </c>
      <c r="S26" s="377">
        <f t="shared" si="7"/>
        <v>0</v>
      </c>
      <c r="T26" s="374">
        <f t="shared" si="8"/>
        <v>0</v>
      </c>
      <c r="U26" s="376">
        <f t="shared" si="9"/>
        <v>0</v>
      </c>
      <c r="V26" s="374">
        <f t="shared" si="12"/>
        <v>0</v>
      </c>
      <c r="X26" s="825" t="s">
        <v>1224</v>
      </c>
      <c r="Y26" s="36" t="s">
        <v>1223</v>
      </c>
      <c r="AB26" s="374" t="str">
        <f t="shared" ref="AB26:AB42" si="14">AC26&amp;"+"&amp;AF26</f>
        <v>M54白漆木(竖纹)+白漆木PVC封边条2.0*22</v>
      </c>
      <c r="AC26" s="375" t="s">
        <v>1222</v>
      </c>
      <c r="AD26" s="374" t="s">
        <v>1188</v>
      </c>
      <c r="AE26" s="374" t="s">
        <v>1221</v>
      </c>
      <c r="AF26" s="374" t="s">
        <v>1220</v>
      </c>
      <c r="AG26" s="374">
        <v>1</v>
      </c>
    </row>
    <row r="27" spans="1:33" s="374" customFormat="1">
      <c r="A27" s="390" t="s">
        <v>1219</v>
      </c>
      <c r="B27" s="388"/>
      <c r="C27" s="388"/>
      <c r="D27" s="388"/>
      <c r="E27" s="389"/>
      <c r="F27" s="389"/>
      <c r="G27" s="388"/>
      <c r="H27" s="388"/>
      <c r="I27" s="388"/>
      <c r="J27" s="388"/>
      <c r="K27" s="388"/>
      <c r="L27" s="388"/>
      <c r="M27" s="387"/>
      <c r="S27" s="377">
        <f t="shared" si="7"/>
        <v>0</v>
      </c>
      <c r="U27" s="376"/>
      <c r="X27" s="825"/>
      <c r="Y27" s="36" t="s">
        <v>1218</v>
      </c>
      <c r="AB27" s="374" t="str">
        <f t="shared" si="14"/>
        <v>M55腊木(竖纹)+腊木PVC封边条2.0*22</v>
      </c>
      <c r="AC27" s="375" t="s">
        <v>1217</v>
      </c>
      <c r="AD27" s="374" t="s">
        <v>1188</v>
      </c>
      <c r="AE27" s="374" t="s">
        <v>1216</v>
      </c>
      <c r="AF27" s="374" t="s">
        <v>1215</v>
      </c>
      <c r="AG27" s="374">
        <v>1</v>
      </c>
    </row>
    <row r="28" spans="1:33" s="374" customFormat="1">
      <c r="A28" s="386"/>
      <c r="B28" s="372"/>
      <c r="C28" s="371"/>
      <c r="D28" s="371"/>
      <c r="E28" s="380"/>
      <c r="F28" s="378"/>
      <c r="G28" s="378">
        <f t="shared" ref="G28:G37" si="15">IF($E$3="横纹",C28-3,IF($E$3="竖纹",B28-3,IF($E$3="纯色",B28-3)))</f>
        <v>-3</v>
      </c>
      <c r="H28" s="378">
        <f t="shared" ref="H28:H37" si="16">IF($E$3="横纹",B28-3,IF($E$3="竖纹",C28-3,IF($E$3="纯色",C28-3)))</f>
        <v>-3</v>
      </c>
      <c r="I28" s="378">
        <f t="shared" ref="I28:I37" si="17">D28</f>
        <v>0</v>
      </c>
      <c r="J28" s="379" t="str">
        <f t="shared" ref="J28:J37" si="18">IF(OR(AND($I$2="T型铝封边",B28&lt;80),AND($I$2="T型铝封边",C28&lt;80)),$R$4,"")</f>
        <v/>
      </c>
      <c r="K28" s="379"/>
      <c r="L28" s="378"/>
      <c r="M28" s="378"/>
      <c r="N28" s="374">
        <f t="shared" ref="N28:N37" si="19">IF(AND($B$3="外置拉手",$I$2=$R$4),(B28+C28+120)*2*I28/1000,0)</f>
        <v>0</v>
      </c>
      <c r="O28" s="374">
        <f t="shared" ref="O28:O37" si="20">IF(AND($I$2="T型铝封边",J28=""),(B28+C28+120)*2*I28/1000,0)</f>
        <v>0</v>
      </c>
      <c r="P28" s="374">
        <f t="shared" ref="P28:P37" si="21">IF(AND($I$2="T型铝封边",J28="2.0*22同色PVC"),(B28+C28+120)*2*I28/1000,0)</f>
        <v>0</v>
      </c>
      <c r="Q28" s="374">
        <f t="shared" ref="Q28:Q37" si="22">(B28+C28)*D28*2/0.9/1000</f>
        <v>0</v>
      </c>
      <c r="R28" s="374">
        <f t="shared" ref="R28:R37" si="23">B28*C28*D28/1000000</f>
        <v>0</v>
      </c>
      <c r="S28" s="377">
        <f t="shared" si="7"/>
        <v>0</v>
      </c>
      <c r="T28" s="374">
        <f t="shared" ref="T28:T37" si="24">IF($B$3&lt;&gt;"外置拉手",(B28+C28+120)*2*I28/1000,0)</f>
        <v>0</v>
      </c>
      <c r="U28" s="376"/>
      <c r="V28" s="374">
        <f t="shared" ref="V28:V37" si="25">IF(B28&lt;100,D28*0.2)+IF(C28&lt;100,D28*0.2)</f>
        <v>0</v>
      </c>
      <c r="X28" s="825"/>
      <c r="Y28" s="36" t="s">
        <v>1214</v>
      </c>
      <c r="AB28" s="374" t="str">
        <f t="shared" si="14"/>
        <v>M28白蜡木(竖纹)+白蜡木PVC封边条2.0*22</v>
      </c>
      <c r="AC28" s="375" t="s">
        <v>1213</v>
      </c>
      <c r="AD28" s="374" t="s">
        <v>1188</v>
      </c>
      <c r="AE28" s="374" t="s">
        <v>1212</v>
      </c>
      <c r="AF28" s="374" t="s">
        <v>1211</v>
      </c>
      <c r="AG28" s="374">
        <v>1</v>
      </c>
    </row>
    <row r="29" spans="1:33" s="374" customFormat="1">
      <c r="A29" s="386"/>
      <c r="B29" s="372"/>
      <c r="C29" s="371"/>
      <c r="D29" s="371"/>
      <c r="E29" s="380"/>
      <c r="F29" s="378"/>
      <c r="G29" s="378">
        <f t="shared" si="15"/>
        <v>-3</v>
      </c>
      <c r="H29" s="378">
        <f t="shared" si="16"/>
        <v>-3</v>
      </c>
      <c r="I29" s="378">
        <f t="shared" si="17"/>
        <v>0</v>
      </c>
      <c r="J29" s="379" t="str">
        <f t="shared" si="18"/>
        <v/>
      </c>
      <c r="K29" s="379"/>
      <c r="L29" s="378"/>
      <c r="M29" s="378"/>
      <c r="N29" s="374">
        <f t="shared" si="19"/>
        <v>0</v>
      </c>
      <c r="O29" s="374">
        <f t="shared" si="20"/>
        <v>0</v>
      </c>
      <c r="P29" s="374">
        <f t="shared" si="21"/>
        <v>0</v>
      </c>
      <c r="Q29" s="374">
        <f t="shared" si="22"/>
        <v>0</v>
      </c>
      <c r="R29" s="374">
        <f t="shared" si="23"/>
        <v>0</v>
      </c>
      <c r="S29" s="377">
        <f t="shared" si="7"/>
        <v>0</v>
      </c>
      <c r="T29" s="374">
        <f t="shared" si="24"/>
        <v>0</v>
      </c>
      <c r="U29" s="376"/>
      <c r="V29" s="374">
        <f t="shared" si="25"/>
        <v>0</v>
      </c>
      <c r="X29" s="825"/>
      <c r="Y29" s="36" t="s">
        <v>1210</v>
      </c>
      <c r="AB29" s="374" t="str">
        <f t="shared" si="14"/>
        <v>M29-深胡桃(竖纹)+深胡桃PVC封边条2.0*22</v>
      </c>
      <c r="AC29" s="375" t="s">
        <v>1209</v>
      </c>
      <c r="AD29" s="374" t="s">
        <v>1188</v>
      </c>
      <c r="AE29" s="374" t="s">
        <v>1208</v>
      </c>
      <c r="AF29" s="374" t="s">
        <v>1207</v>
      </c>
      <c r="AG29" s="374">
        <v>1</v>
      </c>
    </row>
    <row r="30" spans="1:33" s="374" customFormat="1">
      <c r="A30" s="386"/>
      <c r="B30" s="372"/>
      <c r="C30" s="371"/>
      <c r="D30" s="371"/>
      <c r="E30" s="380"/>
      <c r="F30" s="378"/>
      <c r="G30" s="378">
        <f t="shared" si="15"/>
        <v>-3</v>
      </c>
      <c r="H30" s="378">
        <f t="shared" si="16"/>
        <v>-3</v>
      </c>
      <c r="I30" s="378">
        <f t="shared" si="17"/>
        <v>0</v>
      </c>
      <c r="J30" s="379" t="str">
        <f t="shared" si="18"/>
        <v/>
      </c>
      <c r="K30" s="379"/>
      <c r="L30" s="378"/>
      <c r="M30" s="378"/>
      <c r="N30" s="374">
        <f t="shared" si="19"/>
        <v>0</v>
      </c>
      <c r="O30" s="374">
        <f t="shared" si="20"/>
        <v>0</v>
      </c>
      <c r="P30" s="374">
        <f t="shared" si="21"/>
        <v>0</v>
      </c>
      <c r="Q30" s="374">
        <f t="shared" si="22"/>
        <v>0</v>
      </c>
      <c r="R30" s="374">
        <f t="shared" si="23"/>
        <v>0</v>
      </c>
      <c r="S30" s="377">
        <f t="shared" si="7"/>
        <v>0</v>
      </c>
      <c r="T30" s="374">
        <f t="shared" si="24"/>
        <v>0</v>
      </c>
      <c r="U30" s="376"/>
      <c r="V30" s="374">
        <f t="shared" si="25"/>
        <v>0</v>
      </c>
      <c r="X30" s="382" t="s">
        <v>1206</v>
      </c>
      <c r="Y30" s="385" t="s">
        <v>1205</v>
      </c>
      <c r="AB30" s="374" t="str">
        <f t="shared" si="14"/>
        <v>M30柚木(竖纹)+柚木PVC封边条2.0*22</v>
      </c>
      <c r="AC30" s="375" t="s">
        <v>1204</v>
      </c>
      <c r="AD30" s="374" t="s">
        <v>1188</v>
      </c>
      <c r="AE30" s="374" t="s">
        <v>1203</v>
      </c>
      <c r="AF30" s="374" t="s">
        <v>1202</v>
      </c>
      <c r="AG30" s="374">
        <v>1</v>
      </c>
    </row>
    <row r="31" spans="1:33" s="374" customFormat="1">
      <c r="A31" s="373"/>
      <c r="B31" s="372"/>
      <c r="C31" s="371"/>
      <c r="D31" s="371"/>
      <c r="E31" s="380"/>
      <c r="F31" s="378"/>
      <c r="G31" s="378">
        <f t="shared" si="15"/>
        <v>-3</v>
      </c>
      <c r="H31" s="378">
        <f t="shared" si="16"/>
        <v>-3</v>
      </c>
      <c r="I31" s="378">
        <f t="shared" si="17"/>
        <v>0</v>
      </c>
      <c r="J31" s="379" t="str">
        <f t="shared" si="18"/>
        <v/>
      </c>
      <c r="K31" s="379"/>
      <c r="L31" s="378"/>
      <c r="M31" s="378"/>
      <c r="N31" s="374">
        <f t="shared" si="19"/>
        <v>0</v>
      </c>
      <c r="O31" s="374">
        <f t="shared" si="20"/>
        <v>0</v>
      </c>
      <c r="P31" s="374">
        <f t="shared" si="21"/>
        <v>0</v>
      </c>
      <c r="Q31" s="374">
        <f t="shared" si="22"/>
        <v>0</v>
      </c>
      <c r="R31" s="374">
        <f t="shared" si="23"/>
        <v>0</v>
      </c>
      <c r="S31" s="377">
        <f t="shared" si="7"/>
        <v>0</v>
      </c>
      <c r="T31" s="374">
        <f t="shared" si="24"/>
        <v>0</v>
      </c>
      <c r="U31" s="376"/>
      <c r="V31" s="374">
        <f t="shared" si="25"/>
        <v>0</v>
      </c>
      <c r="X31" s="384" t="s">
        <v>49</v>
      </c>
      <c r="Y31" s="383" t="s">
        <v>49</v>
      </c>
      <c r="AB31" s="374" t="str">
        <f t="shared" si="14"/>
        <v>M01-2浮雕浅橡(竖纹)+浅橡浮雕PVC封边条2.0*22</v>
      </c>
      <c r="AC31" s="375" t="s">
        <v>1201</v>
      </c>
      <c r="AD31" s="374" t="s">
        <v>1188</v>
      </c>
      <c r="AE31" s="374" t="s">
        <v>1200</v>
      </c>
      <c r="AF31" s="374" t="s">
        <v>1199</v>
      </c>
      <c r="AG31" s="374">
        <v>1</v>
      </c>
    </row>
    <row r="32" spans="1:33" s="374" customFormat="1">
      <c r="A32" s="373"/>
      <c r="B32" s="372"/>
      <c r="C32" s="371"/>
      <c r="D32" s="371"/>
      <c r="E32" s="380"/>
      <c r="F32" s="378"/>
      <c r="G32" s="378">
        <f t="shared" si="15"/>
        <v>-3</v>
      </c>
      <c r="H32" s="378">
        <f t="shared" si="16"/>
        <v>-3</v>
      </c>
      <c r="I32" s="378">
        <f t="shared" si="17"/>
        <v>0</v>
      </c>
      <c r="J32" s="379" t="str">
        <f t="shared" si="18"/>
        <v/>
      </c>
      <c r="K32" s="379"/>
      <c r="L32" s="378"/>
      <c r="M32" s="378"/>
      <c r="N32" s="374">
        <f t="shared" si="19"/>
        <v>0</v>
      </c>
      <c r="O32" s="374">
        <f t="shared" si="20"/>
        <v>0</v>
      </c>
      <c r="P32" s="374">
        <f t="shared" si="21"/>
        <v>0</v>
      </c>
      <c r="Q32" s="374">
        <f t="shared" si="22"/>
        <v>0</v>
      </c>
      <c r="R32" s="374">
        <f t="shared" si="23"/>
        <v>0</v>
      </c>
      <c r="S32" s="377">
        <f t="shared" si="7"/>
        <v>0</v>
      </c>
      <c r="T32" s="374">
        <f t="shared" si="24"/>
        <v>0</v>
      </c>
      <c r="U32" s="376"/>
      <c r="V32" s="374">
        <f t="shared" si="25"/>
        <v>0</v>
      </c>
      <c r="X32" s="382" t="s">
        <v>56</v>
      </c>
      <c r="Y32" s="381" t="s">
        <v>56</v>
      </c>
      <c r="AB32" s="374" t="str">
        <f t="shared" si="14"/>
        <v>M57横纹锯齿(竖纹)+横纹锯齿PVC封边条2.0*22</v>
      </c>
      <c r="AC32" s="374" t="s">
        <v>1198</v>
      </c>
      <c r="AD32" s="374" t="s">
        <v>1188</v>
      </c>
      <c r="AE32" s="374" t="s">
        <v>1197</v>
      </c>
      <c r="AF32" s="374" t="s">
        <v>1196</v>
      </c>
      <c r="AG32" s="374">
        <v>1</v>
      </c>
    </row>
    <row r="33" spans="1:33" s="374" customFormat="1">
      <c r="A33" s="373"/>
      <c r="B33" s="372"/>
      <c r="C33" s="371"/>
      <c r="D33" s="371"/>
      <c r="E33" s="380"/>
      <c r="F33" s="378"/>
      <c r="G33" s="378">
        <f t="shared" si="15"/>
        <v>-3</v>
      </c>
      <c r="H33" s="378">
        <f t="shared" si="16"/>
        <v>-3</v>
      </c>
      <c r="I33" s="378">
        <f t="shared" si="17"/>
        <v>0</v>
      </c>
      <c r="J33" s="379" t="str">
        <f t="shared" si="18"/>
        <v/>
      </c>
      <c r="K33" s="379"/>
      <c r="L33" s="378"/>
      <c r="M33" s="378"/>
      <c r="N33" s="374">
        <f t="shared" si="19"/>
        <v>0</v>
      </c>
      <c r="O33" s="374">
        <f t="shared" si="20"/>
        <v>0</v>
      </c>
      <c r="P33" s="374">
        <f t="shared" si="21"/>
        <v>0</v>
      </c>
      <c r="Q33" s="374">
        <f t="shared" si="22"/>
        <v>0</v>
      </c>
      <c r="R33" s="374">
        <f t="shared" si="23"/>
        <v>0</v>
      </c>
      <c r="S33" s="377">
        <f t="shared" si="7"/>
        <v>0</v>
      </c>
      <c r="T33" s="374">
        <f t="shared" si="24"/>
        <v>0</v>
      </c>
      <c r="U33" s="376"/>
      <c r="V33" s="374">
        <f t="shared" si="25"/>
        <v>0</v>
      </c>
      <c r="X33" s="825" t="s">
        <v>1195</v>
      </c>
      <c r="Y33" s="346" t="s">
        <v>1194</v>
      </c>
      <c r="AB33" s="374" t="str">
        <f t="shared" si="14"/>
        <v>M56锯纹橡木(竖纹)+锯纹橡木PVC封边条2.0*22</v>
      </c>
      <c r="AC33" s="375" t="s">
        <v>1193</v>
      </c>
      <c r="AD33" s="374" t="s">
        <v>1188</v>
      </c>
      <c r="AE33" s="374" t="s">
        <v>1192</v>
      </c>
      <c r="AF33" s="374" t="s">
        <v>1191</v>
      </c>
      <c r="AG33" s="374">
        <v>1</v>
      </c>
    </row>
    <row r="34" spans="1:33" s="374" customFormat="1">
      <c r="A34" s="373"/>
      <c r="B34" s="372"/>
      <c r="C34" s="371"/>
      <c r="D34" s="371"/>
      <c r="E34" s="380"/>
      <c r="F34" s="378"/>
      <c r="G34" s="378">
        <f t="shared" si="15"/>
        <v>-3</v>
      </c>
      <c r="H34" s="378">
        <f t="shared" si="16"/>
        <v>-3</v>
      </c>
      <c r="I34" s="378">
        <f t="shared" si="17"/>
        <v>0</v>
      </c>
      <c r="J34" s="379" t="str">
        <f t="shared" si="18"/>
        <v/>
      </c>
      <c r="K34" s="379"/>
      <c r="L34" s="378"/>
      <c r="M34" s="378"/>
      <c r="N34" s="374">
        <f t="shared" si="19"/>
        <v>0</v>
      </c>
      <c r="O34" s="374">
        <f t="shared" si="20"/>
        <v>0</v>
      </c>
      <c r="P34" s="374">
        <f t="shared" si="21"/>
        <v>0</v>
      </c>
      <c r="Q34" s="374">
        <f t="shared" si="22"/>
        <v>0</v>
      </c>
      <c r="R34" s="374">
        <f t="shared" si="23"/>
        <v>0</v>
      </c>
      <c r="S34" s="377">
        <f t="shared" si="7"/>
        <v>0</v>
      </c>
      <c r="T34" s="374">
        <f t="shared" si="24"/>
        <v>0</v>
      </c>
      <c r="U34" s="376"/>
      <c r="V34" s="374">
        <f t="shared" si="25"/>
        <v>0</v>
      </c>
      <c r="X34" s="825"/>
      <c r="Y34" s="346" t="s">
        <v>1190</v>
      </c>
      <c r="AB34" s="374" t="str">
        <f t="shared" si="14"/>
        <v>M45黑檀高光(竖纹)+黑檀高光PVC封边条2.0*22</v>
      </c>
      <c r="AC34" s="375" t="s">
        <v>1189</v>
      </c>
      <c r="AD34" s="374" t="s">
        <v>1188</v>
      </c>
      <c r="AE34" s="374" t="s">
        <v>1187</v>
      </c>
      <c r="AF34" s="374" t="s">
        <v>1186</v>
      </c>
      <c r="AG34" s="374">
        <v>1</v>
      </c>
    </row>
    <row r="35" spans="1:33" s="374" customFormat="1">
      <c r="A35" s="373"/>
      <c r="B35" s="372"/>
      <c r="C35" s="371"/>
      <c r="D35" s="371"/>
      <c r="E35" s="380"/>
      <c r="F35" s="378"/>
      <c r="G35" s="378">
        <f t="shared" si="15"/>
        <v>-3</v>
      </c>
      <c r="H35" s="378">
        <f t="shared" si="16"/>
        <v>-3</v>
      </c>
      <c r="I35" s="378">
        <f t="shared" si="17"/>
        <v>0</v>
      </c>
      <c r="J35" s="379" t="str">
        <f t="shared" si="18"/>
        <v/>
      </c>
      <c r="K35" s="379"/>
      <c r="L35" s="378"/>
      <c r="M35" s="378"/>
      <c r="N35" s="374">
        <f t="shared" si="19"/>
        <v>0</v>
      </c>
      <c r="O35" s="374">
        <f t="shared" si="20"/>
        <v>0</v>
      </c>
      <c r="P35" s="374">
        <f t="shared" si="21"/>
        <v>0</v>
      </c>
      <c r="Q35" s="374">
        <f t="shared" si="22"/>
        <v>0</v>
      </c>
      <c r="R35" s="374">
        <f t="shared" si="23"/>
        <v>0</v>
      </c>
      <c r="S35" s="377">
        <f t="shared" si="7"/>
        <v>0</v>
      </c>
      <c r="T35" s="374">
        <f t="shared" si="24"/>
        <v>0</v>
      </c>
      <c r="U35" s="376"/>
      <c r="V35" s="374">
        <f t="shared" si="25"/>
        <v>0</v>
      </c>
      <c r="X35" s="825"/>
      <c r="Y35" s="346" t="s">
        <v>1185</v>
      </c>
      <c r="AB35" s="374" t="str">
        <f t="shared" si="14"/>
        <v>M51柠檬黄+柠檬黄PVC封边条2.0*22</v>
      </c>
      <c r="AC35" s="375" t="s">
        <v>1184</v>
      </c>
      <c r="AD35" s="374" t="s">
        <v>1156</v>
      </c>
      <c r="AE35" s="374" t="s">
        <v>1183</v>
      </c>
      <c r="AF35" s="374" t="s">
        <v>1182</v>
      </c>
      <c r="AG35" s="374">
        <v>1</v>
      </c>
    </row>
    <row r="36" spans="1:33">
      <c r="A36" s="373"/>
      <c r="B36" s="372"/>
      <c r="C36" s="371"/>
      <c r="D36" s="371"/>
      <c r="E36" s="364"/>
      <c r="F36" s="362"/>
      <c r="G36" s="362">
        <f t="shared" si="15"/>
        <v>-3</v>
      </c>
      <c r="H36" s="362">
        <f t="shared" si="16"/>
        <v>-3</v>
      </c>
      <c r="I36" s="362">
        <f t="shared" si="17"/>
        <v>0</v>
      </c>
      <c r="J36" s="363" t="str">
        <f t="shared" si="18"/>
        <v/>
      </c>
      <c r="K36" s="363"/>
      <c r="L36" s="362"/>
      <c r="M36" s="362"/>
      <c r="N36" s="335">
        <f t="shared" si="19"/>
        <v>0</v>
      </c>
      <c r="O36" s="335">
        <f t="shared" si="20"/>
        <v>0</v>
      </c>
      <c r="P36" s="335">
        <f t="shared" si="21"/>
        <v>0</v>
      </c>
      <c r="Q36" s="335">
        <f t="shared" si="22"/>
        <v>0</v>
      </c>
      <c r="R36" s="335">
        <f t="shared" si="23"/>
        <v>0</v>
      </c>
      <c r="S36" s="336">
        <f t="shared" si="7"/>
        <v>0</v>
      </c>
      <c r="T36" s="335">
        <f t="shared" si="24"/>
        <v>0</v>
      </c>
      <c r="U36" s="341"/>
      <c r="V36" s="335">
        <f t="shared" si="25"/>
        <v>0</v>
      </c>
      <c r="X36" s="825"/>
      <c r="Y36" s="370" t="s">
        <v>1181</v>
      </c>
      <c r="AB36" s="335" t="str">
        <f t="shared" si="14"/>
        <v>M50柠檬绿+柠檬绿PVC封边条2.0*22</v>
      </c>
      <c r="AC36" s="338" t="s">
        <v>1180</v>
      </c>
      <c r="AD36" s="335" t="s">
        <v>1156</v>
      </c>
      <c r="AE36" s="335" t="s">
        <v>1179</v>
      </c>
      <c r="AF36" s="335" t="s">
        <v>1178</v>
      </c>
      <c r="AG36" s="335">
        <v>1</v>
      </c>
    </row>
    <row r="37" spans="1:33">
      <c r="A37" s="365"/>
      <c r="B37" s="362"/>
      <c r="C37" s="362"/>
      <c r="D37" s="362"/>
      <c r="E37" s="364"/>
      <c r="F37" s="362"/>
      <c r="G37" s="362">
        <f t="shared" si="15"/>
        <v>-3</v>
      </c>
      <c r="H37" s="362">
        <f t="shared" si="16"/>
        <v>-3</v>
      </c>
      <c r="I37" s="362">
        <f t="shared" si="17"/>
        <v>0</v>
      </c>
      <c r="J37" s="363" t="str">
        <f t="shared" si="18"/>
        <v/>
      </c>
      <c r="K37" s="363"/>
      <c r="L37" s="362"/>
      <c r="M37" s="362"/>
      <c r="N37" s="335">
        <f t="shared" si="19"/>
        <v>0</v>
      </c>
      <c r="O37" s="335">
        <f t="shared" si="20"/>
        <v>0</v>
      </c>
      <c r="P37" s="335">
        <f t="shared" si="21"/>
        <v>0</v>
      </c>
      <c r="Q37" s="335">
        <f t="shared" si="22"/>
        <v>0</v>
      </c>
      <c r="R37" s="335">
        <f t="shared" si="23"/>
        <v>0</v>
      </c>
      <c r="S37" s="336">
        <f t="shared" si="7"/>
        <v>0</v>
      </c>
      <c r="T37" s="335">
        <f t="shared" si="24"/>
        <v>0</v>
      </c>
      <c r="U37" s="341"/>
      <c r="V37" s="335">
        <f t="shared" si="25"/>
        <v>0</v>
      </c>
      <c r="X37" s="825"/>
      <c r="Y37" s="346" t="s">
        <v>1177</v>
      </c>
      <c r="AB37" s="335" t="str">
        <f t="shared" si="14"/>
        <v>M13荷花白+荷花白PVC封边条2.0*22</v>
      </c>
      <c r="AC37" s="338" t="s">
        <v>226</v>
      </c>
      <c r="AD37" s="335" t="s">
        <v>1156</v>
      </c>
      <c r="AE37" s="335" t="s">
        <v>1176</v>
      </c>
      <c r="AF37" s="335" t="s">
        <v>1175</v>
      </c>
      <c r="AG37" s="335">
        <v>1</v>
      </c>
    </row>
    <row r="38" spans="1:33">
      <c r="A38" s="369" t="s">
        <v>1174</v>
      </c>
      <c r="B38" s="367"/>
      <c r="C38" s="367"/>
      <c r="D38" s="367"/>
      <c r="E38" s="368"/>
      <c r="F38" s="368"/>
      <c r="G38" s="367"/>
      <c r="H38" s="367"/>
      <c r="I38" s="367"/>
      <c r="J38" s="367"/>
      <c r="K38" s="367"/>
      <c r="L38" s="367"/>
      <c r="M38" s="366"/>
      <c r="S38" s="336">
        <f t="shared" si="7"/>
        <v>0</v>
      </c>
      <c r="U38" s="341"/>
      <c r="X38" s="825"/>
      <c r="Y38" s="346" t="s">
        <v>1173</v>
      </c>
      <c r="AB38" s="335" t="str">
        <f t="shared" si="14"/>
        <v>M42纯白高光+纯白高光PVC封边条2.0*22</v>
      </c>
      <c r="AC38" s="338" t="s">
        <v>1172</v>
      </c>
      <c r="AD38" s="335" t="s">
        <v>1156</v>
      </c>
      <c r="AE38" s="335" t="s">
        <v>1171</v>
      </c>
      <c r="AF38" s="335" t="s">
        <v>1170</v>
      </c>
      <c r="AG38" s="335">
        <v>1</v>
      </c>
    </row>
    <row r="39" spans="1:33">
      <c r="A39" s="365"/>
      <c r="B39" s="362"/>
      <c r="C39" s="362"/>
      <c r="D39" s="362"/>
      <c r="E39" s="362"/>
      <c r="F39" s="362"/>
      <c r="G39" s="362">
        <f>B39-3</f>
        <v>-3</v>
      </c>
      <c r="H39" s="362">
        <f>C39-$T$48</f>
        <v>-3</v>
      </c>
      <c r="I39" s="362">
        <f>D39</f>
        <v>0</v>
      </c>
      <c r="J39" s="363" t="str">
        <f>IF(OR(AND($I$2="T型铝封边",B39&lt;80),AND($I$2="T型铝封边",C39&lt;80)),$R$4,"")</f>
        <v/>
      </c>
      <c r="K39" s="363"/>
      <c r="L39" s="362"/>
      <c r="M39" s="362"/>
      <c r="N39" s="361">
        <f>IF(AND($B$3="外置拉手",$I$2=$R$4),(B39+C39+120)*2*I39/1000,0)</f>
        <v>0</v>
      </c>
      <c r="O39" s="361">
        <f>IF(AND($I$2="T型铝封边",J39=""),(B39+C39+120)*2*I39/1000,0)</f>
        <v>0</v>
      </c>
      <c r="P39" s="361">
        <f>IF(AND($I$2="T型铝封边",J39="2.0*22同色PVC"),(B39+C39+120)*2*I39/1000,0)</f>
        <v>0</v>
      </c>
      <c r="Q39" s="361">
        <f>(B39+C39)*D39*2/0.9/1000</f>
        <v>0</v>
      </c>
      <c r="R39" s="361">
        <f>B39*C39*D39/1000000</f>
        <v>0</v>
      </c>
      <c r="S39" s="336">
        <f t="shared" si="7"/>
        <v>0</v>
      </c>
      <c r="T39" s="361">
        <f>IF($B$3&lt;&gt;"外置拉手",((B39+C39*2)+180)*I39/1000,0)</f>
        <v>0</v>
      </c>
      <c r="U39" s="341">
        <f>IF($B$3&lt;&gt;"外置拉手",B39*D39/0.9/1000,0)</f>
        <v>0</v>
      </c>
      <c r="V39" s="335">
        <f>IF(OR(AND(B39&lt;100,C36="外置拉手"),AND(C39&lt;100,C36="外置拉手")),D39*0.2,0)+IF(OR(AND(B39&lt;100,C36="通长铝拉手"),AND(C39&lt;100,C36="通长铝拉手")),D39*0.1,0)</f>
        <v>0</v>
      </c>
      <c r="X39" s="825" t="s">
        <v>1169</v>
      </c>
      <c r="Y39" s="346" t="s">
        <v>1168</v>
      </c>
      <c r="AB39" s="335" t="str">
        <f t="shared" si="14"/>
        <v>M16触感铁灰+铁灰PVC封边条2.0*22</v>
      </c>
      <c r="AC39" s="338" t="s">
        <v>227</v>
      </c>
      <c r="AD39" s="335" t="s">
        <v>1156</v>
      </c>
      <c r="AE39" s="335" t="s">
        <v>1167</v>
      </c>
      <c r="AF39" s="335" t="s">
        <v>1166</v>
      </c>
      <c r="AG39" s="335">
        <v>1</v>
      </c>
    </row>
    <row r="40" spans="1:33">
      <c r="A40" s="365"/>
      <c r="B40" s="362"/>
      <c r="C40" s="362"/>
      <c r="D40" s="362"/>
      <c r="E40" s="364"/>
      <c r="F40" s="362"/>
      <c r="G40" s="362">
        <f>B40-3</f>
        <v>-3</v>
      </c>
      <c r="H40" s="362">
        <f>C40-$T$48</f>
        <v>-3</v>
      </c>
      <c r="I40" s="362">
        <f>D40</f>
        <v>0</v>
      </c>
      <c r="J40" s="363" t="str">
        <f>IF(OR(AND($I$2="T型铝封边",B40&lt;80),AND($I$2="T型铝封边",C40&lt;80)),$R$4,"")</f>
        <v/>
      </c>
      <c r="K40" s="363"/>
      <c r="L40" s="362"/>
      <c r="M40" s="362"/>
      <c r="N40" s="361">
        <f>IF(AND($B$3="外置拉手",$I$2=$R$4),(B40+C40+120)*2*I40/1000,0)</f>
        <v>0</v>
      </c>
      <c r="O40" s="361">
        <f>IF(AND($I$2="T型铝封边",J40=""),(B40+C40+120)*2*I40/1000,0)</f>
        <v>0</v>
      </c>
      <c r="P40" s="361">
        <f>IF(AND($I$2="T型铝封边",J40="2.0*22同色PVC"),(B40+C40+120)*2*I40/1000,0)</f>
        <v>0</v>
      </c>
      <c r="Q40" s="361">
        <f>(B40+C40)*D40*2/0.9/1000</f>
        <v>0</v>
      </c>
      <c r="R40" s="361">
        <f>B40*C40*D40/1000000</f>
        <v>0</v>
      </c>
      <c r="S40" s="336">
        <f t="shared" si="7"/>
        <v>0</v>
      </c>
      <c r="T40" s="361">
        <f>IF($B$3&lt;&gt;"外置拉手",((B40+C40*2)+180)*I40/1000,0)</f>
        <v>0</v>
      </c>
      <c r="U40" s="341">
        <f>IF($B$3&lt;&gt;"外置拉手",B40*D40/0.9/1000,0)</f>
        <v>0</v>
      </c>
      <c r="V40" s="335">
        <f>IF(OR(AND(B40&lt;100,C37="外置拉手"),AND(C40&lt;100,C37="外置拉手")),D40*0.2,0)+IF(OR(AND(B40&lt;100,C37="通长铝拉手"),AND(C40&lt;100,C37="通长铝拉手")),D40*0.1,0)</f>
        <v>0</v>
      </c>
      <c r="X40" s="825"/>
      <c r="Y40" s="346" t="s">
        <v>1165</v>
      </c>
      <c r="AB40" s="335" t="str">
        <f t="shared" si="14"/>
        <v>M11暖白+暖白PVC封边条2.0*22</v>
      </c>
      <c r="AC40" s="338" t="s">
        <v>225</v>
      </c>
      <c r="AD40" s="335" t="s">
        <v>1156</v>
      </c>
      <c r="AE40" s="335" t="s">
        <v>1164</v>
      </c>
      <c r="AF40" s="335" t="s">
        <v>1163</v>
      </c>
      <c r="AG40" s="335">
        <v>1</v>
      </c>
    </row>
    <row r="41" spans="1:33">
      <c r="A41" s="365"/>
      <c r="B41" s="362"/>
      <c r="C41" s="362"/>
      <c r="D41" s="362"/>
      <c r="E41" s="364"/>
      <c r="F41" s="362"/>
      <c r="G41" s="362">
        <f>B41-3</f>
        <v>-3</v>
      </c>
      <c r="H41" s="362">
        <f>C41-$T$48</f>
        <v>-3</v>
      </c>
      <c r="I41" s="362">
        <f>D41</f>
        <v>0</v>
      </c>
      <c r="J41" s="363" t="str">
        <f>IF(OR(AND($I$2="T型铝封边",B41&lt;80),AND($I$2="T型铝封边",C41&lt;80)),$R$4,"")</f>
        <v/>
      </c>
      <c r="K41" s="363"/>
      <c r="L41" s="362"/>
      <c r="M41" s="362"/>
      <c r="N41" s="361">
        <f>IF(AND($B$3="外置拉手",$I$2=$R$4),(B41+C41+120)*2*I41/1000,0)</f>
        <v>0</v>
      </c>
      <c r="O41" s="361">
        <f>IF(AND($I$2="T型铝封边",J41=""),(B41+C41+120)*2*I41/1000,0)</f>
        <v>0</v>
      </c>
      <c r="P41" s="361">
        <f>IF(AND($I$2="T型铝封边",J41="2.0*22同色PVC"),(B41+C41+120)*2*I41/1000,0)</f>
        <v>0</v>
      </c>
      <c r="Q41" s="361">
        <f>(B41+C41)*D41*2/0.9/1000</f>
        <v>0</v>
      </c>
      <c r="R41" s="361">
        <f>B41*C41*D41/1000000</f>
        <v>0</v>
      </c>
      <c r="S41" s="336">
        <f t="shared" si="7"/>
        <v>0</v>
      </c>
      <c r="T41" s="361">
        <f>IF($B$3&lt;&gt;"外置拉手",((B41+C41*2)+180)*I41/1000,0)</f>
        <v>0</v>
      </c>
      <c r="U41" s="341">
        <f>IF($B$3&lt;&gt;"外置拉手",B41*D41/0.9/1000,0)</f>
        <v>0</v>
      </c>
      <c r="V41" s="335">
        <f>IF(OR(AND(B41&lt;100,C38="外置拉手"),AND(C41&lt;100,C38="外置拉手")),D41*0.2,0)+IF(OR(AND(B41&lt;100,C38="通长铝拉手"),AND(C41&lt;100,C38="通长铝拉手")),D41*0.1,0)</f>
        <v>0</v>
      </c>
      <c r="X41" s="825"/>
      <c r="Y41" s="346" t="s">
        <v>1162</v>
      </c>
      <c r="AB41" s="335" t="str">
        <f t="shared" si="14"/>
        <v>M12米黄+米黄麻PVC封边条2.0*22</v>
      </c>
      <c r="AC41" s="338" t="s">
        <v>1161</v>
      </c>
      <c r="AD41" s="335" t="s">
        <v>1156</v>
      </c>
      <c r="AE41" s="335" t="s">
        <v>1160</v>
      </c>
      <c r="AF41" s="335" t="s">
        <v>1159</v>
      </c>
      <c r="AG41" s="335">
        <v>1</v>
      </c>
    </row>
    <row r="42" spans="1:33">
      <c r="A42" s="365"/>
      <c r="B42" s="362"/>
      <c r="C42" s="362"/>
      <c r="D42" s="362"/>
      <c r="E42" s="364"/>
      <c r="F42" s="362"/>
      <c r="G42" s="362">
        <f>B42-3</f>
        <v>-3</v>
      </c>
      <c r="H42" s="362">
        <f>C42-$T$48</f>
        <v>-3</v>
      </c>
      <c r="I42" s="362">
        <f>D42</f>
        <v>0</v>
      </c>
      <c r="J42" s="363" t="str">
        <f>IF(OR(AND($I$2="T型铝封边",B42&lt;80),AND($I$2="T型铝封边",C42&lt;80)),$R$4,"")</f>
        <v/>
      </c>
      <c r="K42" s="363"/>
      <c r="L42" s="362"/>
      <c r="M42" s="362"/>
      <c r="N42" s="361">
        <f>IF(AND($B$3="外置拉手",$I$2=$R$4),(B42+C42+120)*2*I42/1000,0)</f>
        <v>0</v>
      </c>
      <c r="O42" s="361">
        <f>IF(AND($I$2="T型铝封边",J42=""),(B42+C42+120)*2*I42/1000,0)</f>
        <v>0</v>
      </c>
      <c r="P42" s="361">
        <f>IF(AND($I$2="T型铝封边",J42="2.0*22同色PVC"),(B42+C42+120)*2*I42/1000,0)</f>
        <v>0</v>
      </c>
      <c r="Q42" s="361">
        <f>(B42+C42)*D42*2/0.9/1000</f>
        <v>0</v>
      </c>
      <c r="R42" s="361">
        <f>B42*C42*D42/1000000</f>
        <v>0</v>
      </c>
      <c r="S42" s="336">
        <f t="shared" si="7"/>
        <v>0</v>
      </c>
      <c r="T42" s="361">
        <f>IF($B$3&lt;&gt;"外置拉手",((B42+C42*2)+180)*I42/1000,0)</f>
        <v>0</v>
      </c>
      <c r="U42" s="341">
        <f>IF($B$3&lt;&gt;"外置拉手",B42*D42/0.9/1000,0)</f>
        <v>0</v>
      </c>
      <c r="V42" s="335">
        <f>IF(OR(AND(B42&lt;100,C39="外置拉手"),AND(C42&lt;100,C39="外置拉手")),D42*0.2,0)+IF(OR(AND(B42&lt;100,C39="通长铝拉手"),AND(C42&lt;100,C39="通长铝拉手")),D42*0.1,0)</f>
        <v>0</v>
      </c>
      <c r="X42" s="825"/>
      <c r="Y42" s="346" t="s">
        <v>1158</v>
      </c>
      <c r="AB42" s="335" t="str">
        <f t="shared" si="14"/>
        <v>M44卡布奇诺高光+卡布奇诺高光PVC封边条2.0*22</v>
      </c>
      <c r="AC42" s="338" t="s">
        <v>1157</v>
      </c>
      <c r="AD42" s="335" t="s">
        <v>1156</v>
      </c>
      <c r="AE42" s="335" t="s">
        <v>1155</v>
      </c>
      <c r="AF42" s="335" t="s">
        <v>1154</v>
      </c>
      <c r="AG42" s="335">
        <v>1</v>
      </c>
    </row>
    <row r="43" spans="1:33">
      <c r="A43" s="365"/>
      <c r="B43" s="362"/>
      <c r="C43" s="362"/>
      <c r="D43" s="362"/>
      <c r="E43" s="364"/>
      <c r="F43" s="362"/>
      <c r="G43" s="362">
        <f>B43-3</f>
        <v>-3</v>
      </c>
      <c r="H43" s="362">
        <f>C43-$T$48</f>
        <v>-3</v>
      </c>
      <c r="I43" s="362">
        <f>D43</f>
        <v>0</v>
      </c>
      <c r="J43" s="363" t="str">
        <f>IF(OR(AND($I$2="T型铝封边",B43&lt;80),AND($I$2="T型铝封边",C43&lt;80)),$R$4,"")</f>
        <v/>
      </c>
      <c r="K43" s="363"/>
      <c r="L43" s="362"/>
      <c r="M43" s="362"/>
      <c r="N43" s="361">
        <f>IF(AND($B$3="外置拉手",$I$2=$R$4),(B43+C43+120)*2*I43/1000,0)</f>
        <v>0</v>
      </c>
      <c r="O43" s="361">
        <f>IF(AND($I$2="T型铝封边",J43=""),(B43+C43+120)*2*I43/1000,0)</f>
        <v>0</v>
      </c>
      <c r="P43" s="361">
        <f>IF(AND($I$2="T型铝封边",J43="2.0*22同色PVC"),(B43+C43+120)*2*I43/1000,0)</f>
        <v>0</v>
      </c>
      <c r="Q43" s="361">
        <f>(B43+C43)*D43*2/0.9/1000</f>
        <v>0</v>
      </c>
      <c r="R43" s="361">
        <f>B43*C43*D43/1000000</f>
        <v>0</v>
      </c>
      <c r="S43" s="336">
        <f t="shared" si="7"/>
        <v>0</v>
      </c>
      <c r="T43" s="361">
        <f>IF($B$3&lt;&gt;"外置拉手",((B43+C43*2)+180)*I43/1000,0)</f>
        <v>0</v>
      </c>
      <c r="U43" s="341">
        <f>IF($B$3&lt;&gt;"外置拉手",B43*D43/0.9/1000,0)</f>
        <v>0</v>
      </c>
      <c r="V43" s="335">
        <f>IF(OR(AND(B43&lt;100,C40="外置拉手"),AND(C43&lt;100,C40="外置拉手")),D43*0.2,0)+IF(OR(AND(B43&lt;100,C40="通长铝拉手"),AND(C43&lt;100,C40="通长铝拉手")),D43*0.1,0)</f>
        <v>0</v>
      </c>
      <c r="X43" s="825"/>
      <c r="Y43" s="346" t="s">
        <v>1153</v>
      </c>
      <c r="AC43" s="338"/>
    </row>
    <row r="44" spans="1:33">
      <c r="A44" s="347"/>
      <c r="B44" s="347"/>
      <c r="C44" s="347"/>
      <c r="D44" s="347"/>
      <c r="E44" s="347"/>
      <c r="F44" s="347"/>
      <c r="G44" s="347"/>
      <c r="H44" s="347"/>
      <c r="I44" s="347"/>
      <c r="J44" s="347"/>
      <c r="K44" s="347"/>
      <c r="L44" s="347"/>
      <c r="M44" s="347"/>
      <c r="N44" s="358">
        <f t="shared" ref="N44:V44" si="26">SUM(N7:N43)</f>
        <v>25.64</v>
      </c>
      <c r="O44" s="358">
        <f t="shared" si="26"/>
        <v>0</v>
      </c>
      <c r="P44" s="358">
        <f t="shared" si="26"/>
        <v>0</v>
      </c>
      <c r="Q44" s="358">
        <f t="shared" si="26"/>
        <v>25.822222222222223</v>
      </c>
      <c r="R44" s="358">
        <f t="shared" si="26"/>
        <v>3.1960500000000001</v>
      </c>
      <c r="S44" s="360">
        <f t="shared" si="26"/>
        <v>1.0736529158828274</v>
      </c>
      <c r="T44" s="358">
        <f t="shared" si="26"/>
        <v>0</v>
      </c>
      <c r="U44" s="358">
        <f>SUM(U7:U43)</f>
        <v>0</v>
      </c>
      <c r="V44" s="359">
        <f t="shared" si="26"/>
        <v>0</v>
      </c>
      <c r="W44" s="358"/>
      <c r="X44" s="825"/>
      <c r="Y44" s="346" t="s">
        <v>1152</v>
      </c>
      <c r="AC44" s="338"/>
      <c r="AE44" s="355"/>
    </row>
    <row r="45" spans="1:33" ht="33">
      <c r="A45" s="357"/>
      <c r="B45" s="354" t="s">
        <v>218</v>
      </c>
      <c r="C45" s="354"/>
      <c r="D45" s="354"/>
      <c r="E45" s="354"/>
      <c r="F45" s="354"/>
      <c r="G45" s="347"/>
      <c r="H45" s="347"/>
      <c r="I45" s="347"/>
      <c r="J45" s="347"/>
      <c r="K45" s="341"/>
      <c r="L45" s="341"/>
      <c r="M45" s="341"/>
      <c r="N45" s="356" t="s">
        <v>1151</v>
      </c>
      <c r="O45" s="341"/>
      <c r="P45" s="341"/>
      <c r="X45" s="825" t="s">
        <v>1150</v>
      </c>
      <c r="Y45" s="346" t="s">
        <v>1149</v>
      </c>
      <c r="AC45" s="338"/>
      <c r="AE45" s="355"/>
    </row>
    <row r="46" spans="1:33">
      <c r="A46" s="354" t="s">
        <v>1148</v>
      </c>
      <c r="B46" s="354"/>
      <c r="C46" s="354"/>
      <c r="D46" s="354"/>
      <c r="E46" s="354"/>
      <c r="F46" s="354"/>
      <c r="G46" s="347"/>
      <c r="H46" s="347"/>
      <c r="I46" s="347"/>
      <c r="J46" s="347"/>
      <c r="K46" s="347"/>
      <c r="L46" s="347"/>
      <c r="M46" s="347"/>
      <c r="N46" s="341">
        <f>$N$44+P44+$T$44+$V$44</f>
        <v>25.64</v>
      </c>
      <c r="O46" s="341"/>
      <c r="P46" s="341"/>
      <c r="X46" s="825"/>
      <c r="Y46" s="346" t="s">
        <v>1147</v>
      </c>
    </row>
    <row r="47" spans="1:33">
      <c r="A47" s="351"/>
      <c r="B47" s="353"/>
      <c r="F47" s="348"/>
      <c r="G47" s="348"/>
      <c r="H47" s="347"/>
      <c r="I47" s="347"/>
      <c r="J47" s="347"/>
      <c r="T47" s="344" t="s">
        <v>1146</v>
      </c>
      <c r="U47" s="344" t="s">
        <v>1145</v>
      </c>
      <c r="V47" s="344" t="s">
        <v>1144</v>
      </c>
      <c r="X47" s="825"/>
      <c r="Y47" s="346" t="s">
        <v>1143</v>
      </c>
    </row>
    <row r="48" spans="1:33">
      <c r="A48" s="352" t="s">
        <v>230</v>
      </c>
      <c r="B48" s="347"/>
      <c r="C48" s="347"/>
      <c r="D48" s="347"/>
      <c r="E48" s="349"/>
      <c r="F48" s="348"/>
      <c r="G48" s="348"/>
      <c r="H48" s="347"/>
      <c r="I48" s="347"/>
      <c r="J48" s="347"/>
      <c r="Q48" s="335">
        <v>1</v>
      </c>
      <c r="R48" s="335" t="s">
        <v>231</v>
      </c>
      <c r="S48" s="336">
        <f>$S$44/0.85</f>
        <v>1.2631210775092088</v>
      </c>
      <c r="T48" s="335">
        <f>VLOOKUP(B3,U48:V53,2,FALSE)</f>
        <v>3</v>
      </c>
      <c r="U48" s="335" t="s">
        <v>1142</v>
      </c>
      <c r="V48" s="335">
        <f>1.5+1.5</f>
        <v>3</v>
      </c>
      <c r="X48" s="825"/>
      <c r="Y48" s="346" t="s">
        <v>1141</v>
      </c>
    </row>
    <row r="49" spans="1:25">
      <c r="A49" s="351"/>
      <c r="B49" s="350"/>
      <c r="C49" s="350"/>
      <c r="D49" s="347"/>
      <c r="E49" s="349"/>
      <c r="F49" s="348"/>
      <c r="G49" s="348"/>
      <c r="H49" s="347"/>
      <c r="I49" s="347"/>
      <c r="J49" s="347"/>
      <c r="Q49" s="335">
        <v>2</v>
      </c>
      <c r="R49" s="335" t="s">
        <v>232</v>
      </c>
      <c r="S49" s="336">
        <f>$S$44/0.6</f>
        <v>1.7894215264713791</v>
      </c>
      <c r="U49" s="335" t="s">
        <v>1140</v>
      </c>
      <c r="V49" s="335">
        <f>1.5+35</f>
        <v>36.5</v>
      </c>
      <c r="W49" s="698" t="s">
        <v>1583</v>
      </c>
      <c r="X49" s="825"/>
      <c r="Y49" s="346" t="s">
        <v>1139</v>
      </c>
    </row>
    <row r="50" spans="1:25">
      <c r="A50" s="344" t="s">
        <v>1138</v>
      </c>
      <c r="B50" s="345" t="s">
        <v>1137</v>
      </c>
      <c r="C50" s="344"/>
      <c r="D50" s="344"/>
      <c r="E50" s="344"/>
      <c r="F50" s="344"/>
      <c r="G50" s="344"/>
      <c r="H50" s="343"/>
      <c r="I50" s="343"/>
      <c r="J50" s="343"/>
      <c r="K50" s="343"/>
      <c r="L50" s="343"/>
      <c r="M50" s="343"/>
      <c r="N50" s="343"/>
      <c r="O50" s="338"/>
      <c r="P50" s="338"/>
      <c r="U50" s="335" t="s">
        <v>1136</v>
      </c>
      <c r="V50" s="335">
        <f>1.5+3</f>
        <v>4.5</v>
      </c>
      <c r="W50" s="698"/>
    </row>
    <row r="51" spans="1:25">
      <c r="B51" s="342"/>
      <c r="C51" s="342"/>
      <c r="E51" s="342"/>
      <c r="F51" s="342"/>
      <c r="H51" s="342"/>
      <c r="I51" s="342"/>
      <c r="J51" s="338"/>
      <c r="K51" s="342"/>
      <c r="L51" s="342"/>
      <c r="M51" s="342"/>
      <c r="N51" s="342"/>
      <c r="O51" s="342"/>
      <c r="P51" s="342"/>
      <c r="U51" s="335" t="s">
        <v>1135</v>
      </c>
      <c r="V51" s="335">
        <f>1.5+32</f>
        <v>33.5</v>
      </c>
      <c r="W51" s="699" t="s">
        <v>1584</v>
      </c>
      <c r="X51" s="826"/>
      <c r="Y51" s="340"/>
    </row>
    <row r="52" spans="1:25">
      <c r="F52" s="339"/>
      <c r="G52" s="339"/>
      <c r="X52" s="826"/>
      <c r="Y52" s="340"/>
    </row>
    <row r="53" spans="1:25">
      <c r="F53" s="339"/>
      <c r="G53" s="339"/>
      <c r="X53" s="826"/>
      <c r="Y53" s="340"/>
    </row>
    <row r="54" spans="1:25">
      <c r="F54" s="339"/>
      <c r="G54" s="339"/>
      <c r="X54" s="826"/>
      <c r="Y54" s="340"/>
    </row>
    <row r="55" spans="1:25">
      <c r="F55" s="339"/>
      <c r="G55" s="339"/>
      <c r="X55" s="826"/>
      <c r="Y55" s="340"/>
    </row>
    <row r="56" spans="1:25">
      <c r="F56" s="339"/>
      <c r="G56" s="339"/>
      <c r="X56" s="826"/>
      <c r="Y56" s="340"/>
    </row>
    <row r="57" spans="1:25">
      <c r="F57" s="339"/>
      <c r="G57" s="339"/>
      <c r="X57" s="826"/>
      <c r="Y57" s="340"/>
    </row>
    <row r="58" spans="1:25">
      <c r="F58" s="339"/>
      <c r="G58" s="339"/>
      <c r="X58" s="826"/>
      <c r="Y58" s="340"/>
    </row>
    <row r="59" spans="1:25">
      <c r="F59" s="339"/>
      <c r="G59" s="339"/>
    </row>
    <row r="60" spans="1:25">
      <c r="F60" s="339"/>
      <c r="G60" s="339"/>
    </row>
    <row r="61" spans="1:25">
      <c r="F61" s="339"/>
      <c r="G61" s="339"/>
    </row>
    <row r="62" spans="1:25">
      <c r="F62" s="339"/>
      <c r="G62" s="339"/>
    </row>
    <row r="63" spans="1:25">
      <c r="F63" s="339"/>
      <c r="G63" s="339"/>
    </row>
    <row r="64" spans="1:25">
      <c r="F64" s="339"/>
      <c r="G64" s="339"/>
    </row>
    <row r="65" spans="6:7">
      <c r="F65" s="339"/>
      <c r="G65" s="339"/>
    </row>
    <row r="66" spans="6:7">
      <c r="F66" s="339"/>
      <c r="G66" s="339"/>
    </row>
    <row r="67" spans="6:7">
      <c r="F67" s="339"/>
      <c r="G67" s="339"/>
    </row>
    <row r="68" spans="6:7">
      <c r="F68" s="339"/>
      <c r="G68" s="339"/>
    </row>
    <row r="69" spans="6:7">
      <c r="F69" s="339"/>
      <c r="G69" s="339"/>
    </row>
    <row r="70" spans="6:7">
      <c r="F70" s="339"/>
      <c r="G70" s="339"/>
    </row>
    <row r="71" spans="6:7">
      <c r="F71" s="339"/>
      <c r="G71" s="339"/>
    </row>
    <row r="72" spans="6:7">
      <c r="F72" s="339"/>
      <c r="G72" s="339"/>
    </row>
    <row r="73" spans="6:7">
      <c r="F73" s="339"/>
      <c r="G73" s="339"/>
    </row>
    <row r="74" spans="6:7">
      <c r="F74" s="339"/>
      <c r="G74" s="339"/>
    </row>
    <row r="75" spans="6:7">
      <c r="F75" s="339"/>
      <c r="G75" s="339"/>
    </row>
    <row r="76" spans="6:7">
      <c r="F76" s="339"/>
      <c r="G76" s="339"/>
    </row>
    <row r="77" spans="6:7">
      <c r="F77" s="339"/>
      <c r="G77" s="339"/>
    </row>
    <row r="78" spans="6:7">
      <c r="F78" s="339"/>
      <c r="G78" s="339"/>
    </row>
    <row r="79" spans="6:7">
      <c r="F79" s="339"/>
      <c r="G79" s="339"/>
    </row>
    <row r="80" spans="6:7">
      <c r="F80" s="339"/>
      <c r="G80" s="339"/>
    </row>
    <row r="81" spans="6:7">
      <c r="F81" s="339"/>
      <c r="G81" s="339"/>
    </row>
    <row r="82" spans="6:7">
      <c r="F82" s="339"/>
      <c r="G82" s="339"/>
    </row>
    <row r="83" spans="6:7">
      <c r="F83" s="339"/>
      <c r="G83" s="339"/>
    </row>
    <row r="84" spans="6:7">
      <c r="F84" s="339"/>
      <c r="G84" s="339"/>
    </row>
    <row r="85" spans="6:7">
      <c r="F85" s="339"/>
      <c r="G85" s="339"/>
    </row>
    <row r="86" spans="6:7">
      <c r="F86" s="339"/>
      <c r="G86" s="339"/>
    </row>
    <row r="87" spans="6:7">
      <c r="F87" s="339"/>
      <c r="G87" s="339"/>
    </row>
    <row r="88" spans="6:7">
      <c r="F88" s="339"/>
      <c r="G88" s="339"/>
    </row>
    <row r="89" spans="6:7">
      <c r="F89" s="339"/>
      <c r="G89" s="339"/>
    </row>
    <row r="90" spans="6:7">
      <c r="F90" s="339"/>
      <c r="G90" s="339"/>
    </row>
    <row r="91" spans="6:7">
      <c r="F91" s="339"/>
      <c r="G91" s="339"/>
    </row>
    <row r="92" spans="6:7">
      <c r="F92" s="339"/>
      <c r="G92" s="339"/>
    </row>
    <row r="93" spans="6:7">
      <c r="F93" s="339"/>
      <c r="G93" s="339"/>
    </row>
    <row r="94" spans="6:7">
      <c r="F94" s="339"/>
      <c r="G94" s="339"/>
    </row>
    <row r="95" spans="6:7">
      <c r="F95" s="339"/>
      <c r="G95" s="339"/>
    </row>
    <row r="96" spans="6:7">
      <c r="F96" s="339"/>
      <c r="G96" s="339"/>
    </row>
    <row r="97" spans="6:7">
      <c r="F97" s="339"/>
      <c r="G97" s="339"/>
    </row>
    <row r="98" spans="6:7">
      <c r="F98" s="339"/>
      <c r="G98" s="339"/>
    </row>
    <row r="99" spans="6:7">
      <c r="F99" s="339"/>
      <c r="G99" s="339"/>
    </row>
    <row r="100" spans="6:7">
      <c r="F100" s="339"/>
      <c r="G100" s="339"/>
    </row>
    <row r="101" spans="6:7">
      <c r="F101" s="339"/>
      <c r="G101" s="339"/>
    </row>
    <row r="102" spans="6:7">
      <c r="F102" s="339"/>
      <c r="G102" s="339"/>
    </row>
    <row r="103" spans="6:7">
      <c r="F103" s="339"/>
      <c r="G103" s="339"/>
    </row>
    <row r="104" spans="6:7">
      <c r="F104" s="339"/>
      <c r="G104" s="339"/>
    </row>
    <row r="105" spans="6:7">
      <c r="F105" s="339"/>
      <c r="G105" s="339"/>
    </row>
    <row r="106" spans="6:7">
      <c r="F106" s="339"/>
      <c r="G106" s="339"/>
    </row>
    <row r="107" spans="6:7">
      <c r="F107" s="339"/>
      <c r="G107" s="339"/>
    </row>
  </sheetData>
  <mergeCells count="11">
    <mergeCell ref="X39:X44"/>
    <mergeCell ref="X45:X49"/>
    <mergeCell ref="X33:X38"/>
    <mergeCell ref="X51:X58"/>
    <mergeCell ref="A1:M1"/>
    <mergeCell ref="X6:X18"/>
    <mergeCell ref="X19:X25"/>
    <mergeCell ref="X26:X29"/>
    <mergeCell ref="B4:M4"/>
    <mergeCell ref="B5:D5"/>
    <mergeCell ref="E5:I5"/>
  </mergeCells>
  <phoneticPr fontId="72" type="noConversion"/>
  <dataValidations count="5">
    <dataValidation type="list" allowBlank="1" showInputMessage="1" showErrorMessage="1" sqref="E7:E26 E28:E37 E39:E43">
      <formula1>$Y$5:$Y$49</formula1>
    </dataValidation>
    <dataValidation type="list" allowBlank="1" showInputMessage="1" showErrorMessage="1" sqref="I2">
      <formula1>$R$3:$R$4</formula1>
    </dataValidation>
    <dataValidation type="list" allowBlank="1" showInputMessage="1" showErrorMessage="1" sqref="B3">
      <formula1>$U$48:$U$51</formula1>
    </dataValidation>
    <dataValidation type="list" allowBlank="1" showInputMessage="1" showErrorMessage="1" sqref="Q4">
      <formula1>$Q$6:$Q$13</formula1>
    </dataValidation>
    <dataValidation type="list" allowBlank="1" showInputMessage="1" showErrorMessage="1" sqref="B4">
      <formula1>$AC$5:$AC$45</formula1>
    </dataValidation>
  </dataValidations>
  <pageMargins left="0.7" right="0.7" top="0.75" bottom="0.75" header="0.3" footer="0.3"/>
  <pageSetup paperSize="9"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Y28"/>
  <sheetViews>
    <sheetView view="pageBreakPreview" zoomScaleSheetLayoutView="100" workbookViewId="0">
      <selection activeCell="D12" sqref="D12"/>
    </sheetView>
  </sheetViews>
  <sheetFormatPr defaultRowHeight="20.100000000000001" customHeight="1"/>
  <cols>
    <col min="1" max="1" width="6.125" style="417" customWidth="1"/>
    <col min="2" max="2" width="8.25" style="417" customWidth="1"/>
    <col min="3" max="3" width="41.75" style="417" customWidth="1"/>
    <col min="4" max="4" width="9.5" style="417" customWidth="1"/>
    <col min="5" max="5" width="6.5" style="417" customWidth="1"/>
    <col min="6" max="6" width="7.5" style="417" customWidth="1"/>
    <col min="7" max="7" width="2.125" style="415" customWidth="1"/>
    <col min="8" max="8" width="19.5" style="415" customWidth="1"/>
    <col min="9" max="9" width="13.25" style="415" customWidth="1"/>
    <col min="10" max="10" width="17.125" style="415" customWidth="1"/>
    <col min="11" max="11" width="5.25" style="416" customWidth="1"/>
    <col min="12" max="12" width="4.875" style="416" customWidth="1"/>
    <col min="13" max="13" width="9.25" style="416" customWidth="1"/>
    <col min="14" max="14" width="9.5" style="415" bestFit="1" customWidth="1"/>
    <col min="15" max="15" width="9.875" style="415" customWidth="1"/>
    <col min="16" max="17" width="10" style="415" customWidth="1"/>
    <col min="18" max="18" width="6.625" style="415" customWidth="1"/>
    <col min="19" max="19" width="6.5" style="415" customWidth="1"/>
    <col min="20" max="20" width="9" style="415"/>
    <col min="21" max="21" width="8.5" style="415" customWidth="1"/>
    <col min="22" max="22" width="6.375" style="415" customWidth="1"/>
    <col min="23" max="23" width="5.75" style="415" customWidth="1"/>
    <col min="24" max="24" width="12.625" style="415" customWidth="1"/>
    <col min="25" max="25" width="8.375" style="416" customWidth="1"/>
    <col min="26" max="26" width="24.875" style="415" customWidth="1"/>
    <col min="27" max="27" width="9" style="415"/>
    <col min="28" max="28" width="37.5" style="415" customWidth="1"/>
    <col min="29" max="16384" width="9" style="415"/>
  </cols>
  <sheetData>
    <row r="1" spans="1:24" ht="24" customHeight="1">
      <c r="A1" s="836" t="str">
        <f>H1&amp;J1</f>
        <v>（免漆门板）领料单——简爱</v>
      </c>
      <c r="B1" s="836"/>
      <c r="C1" s="836"/>
      <c r="D1" s="836"/>
      <c r="E1" s="836"/>
      <c r="F1" s="836"/>
      <c r="G1" s="450"/>
      <c r="H1" s="758" t="s">
        <v>1295</v>
      </c>
      <c r="I1" s="759"/>
      <c r="J1" s="62" t="str">
        <f>A6免漆下料单!G3</f>
        <v>简爱</v>
      </c>
    </row>
    <row r="2" spans="1:24" ht="20.100000000000001" customHeight="1">
      <c r="A2" s="433"/>
      <c r="B2" s="426" t="s">
        <v>6</v>
      </c>
      <c r="C2" s="426">
        <f>A6免漆下料单!B2</f>
        <v>0</v>
      </c>
      <c r="D2" s="327" t="s">
        <v>16</v>
      </c>
      <c r="E2" s="426">
        <f>A6免漆下料单!D2</f>
        <v>0</v>
      </c>
      <c r="F2" s="433"/>
      <c r="H2" s="770" t="s">
        <v>9</v>
      </c>
      <c r="I2" s="771"/>
      <c r="J2" s="71" t="s">
        <v>13</v>
      </c>
    </row>
    <row r="3" spans="1:24" ht="20.100000000000001" customHeight="1">
      <c r="A3" s="433"/>
      <c r="B3" s="426" t="s">
        <v>244</v>
      </c>
      <c r="C3" s="426">
        <f>A6免漆下料单!K2</f>
        <v>0</v>
      </c>
      <c r="D3" s="327" t="s">
        <v>37</v>
      </c>
      <c r="E3" s="426">
        <f>A6免漆下料单!M2</f>
        <v>0</v>
      </c>
      <c r="F3" s="433"/>
      <c r="H3" s="447"/>
      <c r="I3" s="446"/>
      <c r="J3" s="445"/>
      <c r="K3" s="449"/>
      <c r="L3" s="839"/>
      <c r="M3" s="839"/>
      <c r="N3" s="839"/>
      <c r="O3" s="839"/>
      <c r="P3" s="839"/>
      <c r="Q3" s="839"/>
      <c r="R3" s="839"/>
      <c r="S3" s="417"/>
      <c r="T3" s="448"/>
    </row>
    <row r="4" spans="1:24" ht="20.100000000000001" customHeight="1">
      <c r="A4" s="426" t="s">
        <v>12</v>
      </c>
      <c r="B4" s="426" t="s">
        <v>1</v>
      </c>
      <c r="C4" s="426" t="s">
        <v>24</v>
      </c>
      <c r="D4" s="426" t="s">
        <v>5</v>
      </c>
      <c r="E4" s="442" t="s">
        <v>4</v>
      </c>
      <c r="F4" s="426" t="s">
        <v>325</v>
      </c>
      <c r="G4" s="429"/>
      <c r="H4" s="447"/>
      <c r="I4" s="446"/>
      <c r="J4" s="445"/>
      <c r="K4" s="444"/>
      <c r="L4" s="840"/>
      <c r="M4" s="840"/>
      <c r="N4" s="840"/>
      <c r="O4" s="839"/>
      <c r="P4" s="839"/>
      <c r="Q4" s="839"/>
      <c r="R4" s="839"/>
      <c r="S4" s="417"/>
      <c r="T4" s="443"/>
    </row>
    <row r="5" spans="1:24" ht="20.100000000000001" customHeight="1">
      <c r="A5" s="427" t="s">
        <v>239</v>
      </c>
      <c r="B5" s="426">
        <v>1</v>
      </c>
      <c r="C5" s="442" t="str">
        <f>VLOOKUP(A6免漆下料单!B4,A6免漆下料单!AC:AH,3,FALSE)</f>
        <v>白蜡木双贴三聚氰胺E0级刨花板18*1220*2440</v>
      </c>
      <c r="D5" s="436">
        <f>IF(A6免漆下料单!N5=1,A6免漆下料单!S48,IF(A6免漆下料单!N5=2,A6免漆下料单!S49,IF(A6免漆下料单!N5=3,A6免漆下料单!S50)))</f>
        <v>1.7894215264713791</v>
      </c>
      <c r="E5" s="426" t="s">
        <v>14</v>
      </c>
      <c r="F5" s="427"/>
      <c r="G5" s="441"/>
      <c r="H5" s="440"/>
      <c r="I5" s="418"/>
      <c r="J5" s="440"/>
    </row>
    <row r="6" spans="1:24" ht="20.100000000000001" customHeight="1">
      <c r="A6" s="427" t="s">
        <v>19</v>
      </c>
      <c r="B6" s="426">
        <v>2</v>
      </c>
      <c r="C6" s="437" t="str">
        <f>VLOOKUP(A6免漆下料单!B4,A6免漆下料单!AC:AH,4,FALSE)</f>
        <v>白蜡木PVC封边条2.0*22</v>
      </c>
      <c r="D6" s="436">
        <f>A6免漆下料单!$N$46</f>
        <v>25.64</v>
      </c>
      <c r="E6" s="426" t="s">
        <v>10</v>
      </c>
      <c r="F6" s="433"/>
      <c r="H6" s="418"/>
      <c r="I6" s="439"/>
      <c r="J6" s="418"/>
    </row>
    <row r="7" spans="1:24" ht="20.100000000000001" customHeight="1">
      <c r="A7" s="427"/>
      <c r="B7" s="426">
        <v>3</v>
      </c>
      <c r="C7" s="426" t="s">
        <v>377</v>
      </c>
      <c r="D7" s="438">
        <f>D6*4.1</f>
        <v>105.124</v>
      </c>
      <c r="E7" s="426" t="s">
        <v>15</v>
      </c>
      <c r="F7" s="426"/>
      <c r="G7" s="429"/>
      <c r="H7" s="418"/>
      <c r="I7" s="418"/>
      <c r="J7" s="418"/>
    </row>
    <row r="8" spans="1:24" ht="20.100000000000001" customHeight="1">
      <c r="A8" s="427"/>
      <c r="B8" s="426">
        <v>4</v>
      </c>
      <c r="C8" s="437" t="s">
        <v>1294</v>
      </c>
      <c r="D8" s="436">
        <f>A6免漆下料单!$O$44</f>
        <v>0</v>
      </c>
      <c r="E8" s="426" t="s">
        <v>10</v>
      </c>
      <c r="F8" s="433"/>
      <c r="H8" s="418"/>
      <c r="I8" s="418"/>
      <c r="J8" s="418"/>
    </row>
    <row r="9" spans="1:24" ht="20.100000000000001" customHeight="1">
      <c r="A9" s="427" t="s">
        <v>241</v>
      </c>
      <c r="B9" s="426">
        <v>5</v>
      </c>
      <c r="C9" s="435">
        <f>H9</f>
        <v>0</v>
      </c>
      <c r="D9" s="434">
        <f>A6免漆下料单!U44</f>
        <v>0</v>
      </c>
      <c r="E9" s="426" t="s">
        <v>10</v>
      </c>
      <c r="F9" s="433"/>
      <c r="H9" s="418">
        <f>VLOOKUP(A6免漆下料单!B3,A6免漆下料单!U47:W51,3,0)</f>
        <v>0</v>
      </c>
      <c r="I9" s="418"/>
      <c r="J9" s="418"/>
    </row>
    <row r="10" spans="1:24" ht="20.100000000000001" customHeight="1">
      <c r="A10" s="427"/>
      <c r="B10" s="426">
        <v>6</v>
      </c>
      <c r="C10" s="426" t="s">
        <v>1292</v>
      </c>
      <c r="D10" s="432">
        <f>(D8+D9)/12</f>
        <v>0</v>
      </c>
      <c r="E10" s="426" t="s">
        <v>1291</v>
      </c>
      <c r="F10" s="431"/>
      <c r="G10" s="430"/>
      <c r="H10" s="418"/>
      <c r="I10" s="418"/>
      <c r="J10" s="418"/>
    </row>
    <row r="11" spans="1:24" ht="20.100000000000001" customHeight="1">
      <c r="A11" s="427" t="s">
        <v>1290</v>
      </c>
      <c r="B11" s="426">
        <v>7</v>
      </c>
      <c r="C11" s="426"/>
      <c r="D11" s="426"/>
      <c r="E11" s="426"/>
      <c r="F11" s="426"/>
      <c r="G11" s="424"/>
      <c r="H11" s="418"/>
      <c r="I11" s="418"/>
      <c r="J11" s="418"/>
    </row>
    <row r="12" spans="1:24" ht="20.100000000000001" customHeight="1">
      <c r="A12" s="427"/>
      <c r="B12" s="426">
        <v>8</v>
      </c>
      <c r="C12" s="426"/>
      <c r="D12" s="426"/>
      <c r="E12" s="426"/>
      <c r="F12" s="426"/>
      <c r="G12" s="424"/>
      <c r="H12" s="418"/>
      <c r="I12" s="418"/>
      <c r="J12" s="418"/>
      <c r="M12" s="837"/>
      <c r="N12" s="837"/>
      <c r="O12" s="837"/>
      <c r="P12" s="837"/>
      <c r="Q12" s="837"/>
      <c r="R12" s="419"/>
      <c r="S12" s="428"/>
      <c r="T12" s="419"/>
      <c r="U12" s="837"/>
      <c r="V12" s="837"/>
      <c r="W12" s="837"/>
      <c r="X12" s="837"/>
    </row>
    <row r="13" spans="1:24" ht="20.100000000000001" customHeight="1">
      <c r="A13" s="427"/>
      <c r="B13" s="426">
        <v>9</v>
      </c>
      <c r="C13" s="426"/>
      <c r="D13" s="426"/>
      <c r="E13" s="426"/>
      <c r="F13" s="426"/>
      <c r="G13" s="424"/>
      <c r="H13" s="418"/>
      <c r="I13" s="418"/>
      <c r="J13" s="418"/>
      <c r="M13" s="424"/>
      <c r="N13" s="424"/>
      <c r="O13" s="424"/>
      <c r="P13" s="424"/>
      <c r="Q13" s="429"/>
      <c r="R13" s="419"/>
      <c r="S13" s="428"/>
      <c r="T13" s="419"/>
      <c r="U13" s="424"/>
      <c r="V13" s="424"/>
      <c r="W13" s="424"/>
      <c r="X13" s="424"/>
    </row>
    <row r="14" spans="1:24" ht="20.100000000000001" customHeight="1">
      <c r="A14" s="427"/>
      <c r="B14" s="426">
        <v>10</v>
      </c>
      <c r="C14" s="426"/>
      <c r="D14" s="426"/>
      <c r="E14" s="426"/>
      <c r="F14" s="426"/>
      <c r="G14" s="424"/>
      <c r="H14" s="418"/>
      <c r="I14" s="418"/>
      <c r="J14" s="418"/>
      <c r="M14" s="837"/>
      <c r="N14" s="837"/>
      <c r="O14" s="838"/>
      <c r="P14" s="838"/>
      <c r="Q14" s="838"/>
      <c r="R14" s="419"/>
      <c r="S14" s="428"/>
      <c r="T14" s="841"/>
      <c r="U14" s="841"/>
      <c r="V14" s="841"/>
      <c r="W14" s="837"/>
      <c r="X14" s="837"/>
    </row>
    <row r="15" spans="1:24" ht="20.100000000000001" customHeight="1">
      <c r="A15" s="427"/>
      <c r="B15" s="426">
        <v>11</v>
      </c>
      <c r="C15" s="426"/>
      <c r="D15" s="426"/>
      <c r="E15" s="426"/>
      <c r="F15" s="426"/>
      <c r="G15" s="424"/>
      <c r="H15" s="418"/>
      <c r="I15" s="418"/>
      <c r="J15" s="418"/>
    </row>
    <row r="16" spans="1:24" ht="20.100000000000001" customHeight="1">
      <c r="A16" s="427"/>
      <c r="B16" s="426">
        <v>12</v>
      </c>
      <c r="C16" s="426"/>
      <c r="D16" s="426"/>
      <c r="E16" s="426"/>
      <c r="F16" s="426"/>
      <c r="G16" s="424"/>
      <c r="H16" s="418"/>
      <c r="I16" s="418"/>
      <c r="J16" s="418"/>
    </row>
    <row r="17" spans="1:10" ht="20.100000000000001" customHeight="1">
      <c r="A17" s="427"/>
      <c r="B17" s="426">
        <v>13</v>
      </c>
      <c r="C17" s="426"/>
      <c r="D17" s="426"/>
      <c r="E17" s="426"/>
      <c r="F17" s="426"/>
      <c r="G17" s="424"/>
      <c r="H17" s="418"/>
      <c r="I17" s="418"/>
      <c r="J17" s="418"/>
    </row>
    <row r="18" spans="1:10" ht="20.100000000000001" customHeight="1">
      <c r="A18" s="427"/>
      <c r="B18" s="426">
        <v>14</v>
      </c>
      <c r="C18" s="426"/>
      <c r="D18" s="426"/>
      <c r="E18" s="426"/>
      <c r="F18" s="426"/>
      <c r="G18" s="424"/>
      <c r="H18" s="418"/>
      <c r="I18" s="418"/>
      <c r="J18" s="418"/>
    </row>
    <row r="19" spans="1:10" ht="20.100000000000001" customHeight="1">
      <c r="A19" s="427"/>
      <c r="B19" s="426">
        <v>15</v>
      </c>
      <c r="C19" s="426"/>
      <c r="D19" s="426"/>
      <c r="E19" s="426"/>
      <c r="F19" s="426"/>
      <c r="G19" s="424"/>
      <c r="H19" s="418"/>
      <c r="I19" s="418"/>
      <c r="J19" s="418"/>
    </row>
    <row r="20" spans="1:10" ht="20.100000000000001" customHeight="1">
      <c r="A20" s="427"/>
      <c r="B20" s="426">
        <v>16</v>
      </c>
      <c r="C20" s="426"/>
      <c r="D20" s="426"/>
      <c r="E20" s="426"/>
      <c r="F20" s="426"/>
      <c r="G20" s="424"/>
      <c r="H20" s="418"/>
      <c r="I20" s="418"/>
      <c r="J20" s="418"/>
    </row>
    <row r="21" spans="1:10" ht="20.100000000000001" customHeight="1">
      <c r="A21" s="427"/>
      <c r="B21" s="426">
        <v>17</v>
      </c>
      <c r="C21" s="426"/>
      <c r="D21" s="426"/>
      <c r="E21" s="426"/>
      <c r="F21" s="426"/>
      <c r="G21" s="424"/>
      <c r="H21" s="418"/>
      <c r="I21" s="418"/>
      <c r="J21" s="418"/>
    </row>
    <row r="22" spans="1:10" ht="20.100000000000001" customHeight="1">
      <c r="A22" s="425"/>
      <c r="B22" s="424"/>
      <c r="C22" s="424"/>
      <c r="D22" s="424"/>
      <c r="E22" s="424"/>
      <c r="F22" s="424"/>
      <c r="G22" s="424"/>
      <c r="H22" s="418"/>
      <c r="I22" s="418"/>
      <c r="J22" s="418"/>
    </row>
    <row r="23" spans="1:10" ht="20.100000000000001" customHeight="1">
      <c r="A23" s="421"/>
      <c r="B23" s="421"/>
      <c r="C23" s="421"/>
      <c r="D23" s="421"/>
      <c r="E23" s="421"/>
      <c r="F23" s="421"/>
      <c r="G23" s="423"/>
      <c r="H23" s="418"/>
      <c r="I23" s="418"/>
      <c r="J23" s="418"/>
    </row>
    <row r="24" spans="1:10" ht="20.100000000000001" customHeight="1">
      <c r="A24" s="422"/>
      <c r="B24" s="422"/>
      <c r="C24" s="421"/>
      <c r="H24" s="418"/>
      <c r="I24" s="418"/>
      <c r="J24" s="418"/>
    </row>
    <row r="25" spans="1:10" ht="20.100000000000001" customHeight="1">
      <c r="A25" s="422"/>
      <c r="B25" s="422"/>
      <c r="C25" s="421"/>
      <c r="H25" s="418"/>
      <c r="I25" s="418"/>
      <c r="J25" s="418"/>
    </row>
    <row r="26" spans="1:10" ht="20.100000000000001" customHeight="1">
      <c r="A26" s="422"/>
      <c r="B26" s="422"/>
      <c r="C26" s="421"/>
      <c r="H26" s="418"/>
      <c r="I26" s="418"/>
      <c r="J26" s="418"/>
    </row>
    <row r="27" spans="1:10" ht="20.100000000000001" customHeight="1">
      <c r="A27" s="420" t="s">
        <v>1361</v>
      </c>
      <c r="B27" s="420"/>
      <c r="C27" s="420"/>
      <c r="D27" s="420"/>
      <c r="E27" s="420"/>
      <c r="F27" s="420"/>
      <c r="G27" s="419"/>
      <c r="H27" s="418"/>
      <c r="I27" s="418"/>
      <c r="J27" s="418"/>
    </row>
    <row r="28" spans="1:10" ht="20.100000000000001" customHeight="1">
      <c r="H28" s="418"/>
      <c r="I28" s="418"/>
      <c r="J28" s="418"/>
    </row>
  </sheetData>
  <mergeCells count="17">
    <mergeCell ref="T14:V14"/>
    <mergeCell ref="W14:X14"/>
    <mergeCell ref="M12:N12"/>
    <mergeCell ref="O12:Q12"/>
    <mergeCell ref="U12:V12"/>
    <mergeCell ref="W12:X12"/>
    <mergeCell ref="H1:I1"/>
    <mergeCell ref="H2:I2"/>
    <mergeCell ref="A1:F1"/>
    <mergeCell ref="M14:N14"/>
    <mergeCell ref="O14:Q14"/>
    <mergeCell ref="O3:P3"/>
    <mergeCell ref="Q3:R3"/>
    <mergeCell ref="L4:N4"/>
    <mergeCell ref="O4:P4"/>
    <mergeCell ref="Q4:R4"/>
    <mergeCell ref="L3:N3"/>
  </mergeCells>
  <phoneticPr fontId="72"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15</vt:i4>
      </vt:variant>
      <vt:variant>
        <vt:lpstr>命名范围</vt:lpstr>
      </vt:variant>
      <vt:variant>
        <vt:i4>12</vt:i4>
      </vt:variant>
    </vt:vector>
  </HeadingPairs>
  <TitlesOfParts>
    <vt:vector size="27" baseType="lpstr">
      <vt:lpstr>柜体转序单</vt:lpstr>
      <vt:lpstr>下料单</vt:lpstr>
      <vt:lpstr>铝材玻璃单</vt:lpstr>
      <vt:lpstr>领料单</vt:lpstr>
      <vt:lpstr>A6包装</vt:lpstr>
      <vt:lpstr>速美包装</vt:lpstr>
      <vt:lpstr>A6免漆转序单</vt:lpstr>
      <vt:lpstr>A6免漆下料单</vt:lpstr>
      <vt:lpstr>A6免漆领料单</vt:lpstr>
      <vt:lpstr>速美免漆转序单</vt:lpstr>
      <vt:lpstr>速美免漆下料单</vt:lpstr>
      <vt:lpstr>速美免漆领料单</vt:lpstr>
      <vt:lpstr>吸塑门板转序单</vt:lpstr>
      <vt:lpstr>吸塑门板下料单</vt:lpstr>
      <vt:lpstr>吸塑门板领料单</vt:lpstr>
      <vt:lpstr>A6包装!Print_Area</vt:lpstr>
      <vt:lpstr>A6免漆领料单!Print_Area</vt:lpstr>
      <vt:lpstr>A6免漆下料单!Print_Area</vt:lpstr>
      <vt:lpstr>领料单!Print_Area</vt:lpstr>
      <vt:lpstr>铝材玻璃单!Print_Area</vt:lpstr>
      <vt:lpstr>速美包装!Print_Area</vt:lpstr>
      <vt:lpstr>速美免漆领料单!Print_Area</vt:lpstr>
      <vt:lpstr>速美免漆下料单!Print_Area</vt:lpstr>
      <vt:lpstr>吸塑门板领料单!Print_Area</vt:lpstr>
      <vt:lpstr>吸塑门板下料单!Print_Area</vt:lpstr>
      <vt:lpstr>下料单!Print_Area</vt:lpstr>
      <vt:lpstr>A6包装!Print_Titles</vt:lpstr>
    </vt:vector>
  </TitlesOfParts>
  <Company>来茵</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张昌波</dc:creator>
  <cp:lastModifiedBy>李玉森</cp:lastModifiedBy>
  <cp:lastPrinted>2018-01-02T06:21:06Z</cp:lastPrinted>
  <dcterms:created xsi:type="dcterms:W3CDTF">2003-06-27T08:15:48Z</dcterms:created>
  <dcterms:modified xsi:type="dcterms:W3CDTF">2018-01-16T02:29:11Z</dcterms:modified>
</cp:coreProperties>
</file>