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jpeg" ContentType="image/jpeg"/>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externalLinks/externalLink10.xml" ContentType="application/vnd.openxmlformats-officedocument.spreadsheetml.externalLink+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externalLinks/externalLink8.xml" ContentType="application/vnd.openxmlformats-officedocument.spreadsheetml.externalLink+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20" yWindow="15" windowWidth="15060" windowHeight="9030" tabRatio="944" firstSheet="3" activeTab="3"/>
  </bookViews>
  <sheets>
    <sheet name="@kbtasto@she3#" sheetId="3" state="hidden" r:id="rId1"/>
    <sheet name="交接表" sheetId="8" state="hidden" r:id="rId2"/>
    <sheet name="Sheet1" sheetId="10" state="hidden" r:id="rId3"/>
    <sheet name="高光门板" sheetId="31" r:id="rId4"/>
    <sheet name="高光领料单" sheetId="32" r:id="rId5"/>
    <sheet name="高光转序单" sheetId="33" r:id="rId6"/>
    <sheet name="哑光门板" sheetId="34" state="hidden" r:id="rId7"/>
    <sheet name="哑光领料单" sheetId="35" state="hidden" r:id="rId8"/>
    <sheet name="哑光转序单" sheetId="36" state="hidden" r:id="rId9"/>
    <sheet name="免漆" sheetId="22" state="hidden" r:id="rId10"/>
    <sheet name="作(2)" sheetId="20" state="hidden" r:id="rId11"/>
    <sheet name="料单(2)" sheetId="21" state="hidden" r:id="rId12"/>
    <sheet name="作(3)" sheetId="17" state="hidden" r:id="rId13"/>
    <sheet name="吸塑" sheetId="19" state="hidden" r:id="rId14"/>
    <sheet name="料单 (3)" sheetId="18" state="hidden" r:id="rId15"/>
    <sheet name="色诱" sheetId="25" state="hidden" r:id="rId16"/>
    <sheet name="作(4)" sheetId="23" state="hidden" r:id="rId17"/>
    <sheet name="料单 (4)" sheetId="24" state="hidden" r:id="rId18"/>
    <sheet name="实木" sheetId="28" state="hidden" r:id="rId19"/>
    <sheet name="作(5)" sheetId="26" state="hidden" r:id="rId20"/>
    <sheet name="料单 (5)" sheetId="27" state="hidden" r:id="rId21"/>
    <sheet name="香颂" sheetId="29" state="hidden" r:id="rId22"/>
    <sheet name="罗丹" sheetId="30" state="hidden" r:id="rId23"/>
    <sheet name="本地包装" sheetId="13" state="hidden" r:id="rId24"/>
    <sheet name="外阜包装" sheetId="14" state="hidden" r:id="rId25"/>
  </sheets>
  <externalReferences>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_xlnm._FilterDatabase" localSheetId="4" hidden="1">高光领料单!$A$1:$J$34</definedName>
    <definedName name="_xlnm._FilterDatabase" localSheetId="7" hidden="1">哑光领料单!$A$1:$J$34</definedName>
    <definedName name="buxudong" localSheetId="5">[1]下料单2!#REF!</definedName>
    <definedName name="buxudong" localSheetId="9">[2]下料单2!#REF!</definedName>
    <definedName name="buxudong" localSheetId="15">[3]下料单2!#REF!</definedName>
    <definedName name="buxudong" localSheetId="18">[4]下料单2!#REF!</definedName>
    <definedName name="buxudong" localSheetId="13">[5]下料单2!#REF!</definedName>
    <definedName name="buxudong" localSheetId="8">[1]下料单2!#REF!</definedName>
    <definedName name="buxudong">[6]下料单2!#REF!</definedName>
    <definedName name="EV浅橡_直_N23_H">#REF!</definedName>
    <definedName name="HY" localSheetId="5">#REF!</definedName>
    <definedName name="HY" localSheetId="9">#REF!</definedName>
    <definedName name="HY" localSheetId="15">#REF!</definedName>
    <definedName name="HY" localSheetId="18">#REF!</definedName>
    <definedName name="HY" localSheetId="13">#REF!</definedName>
    <definedName name="HY" localSheetId="8">#REF!</definedName>
    <definedName name="HY">#REF!</definedName>
    <definedName name="MQ" localSheetId="5">#REF!</definedName>
    <definedName name="MQ" localSheetId="9">#REF!</definedName>
    <definedName name="MQ" localSheetId="15">#REF!</definedName>
    <definedName name="MQ" localSheetId="18">#REF!</definedName>
    <definedName name="MQ" localSheetId="13">#REF!</definedName>
    <definedName name="MQ" localSheetId="8">#REF!</definedName>
    <definedName name="MQ">#REF!</definedName>
    <definedName name="MS" localSheetId="5">#REF!</definedName>
    <definedName name="MS" localSheetId="9">#REF!</definedName>
    <definedName name="MS" localSheetId="15">#REF!</definedName>
    <definedName name="MS" localSheetId="18">#REF!</definedName>
    <definedName name="MS" localSheetId="13">#REF!</definedName>
    <definedName name="MS" localSheetId="8">#REF!</definedName>
    <definedName name="MS">#REF!</definedName>
    <definedName name="MT" localSheetId="5">#REF!</definedName>
    <definedName name="MT" localSheetId="9">#REF!</definedName>
    <definedName name="MT" localSheetId="15">#REF!</definedName>
    <definedName name="MT" localSheetId="18">#REF!</definedName>
    <definedName name="MT" localSheetId="13">#REF!</definedName>
    <definedName name="MT" localSheetId="8">#REF!</definedName>
    <definedName name="MT">#REF!</definedName>
    <definedName name="_xlnm.Print_Area" localSheetId="2">Sheet1!$A$1:$I$117</definedName>
    <definedName name="_xlnm.Print_Area" localSheetId="23">本地包装!$A$1:$L$61</definedName>
    <definedName name="_xlnm.Print_Area" localSheetId="4">高光领料单!$A$1:$J$54</definedName>
    <definedName name="_xlnm.Print_Area" localSheetId="3">高光门板!$A$1:$K$53</definedName>
    <definedName name="_xlnm.Print_Area" localSheetId="5">高光转序单!#REF!</definedName>
    <definedName name="_xlnm.Print_Area" localSheetId="14">'料单 (3)'!$A$1:$R$20</definedName>
    <definedName name="_xlnm.Print_Area" localSheetId="17">'料单 (4)'!$A$1:$J$26</definedName>
    <definedName name="_xlnm.Print_Area" localSheetId="20">'料单 (5)'!$A$1:$Q$35</definedName>
    <definedName name="_xlnm.Print_Area" localSheetId="11">'料单(2)'!$A$1:$R$22</definedName>
    <definedName name="_xlnm.Print_Area" localSheetId="22">罗丹!$A$1:$I$40</definedName>
    <definedName name="_xlnm.Print_Area" localSheetId="9">免漆!$A$1:$I$47</definedName>
    <definedName name="_xlnm.Print_Area" localSheetId="18">实木!$A$1:$I$47</definedName>
    <definedName name="_xlnm.Print_Area" localSheetId="24">外阜包装!$A$1:$L$93</definedName>
    <definedName name="_xlnm.Print_Area" localSheetId="21">香颂!$A$1:$I$39</definedName>
    <definedName name="_xlnm.Print_Area" localSheetId="7">哑光领料单!$A$1:$J$55</definedName>
    <definedName name="_xlnm.Print_Area" localSheetId="6">哑光门板!$A$1:$K$46</definedName>
    <definedName name="_xlnm.Print_Area" localSheetId="8">哑光转序单!$A$1:$J$28</definedName>
    <definedName name="_xlnm.Print_Area" localSheetId="10">'作(2)'!$A$1:$K$43</definedName>
    <definedName name="_xlnm.Print_Area" localSheetId="12">'作(3)'!$A$1:$K$59</definedName>
    <definedName name="_xlnm.Print_Area" localSheetId="16">'作(4)'!$A$1:$K$42</definedName>
    <definedName name="_xlnm.Print_Area" localSheetId="19">'作(5)'!$A$1:$K$42</definedName>
    <definedName name="_xlnm.Print_Titles" localSheetId="2">Sheet1!$1:$5</definedName>
  </definedNames>
  <calcPr calcId="124519"/>
</workbook>
</file>

<file path=xl/calcChain.xml><?xml version="1.0" encoding="utf-8"?>
<calcChain xmlns="http://schemas.openxmlformats.org/spreadsheetml/2006/main">
  <c r="T11" i="34"/>
  <c r="T12"/>
  <c r="T13"/>
  <c r="T14"/>
  <c r="T15"/>
  <c r="T16"/>
  <c r="T17"/>
  <c r="T18"/>
  <c r="T19"/>
  <c r="T20"/>
  <c r="T21"/>
  <c r="T22"/>
  <c r="T23"/>
  <c r="T24"/>
  <c r="T25"/>
  <c r="T26"/>
  <c r="T27"/>
  <c r="T28"/>
  <c r="T29"/>
  <c r="T30"/>
  <c r="F33"/>
  <c r="F34"/>
  <c r="F35"/>
  <c r="F36"/>
  <c r="F37"/>
  <c r="F38"/>
  <c r="F39"/>
  <c r="F32"/>
  <c r="R35"/>
  <c r="Q35"/>
  <c r="P35"/>
  <c r="O35"/>
  <c r="N35"/>
  <c r="M35"/>
  <c r="L35"/>
  <c r="G35"/>
  <c r="E35"/>
  <c r="R34"/>
  <c r="Q34"/>
  <c r="P34"/>
  <c r="O34"/>
  <c r="N34"/>
  <c r="M34"/>
  <c r="L34"/>
  <c r="G34"/>
  <c r="E34"/>
  <c r="R33"/>
  <c r="Q33"/>
  <c r="P33"/>
  <c r="O33"/>
  <c r="N33"/>
  <c r="M33"/>
  <c r="L33"/>
  <c r="G33"/>
  <c r="E33"/>
  <c r="R32"/>
  <c r="Q32"/>
  <c r="P32"/>
  <c r="O32"/>
  <c r="N32"/>
  <c r="M32"/>
  <c r="L32"/>
  <c r="G32"/>
  <c r="E32"/>
  <c r="F37" i="31"/>
  <c r="F38"/>
  <c r="F39"/>
  <c r="F40"/>
  <c r="F41"/>
  <c r="F42"/>
  <c r="F43"/>
  <c r="F44"/>
  <c r="F45"/>
  <c r="F46"/>
  <c r="F36"/>
  <c r="C33" i="35"/>
  <c r="T10" i="34"/>
  <c r="O2"/>
  <c r="F12" s="1"/>
  <c r="Q5"/>
  <c r="Q4"/>
  <c r="Q3"/>
  <c r="Q2"/>
  <c r="S11" i="31"/>
  <c r="S12"/>
  <c r="S13"/>
  <c r="S14"/>
  <c r="S15"/>
  <c r="S16"/>
  <c r="S17"/>
  <c r="S18"/>
  <c r="S19"/>
  <c r="S20"/>
  <c r="S21"/>
  <c r="S22"/>
  <c r="S23"/>
  <c r="S24"/>
  <c r="S25"/>
  <c r="S26"/>
  <c r="S27"/>
  <c r="S28"/>
  <c r="S29"/>
  <c r="S30"/>
  <c r="S31"/>
  <c r="S32"/>
  <c r="S33"/>
  <c r="S34"/>
  <c r="S10"/>
  <c r="O5"/>
  <c r="O4"/>
  <c r="O3"/>
  <c r="O2"/>
  <c r="M2"/>
  <c r="F12" s="1"/>
  <c r="F29" i="34" l="1"/>
  <c r="F27"/>
  <c r="F25"/>
  <c r="F23"/>
  <c r="F21"/>
  <c r="F19"/>
  <c r="F17"/>
  <c r="F15"/>
  <c r="F13"/>
  <c r="F11"/>
  <c r="F10"/>
  <c r="F30"/>
  <c r="F28"/>
  <c r="F26"/>
  <c r="F24"/>
  <c r="F22"/>
  <c r="F20"/>
  <c r="F18"/>
  <c r="F16"/>
  <c r="F14"/>
  <c r="F10" i="31"/>
  <c r="F33"/>
  <c r="F31"/>
  <c r="F29"/>
  <c r="F27"/>
  <c r="F25"/>
  <c r="F23"/>
  <c r="F21"/>
  <c r="F19"/>
  <c r="F17"/>
  <c r="F15"/>
  <c r="F13"/>
  <c r="F11"/>
  <c r="F34"/>
  <c r="F32"/>
  <c r="F30"/>
  <c r="F28"/>
  <c r="F26"/>
  <c r="F24"/>
  <c r="F22"/>
  <c r="F20"/>
  <c r="F18"/>
  <c r="F16"/>
  <c r="F14"/>
  <c r="E3" i="36" l="1"/>
  <c r="I3"/>
  <c r="I2"/>
  <c r="I2" i="33"/>
  <c r="B4"/>
  <c r="D26" i="32"/>
  <c r="D22"/>
  <c r="Y23" i="35"/>
  <c r="Y22"/>
  <c r="Y23" i="32"/>
  <c r="Y22"/>
  <c r="B3" i="33"/>
  <c r="U3" i="32"/>
  <c r="B4" i="36"/>
  <c r="B3"/>
  <c r="H4" i="35"/>
  <c r="H3"/>
  <c r="H5" i="34"/>
  <c r="H4"/>
  <c r="E4" i="36" s="1"/>
  <c r="C5" i="34"/>
  <c r="E2" i="36" s="1"/>
  <c r="C4" i="34"/>
  <c r="C3" i="35" s="1"/>
  <c r="J3" i="32"/>
  <c r="H4"/>
  <c r="H5" i="31"/>
  <c r="H3" i="32" s="1"/>
  <c r="H4" i="31"/>
  <c r="C4" i="32" s="1"/>
  <c r="C5" i="31"/>
  <c r="C2" i="32" s="1"/>
  <c r="C4" i="31"/>
  <c r="C3" i="32" s="1"/>
  <c r="U29" i="35"/>
  <c r="U28"/>
  <c r="U27"/>
  <c r="U26"/>
  <c r="U24"/>
  <c r="U23"/>
  <c r="U22"/>
  <c r="U21"/>
  <c r="U20"/>
  <c r="U19"/>
  <c r="U18"/>
  <c r="U17"/>
  <c r="U16"/>
  <c r="U10"/>
  <c r="U9"/>
  <c r="U8"/>
  <c r="U7"/>
  <c r="U6"/>
  <c r="U5"/>
  <c r="U4"/>
  <c r="U3"/>
  <c r="U27" i="32"/>
  <c r="U26"/>
  <c r="U24"/>
  <c r="U23"/>
  <c r="U22"/>
  <c r="U21"/>
  <c r="U20"/>
  <c r="U19"/>
  <c r="U18"/>
  <c r="U17"/>
  <c r="U16"/>
  <c r="U10"/>
  <c r="U9"/>
  <c r="U8"/>
  <c r="U7"/>
  <c r="U6"/>
  <c r="U5"/>
  <c r="U4"/>
  <c r="B2" i="33" l="1"/>
  <c r="E2"/>
  <c r="I3"/>
  <c r="E4"/>
  <c r="C2" i="35"/>
  <c r="B2" i="36"/>
  <c r="C4" i="35"/>
  <c r="AK26"/>
  <c r="AK27"/>
  <c r="AK28"/>
  <c r="AK29"/>
  <c r="AA26"/>
  <c r="AA29"/>
  <c r="AA27" i="32"/>
  <c r="AJ27"/>
  <c r="AJ26"/>
  <c r="AA26"/>
  <c r="T40" i="34" l="1"/>
  <c r="T42" s="1"/>
  <c r="R25"/>
  <c r="O24"/>
  <c r="P11" i="31"/>
  <c r="R11"/>
  <c r="P12"/>
  <c r="R12"/>
  <c r="P13"/>
  <c r="R13"/>
  <c r="P14"/>
  <c r="R14"/>
  <c r="P15"/>
  <c r="R15"/>
  <c r="P16"/>
  <c r="R16"/>
  <c r="P17"/>
  <c r="R17"/>
  <c r="P18"/>
  <c r="R18"/>
  <c r="P19"/>
  <c r="R19"/>
  <c r="P20"/>
  <c r="R20"/>
  <c r="P21"/>
  <c r="R21"/>
  <c r="P22"/>
  <c r="R22"/>
  <c r="P23"/>
  <c r="R23"/>
  <c r="P24"/>
  <c r="R24"/>
  <c r="P25"/>
  <c r="R25"/>
  <c r="P26"/>
  <c r="R26"/>
  <c r="P27"/>
  <c r="R27"/>
  <c r="P28"/>
  <c r="R28"/>
  <c r="P29"/>
  <c r="R29"/>
  <c r="O30"/>
  <c r="Q30"/>
  <c r="R30"/>
  <c r="O31"/>
  <c r="Q31"/>
  <c r="O32"/>
  <c r="Q32"/>
  <c r="R32"/>
  <c r="O33"/>
  <c r="Q33"/>
  <c r="R33"/>
  <c r="O34"/>
  <c r="Q34"/>
  <c r="R34"/>
  <c r="O35"/>
  <c r="Q35"/>
  <c r="O36"/>
  <c r="Q36"/>
  <c r="R36"/>
  <c r="O37"/>
  <c r="Q37"/>
  <c r="R37"/>
  <c r="O38"/>
  <c r="Q38"/>
  <c r="R38"/>
  <c r="O39"/>
  <c r="Q39"/>
  <c r="O40"/>
  <c r="Q40"/>
  <c r="R40"/>
  <c r="O41"/>
  <c r="Q41"/>
  <c r="R41"/>
  <c r="O42"/>
  <c r="Q42"/>
  <c r="R42"/>
  <c r="O43"/>
  <c r="Q43"/>
  <c r="O44"/>
  <c r="Q44"/>
  <c r="R44"/>
  <c r="O45"/>
  <c r="Q45"/>
  <c r="R45"/>
  <c r="O46"/>
  <c r="Q46"/>
  <c r="R46"/>
  <c r="R10"/>
  <c r="P10"/>
  <c r="Q11" i="34"/>
  <c r="R11"/>
  <c r="Q12"/>
  <c r="R12"/>
  <c r="Q13"/>
  <c r="R13"/>
  <c r="Q14"/>
  <c r="R14"/>
  <c r="Q15"/>
  <c r="R15"/>
  <c r="Q16"/>
  <c r="R16"/>
  <c r="Q17"/>
  <c r="R17"/>
  <c r="Q18"/>
  <c r="R18"/>
  <c r="Q19"/>
  <c r="R19"/>
  <c r="Q20"/>
  <c r="R20"/>
  <c r="Q21"/>
  <c r="R21"/>
  <c r="Q22"/>
  <c r="R22"/>
  <c r="Q23"/>
  <c r="R23"/>
  <c r="R24"/>
  <c r="Q25"/>
  <c r="Q26"/>
  <c r="R26"/>
  <c r="Q27"/>
  <c r="R27"/>
  <c r="Q28"/>
  <c r="R28"/>
  <c r="Q29"/>
  <c r="R29"/>
  <c r="Q30"/>
  <c r="R30"/>
  <c r="Q31"/>
  <c r="R31"/>
  <c r="Q36"/>
  <c r="R36"/>
  <c r="Q37"/>
  <c r="R37"/>
  <c r="Q38"/>
  <c r="R38"/>
  <c r="Q39"/>
  <c r="R39"/>
  <c r="R10"/>
  <c r="Q10"/>
  <c r="P11"/>
  <c r="P12"/>
  <c r="P13"/>
  <c r="P14"/>
  <c r="P15"/>
  <c r="P16"/>
  <c r="P17"/>
  <c r="P18"/>
  <c r="P19"/>
  <c r="P20"/>
  <c r="P21"/>
  <c r="P22"/>
  <c r="P23"/>
  <c r="P24"/>
  <c r="P25"/>
  <c r="P26"/>
  <c r="P27"/>
  <c r="P28"/>
  <c r="P29"/>
  <c r="P30"/>
  <c r="P31"/>
  <c r="P36"/>
  <c r="P37"/>
  <c r="P38"/>
  <c r="P39"/>
  <c r="P10"/>
  <c r="O11"/>
  <c r="O12"/>
  <c r="O13"/>
  <c r="O14"/>
  <c r="O15"/>
  <c r="O16"/>
  <c r="O17"/>
  <c r="O18"/>
  <c r="O19"/>
  <c r="O20"/>
  <c r="O21"/>
  <c r="O22"/>
  <c r="O23"/>
  <c r="O25"/>
  <c r="O26"/>
  <c r="O27"/>
  <c r="O28"/>
  <c r="O29"/>
  <c r="O30"/>
  <c r="O31"/>
  <c r="O36"/>
  <c r="O37"/>
  <c r="O38"/>
  <c r="O39"/>
  <c r="O10"/>
  <c r="J3" i="35"/>
  <c r="Q41" i="34"/>
  <c r="R41"/>
  <c r="I6" i="35"/>
  <c r="J6"/>
  <c r="P30" s="1"/>
  <c r="H6"/>
  <c r="G32"/>
  <c r="L29"/>
  <c r="H6" i="34"/>
  <c r="L11"/>
  <c r="L12"/>
  <c r="L13"/>
  <c r="L14"/>
  <c r="L15"/>
  <c r="L16"/>
  <c r="L17"/>
  <c r="L18"/>
  <c r="L19"/>
  <c r="L20"/>
  <c r="L21"/>
  <c r="L22"/>
  <c r="L23"/>
  <c r="L24"/>
  <c r="L25"/>
  <c r="L26"/>
  <c r="L27"/>
  <c r="L28"/>
  <c r="L29"/>
  <c r="L30"/>
  <c r="L31"/>
  <c r="L36"/>
  <c r="L37"/>
  <c r="L38"/>
  <c r="L39"/>
  <c r="L10"/>
  <c r="R42"/>
  <c r="Q42"/>
  <c r="N39"/>
  <c r="M39"/>
  <c r="N38"/>
  <c r="M38"/>
  <c r="N37"/>
  <c r="M37"/>
  <c r="N36"/>
  <c r="M36"/>
  <c r="N31"/>
  <c r="M31"/>
  <c r="N30"/>
  <c r="M30"/>
  <c r="N29"/>
  <c r="M29"/>
  <c r="N28"/>
  <c r="M28"/>
  <c r="N27"/>
  <c r="M27"/>
  <c r="N26"/>
  <c r="M26"/>
  <c r="N25"/>
  <c r="M25"/>
  <c r="N24"/>
  <c r="M24"/>
  <c r="N23"/>
  <c r="M23"/>
  <c r="N22"/>
  <c r="M22"/>
  <c r="N21"/>
  <c r="M21"/>
  <c r="N20"/>
  <c r="M20"/>
  <c r="N19"/>
  <c r="M19"/>
  <c r="N18"/>
  <c r="M18"/>
  <c r="N17"/>
  <c r="M17"/>
  <c r="N16"/>
  <c r="M16"/>
  <c r="N15"/>
  <c r="M15"/>
  <c r="N14"/>
  <c r="M14"/>
  <c r="N13"/>
  <c r="M13"/>
  <c r="N12"/>
  <c r="M12"/>
  <c r="N11"/>
  <c r="M11"/>
  <c r="N10"/>
  <c r="M10"/>
  <c r="P45" i="31"/>
  <c r="P46"/>
  <c r="J6" i="32"/>
  <c r="O28" s="1"/>
  <c r="P31" i="31"/>
  <c r="P32"/>
  <c r="P33"/>
  <c r="P34"/>
  <c r="P35"/>
  <c r="P36"/>
  <c r="P37"/>
  <c r="P38"/>
  <c r="P39"/>
  <c r="P40"/>
  <c r="P41"/>
  <c r="P42"/>
  <c r="R43"/>
  <c r="P44"/>
  <c r="P30"/>
  <c r="O11"/>
  <c r="O12"/>
  <c r="O13"/>
  <c r="O14"/>
  <c r="O15"/>
  <c r="O16"/>
  <c r="O17"/>
  <c r="O18"/>
  <c r="O19"/>
  <c r="O20"/>
  <c r="O21"/>
  <c r="O22"/>
  <c r="O23"/>
  <c r="O24"/>
  <c r="O25"/>
  <c r="O26"/>
  <c r="O27"/>
  <c r="O28"/>
  <c r="O29"/>
  <c r="O10"/>
  <c r="H6" i="32"/>
  <c r="O25" s="1"/>
  <c r="D25" s="1"/>
  <c r="H6" i="31"/>
  <c r="E3" i="33" s="1"/>
  <c r="O30" i="32"/>
  <c r="L27"/>
  <c r="O26" i="35"/>
  <c r="AK25"/>
  <c r="AA25"/>
  <c r="AK24"/>
  <c r="AA24"/>
  <c r="AK23"/>
  <c r="AA23"/>
  <c r="L23"/>
  <c r="AK22"/>
  <c r="AA22"/>
  <c r="AK21"/>
  <c r="AA21"/>
  <c r="AK20"/>
  <c r="AA20"/>
  <c r="AK19"/>
  <c r="AA19"/>
  <c r="AK18"/>
  <c r="AA18"/>
  <c r="H18"/>
  <c r="AK17"/>
  <c r="AA17"/>
  <c r="AK16"/>
  <c r="AA16"/>
  <c r="AK15"/>
  <c r="AA15"/>
  <c r="L15"/>
  <c r="AK14"/>
  <c r="AA14"/>
  <c r="AK13"/>
  <c r="AA13"/>
  <c r="Q13"/>
  <c r="Q14" s="1"/>
  <c r="O13"/>
  <c r="F13"/>
  <c r="AK12"/>
  <c r="AA12"/>
  <c r="Q12"/>
  <c r="O12"/>
  <c r="F12"/>
  <c r="AK11"/>
  <c r="AA11"/>
  <c r="Q11"/>
  <c r="O11"/>
  <c r="F11"/>
  <c r="AK10"/>
  <c r="AA10"/>
  <c r="AK9"/>
  <c r="AA9"/>
  <c r="AK8"/>
  <c r="AA8"/>
  <c r="AK7"/>
  <c r="AA7"/>
  <c r="AK6"/>
  <c r="AA6"/>
  <c r="P25"/>
  <c r="C6"/>
  <c r="AK5"/>
  <c r="AA5"/>
  <c r="AK4"/>
  <c r="AA4"/>
  <c r="AK3"/>
  <c r="AA3"/>
  <c r="G39" i="34"/>
  <c r="E39"/>
  <c r="G38"/>
  <c r="E38"/>
  <c r="G37"/>
  <c r="E37"/>
  <c r="G36"/>
  <c r="E36"/>
  <c r="G30"/>
  <c r="E30"/>
  <c r="G29"/>
  <c r="E29"/>
  <c r="G28"/>
  <c r="E28"/>
  <c r="G27"/>
  <c r="E27"/>
  <c r="G26"/>
  <c r="E26"/>
  <c r="G25"/>
  <c r="E25"/>
  <c r="G24"/>
  <c r="E24"/>
  <c r="G23"/>
  <c r="E23"/>
  <c r="G22"/>
  <c r="E22"/>
  <c r="G21"/>
  <c r="E21"/>
  <c r="G20"/>
  <c r="E20"/>
  <c r="G19"/>
  <c r="E19"/>
  <c r="G18"/>
  <c r="E18"/>
  <c r="G17"/>
  <c r="E17"/>
  <c r="G16"/>
  <c r="E16"/>
  <c r="G15"/>
  <c r="E15"/>
  <c r="G14"/>
  <c r="E14"/>
  <c r="G13"/>
  <c r="E13"/>
  <c r="G12"/>
  <c r="E12"/>
  <c r="G11"/>
  <c r="E11"/>
  <c r="G10"/>
  <c r="K4" s="1"/>
  <c r="E10"/>
  <c r="O26" i="32"/>
  <c r="G22"/>
  <c r="G26" s="1"/>
  <c r="AJ25"/>
  <c r="AA25"/>
  <c r="AJ24"/>
  <c r="AA24"/>
  <c r="AJ23"/>
  <c r="AA23"/>
  <c r="L23"/>
  <c r="AJ22"/>
  <c r="AA22"/>
  <c r="AJ21"/>
  <c r="AA21"/>
  <c r="AJ20"/>
  <c r="AA20"/>
  <c r="AJ19"/>
  <c r="AA19"/>
  <c r="AJ18"/>
  <c r="AA18"/>
  <c r="H18"/>
  <c r="AJ17"/>
  <c r="AA17"/>
  <c r="AJ16"/>
  <c r="AA16"/>
  <c r="AJ15"/>
  <c r="AA15"/>
  <c r="L15"/>
  <c r="AJ14"/>
  <c r="AA14"/>
  <c r="AJ13"/>
  <c r="AA13"/>
  <c r="Q13"/>
  <c r="Q14" s="1"/>
  <c r="O13"/>
  <c r="AJ12"/>
  <c r="AA12"/>
  <c r="Q12"/>
  <c r="F12" s="1"/>
  <c r="O12"/>
  <c r="AJ11"/>
  <c r="AA11"/>
  <c r="Q11"/>
  <c r="F11" s="1"/>
  <c r="O11"/>
  <c r="AJ10"/>
  <c r="AA10"/>
  <c r="AJ9"/>
  <c r="AA9"/>
  <c r="AJ8"/>
  <c r="AA8"/>
  <c r="AJ7"/>
  <c r="AA7"/>
  <c r="AJ6"/>
  <c r="AA6"/>
  <c r="C6"/>
  <c r="AJ5"/>
  <c r="AA5"/>
  <c r="AJ4"/>
  <c r="AA4"/>
  <c r="AJ3"/>
  <c r="AA3"/>
  <c r="N46" i="31"/>
  <c r="M46"/>
  <c r="G46"/>
  <c r="L46" s="1"/>
  <c r="E46"/>
  <c r="N45"/>
  <c r="M45"/>
  <c r="G45"/>
  <c r="L45" s="1"/>
  <c r="E45"/>
  <c r="N44"/>
  <c r="M44"/>
  <c r="G44"/>
  <c r="L44" s="1"/>
  <c r="E44"/>
  <c r="N43"/>
  <c r="M43"/>
  <c r="G43"/>
  <c r="L43" s="1"/>
  <c r="E43"/>
  <c r="N42"/>
  <c r="M42"/>
  <c r="G42"/>
  <c r="L42" s="1"/>
  <c r="E42"/>
  <c r="N41"/>
  <c r="M41"/>
  <c r="G41"/>
  <c r="L41" s="1"/>
  <c r="E41"/>
  <c r="N40"/>
  <c r="M40"/>
  <c r="G40"/>
  <c r="L40" s="1"/>
  <c r="E40"/>
  <c r="N39"/>
  <c r="M39"/>
  <c r="G39"/>
  <c r="L39" s="1"/>
  <c r="E39"/>
  <c r="N38"/>
  <c r="M38"/>
  <c r="G38"/>
  <c r="L38" s="1"/>
  <c r="E38"/>
  <c r="N37"/>
  <c r="M37"/>
  <c r="G37"/>
  <c r="L37" s="1"/>
  <c r="E37"/>
  <c r="N36"/>
  <c r="M36"/>
  <c r="G36"/>
  <c r="L36" s="1"/>
  <c r="E36"/>
  <c r="N35"/>
  <c r="M35"/>
  <c r="L35"/>
  <c r="N34"/>
  <c r="M34"/>
  <c r="G34"/>
  <c r="L34" s="1"/>
  <c r="E34"/>
  <c r="N33"/>
  <c r="M33"/>
  <c r="G33"/>
  <c r="L33" s="1"/>
  <c r="E33"/>
  <c r="N32"/>
  <c r="M32"/>
  <c r="G32"/>
  <c r="L32" s="1"/>
  <c r="E32"/>
  <c r="N31"/>
  <c r="M31"/>
  <c r="G31"/>
  <c r="L31" s="1"/>
  <c r="E31"/>
  <c r="N30"/>
  <c r="M30"/>
  <c r="G30"/>
  <c r="L30" s="1"/>
  <c r="E30"/>
  <c r="N29"/>
  <c r="M29"/>
  <c r="G29"/>
  <c r="L29" s="1"/>
  <c r="E29"/>
  <c r="N28"/>
  <c r="M28"/>
  <c r="G28"/>
  <c r="L28" s="1"/>
  <c r="E28"/>
  <c r="N27"/>
  <c r="M27"/>
  <c r="G27"/>
  <c r="L27" s="1"/>
  <c r="E27"/>
  <c r="N26"/>
  <c r="M26"/>
  <c r="G26"/>
  <c r="L26" s="1"/>
  <c r="E26"/>
  <c r="N25"/>
  <c r="M25"/>
  <c r="G25"/>
  <c r="L25" s="1"/>
  <c r="E25"/>
  <c r="N24"/>
  <c r="M24"/>
  <c r="G24"/>
  <c r="L24" s="1"/>
  <c r="E24"/>
  <c r="N23"/>
  <c r="M23"/>
  <c r="G23"/>
  <c r="L23" s="1"/>
  <c r="E23"/>
  <c r="N22"/>
  <c r="M22"/>
  <c r="G22"/>
  <c r="L22" s="1"/>
  <c r="E22"/>
  <c r="N21"/>
  <c r="M21"/>
  <c r="G21"/>
  <c r="L21" s="1"/>
  <c r="E21"/>
  <c r="N20"/>
  <c r="M20"/>
  <c r="G20"/>
  <c r="L20" s="1"/>
  <c r="E20"/>
  <c r="N19"/>
  <c r="M19"/>
  <c r="G19"/>
  <c r="L19" s="1"/>
  <c r="E19"/>
  <c r="N18"/>
  <c r="M18"/>
  <c r="G18"/>
  <c r="L18" s="1"/>
  <c r="E18"/>
  <c r="N17"/>
  <c r="M17"/>
  <c r="G17"/>
  <c r="L17" s="1"/>
  <c r="E17"/>
  <c r="N16"/>
  <c r="M16"/>
  <c r="G16"/>
  <c r="L16" s="1"/>
  <c r="E16"/>
  <c r="N15"/>
  <c r="M15"/>
  <c r="G15"/>
  <c r="L15" s="1"/>
  <c r="E15"/>
  <c r="N14"/>
  <c r="M14"/>
  <c r="G14"/>
  <c r="L14" s="1"/>
  <c r="E14"/>
  <c r="N13"/>
  <c r="M13"/>
  <c r="G13"/>
  <c r="L13" s="1"/>
  <c r="E13"/>
  <c r="N12"/>
  <c r="M12"/>
  <c r="G12"/>
  <c r="L12" s="1"/>
  <c r="E12"/>
  <c r="N11"/>
  <c r="M11"/>
  <c r="G11"/>
  <c r="E11"/>
  <c r="N10"/>
  <c r="M10"/>
  <c r="G10"/>
  <c r="E10"/>
  <c r="F13" i="32" l="1"/>
  <c r="D17" i="36"/>
  <c r="D28"/>
  <c r="I6" i="32"/>
  <c r="F33" i="35"/>
  <c r="L10" i="31"/>
  <c r="K4"/>
  <c r="S47"/>
  <c r="S48" s="1"/>
  <c r="F33" i="32" s="1"/>
  <c r="O23"/>
  <c r="O30" i="35"/>
  <c r="D30" s="1"/>
  <c r="P29"/>
  <c r="P31"/>
  <c r="O29"/>
  <c r="D29" s="1"/>
  <c r="O31"/>
  <c r="D31" s="1"/>
  <c r="O32"/>
  <c r="O47" i="31"/>
  <c r="R40" i="34"/>
  <c r="N47" i="31"/>
  <c r="L11"/>
  <c r="M47"/>
  <c r="F9" i="32" s="1"/>
  <c r="Q24" i="34"/>
  <c r="Q40" s="1"/>
  <c r="M40"/>
  <c r="F9" i="35" s="1"/>
  <c r="R39" i="31"/>
  <c r="R35"/>
  <c r="R31"/>
  <c r="P43"/>
  <c r="P47" s="1"/>
  <c r="Q10"/>
  <c r="Q29"/>
  <c r="Q28"/>
  <c r="Q27"/>
  <c r="Q26"/>
  <c r="Q25"/>
  <c r="Q24"/>
  <c r="Q23"/>
  <c r="Q22"/>
  <c r="Q21"/>
  <c r="Q20"/>
  <c r="Q19"/>
  <c r="Q18"/>
  <c r="Q17"/>
  <c r="Q16"/>
  <c r="Q15"/>
  <c r="Q14"/>
  <c r="Q13"/>
  <c r="Q12"/>
  <c r="Q11"/>
  <c r="O40" i="34"/>
  <c r="P40"/>
  <c r="N29" i="35" s="1"/>
  <c r="L40" i="34"/>
  <c r="F7" i="35" s="1"/>
  <c r="F8" s="1"/>
  <c r="N40" i="34"/>
  <c r="F6" i="35" s="1"/>
  <c r="P29" i="32"/>
  <c r="P27"/>
  <c r="O29"/>
  <c r="O27"/>
  <c r="H27" s="1"/>
  <c r="P28"/>
  <c r="M15"/>
  <c r="O15"/>
  <c r="D15" s="1"/>
  <c r="P16"/>
  <c r="O17"/>
  <c r="D17" s="1"/>
  <c r="P23"/>
  <c r="O24"/>
  <c r="D24" s="1"/>
  <c r="P25"/>
  <c r="M15" i="35"/>
  <c r="O15"/>
  <c r="D15" s="1"/>
  <c r="P16"/>
  <c r="O17"/>
  <c r="D17" s="1"/>
  <c r="M23"/>
  <c r="M29" s="1"/>
  <c r="O23"/>
  <c r="D23" s="1"/>
  <c r="P24"/>
  <c r="O25"/>
  <c r="D25" s="1"/>
  <c r="P15" i="32"/>
  <c r="O16"/>
  <c r="D16" s="1"/>
  <c r="P17"/>
  <c r="M23"/>
  <c r="M27" s="1"/>
  <c r="D23"/>
  <c r="H23" s="1"/>
  <c r="P24"/>
  <c r="P15" i="35"/>
  <c r="O16"/>
  <c r="D16" s="1"/>
  <c r="P17"/>
  <c r="P23"/>
  <c r="O24"/>
  <c r="D24" s="1"/>
  <c r="H23" l="1"/>
  <c r="D26"/>
  <c r="D22" s="1"/>
  <c r="G22" s="1"/>
  <c r="G26" s="1"/>
  <c r="D32"/>
  <c r="L47" i="31"/>
  <c r="D28" i="33"/>
  <c r="D17"/>
  <c r="Q29" i="35"/>
  <c r="R47" i="31"/>
  <c r="F10" i="35"/>
  <c r="Q47" i="31"/>
  <c r="K40" i="34"/>
  <c r="N23" i="35"/>
  <c r="J2" l="1"/>
  <c r="N15"/>
  <c r="D24" i="36"/>
  <c r="Q31" i="35"/>
  <c r="Q30"/>
  <c r="F30" s="1"/>
  <c r="F29"/>
  <c r="Q24"/>
  <c r="F24" s="1"/>
  <c r="Q25"/>
  <c r="Q23"/>
  <c r="F23" s="1"/>
  <c r="Q16"/>
  <c r="F16" s="1"/>
  <c r="Q17"/>
  <c r="F22" s="1"/>
  <c r="Q15"/>
  <c r="F15" s="1"/>
  <c r="D25" i="36" l="1"/>
  <c r="D26"/>
  <c r="F25" i="35"/>
  <c r="F26"/>
  <c r="F31"/>
  <c r="F32"/>
  <c r="Q18"/>
  <c r="F17"/>
  <c r="I2" i="21" l="1"/>
  <c r="J2" i="18"/>
  <c r="AB9"/>
  <c r="AB7"/>
  <c r="X7"/>
  <c r="D11" i="17"/>
  <c r="D12" s="1"/>
  <c r="G12" s="1"/>
  <c r="C11"/>
  <c r="F11" s="1"/>
  <c r="B11"/>
  <c r="B12" s="1"/>
  <c r="E12" s="1"/>
  <c r="G10"/>
  <c r="F10"/>
  <c r="E10"/>
  <c r="H5" i="19"/>
  <c r="B5"/>
  <c r="E5"/>
  <c r="E3"/>
  <c r="B3"/>
  <c r="H5" i="22"/>
  <c r="B5"/>
  <c r="E5"/>
  <c r="E3"/>
  <c r="B3"/>
  <c r="W3" i="18"/>
  <c r="I9" s="1"/>
  <c r="D5" i="19"/>
  <c r="D5" i="22"/>
  <c r="I2" i="19" l="1"/>
  <c r="E11" i="17"/>
  <c r="G11"/>
  <c r="C12"/>
  <c r="F12" s="1"/>
  <c r="B4" i="19"/>
  <c r="I11" i="18"/>
  <c r="I1" i="19"/>
  <c r="I1" i="22"/>
  <c r="I2"/>
  <c r="B4"/>
  <c r="B2" l="1"/>
  <c r="B2" i="19"/>
  <c r="E2" i="22" l="1"/>
  <c r="E2" i="19"/>
  <c r="Q12" i="18"/>
  <c r="Q11"/>
  <c r="O12"/>
  <c r="C48" i="17"/>
  <c r="F4" i="30"/>
  <c r="B5"/>
  <c r="F4" i="29"/>
  <c r="B5"/>
  <c r="J36" i="30"/>
  <c r="J35"/>
  <c r="J34"/>
  <c r="J33"/>
  <c r="J32"/>
  <c r="J31"/>
  <c r="J30"/>
  <c r="J29"/>
  <c r="J28"/>
  <c r="J27"/>
  <c r="J26"/>
  <c r="J25"/>
  <c r="J24"/>
  <c r="J23"/>
  <c r="J22"/>
  <c r="J21"/>
  <c r="J20"/>
  <c r="J19"/>
  <c r="J18"/>
  <c r="J17"/>
  <c r="J16"/>
  <c r="J15"/>
  <c r="J14"/>
  <c r="J13"/>
  <c r="J12"/>
  <c r="J11"/>
  <c r="I4"/>
  <c r="J33" i="29"/>
  <c r="J32"/>
  <c r="J31"/>
  <c r="J30"/>
  <c r="J29"/>
  <c r="J28"/>
  <c r="J27"/>
  <c r="J26"/>
  <c r="J25"/>
  <c r="J24"/>
  <c r="J23"/>
  <c r="J22"/>
  <c r="J21"/>
  <c r="J20"/>
  <c r="J19"/>
  <c r="J18"/>
  <c r="J17"/>
  <c r="J16"/>
  <c r="J15"/>
  <c r="J14"/>
  <c r="J13"/>
  <c r="J12"/>
  <c r="J11"/>
  <c r="J10"/>
  <c r="I4"/>
  <c r="B5" i="28"/>
  <c r="P2" i="27" s="1"/>
  <c r="K5" i="26"/>
  <c r="C5"/>
  <c r="E3" i="28" s="1"/>
  <c r="C4" i="26"/>
  <c r="B3" i="28" s="1"/>
  <c r="H4"/>
  <c r="E4"/>
  <c r="B4"/>
  <c r="U33" i="27"/>
  <c r="W32"/>
  <c r="U32"/>
  <c r="W31"/>
  <c r="H31"/>
  <c r="E31"/>
  <c r="X30"/>
  <c r="W30"/>
  <c r="E30" s="1"/>
  <c r="X29"/>
  <c r="W29"/>
  <c r="E29" s="1"/>
  <c r="X28"/>
  <c r="W28"/>
  <c r="E28" s="1"/>
  <c r="U28"/>
  <c r="T28"/>
  <c r="M28"/>
  <c r="Q28" s="1"/>
  <c r="K28"/>
  <c r="H27"/>
  <c r="E27"/>
  <c r="X26"/>
  <c r="W26"/>
  <c r="E26" s="1"/>
  <c r="X25"/>
  <c r="W25"/>
  <c r="E25" s="1"/>
  <c r="X24"/>
  <c r="W24"/>
  <c r="E24" s="1"/>
  <c r="X23"/>
  <c r="W23"/>
  <c r="E23" s="1"/>
  <c r="U23"/>
  <c r="T23"/>
  <c r="W22"/>
  <c r="E22" s="1"/>
  <c r="H22" s="1"/>
  <c r="X21"/>
  <c r="W21"/>
  <c r="E21" s="1"/>
  <c r="X20"/>
  <c r="W20"/>
  <c r="E20"/>
  <c r="H20" s="1"/>
  <c r="X19"/>
  <c r="W19"/>
  <c r="E19" s="1"/>
  <c r="H19" s="1"/>
  <c r="U19"/>
  <c r="T19"/>
  <c r="E16"/>
  <c r="X15"/>
  <c r="E15"/>
  <c r="BU9"/>
  <c r="BL9"/>
  <c r="BH9"/>
  <c r="AY9"/>
  <c r="AP9"/>
  <c r="BL8"/>
  <c r="BH8"/>
  <c r="AY8"/>
  <c r="AP8"/>
  <c r="E8"/>
  <c r="C8"/>
  <c r="BU7"/>
  <c r="BL7"/>
  <c r="BH7"/>
  <c r="AY7"/>
  <c r="AP7"/>
  <c r="BX6"/>
  <c r="BL6"/>
  <c r="BH6"/>
  <c r="AY6"/>
  <c r="AP6"/>
  <c r="K6"/>
  <c r="K7" s="1"/>
  <c r="E6"/>
  <c r="BU5"/>
  <c r="BL5"/>
  <c r="BH5"/>
  <c r="AY5"/>
  <c r="AP5"/>
  <c r="BX4"/>
  <c r="BL4"/>
  <c r="BH4"/>
  <c r="AY4"/>
  <c r="AP4"/>
  <c r="L4"/>
  <c r="H5" i="28" s="1"/>
  <c r="D4" i="27"/>
  <c r="E5" i="28" s="1"/>
  <c r="L3" i="27"/>
  <c r="D3"/>
  <c r="O38" i="26"/>
  <c r="V33" i="27" s="1"/>
  <c r="Y33" s="1"/>
  <c r="M38" i="26"/>
  <c r="P37"/>
  <c r="O37"/>
  <c r="N37"/>
  <c r="M37"/>
  <c r="L37"/>
  <c r="P36"/>
  <c r="O36"/>
  <c r="N36"/>
  <c r="M36"/>
  <c r="L36"/>
  <c r="P35"/>
  <c r="O35"/>
  <c r="N35"/>
  <c r="M35"/>
  <c r="L35"/>
  <c r="P34"/>
  <c r="O34"/>
  <c r="N34"/>
  <c r="M34"/>
  <c r="L34"/>
  <c r="P33"/>
  <c r="O33"/>
  <c r="N33"/>
  <c r="M33"/>
  <c r="L33"/>
  <c r="G33"/>
  <c r="F33"/>
  <c r="E33"/>
  <c r="P32"/>
  <c r="O32"/>
  <c r="N32"/>
  <c r="M32"/>
  <c r="L32"/>
  <c r="G32"/>
  <c r="F32"/>
  <c r="E32"/>
  <c r="P31"/>
  <c r="O31"/>
  <c r="N31"/>
  <c r="M31"/>
  <c r="L31"/>
  <c r="G31"/>
  <c r="F31"/>
  <c r="E31"/>
  <c r="P30"/>
  <c r="O30"/>
  <c r="N30"/>
  <c r="M30"/>
  <c r="L30"/>
  <c r="G30"/>
  <c r="F30"/>
  <c r="E30"/>
  <c r="P29"/>
  <c r="O29"/>
  <c r="N29"/>
  <c r="M29"/>
  <c r="L29"/>
  <c r="G29"/>
  <c r="F29"/>
  <c r="E29"/>
  <c r="P28"/>
  <c r="O28"/>
  <c r="N28"/>
  <c r="M28"/>
  <c r="L28"/>
  <c r="G28"/>
  <c r="F28"/>
  <c r="E28"/>
  <c r="P27"/>
  <c r="O27"/>
  <c r="N27"/>
  <c r="M27"/>
  <c r="L27"/>
  <c r="G27"/>
  <c r="F27"/>
  <c r="E27"/>
  <c r="P26"/>
  <c r="O26"/>
  <c r="N26"/>
  <c r="M26"/>
  <c r="L26"/>
  <c r="G26"/>
  <c r="F26"/>
  <c r="E26"/>
  <c r="P25"/>
  <c r="O25"/>
  <c r="N25"/>
  <c r="M25"/>
  <c r="L25"/>
  <c r="G25"/>
  <c r="F25"/>
  <c r="E25"/>
  <c r="P24"/>
  <c r="O24"/>
  <c r="N24"/>
  <c r="M24"/>
  <c r="L24"/>
  <c r="G24"/>
  <c r="F24"/>
  <c r="E24"/>
  <c r="P23"/>
  <c r="O23"/>
  <c r="N23"/>
  <c r="M23"/>
  <c r="L23"/>
  <c r="G23"/>
  <c r="F23"/>
  <c r="E23"/>
  <c r="P22"/>
  <c r="O22"/>
  <c r="N22"/>
  <c r="M22"/>
  <c r="L22"/>
  <c r="G22"/>
  <c r="F22"/>
  <c r="E22"/>
  <c r="P21"/>
  <c r="O21"/>
  <c r="N21"/>
  <c r="M21"/>
  <c r="L21"/>
  <c r="G21"/>
  <c r="F21"/>
  <c r="E21"/>
  <c r="P20"/>
  <c r="O20"/>
  <c r="N20"/>
  <c r="M20"/>
  <c r="L20"/>
  <c r="G20"/>
  <c r="F20"/>
  <c r="E20"/>
  <c r="P19"/>
  <c r="O19"/>
  <c r="N19"/>
  <c r="M19"/>
  <c r="L19"/>
  <c r="G19"/>
  <c r="F19"/>
  <c r="E19"/>
  <c r="P18"/>
  <c r="O18"/>
  <c r="N18"/>
  <c r="M18"/>
  <c r="L18"/>
  <c r="G18"/>
  <c r="F18"/>
  <c r="E18"/>
  <c r="P17"/>
  <c r="O17"/>
  <c r="N17"/>
  <c r="M17"/>
  <c r="L17"/>
  <c r="G17"/>
  <c r="F17"/>
  <c r="E17"/>
  <c r="P16"/>
  <c r="O16"/>
  <c r="N16"/>
  <c r="M16"/>
  <c r="L16"/>
  <c r="G16"/>
  <c r="F16"/>
  <c r="E16"/>
  <c r="P15"/>
  <c r="O15"/>
  <c r="N15"/>
  <c r="M15"/>
  <c r="L15"/>
  <c r="G15"/>
  <c r="F15"/>
  <c r="E15"/>
  <c r="P14"/>
  <c r="O14"/>
  <c r="N14"/>
  <c r="M14"/>
  <c r="L14"/>
  <c r="G14"/>
  <c r="F14"/>
  <c r="E14"/>
  <c r="P13"/>
  <c r="O13"/>
  <c r="N13"/>
  <c r="M13"/>
  <c r="L13"/>
  <c r="G13"/>
  <c r="F13"/>
  <c r="E13"/>
  <c r="P12"/>
  <c r="O12"/>
  <c r="N12"/>
  <c r="M12"/>
  <c r="L12"/>
  <c r="G12"/>
  <c r="F12"/>
  <c r="E12"/>
  <c r="P11"/>
  <c r="O11"/>
  <c r="N11"/>
  <c r="M11"/>
  <c r="L11"/>
  <c r="G11"/>
  <c r="F11"/>
  <c r="E11"/>
  <c r="P10"/>
  <c r="P38" s="1"/>
  <c r="G8" i="27" s="1"/>
  <c r="P11" s="1"/>
  <c r="O10" i="26"/>
  <c r="N10"/>
  <c r="N38" s="1"/>
  <c r="G6" i="27" s="1"/>
  <c r="M10" i="26"/>
  <c r="L10"/>
  <c r="L38" s="1"/>
  <c r="G10"/>
  <c r="F10"/>
  <c r="E10"/>
  <c r="K4"/>
  <c r="C8" i="28" s="1"/>
  <c r="C13" s="1"/>
  <c r="C14" s="1"/>
  <c r="C15" s="1"/>
  <c r="C16" s="1"/>
  <c r="C17" s="1"/>
  <c r="C25" s="1"/>
  <c r="C26" s="1"/>
  <c r="C27" s="1"/>
  <c r="C28" s="1"/>
  <c r="C29" s="1"/>
  <c r="C30" s="1"/>
  <c r="C31" s="1"/>
  <c r="C32" s="1"/>
  <c r="C33" s="1"/>
  <c r="C34" s="1"/>
  <c r="C35" s="1"/>
  <c r="D2" i="27" l="1"/>
  <c r="P28"/>
  <c r="L39" i="26"/>
  <c r="V15" i="27" s="1"/>
  <c r="P6"/>
  <c r="K39" i="26"/>
  <c r="V19" i="27"/>
  <c r="H21"/>
  <c r="V32"/>
  <c r="V28" l="1"/>
  <c r="V23"/>
  <c r="G14"/>
  <c r="G12"/>
  <c r="Y32"/>
  <c r="G13"/>
  <c r="Y21"/>
  <c r="Y19"/>
  <c r="G19" s="1"/>
  <c r="Y20"/>
  <c r="G20" s="1"/>
  <c r="Y16"/>
  <c r="G16" s="1"/>
  <c r="Y15"/>
  <c r="G15" s="1"/>
  <c r="P8"/>
  <c r="P9"/>
  <c r="Y22" l="1"/>
  <c r="G21"/>
  <c r="G22" s="1"/>
  <c r="Y28"/>
  <c r="G28" s="1"/>
  <c r="Y29"/>
  <c r="G29" s="1"/>
  <c r="Y30"/>
  <c r="Y25"/>
  <c r="G25" s="1"/>
  <c r="G27" s="1"/>
  <c r="Y26"/>
  <c r="G26" s="1"/>
  <c r="Y23"/>
  <c r="G23" s="1"/>
  <c r="Y24"/>
  <c r="G24" s="1"/>
  <c r="Y31" l="1"/>
  <c r="G30"/>
  <c r="G31" s="1"/>
  <c r="B5" i="25" l="1"/>
  <c r="E4"/>
  <c r="J2" i="24"/>
  <c r="K5" i="23"/>
  <c r="H4"/>
  <c r="C2" i="24" s="1"/>
  <c r="C5" i="23"/>
  <c r="C4" i="24" s="1"/>
  <c r="C4" i="23"/>
  <c r="C3" i="24" s="1"/>
  <c r="H5" i="25"/>
  <c r="H3"/>
  <c r="E3"/>
  <c r="B3"/>
  <c r="L23" i="24"/>
  <c r="L22"/>
  <c r="L21"/>
  <c r="L20"/>
  <c r="L19"/>
  <c r="L18"/>
  <c r="L17"/>
  <c r="L16"/>
  <c r="L15"/>
  <c r="L14"/>
  <c r="D14"/>
  <c r="L13"/>
  <c r="D13"/>
  <c r="L12"/>
  <c r="D12"/>
  <c r="L11"/>
  <c r="A55" i="23" s="1"/>
  <c r="D11" i="24"/>
  <c r="L10"/>
  <c r="L9"/>
  <c r="L8"/>
  <c r="L7"/>
  <c r="L6"/>
  <c r="H6"/>
  <c r="C20" s="1"/>
  <c r="C6"/>
  <c r="L5"/>
  <c r="H4"/>
  <c r="G4"/>
  <c r="A4"/>
  <c r="H3"/>
  <c r="G3"/>
  <c r="A3"/>
  <c r="A2"/>
  <c r="A65" i="23"/>
  <c r="A64"/>
  <c r="A63"/>
  <c r="A62"/>
  <c r="A61"/>
  <c r="A60"/>
  <c r="A59"/>
  <c r="A58"/>
  <c r="A57"/>
  <c r="A56"/>
  <c r="A54"/>
  <c r="A53"/>
  <c r="A52"/>
  <c r="A51"/>
  <c r="A50"/>
  <c r="A49"/>
  <c r="A47"/>
  <c r="N36"/>
  <c r="P35"/>
  <c r="O35"/>
  <c r="N35"/>
  <c r="M35"/>
  <c r="L35"/>
  <c r="G35"/>
  <c r="F35"/>
  <c r="E35"/>
  <c r="P34"/>
  <c r="O34"/>
  <c r="N34"/>
  <c r="M34"/>
  <c r="L34"/>
  <c r="G34"/>
  <c r="F34"/>
  <c r="E34"/>
  <c r="P33"/>
  <c r="O33"/>
  <c r="N33"/>
  <c r="M33"/>
  <c r="L33"/>
  <c r="G33"/>
  <c r="F33"/>
  <c r="E33"/>
  <c r="P32"/>
  <c r="O32"/>
  <c r="N32"/>
  <c r="M32"/>
  <c r="L32"/>
  <c r="G32"/>
  <c r="F32"/>
  <c r="E32"/>
  <c r="P31"/>
  <c r="O31"/>
  <c r="N31"/>
  <c r="M31"/>
  <c r="L31"/>
  <c r="G31"/>
  <c r="F31"/>
  <c r="E31"/>
  <c r="Q30"/>
  <c r="P30"/>
  <c r="O30"/>
  <c r="N30"/>
  <c r="M30"/>
  <c r="L30"/>
  <c r="G30"/>
  <c r="F30"/>
  <c r="E30"/>
  <c r="Q29"/>
  <c r="P29"/>
  <c r="O29"/>
  <c r="N29"/>
  <c r="M29"/>
  <c r="L29"/>
  <c r="G29"/>
  <c r="F29"/>
  <c r="E29"/>
  <c r="Q28"/>
  <c r="P28"/>
  <c r="O28"/>
  <c r="N28"/>
  <c r="M28"/>
  <c r="L28"/>
  <c r="G28"/>
  <c r="F28"/>
  <c r="E28"/>
  <c r="Q27"/>
  <c r="P27"/>
  <c r="O27"/>
  <c r="N27"/>
  <c r="M27"/>
  <c r="L27"/>
  <c r="G27"/>
  <c r="F27"/>
  <c r="E27"/>
  <c r="Q26"/>
  <c r="P26"/>
  <c r="O26"/>
  <c r="N26"/>
  <c r="M26"/>
  <c r="L26"/>
  <c r="G26"/>
  <c r="F26"/>
  <c r="E26"/>
  <c r="Q25"/>
  <c r="P25"/>
  <c r="O25"/>
  <c r="N25"/>
  <c r="M25"/>
  <c r="L25"/>
  <c r="G25"/>
  <c r="F25"/>
  <c r="E25"/>
  <c r="Q24"/>
  <c r="P24"/>
  <c r="O24"/>
  <c r="N24"/>
  <c r="M24"/>
  <c r="L24"/>
  <c r="G24"/>
  <c r="F24"/>
  <c r="E24"/>
  <c r="Q23"/>
  <c r="P23"/>
  <c r="O23"/>
  <c r="N23"/>
  <c r="M23"/>
  <c r="L23"/>
  <c r="G23"/>
  <c r="F23"/>
  <c r="E23"/>
  <c r="Q22"/>
  <c r="P22"/>
  <c r="O22"/>
  <c r="N22"/>
  <c r="M22"/>
  <c r="L22"/>
  <c r="G22"/>
  <c r="F22"/>
  <c r="E22"/>
  <c r="Q21"/>
  <c r="P21"/>
  <c r="O21"/>
  <c r="N21"/>
  <c r="M21"/>
  <c r="L21"/>
  <c r="G21"/>
  <c r="F21"/>
  <c r="E21"/>
  <c r="Q20"/>
  <c r="P20"/>
  <c r="O20"/>
  <c r="N20"/>
  <c r="M20"/>
  <c r="L20"/>
  <c r="G20"/>
  <c r="F20"/>
  <c r="E20"/>
  <c r="Q19"/>
  <c r="P19"/>
  <c r="O19"/>
  <c r="N19"/>
  <c r="M19"/>
  <c r="L19"/>
  <c r="G19"/>
  <c r="F19"/>
  <c r="E19"/>
  <c r="Q18"/>
  <c r="P18"/>
  <c r="O18"/>
  <c r="N18"/>
  <c r="M18"/>
  <c r="L18"/>
  <c r="G18"/>
  <c r="F18"/>
  <c r="E18"/>
  <c r="Q17"/>
  <c r="P17"/>
  <c r="O17"/>
  <c r="N17"/>
  <c r="M17"/>
  <c r="L17"/>
  <c r="G17"/>
  <c r="F17"/>
  <c r="E17"/>
  <c r="Q16"/>
  <c r="P16"/>
  <c r="O16"/>
  <c r="N16"/>
  <c r="M16"/>
  <c r="L16"/>
  <c r="G16"/>
  <c r="F16"/>
  <c r="E16"/>
  <c r="Q15"/>
  <c r="P15"/>
  <c r="O15"/>
  <c r="N15"/>
  <c r="M15"/>
  <c r="L15"/>
  <c r="G15"/>
  <c r="F15"/>
  <c r="E15"/>
  <c r="Q14"/>
  <c r="P14"/>
  <c r="O14"/>
  <c r="N14"/>
  <c r="M14"/>
  <c r="L14"/>
  <c r="G14"/>
  <c r="F14"/>
  <c r="E14"/>
  <c r="Q13"/>
  <c r="P13"/>
  <c r="O13"/>
  <c r="N13"/>
  <c r="M13"/>
  <c r="L13"/>
  <c r="G13"/>
  <c r="F13"/>
  <c r="E13"/>
  <c r="Q12"/>
  <c r="P12"/>
  <c r="O12"/>
  <c r="N12"/>
  <c r="M12"/>
  <c r="L12"/>
  <c r="G12"/>
  <c r="F12"/>
  <c r="E12"/>
  <c r="Q11"/>
  <c r="P11"/>
  <c r="O11"/>
  <c r="N11"/>
  <c r="M11"/>
  <c r="L11"/>
  <c r="G11"/>
  <c r="F11"/>
  <c r="E11"/>
  <c r="Q10"/>
  <c r="Q38" s="1"/>
  <c r="P10"/>
  <c r="P38" s="1"/>
  <c r="O10"/>
  <c r="O38" s="1"/>
  <c r="N10"/>
  <c r="N38" s="1"/>
  <c r="F6" i="24" s="1"/>
  <c r="M10" i="23"/>
  <c r="M38" s="1"/>
  <c r="F7" i="24" s="1"/>
  <c r="F8" s="1"/>
  <c r="L10" i="23"/>
  <c r="L38" s="1"/>
  <c r="G10"/>
  <c r="F10"/>
  <c r="E10"/>
  <c r="K4"/>
  <c r="C8" i="25" s="1"/>
  <c r="K6" i="20"/>
  <c r="P2" i="21" s="1"/>
  <c r="K5" i="20"/>
  <c r="H4"/>
  <c r="C5"/>
  <c r="C4"/>
  <c r="C5" i="17"/>
  <c r="K6"/>
  <c r="H4"/>
  <c r="C4"/>
  <c r="P3" i="21"/>
  <c r="I3"/>
  <c r="G2"/>
  <c r="V38" i="20"/>
  <c r="V37"/>
  <c r="O37"/>
  <c r="N37"/>
  <c r="M37"/>
  <c r="L37"/>
  <c r="V36"/>
  <c r="Q36"/>
  <c r="O36"/>
  <c r="N36"/>
  <c r="M36"/>
  <c r="G36"/>
  <c r="L36" s="1"/>
  <c r="F36"/>
  <c r="E36"/>
  <c r="V35"/>
  <c r="Q35"/>
  <c r="O35"/>
  <c r="N35"/>
  <c r="M35"/>
  <c r="L35"/>
  <c r="G35"/>
  <c r="F35"/>
  <c r="E35"/>
  <c r="Q34"/>
  <c r="O34"/>
  <c r="N34"/>
  <c r="M34"/>
  <c r="L34"/>
  <c r="G34"/>
  <c r="F34"/>
  <c r="E34"/>
  <c r="W33"/>
  <c r="V33" s="1"/>
  <c r="Q33"/>
  <c r="O33"/>
  <c r="N33"/>
  <c r="M33"/>
  <c r="L33"/>
  <c r="G33"/>
  <c r="F33"/>
  <c r="E33"/>
  <c r="W32"/>
  <c r="V32" s="1"/>
  <c r="Q32"/>
  <c r="O32"/>
  <c r="N32"/>
  <c r="M32"/>
  <c r="L32"/>
  <c r="G32"/>
  <c r="F32"/>
  <c r="E32"/>
  <c r="W31"/>
  <c r="V31" s="1"/>
  <c r="Q31"/>
  <c r="O31"/>
  <c r="N31"/>
  <c r="M31"/>
  <c r="L31"/>
  <c r="G31"/>
  <c r="F31"/>
  <c r="E31"/>
  <c r="W30"/>
  <c r="V30" s="1"/>
  <c r="Q30"/>
  <c r="O30"/>
  <c r="N30"/>
  <c r="M30"/>
  <c r="L30"/>
  <c r="G30"/>
  <c r="F30"/>
  <c r="E30"/>
  <c r="W29"/>
  <c r="V29" s="1"/>
  <c r="Q29"/>
  <c r="O29"/>
  <c r="N29"/>
  <c r="M29"/>
  <c r="L29"/>
  <c r="G29"/>
  <c r="F29"/>
  <c r="E29"/>
  <c r="W28"/>
  <c r="V28" s="1"/>
  <c r="Q28"/>
  <c r="O28"/>
  <c r="N28"/>
  <c r="M28"/>
  <c r="L28"/>
  <c r="G28"/>
  <c r="F28"/>
  <c r="E28"/>
  <c r="Q27"/>
  <c r="O27"/>
  <c r="N27"/>
  <c r="M27"/>
  <c r="L27"/>
  <c r="G27"/>
  <c r="F27"/>
  <c r="E27"/>
  <c r="Q26"/>
  <c r="O26"/>
  <c r="N26"/>
  <c r="M26"/>
  <c r="L26"/>
  <c r="G26"/>
  <c r="F26"/>
  <c r="E26"/>
  <c r="Q25"/>
  <c r="O25"/>
  <c r="N25"/>
  <c r="M25"/>
  <c r="L25"/>
  <c r="G25"/>
  <c r="F25"/>
  <c r="E25"/>
  <c r="Q24"/>
  <c r="O24"/>
  <c r="N24"/>
  <c r="M24"/>
  <c r="L24"/>
  <c r="G24"/>
  <c r="F24"/>
  <c r="E24"/>
  <c r="Q23"/>
  <c r="O23"/>
  <c r="N23"/>
  <c r="M23"/>
  <c r="L23"/>
  <c r="G23"/>
  <c r="F23"/>
  <c r="E23"/>
  <c r="V22"/>
  <c r="Q22"/>
  <c r="O22"/>
  <c r="N22"/>
  <c r="M22"/>
  <c r="G22"/>
  <c r="L22" s="1"/>
  <c r="F22"/>
  <c r="E22"/>
  <c r="V21"/>
  <c r="Q21"/>
  <c r="O21"/>
  <c r="N21"/>
  <c r="M21"/>
  <c r="L21"/>
  <c r="G21"/>
  <c r="F21"/>
  <c r="E21"/>
  <c r="V20"/>
  <c r="Q20"/>
  <c r="O20"/>
  <c r="N20"/>
  <c r="M20"/>
  <c r="G20"/>
  <c r="L20" s="1"/>
  <c r="F20"/>
  <c r="E20"/>
  <c r="V19"/>
  <c r="Q19"/>
  <c r="O19"/>
  <c r="N19"/>
  <c r="M19"/>
  <c r="L19"/>
  <c r="G19"/>
  <c r="F19"/>
  <c r="E19"/>
  <c r="V18"/>
  <c r="Q18"/>
  <c r="O18"/>
  <c r="N18"/>
  <c r="M18"/>
  <c r="G18"/>
  <c r="L18" s="1"/>
  <c r="F18"/>
  <c r="E18"/>
  <c r="Q17"/>
  <c r="O17"/>
  <c r="N17"/>
  <c r="M17"/>
  <c r="G17"/>
  <c r="L17" s="1"/>
  <c r="F17"/>
  <c r="E17"/>
  <c r="V16"/>
  <c r="Q16"/>
  <c r="O16"/>
  <c r="N16"/>
  <c r="M16"/>
  <c r="L16"/>
  <c r="G16"/>
  <c r="F16"/>
  <c r="E16"/>
  <c r="V15"/>
  <c r="Q15"/>
  <c r="O15"/>
  <c r="N15"/>
  <c r="M15"/>
  <c r="G15"/>
  <c r="L15" s="1"/>
  <c r="F15"/>
  <c r="E15"/>
  <c r="V14"/>
  <c r="Q14"/>
  <c r="O14"/>
  <c r="N14"/>
  <c r="M14"/>
  <c r="L14"/>
  <c r="G14"/>
  <c r="F14"/>
  <c r="E14"/>
  <c r="Q13"/>
  <c r="O13"/>
  <c r="N13"/>
  <c r="M13"/>
  <c r="L13"/>
  <c r="G13"/>
  <c r="F13"/>
  <c r="E13"/>
  <c r="Q12"/>
  <c r="O12"/>
  <c r="N12"/>
  <c r="M12"/>
  <c r="L12"/>
  <c r="G12"/>
  <c r="F12"/>
  <c r="E12"/>
  <c r="V11"/>
  <c r="Q11"/>
  <c r="O11"/>
  <c r="N11"/>
  <c r="M11"/>
  <c r="G11"/>
  <c r="L11" s="1"/>
  <c r="F11"/>
  <c r="E11"/>
  <c r="V10"/>
  <c r="Q10"/>
  <c r="Q38" s="1"/>
  <c r="O10"/>
  <c r="O38" s="1"/>
  <c r="N10"/>
  <c r="N38" s="1"/>
  <c r="M10"/>
  <c r="M38" s="1"/>
  <c r="L10"/>
  <c r="G10"/>
  <c r="F10"/>
  <c r="E10"/>
  <c r="V9"/>
  <c r="N5" i="21" s="1"/>
  <c r="K4" i="20"/>
  <c r="C8" i="22" s="1"/>
  <c r="C20" s="1"/>
  <c r="L3" i="20"/>
  <c r="G5" i="21" s="1"/>
  <c r="K36" i="23" l="1"/>
  <c r="G22" i="24"/>
  <c r="D21"/>
  <c r="F21"/>
  <c r="G21"/>
  <c r="D22"/>
  <c r="C21"/>
  <c r="C10" i="25"/>
  <c r="C25"/>
  <c r="C26" s="1"/>
  <c r="C27" s="1"/>
  <c r="C28" s="1"/>
  <c r="C29" s="1"/>
  <c r="C30" s="1"/>
  <c r="C31" s="1"/>
  <c r="C32" s="1"/>
  <c r="C33" s="1"/>
  <c r="C34" s="1"/>
  <c r="C35" s="1"/>
  <c r="F16" i="24"/>
  <c r="G19"/>
  <c r="D16"/>
  <c r="F19"/>
  <c r="G20"/>
  <c r="F15"/>
  <c r="F17"/>
  <c r="C19"/>
  <c r="F20"/>
  <c r="D15"/>
  <c r="D17"/>
  <c r="D18" s="1"/>
  <c r="D3" i="21"/>
  <c r="D2"/>
  <c r="L38" i="20"/>
  <c r="N8" i="21"/>
  <c r="R8"/>
  <c r="Q5"/>
  <c r="Q8" s="1"/>
  <c r="K8"/>
  <c r="Q42" i="20"/>
  <c r="Q43"/>
  <c r="Q44" s="1"/>
  <c r="E5" i="21"/>
  <c r="G18" i="24" l="1"/>
  <c r="F18"/>
  <c r="AC33"/>
  <c r="AD30"/>
  <c r="F12" s="1"/>
  <c r="AE23"/>
  <c r="AE22"/>
  <c r="AC21"/>
  <c r="AC20"/>
  <c r="AE18"/>
  <c r="AD17"/>
  <c r="AD15"/>
  <c r="AD13"/>
  <c r="AD11"/>
  <c r="AC9"/>
  <c r="AD8"/>
  <c r="AE7"/>
  <c r="AE5"/>
  <c r="AD33"/>
  <c r="AE30"/>
  <c r="F13" s="1"/>
  <c r="F14" s="1"/>
  <c r="AC28"/>
  <c r="F9" s="1"/>
  <c r="AD21"/>
  <c r="AD20"/>
  <c r="AC19"/>
  <c r="AE17"/>
  <c r="AC16"/>
  <c r="AE15"/>
  <c r="AC14"/>
  <c r="AE13"/>
  <c r="AC12"/>
  <c r="AE11"/>
  <c r="AC10"/>
  <c r="AD9"/>
  <c r="AE8"/>
  <c r="AC6"/>
  <c r="AE33"/>
  <c r="AC31"/>
  <c r="AC29"/>
  <c r="F10" s="1"/>
  <c r="AC23"/>
  <c r="AC22"/>
  <c r="AE21"/>
  <c r="AE20"/>
  <c r="AD19"/>
  <c r="AC18"/>
  <c r="AD16"/>
  <c r="AD14"/>
  <c r="AD12"/>
  <c r="AD10"/>
  <c r="AE9"/>
  <c r="AC7"/>
  <c r="AD6"/>
  <c r="AC5"/>
  <c r="AC32"/>
  <c r="AC30"/>
  <c r="F11" s="1"/>
  <c r="AD23"/>
  <c r="AD22"/>
  <c r="AE19"/>
  <c r="AD18"/>
  <c r="AC17"/>
  <c r="AE16"/>
  <c r="AC15"/>
  <c r="AE14"/>
  <c r="AC13"/>
  <c r="AE12"/>
  <c r="AC11"/>
  <c r="AE10"/>
  <c r="AC8"/>
  <c r="AD7"/>
  <c r="AE6"/>
  <c r="AD5"/>
  <c r="E11" i="18"/>
  <c r="O10"/>
  <c r="C10"/>
  <c r="O9"/>
  <c r="L6"/>
  <c r="F6"/>
  <c r="F7" s="1"/>
  <c r="D4"/>
  <c r="A4"/>
  <c r="Q3"/>
  <c r="D3"/>
  <c r="D2"/>
  <c r="P53" i="17"/>
  <c r="O53"/>
  <c r="N53"/>
  <c r="M53"/>
  <c r="L53"/>
  <c r="P52"/>
  <c r="O52"/>
  <c r="N52"/>
  <c r="M52"/>
  <c r="L52"/>
  <c r="N51"/>
  <c r="L51"/>
  <c r="J51"/>
  <c r="G51"/>
  <c r="P51" s="1"/>
  <c r="N50"/>
  <c r="L50"/>
  <c r="J50"/>
  <c r="G50"/>
  <c r="P50" s="1"/>
  <c r="N49"/>
  <c r="L49"/>
  <c r="J49"/>
  <c r="G49"/>
  <c r="O49" s="1"/>
  <c r="F49"/>
  <c r="E49"/>
  <c r="R48"/>
  <c r="P48"/>
  <c r="O48"/>
  <c r="N48"/>
  <c r="M48"/>
  <c r="L48"/>
  <c r="J48"/>
  <c r="E48"/>
  <c r="R47"/>
  <c r="R54" s="1"/>
  <c r="P47"/>
  <c r="O47"/>
  <c r="N47"/>
  <c r="M47"/>
  <c r="L47"/>
  <c r="E47"/>
  <c r="S46"/>
  <c r="P46"/>
  <c r="N46"/>
  <c r="M46"/>
  <c r="L46"/>
  <c r="G46"/>
  <c r="O46" s="1"/>
  <c r="F46"/>
  <c r="E46"/>
  <c r="S45"/>
  <c r="N45"/>
  <c r="I7" i="18" s="1"/>
  <c r="M45" i="17"/>
  <c r="L45"/>
  <c r="G45"/>
  <c r="O45" s="1"/>
  <c r="F45"/>
  <c r="E45"/>
  <c r="S44"/>
  <c r="N44"/>
  <c r="M44"/>
  <c r="L44"/>
  <c r="G44"/>
  <c r="O44" s="1"/>
  <c r="F44"/>
  <c r="E44"/>
  <c r="T43"/>
  <c r="T54" s="1"/>
  <c r="N43"/>
  <c r="M43"/>
  <c r="L43"/>
  <c r="G43"/>
  <c r="O43" s="1"/>
  <c r="F43"/>
  <c r="E43"/>
  <c r="Q42"/>
  <c r="P42"/>
  <c r="N42"/>
  <c r="M42"/>
  <c r="L42"/>
  <c r="G42"/>
  <c r="O42" s="1"/>
  <c r="F42"/>
  <c r="E42"/>
  <c r="Q41"/>
  <c r="N41"/>
  <c r="M41"/>
  <c r="L41"/>
  <c r="G41"/>
  <c r="O41" s="1"/>
  <c r="F41"/>
  <c r="E41"/>
  <c r="Q40"/>
  <c r="P40"/>
  <c r="N40"/>
  <c r="M40"/>
  <c r="L40"/>
  <c r="G40"/>
  <c r="O40" s="1"/>
  <c r="F40"/>
  <c r="E40"/>
  <c r="Q39"/>
  <c r="N39"/>
  <c r="M39"/>
  <c r="L39"/>
  <c r="G39"/>
  <c r="O39" s="1"/>
  <c r="F39"/>
  <c r="E39"/>
  <c r="Q38"/>
  <c r="P38"/>
  <c r="N38"/>
  <c r="M38"/>
  <c r="L38"/>
  <c r="G38"/>
  <c r="O38" s="1"/>
  <c r="F38"/>
  <c r="E38"/>
  <c r="Q37"/>
  <c r="N37"/>
  <c r="M37"/>
  <c r="L37"/>
  <c r="G37"/>
  <c r="O37" s="1"/>
  <c r="F37"/>
  <c r="E37"/>
  <c r="Q36"/>
  <c r="P36"/>
  <c r="N36"/>
  <c r="M36"/>
  <c r="L36"/>
  <c r="G36"/>
  <c r="O36" s="1"/>
  <c r="F36"/>
  <c r="E36"/>
  <c r="Q35"/>
  <c r="N35"/>
  <c r="M35"/>
  <c r="L35"/>
  <c r="G35"/>
  <c r="O35" s="1"/>
  <c r="F35"/>
  <c r="E35"/>
  <c r="Q34"/>
  <c r="P34"/>
  <c r="N34"/>
  <c r="M34"/>
  <c r="L34"/>
  <c r="G34"/>
  <c r="O34" s="1"/>
  <c r="F34"/>
  <c r="E34"/>
  <c r="Q33"/>
  <c r="N33"/>
  <c r="M33"/>
  <c r="L33"/>
  <c r="G33"/>
  <c r="O33" s="1"/>
  <c r="F33"/>
  <c r="E33"/>
  <c r="Q32"/>
  <c r="P32"/>
  <c r="N32"/>
  <c r="M32"/>
  <c r="L32"/>
  <c r="G32"/>
  <c r="O32" s="1"/>
  <c r="F32"/>
  <c r="E32"/>
  <c r="Q31"/>
  <c r="N31"/>
  <c r="M31"/>
  <c r="L31"/>
  <c r="G31"/>
  <c r="O31" s="1"/>
  <c r="F31"/>
  <c r="E31"/>
  <c r="Q30"/>
  <c r="P30"/>
  <c r="N30"/>
  <c r="M30"/>
  <c r="L30"/>
  <c r="G30"/>
  <c r="O30" s="1"/>
  <c r="F30"/>
  <c r="E30"/>
  <c r="Q29"/>
  <c r="N29"/>
  <c r="M29"/>
  <c r="L29"/>
  <c r="G29"/>
  <c r="O29" s="1"/>
  <c r="F29"/>
  <c r="E29"/>
  <c r="Q28"/>
  <c r="P28"/>
  <c r="N28"/>
  <c r="M28"/>
  <c r="L28"/>
  <c r="G28"/>
  <c r="O28" s="1"/>
  <c r="F28"/>
  <c r="E28"/>
  <c r="Q27"/>
  <c r="N27"/>
  <c r="M27"/>
  <c r="L27"/>
  <c r="G27"/>
  <c r="O27" s="1"/>
  <c r="F27"/>
  <c r="E27"/>
  <c r="Q26"/>
  <c r="P26"/>
  <c r="N26"/>
  <c r="M26"/>
  <c r="L26"/>
  <c r="G26"/>
  <c r="O26" s="1"/>
  <c r="F26"/>
  <c r="E26"/>
  <c r="Q25"/>
  <c r="N25"/>
  <c r="M25"/>
  <c r="L25"/>
  <c r="G25"/>
  <c r="P25" s="1"/>
  <c r="F25"/>
  <c r="E25"/>
  <c r="Q24"/>
  <c r="P24"/>
  <c r="N24"/>
  <c r="M24"/>
  <c r="L24"/>
  <c r="G24"/>
  <c r="O24" s="1"/>
  <c r="F24"/>
  <c r="E24"/>
  <c r="Q23"/>
  <c r="N23"/>
  <c r="M23"/>
  <c r="L23"/>
  <c r="G23"/>
  <c r="O23" s="1"/>
  <c r="F23"/>
  <c r="E23"/>
  <c r="Q22"/>
  <c r="P22"/>
  <c r="N22"/>
  <c r="M22"/>
  <c r="L22"/>
  <c r="G22"/>
  <c r="O22" s="1"/>
  <c r="F22"/>
  <c r="E22"/>
  <c r="Q21"/>
  <c r="N21"/>
  <c r="M21"/>
  <c r="L21"/>
  <c r="G21"/>
  <c r="P21" s="1"/>
  <c r="F21"/>
  <c r="E21"/>
  <c r="Q20"/>
  <c r="P20"/>
  <c r="N20"/>
  <c r="M20"/>
  <c r="L20"/>
  <c r="G20"/>
  <c r="O20" s="1"/>
  <c r="F20"/>
  <c r="E20"/>
  <c r="Q19"/>
  <c r="N19"/>
  <c r="M19"/>
  <c r="L19"/>
  <c r="G19"/>
  <c r="O19" s="1"/>
  <c r="F19"/>
  <c r="E19"/>
  <c r="Q18"/>
  <c r="P18"/>
  <c r="N18"/>
  <c r="M18"/>
  <c r="L18"/>
  <c r="G18"/>
  <c r="O18" s="1"/>
  <c r="F18"/>
  <c r="E18"/>
  <c r="Q17"/>
  <c r="N17"/>
  <c r="M17"/>
  <c r="L17"/>
  <c r="G17"/>
  <c r="P17" s="1"/>
  <c r="F17"/>
  <c r="E17"/>
  <c r="Q16"/>
  <c r="P16"/>
  <c r="N16"/>
  <c r="M16"/>
  <c r="L16"/>
  <c r="G16"/>
  <c r="O16" s="1"/>
  <c r="F16"/>
  <c r="E16"/>
  <c r="Q15"/>
  <c r="N15"/>
  <c r="M15"/>
  <c r="L15"/>
  <c r="G15"/>
  <c r="O15" s="1"/>
  <c r="F15"/>
  <c r="E15"/>
  <c r="Q14"/>
  <c r="P14"/>
  <c r="N14"/>
  <c r="M14"/>
  <c r="L14"/>
  <c r="G14"/>
  <c r="O14" s="1"/>
  <c r="F14"/>
  <c r="E14"/>
  <c r="Q13"/>
  <c r="N13"/>
  <c r="M13"/>
  <c r="L13"/>
  <c r="G13"/>
  <c r="P13" s="1"/>
  <c r="F13"/>
  <c r="E13"/>
  <c r="Q12"/>
  <c r="P12"/>
  <c r="N12"/>
  <c r="M12"/>
  <c r="L12"/>
  <c r="O12"/>
  <c r="Q11"/>
  <c r="N11"/>
  <c r="M11"/>
  <c r="L11"/>
  <c r="O11"/>
  <c r="Q10"/>
  <c r="Q54" s="1"/>
  <c r="P10"/>
  <c r="N10"/>
  <c r="N54" s="1"/>
  <c r="I6" i="18" s="1"/>
  <c r="M10" i="17"/>
  <c r="L10"/>
  <c r="L54" s="1"/>
  <c r="O10"/>
  <c r="O54" s="1"/>
  <c r="K9"/>
  <c r="H8"/>
  <c r="P44" l="1"/>
  <c r="O13"/>
  <c r="O17"/>
  <c r="O21"/>
  <c r="O25"/>
  <c r="P11"/>
  <c r="P15"/>
  <c r="P19"/>
  <c r="P23"/>
  <c r="P27"/>
  <c r="P31"/>
  <c r="P35"/>
  <c r="P39"/>
  <c r="P43"/>
  <c r="O50"/>
  <c r="O51"/>
  <c r="Q9" i="18"/>
  <c r="Q10"/>
  <c r="P29" i="17"/>
  <c r="P33"/>
  <c r="P37"/>
  <c r="P41"/>
  <c r="P45"/>
  <c r="M50"/>
  <c r="M54" s="1"/>
  <c r="Q6" i="18" s="1"/>
  <c r="S50" i="17"/>
  <c r="S54" s="1"/>
  <c r="Q55" s="1"/>
  <c r="Q7" i="18" s="1"/>
  <c r="Q8" s="1"/>
  <c r="M51" i="17"/>
  <c r="S51"/>
  <c r="P54" l="1"/>
  <c r="K4" s="1"/>
  <c r="C8" i="19" s="1"/>
  <c r="C23" s="1"/>
  <c r="J61" i="13" l="1"/>
  <c r="J60"/>
  <c r="J59"/>
  <c r="J58"/>
  <c r="J57"/>
  <c r="J56"/>
  <c r="J55"/>
  <c r="J54"/>
  <c r="J53"/>
  <c r="J52"/>
  <c r="J51"/>
  <c r="J50"/>
  <c r="C5" i="14"/>
  <c r="A5"/>
  <c r="C5" i="13"/>
  <c r="A5"/>
  <c r="K4" i="14"/>
  <c r="C4"/>
  <c r="C3"/>
  <c r="J93"/>
  <c r="J92"/>
  <c r="J91"/>
  <c r="J90"/>
  <c r="J89"/>
  <c r="J88"/>
  <c r="J87"/>
  <c r="J86"/>
  <c r="J85"/>
  <c r="J84"/>
  <c r="J83"/>
  <c r="J82"/>
  <c r="M80"/>
  <c r="M79"/>
  <c r="M78"/>
  <c r="M77"/>
  <c r="M76"/>
  <c r="M75"/>
  <c r="M74"/>
  <c r="M73"/>
  <c r="M72"/>
  <c r="M71"/>
  <c r="M70"/>
  <c r="M69"/>
  <c r="J67"/>
  <c r="J66"/>
  <c r="J65"/>
  <c r="J64"/>
  <c r="J63"/>
  <c r="J62"/>
  <c r="J61"/>
  <c r="J60"/>
  <c r="J59"/>
  <c r="J58"/>
  <c r="J57"/>
  <c r="J56"/>
  <c r="J55"/>
  <c r="J54"/>
  <c r="J53"/>
  <c r="J52"/>
  <c r="J50"/>
  <c r="J49"/>
  <c r="J48"/>
  <c r="J47"/>
  <c r="J46"/>
  <c r="J45"/>
  <c r="J44"/>
  <c r="J43"/>
  <c r="J42"/>
  <c r="J41"/>
  <c r="J40"/>
  <c r="J38"/>
  <c r="J37"/>
  <c r="J36"/>
  <c r="J35"/>
  <c r="J34"/>
  <c r="J33"/>
  <c r="J32"/>
  <c r="J31"/>
  <c r="J30"/>
  <c r="J29"/>
  <c r="J28"/>
  <c r="J27"/>
  <c r="J26"/>
  <c r="J25"/>
  <c r="J24"/>
  <c r="J23"/>
  <c r="J22"/>
  <c r="J21"/>
  <c r="J20"/>
  <c r="J19"/>
  <c r="J18"/>
  <c r="J17"/>
  <c r="J16"/>
  <c r="J15"/>
  <c r="J14"/>
  <c r="J13"/>
  <c r="J12"/>
  <c r="J11"/>
  <c r="J10"/>
  <c r="J9"/>
  <c r="J8"/>
  <c r="J7"/>
  <c r="G5"/>
  <c r="K3"/>
  <c r="K4" i="13"/>
  <c r="C3"/>
  <c r="C4"/>
  <c r="M48"/>
  <c r="M47"/>
  <c r="M46"/>
  <c r="M45"/>
  <c r="M44"/>
  <c r="M43"/>
  <c r="M42"/>
  <c r="M41"/>
  <c r="M40"/>
  <c r="M39"/>
  <c r="M38"/>
  <c r="M37"/>
  <c r="J35"/>
  <c r="J34"/>
  <c r="J33"/>
  <c r="J32"/>
  <c r="J31"/>
  <c r="J30"/>
  <c r="J29"/>
  <c r="J28"/>
  <c r="J27"/>
  <c r="J26"/>
  <c r="J25"/>
  <c r="J24"/>
  <c r="J23"/>
  <c r="J22"/>
  <c r="J21"/>
  <c r="J20"/>
  <c r="J19"/>
  <c r="J18"/>
  <c r="J17"/>
  <c r="J16"/>
  <c r="J15"/>
  <c r="J14"/>
  <c r="J13"/>
  <c r="J12"/>
  <c r="J11"/>
  <c r="J10"/>
  <c r="J9"/>
  <c r="J8"/>
  <c r="J7"/>
  <c r="G5"/>
  <c r="K3"/>
  <c r="I106" i="10" l="1"/>
  <c r="K106" s="1"/>
  <c r="I105"/>
  <c r="K105" s="1"/>
  <c r="I104"/>
  <c r="K104" s="1"/>
  <c r="I103"/>
  <c r="K103" s="1"/>
  <c r="S103" s="1"/>
  <c r="I102"/>
  <c r="K102" s="1"/>
  <c r="I101"/>
  <c r="K101" s="1"/>
  <c r="V100"/>
  <c r="I100"/>
  <c r="K100" s="1"/>
  <c r="I92"/>
  <c r="K92" s="1"/>
  <c r="I91"/>
  <c r="K91" s="1"/>
  <c r="I90"/>
  <c r="K90" s="1"/>
  <c r="I89"/>
  <c r="K89" s="1"/>
  <c r="I88"/>
  <c r="K88" s="1"/>
  <c r="I87"/>
  <c r="K87" s="1"/>
  <c r="V86"/>
  <c r="I86"/>
  <c r="K86" s="1"/>
  <c r="I85"/>
  <c r="K85" s="1"/>
  <c r="I84"/>
  <c r="K84" s="1"/>
  <c r="I83"/>
  <c r="K83" s="1"/>
  <c r="I82"/>
  <c r="K82" s="1"/>
  <c r="I81"/>
  <c r="K81" s="1"/>
  <c r="I80"/>
  <c r="K80" s="1"/>
  <c r="V79"/>
  <c r="I79"/>
  <c r="K79" s="1"/>
  <c r="I44"/>
  <c r="S44"/>
  <c r="I64"/>
  <c r="J64" s="1"/>
  <c r="Q64" s="1"/>
  <c r="I63"/>
  <c r="J63" s="1"/>
  <c r="Q63" s="1"/>
  <c r="I62"/>
  <c r="J62" s="1"/>
  <c r="Q62" s="1"/>
  <c r="I61"/>
  <c r="J61" s="1"/>
  <c r="Q61" s="1"/>
  <c r="I60"/>
  <c r="J60" s="1"/>
  <c r="Q60" s="1"/>
  <c r="I23"/>
  <c r="J23" s="1"/>
  <c r="I22"/>
  <c r="J22" s="1"/>
  <c r="Q22" s="1"/>
  <c r="I21"/>
  <c r="J21" s="1"/>
  <c r="Q21" s="1"/>
  <c r="I20"/>
  <c r="J20" s="1"/>
  <c r="Q20" s="1"/>
  <c r="I19"/>
  <c r="J19" s="1"/>
  <c r="Q19" s="1"/>
  <c r="I18"/>
  <c r="J18" s="1"/>
  <c r="Q18" s="1"/>
  <c r="I11"/>
  <c r="J11" s="1"/>
  <c r="Q11" s="1"/>
  <c r="I10"/>
  <c r="J10" s="1"/>
  <c r="Q10" s="1"/>
  <c r="I9"/>
  <c r="J9" s="1"/>
  <c r="Q9" s="1"/>
  <c r="I8"/>
  <c r="J8" s="1"/>
  <c r="Q8" s="1"/>
  <c r="I7"/>
  <c r="J7" s="1"/>
  <c r="Q7" s="1"/>
  <c r="I6"/>
  <c r="J6" s="1"/>
  <c r="Q6" s="1"/>
  <c r="W100" l="1"/>
  <c r="S100"/>
  <c r="R100"/>
  <c r="S101"/>
  <c r="W101"/>
  <c r="R101"/>
  <c r="W104"/>
  <c r="R104"/>
  <c r="S104"/>
  <c r="S106"/>
  <c r="W106"/>
  <c r="R106"/>
  <c r="W102"/>
  <c r="R102"/>
  <c r="S102"/>
  <c r="U103"/>
  <c r="T103"/>
  <c r="W105"/>
  <c r="R105"/>
  <c r="R103"/>
  <c r="W103"/>
  <c r="W81"/>
  <c r="R81"/>
  <c r="S81"/>
  <c r="W83"/>
  <c r="R83"/>
  <c r="S83"/>
  <c r="W85"/>
  <c r="S85"/>
  <c r="T85" s="1"/>
  <c r="R85"/>
  <c r="W88"/>
  <c r="R88"/>
  <c r="S88"/>
  <c r="W90"/>
  <c r="R90"/>
  <c r="S90"/>
  <c r="S92"/>
  <c r="W92"/>
  <c r="R92"/>
  <c r="W79"/>
  <c r="S79"/>
  <c r="R79"/>
  <c r="S80"/>
  <c r="W80"/>
  <c r="R80"/>
  <c r="S82"/>
  <c r="W82"/>
  <c r="R82"/>
  <c r="W84"/>
  <c r="R84"/>
  <c r="W86"/>
  <c r="S86"/>
  <c r="R86"/>
  <c r="S87"/>
  <c r="W87"/>
  <c r="R87"/>
  <c r="S89"/>
  <c r="W89"/>
  <c r="R89"/>
  <c r="W91"/>
  <c r="R91"/>
  <c r="R23"/>
  <c r="S23"/>
  <c r="Q23"/>
  <c r="U102" l="1"/>
  <c r="T102" s="1"/>
  <c r="U104"/>
  <c r="T104" s="1"/>
  <c r="U106"/>
  <c r="T106" s="1"/>
  <c r="U101"/>
  <c r="T101" s="1"/>
  <c r="U100"/>
  <c r="T100" s="1"/>
  <c r="U87"/>
  <c r="T87" s="1"/>
  <c r="U86"/>
  <c r="T86" s="1"/>
  <c r="U82"/>
  <c r="T82" s="1"/>
  <c r="U90"/>
  <c r="T90" s="1"/>
  <c r="U81"/>
  <c r="T81" s="1"/>
  <c r="U89"/>
  <c r="T89" s="1"/>
  <c r="U80"/>
  <c r="T80" s="1"/>
  <c r="U79"/>
  <c r="T79" s="1"/>
  <c r="U92"/>
  <c r="T92" s="1"/>
  <c r="U88"/>
  <c r="T88" s="1"/>
  <c r="U83"/>
  <c r="T83" s="1"/>
  <c r="I112" l="1"/>
  <c r="J112" s="1"/>
  <c r="Q112" s="1"/>
  <c r="I111"/>
  <c r="J111" s="1"/>
  <c r="Q111" s="1"/>
  <c r="I110"/>
  <c r="J110" s="1"/>
  <c r="Q110" s="1"/>
  <c r="I109"/>
  <c r="I108"/>
  <c r="J108" s="1"/>
  <c r="Q108" s="1"/>
  <c r="I107"/>
  <c r="J109" s="1"/>
  <c r="Q109" s="1"/>
  <c r="I39"/>
  <c r="I38"/>
  <c r="J38" s="1"/>
  <c r="Q38" s="1"/>
  <c r="I37"/>
  <c r="J37" s="1"/>
  <c r="Q37" s="1"/>
  <c r="I36"/>
  <c r="J36" s="1"/>
  <c r="Q36" s="1"/>
  <c r="I35"/>
  <c r="J35" s="1"/>
  <c r="Q35" s="1"/>
  <c r="I34"/>
  <c r="J34" s="1"/>
  <c r="Q34" s="1"/>
  <c r="I12"/>
  <c r="J39"/>
  <c r="Q39" s="1"/>
  <c r="J107" l="1"/>
  <c r="Q107" s="1"/>
  <c r="H3" l="1"/>
  <c r="B3"/>
  <c r="E3"/>
  <c r="E2"/>
  <c r="B2"/>
  <c r="I99"/>
  <c r="K99" s="1"/>
  <c r="I98"/>
  <c r="K98" s="1"/>
  <c r="I97"/>
  <c r="K97" s="1"/>
  <c r="I96"/>
  <c r="K96" s="1"/>
  <c r="I95"/>
  <c r="K95" s="1"/>
  <c r="I94"/>
  <c r="K94" s="1"/>
  <c r="V93"/>
  <c r="I93"/>
  <c r="K93" s="1"/>
  <c r="I78"/>
  <c r="K78" s="1"/>
  <c r="I77"/>
  <c r="K77" s="1"/>
  <c r="I76"/>
  <c r="K76" s="1"/>
  <c r="I75"/>
  <c r="K75" s="1"/>
  <c r="I74"/>
  <c r="K74" s="1"/>
  <c r="I73"/>
  <c r="K73" s="1"/>
  <c r="V72"/>
  <c r="I72"/>
  <c r="K72" s="1"/>
  <c r="I71"/>
  <c r="K71" s="1"/>
  <c r="I70"/>
  <c r="K70" s="1"/>
  <c r="I69"/>
  <c r="K69" s="1"/>
  <c r="I68"/>
  <c r="K68" s="1"/>
  <c r="I67"/>
  <c r="K67" s="1"/>
  <c r="I66"/>
  <c r="K66" s="1"/>
  <c r="V65"/>
  <c r="I65"/>
  <c r="K65" s="1"/>
  <c r="I59"/>
  <c r="K59" s="1"/>
  <c r="I58"/>
  <c r="K58" s="1"/>
  <c r="I57"/>
  <c r="K57" s="1"/>
  <c r="I56"/>
  <c r="K56" s="1"/>
  <c r="V55"/>
  <c r="I55"/>
  <c r="K55" s="1"/>
  <c r="I54"/>
  <c r="K54" s="1"/>
  <c r="I53"/>
  <c r="K53" s="1"/>
  <c r="I52"/>
  <c r="K52" s="1"/>
  <c r="I51"/>
  <c r="K51" s="1"/>
  <c r="V50"/>
  <c r="I50"/>
  <c r="K50" s="1"/>
  <c r="I49"/>
  <c r="K49" s="1"/>
  <c r="I48"/>
  <c r="K48" s="1"/>
  <c r="I47"/>
  <c r="K47" s="1"/>
  <c r="I46"/>
  <c r="K46" s="1"/>
  <c r="V45"/>
  <c r="I45"/>
  <c r="K45" s="1"/>
  <c r="I43"/>
  <c r="K43" s="1"/>
  <c r="I42"/>
  <c r="K42" s="1"/>
  <c r="I41"/>
  <c r="K41" s="1"/>
  <c r="V40"/>
  <c r="I40"/>
  <c r="K40" s="1"/>
  <c r="I33"/>
  <c r="K33" s="1"/>
  <c r="I32"/>
  <c r="K32" s="1"/>
  <c r="I31"/>
  <c r="K31" s="1"/>
  <c r="I30"/>
  <c r="K30" s="1"/>
  <c r="V29"/>
  <c r="I29"/>
  <c r="K29" s="1"/>
  <c r="AE28"/>
  <c r="I28"/>
  <c r="K28" s="1"/>
  <c r="AE27"/>
  <c r="I27"/>
  <c r="K27" s="1"/>
  <c r="AE26"/>
  <c r="I26"/>
  <c r="K26" s="1"/>
  <c r="AE25"/>
  <c r="I25"/>
  <c r="K25" s="1"/>
  <c r="AE24"/>
  <c r="V24"/>
  <c r="I24"/>
  <c r="K24" s="1"/>
  <c r="AE17"/>
  <c r="I17"/>
  <c r="K17" s="1"/>
  <c r="AE16"/>
  <c r="I16"/>
  <c r="K16" s="1"/>
  <c r="AE15"/>
  <c r="I15"/>
  <c r="K15" s="1"/>
  <c r="AE14"/>
  <c r="I14"/>
  <c r="K14" s="1"/>
  <c r="AE13"/>
  <c r="I13"/>
  <c r="K13" s="1"/>
  <c r="V12"/>
  <c r="K12"/>
  <c r="C26" i="8"/>
  <c r="C23"/>
  <c r="C19"/>
  <c r="G2"/>
  <c r="H3"/>
  <c r="B3"/>
  <c r="E6" l="1"/>
  <c r="R78" i="10"/>
  <c r="W78"/>
  <c r="S78"/>
  <c r="B6" i="8"/>
  <c r="C18" s="1"/>
  <c r="B4"/>
  <c r="G34" s="1"/>
  <c r="H2" i="10"/>
  <c r="W12"/>
  <c r="S12"/>
  <c r="R12"/>
  <c r="W13"/>
  <c r="S13"/>
  <c r="R13"/>
  <c r="W14"/>
  <c r="S14"/>
  <c r="R14"/>
  <c r="W15"/>
  <c r="S15"/>
  <c r="R15"/>
  <c r="W16"/>
  <c r="R16"/>
  <c r="W17"/>
  <c r="S17"/>
  <c r="R17"/>
  <c r="W24"/>
  <c r="S24"/>
  <c r="R24"/>
  <c r="W25"/>
  <c r="S25"/>
  <c r="R25"/>
  <c r="W26"/>
  <c r="S26"/>
  <c r="R26"/>
  <c r="W27"/>
  <c r="R27"/>
  <c r="W28"/>
  <c r="S28"/>
  <c r="R28"/>
  <c r="W29"/>
  <c r="S29"/>
  <c r="R29"/>
  <c r="W30"/>
  <c r="S30"/>
  <c r="R30"/>
  <c r="W31"/>
  <c r="S31"/>
  <c r="R31"/>
  <c r="W32"/>
  <c r="R32"/>
  <c r="W33"/>
  <c r="S33"/>
  <c r="T33" s="1"/>
  <c r="R33"/>
  <c r="W40"/>
  <c r="S40"/>
  <c r="R40"/>
  <c r="W41"/>
  <c r="S41"/>
  <c r="R41"/>
  <c r="W42"/>
  <c r="S42"/>
  <c r="R42"/>
  <c r="W43"/>
  <c r="S43"/>
  <c r="R43"/>
  <c r="W45"/>
  <c r="S45"/>
  <c r="R45"/>
  <c r="W46"/>
  <c r="S46"/>
  <c r="R46"/>
  <c r="W47"/>
  <c r="S47"/>
  <c r="R47"/>
  <c r="W48"/>
  <c r="S48"/>
  <c r="R48"/>
  <c r="W49"/>
  <c r="S49"/>
  <c r="R49"/>
  <c r="W50"/>
  <c r="S50"/>
  <c r="R50"/>
  <c r="W51"/>
  <c r="S51"/>
  <c r="R51"/>
  <c r="W52"/>
  <c r="S52"/>
  <c r="R52"/>
  <c r="W53"/>
  <c r="R53"/>
  <c r="W54"/>
  <c r="S54"/>
  <c r="T54" s="1"/>
  <c r="R54"/>
  <c r="W55"/>
  <c r="S55"/>
  <c r="R55"/>
  <c r="W56"/>
  <c r="S56"/>
  <c r="R56"/>
  <c r="W57"/>
  <c r="S57"/>
  <c r="R57"/>
  <c r="W58"/>
  <c r="R58"/>
  <c r="W59"/>
  <c r="S59"/>
  <c r="R59"/>
  <c r="W65"/>
  <c r="S65"/>
  <c r="R65"/>
  <c r="W66"/>
  <c r="S66"/>
  <c r="R66"/>
  <c r="W67"/>
  <c r="S67"/>
  <c r="R67"/>
  <c r="W68"/>
  <c r="S68"/>
  <c r="R68"/>
  <c r="W69"/>
  <c r="S69"/>
  <c r="R69"/>
  <c r="W70"/>
  <c r="R70"/>
  <c r="W71"/>
  <c r="S71"/>
  <c r="T71" s="1"/>
  <c r="R71"/>
  <c r="W72"/>
  <c r="S72"/>
  <c r="R72"/>
  <c r="W73"/>
  <c r="S73"/>
  <c r="R73"/>
  <c r="W74"/>
  <c r="S74"/>
  <c r="R74"/>
  <c r="W75"/>
  <c r="S75"/>
  <c r="R75"/>
  <c r="W76"/>
  <c r="S76"/>
  <c r="R76"/>
  <c r="W77"/>
  <c r="R77"/>
  <c r="W93"/>
  <c r="S93"/>
  <c r="R93"/>
  <c r="W94"/>
  <c r="S94"/>
  <c r="R94"/>
  <c r="W95"/>
  <c r="S95"/>
  <c r="R95"/>
  <c r="W96"/>
  <c r="S96"/>
  <c r="R96"/>
  <c r="W97"/>
  <c r="S97"/>
  <c r="R97"/>
  <c r="W98"/>
  <c r="R98"/>
  <c r="W99"/>
  <c r="S99"/>
  <c r="R99"/>
  <c r="C9" i="8" l="1"/>
  <c r="U78" i="10"/>
  <c r="T78" s="1"/>
  <c r="C30" i="8"/>
  <c r="U99" i="10"/>
  <c r="T99" s="1"/>
  <c r="U97"/>
  <c r="T97" s="1"/>
  <c r="U96"/>
  <c r="T96" s="1"/>
  <c r="U95"/>
  <c r="T95" s="1"/>
  <c r="U94"/>
  <c r="T94" s="1"/>
  <c r="U93"/>
  <c r="T93" s="1"/>
  <c r="U76"/>
  <c r="T76" s="1"/>
  <c r="U75"/>
  <c r="T75" s="1"/>
  <c r="U74"/>
  <c r="T74" s="1"/>
  <c r="U73"/>
  <c r="T73" s="1"/>
  <c r="U72"/>
  <c r="T72" s="1"/>
  <c r="U69"/>
  <c r="T69" s="1"/>
  <c r="U68"/>
  <c r="T68" s="1"/>
  <c r="U67"/>
  <c r="T67" s="1"/>
  <c r="U66"/>
  <c r="T66" s="1"/>
  <c r="U65"/>
  <c r="T65" s="1"/>
  <c r="U59"/>
  <c r="T59" s="1"/>
  <c r="U57"/>
  <c r="T57" s="1"/>
  <c r="U56"/>
  <c r="T56" s="1"/>
  <c r="U55"/>
  <c r="T55" s="1"/>
  <c r="U52"/>
  <c r="T52" s="1"/>
  <c r="U51"/>
  <c r="T51" s="1"/>
  <c r="U50"/>
  <c r="T50" s="1"/>
  <c r="U49"/>
  <c r="T49" s="1"/>
  <c r="U48"/>
  <c r="T48" s="1"/>
  <c r="U47"/>
  <c r="T47" s="1"/>
  <c r="U46"/>
  <c r="T46" s="1"/>
  <c r="U45"/>
  <c r="T45" s="1"/>
  <c r="U43"/>
  <c r="T43" s="1"/>
  <c r="U42"/>
  <c r="T42" s="1"/>
  <c r="U41"/>
  <c r="T41" s="1"/>
  <c r="U40"/>
  <c r="T40" s="1"/>
  <c r="U31"/>
  <c r="T31" s="1"/>
  <c r="U30"/>
  <c r="T30" s="1"/>
  <c r="U29"/>
  <c r="T29" s="1"/>
  <c r="U28"/>
  <c r="T28" s="1"/>
  <c r="U26"/>
  <c r="T26" s="1"/>
  <c r="U25"/>
  <c r="T25" s="1"/>
  <c r="U24"/>
  <c r="T24" s="1"/>
  <c r="U17"/>
  <c r="T17" s="1"/>
  <c r="U15"/>
  <c r="T15" s="1"/>
  <c r="U14"/>
  <c r="T14" s="1"/>
  <c r="U13"/>
  <c r="T13" s="1"/>
  <c r="U12"/>
  <c r="T12" s="1"/>
  <c r="B7" i="8" l="1"/>
  <c r="C10"/>
  <c r="C11" l="1"/>
  <c r="G4" i="13" l="1"/>
  <c r="G4" i="14"/>
  <c r="X3" i="18"/>
  <c r="N23" i="32"/>
  <c r="Q25" s="1"/>
  <c r="Q26" l="1"/>
  <c r="F26"/>
  <c r="Q29"/>
  <c r="F25"/>
  <c r="Q28"/>
  <c r="Q23"/>
  <c r="F23" s="1"/>
  <c r="Q24"/>
  <c r="F24" s="1"/>
  <c r="Q30" l="1"/>
  <c r="N27"/>
  <c r="K47" i="31"/>
  <c r="N15" i="32" s="1"/>
  <c r="Q15" s="1"/>
  <c r="F15" s="1"/>
  <c r="F6"/>
  <c r="F10"/>
  <c r="J2" l="1"/>
  <c r="D24" i="33"/>
  <c r="F31" i="32"/>
  <c r="Q27"/>
  <c r="Q17"/>
  <c r="F32"/>
  <c r="Q16"/>
  <c r="F16" s="1"/>
  <c r="F7"/>
  <c r="F8" s="1"/>
  <c r="D25" i="33" l="1"/>
  <c r="D26"/>
  <c r="Q18" i="32"/>
  <c r="F22"/>
  <c r="F17"/>
  <c r="Q22"/>
  <c r="I4" i="36" l="1"/>
  <c r="K5" i="34"/>
  <c r="K5" i="31"/>
  <c r="I4" i="33" s="1"/>
</calcChain>
</file>

<file path=xl/comments1.xml><?xml version="1.0" encoding="utf-8"?>
<comments xmlns="http://schemas.openxmlformats.org/spreadsheetml/2006/main">
  <authors>
    <author>徐家宝</author>
  </authors>
  <commentList>
    <comment ref="V45" authorId="0">
      <text>
        <r>
          <rPr>
            <sz val="9"/>
            <color indexed="81"/>
            <rFont val="宋体"/>
            <family val="3"/>
            <charset val="134"/>
          </rPr>
          <t>何晓永：消毒柜用层板角码</t>
        </r>
        <r>
          <rPr>
            <sz val="9"/>
            <color indexed="81"/>
            <rFont val="Tahoma"/>
            <family val="2"/>
          </rPr>
          <t>4</t>
        </r>
        <r>
          <rPr>
            <sz val="9"/>
            <color indexed="81"/>
            <rFont val="宋体"/>
            <family val="3"/>
            <charset val="134"/>
          </rPr>
          <t>个。</t>
        </r>
        <r>
          <rPr>
            <sz val="9"/>
            <color indexed="81"/>
            <rFont val="Tahoma"/>
            <family val="2"/>
          </rPr>
          <t xml:space="preserve">
</t>
        </r>
      </text>
    </comment>
  </commentList>
</comments>
</file>

<file path=xl/comments2.xml><?xml version="1.0" encoding="utf-8"?>
<comments xmlns="http://schemas.openxmlformats.org/spreadsheetml/2006/main">
  <authors>
    <author>微软用户</author>
  </authors>
  <commentList>
    <comment ref="F6" authorId="0">
      <text>
        <r>
          <rPr>
            <b/>
            <sz val="9"/>
            <color indexed="81"/>
            <rFont val="宋体"/>
            <family val="3"/>
            <charset val="134"/>
          </rPr>
          <t>大家注意啦：
在处选择材质颜色！</t>
        </r>
      </text>
    </comment>
  </commentList>
</comments>
</file>

<file path=xl/comments3.xml><?xml version="1.0" encoding="utf-8"?>
<comments xmlns="http://schemas.openxmlformats.org/spreadsheetml/2006/main">
  <authors>
    <author>贺林卓</author>
    <author>李颖辉</author>
  </authors>
  <commentList>
    <comment ref="N18" authorId="0">
      <text>
        <r>
          <rPr>
            <b/>
            <sz val="9"/>
            <color indexed="81"/>
            <rFont val="宋体"/>
            <family val="3"/>
            <charset val="134"/>
          </rPr>
          <t>贺林卓</t>
        </r>
        <r>
          <rPr>
            <b/>
            <sz val="9"/>
            <color indexed="81"/>
            <rFont val="Tahoma"/>
            <family val="2"/>
          </rPr>
          <t>:</t>
        </r>
        <r>
          <rPr>
            <sz val="9"/>
            <color indexed="81"/>
            <rFont val="Tahoma"/>
            <family val="2"/>
          </rPr>
          <t xml:space="preserve">
</t>
        </r>
        <r>
          <rPr>
            <sz val="9"/>
            <color indexed="81"/>
            <rFont val="宋体"/>
            <family val="3"/>
            <charset val="134"/>
          </rPr>
          <t>单面面积（门板背面）</t>
        </r>
      </text>
    </comment>
    <comment ref="N23" authorId="0">
      <text>
        <r>
          <rPr>
            <b/>
            <sz val="9"/>
            <color indexed="81"/>
            <rFont val="宋体"/>
            <family val="3"/>
            <charset val="134"/>
          </rPr>
          <t>贺林卓</t>
        </r>
        <r>
          <rPr>
            <b/>
            <sz val="9"/>
            <color indexed="81"/>
            <rFont val="Tahoma"/>
            <family val="2"/>
          </rPr>
          <t>:</t>
        </r>
        <r>
          <rPr>
            <sz val="9"/>
            <color indexed="81"/>
            <rFont val="Tahoma"/>
            <family val="2"/>
          </rPr>
          <t xml:space="preserve">
</t>
        </r>
        <r>
          <rPr>
            <sz val="9"/>
            <color indexed="81"/>
            <rFont val="宋体"/>
            <family val="3"/>
            <charset val="134"/>
          </rPr>
          <t>单面板件面积（正面门板</t>
        </r>
        <r>
          <rPr>
            <sz val="9"/>
            <color indexed="81"/>
            <rFont val="Tahoma"/>
            <family val="2"/>
          </rPr>
          <t>+</t>
        </r>
        <r>
          <rPr>
            <sz val="9"/>
            <color indexed="81"/>
            <rFont val="宋体"/>
            <family val="3"/>
            <charset val="134"/>
          </rPr>
          <t>边）</t>
        </r>
      </text>
    </comment>
    <comment ref="N27" authorId="0">
      <text>
        <r>
          <rPr>
            <b/>
            <sz val="9"/>
            <color indexed="81"/>
            <rFont val="宋体"/>
            <family val="3"/>
            <charset val="134"/>
          </rPr>
          <t>贺林卓</t>
        </r>
        <r>
          <rPr>
            <b/>
            <sz val="9"/>
            <color indexed="81"/>
            <rFont val="Tahoma"/>
            <family val="2"/>
          </rPr>
          <t>:</t>
        </r>
        <r>
          <rPr>
            <sz val="9"/>
            <color indexed="81"/>
            <rFont val="Tahoma"/>
            <family val="2"/>
          </rPr>
          <t xml:space="preserve">
</t>
        </r>
        <r>
          <rPr>
            <sz val="9"/>
            <color indexed="81"/>
            <rFont val="宋体"/>
            <family val="3"/>
            <charset val="134"/>
          </rPr>
          <t>单面板件面积（正面门板</t>
        </r>
        <r>
          <rPr>
            <sz val="9"/>
            <color indexed="81"/>
            <rFont val="Tahoma"/>
            <family val="2"/>
          </rPr>
          <t>+</t>
        </r>
        <r>
          <rPr>
            <sz val="9"/>
            <color indexed="81"/>
            <rFont val="宋体"/>
            <family val="3"/>
            <charset val="134"/>
          </rPr>
          <t>边）</t>
        </r>
      </text>
    </comment>
    <comment ref="A33" authorId="1">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仅用于</t>
        </r>
        <r>
          <rPr>
            <sz val="9"/>
            <color indexed="81"/>
            <rFont val="Tahoma"/>
            <family val="2"/>
          </rPr>
          <t>LC-003</t>
        </r>
        <r>
          <rPr>
            <sz val="9"/>
            <color indexed="81"/>
            <rFont val="宋体"/>
            <family val="3"/>
            <charset val="134"/>
          </rPr>
          <t>拉手，其他外协拉手写在门板拉手（外协）处</t>
        </r>
      </text>
    </comment>
  </commentList>
</comments>
</file>

<file path=xl/comments4.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List>
</comments>
</file>

<file path=xl/comments5.xml><?xml version="1.0" encoding="utf-8"?>
<comments xmlns="http://schemas.openxmlformats.org/spreadsheetml/2006/main">
  <authors>
    <author>微软用户</author>
  </authors>
  <commentList>
    <comment ref="F6" authorId="0">
      <text>
        <r>
          <rPr>
            <b/>
            <sz val="9"/>
            <color indexed="81"/>
            <rFont val="宋体"/>
            <family val="3"/>
            <charset val="134"/>
          </rPr>
          <t>大家注意啦：
在处选择材质颜色！</t>
        </r>
      </text>
    </comment>
  </commentList>
</comments>
</file>

<file path=xl/comments6.xml><?xml version="1.0" encoding="utf-8"?>
<comments xmlns="http://schemas.openxmlformats.org/spreadsheetml/2006/main">
  <authors>
    <author>贺林卓</author>
    <author>李颖辉</author>
  </authors>
  <commentList>
    <comment ref="N18" authorId="0">
      <text>
        <r>
          <rPr>
            <b/>
            <sz val="9"/>
            <color indexed="81"/>
            <rFont val="宋体"/>
            <family val="3"/>
            <charset val="134"/>
          </rPr>
          <t>贺林卓</t>
        </r>
        <r>
          <rPr>
            <b/>
            <sz val="9"/>
            <color indexed="81"/>
            <rFont val="Tahoma"/>
            <family val="2"/>
          </rPr>
          <t>:</t>
        </r>
        <r>
          <rPr>
            <sz val="9"/>
            <color indexed="81"/>
            <rFont val="Tahoma"/>
            <family val="2"/>
          </rPr>
          <t xml:space="preserve">
</t>
        </r>
        <r>
          <rPr>
            <sz val="9"/>
            <color indexed="81"/>
            <rFont val="宋体"/>
            <family val="3"/>
            <charset val="134"/>
          </rPr>
          <t>单面面积（门板背面）</t>
        </r>
      </text>
    </comment>
    <comment ref="N23" authorId="0">
      <text>
        <r>
          <rPr>
            <b/>
            <sz val="9"/>
            <color indexed="81"/>
            <rFont val="宋体"/>
            <family val="3"/>
            <charset val="134"/>
          </rPr>
          <t>贺林卓</t>
        </r>
        <r>
          <rPr>
            <b/>
            <sz val="9"/>
            <color indexed="81"/>
            <rFont val="Tahoma"/>
            <family val="2"/>
          </rPr>
          <t>:</t>
        </r>
        <r>
          <rPr>
            <sz val="9"/>
            <color indexed="81"/>
            <rFont val="Tahoma"/>
            <family val="2"/>
          </rPr>
          <t xml:space="preserve">
</t>
        </r>
        <r>
          <rPr>
            <sz val="9"/>
            <color indexed="81"/>
            <rFont val="宋体"/>
            <family val="3"/>
            <charset val="134"/>
          </rPr>
          <t>单面板件面积（正面门板</t>
        </r>
        <r>
          <rPr>
            <sz val="9"/>
            <color indexed="81"/>
            <rFont val="Tahoma"/>
            <family val="2"/>
          </rPr>
          <t>+</t>
        </r>
        <r>
          <rPr>
            <sz val="9"/>
            <color indexed="81"/>
            <rFont val="宋体"/>
            <family val="3"/>
            <charset val="134"/>
          </rPr>
          <t>边）</t>
        </r>
      </text>
    </comment>
    <comment ref="N29" authorId="0">
      <text>
        <r>
          <rPr>
            <b/>
            <sz val="9"/>
            <color indexed="81"/>
            <rFont val="宋体"/>
            <family val="3"/>
            <charset val="134"/>
          </rPr>
          <t>贺林卓</t>
        </r>
        <r>
          <rPr>
            <b/>
            <sz val="9"/>
            <color indexed="81"/>
            <rFont val="Tahoma"/>
            <family val="2"/>
          </rPr>
          <t>:</t>
        </r>
        <r>
          <rPr>
            <sz val="9"/>
            <color indexed="81"/>
            <rFont val="Tahoma"/>
            <family val="2"/>
          </rPr>
          <t xml:space="preserve">
</t>
        </r>
        <r>
          <rPr>
            <sz val="9"/>
            <color indexed="81"/>
            <rFont val="宋体"/>
            <family val="3"/>
            <charset val="134"/>
          </rPr>
          <t>单面板件面积（正面门板</t>
        </r>
        <r>
          <rPr>
            <sz val="9"/>
            <color indexed="81"/>
            <rFont val="Tahoma"/>
            <family val="2"/>
          </rPr>
          <t>+</t>
        </r>
        <r>
          <rPr>
            <sz val="9"/>
            <color indexed="81"/>
            <rFont val="宋体"/>
            <family val="3"/>
            <charset val="134"/>
          </rPr>
          <t>边）</t>
        </r>
      </text>
    </comment>
    <comment ref="A33" authorId="1">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仅用于</t>
        </r>
        <r>
          <rPr>
            <sz val="9"/>
            <color indexed="81"/>
            <rFont val="Tahoma"/>
            <family val="2"/>
          </rPr>
          <t>LC-003</t>
        </r>
        <r>
          <rPr>
            <sz val="9"/>
            <color indexed="81"/>
            <rFont val="宋体"/>
            <family val="3"/>
            <charset val="134"/>
          </rPr>
          <t>拉手，其他外协拉手写在门板拉手（外协）处</t>
        </r>
      </text>
    </comment>
  </commentList>
</comments>
</file>

<file path=xl/comments7.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List>
</comments>
</file>

<file path=xl/sharedStrings.xml><?xml version="1.0" encoding="utf-8"?>
<sst xmlns="http://schemas.openxmlformats.org/spreadsheetml/2006/main" count="2920" uniqueCount="1553">
  <si>
    <t>备注</t>
    <phoneticPr fontId="3" type="noConversion"/>
  </si>
  <si>
    <t>序号</t>
    <phoneticPr fontId="3" type="noConversion"/>
  </si>
  <si>
    <t>门板封边</t>
    <phoneticPr fontId="3" type="noConversion"/>
  </si>
  <si>
    <t>单位</t>
    <phoneticPr fontId="3" type="noConversion"/>
  </si>
  <si>
    <t>规格</t>
    <phoneticPr fontId="3" type="noConversion"/>
  </si>
  <si>
    <t>单位</t>
    <phoneticPr fontId="3" type="noConversion"/>
  </si>
  <si>
    <t>数量</t>
    <phoneticPr fontId="3" type="noConversion"/>
  </si>
  <si>
    <t>下单日期：</t>
    <phoneticPr fontId="3" type="noConversion"/>
  </si>
  <si>
    <t>安装日期：</t>
    <phoneticPr fontId="3" type="noConversion"/>
  </si>
  <si>
    <t>图纸编号：</t>
    <phoneticPr fontId="3" type="noConversion"/>
  </si>
  <si>
    <t>客户姓名</t>
    <phoneticPr fontId="3" type="noConversion"/>
  </si>
  <si>
    <t>安装日期</t>
    <phoneticPr fontId="3" type="noConversion"/>
  </si>
  <si>
    <t>橱柜款式：</t>
    <phoneticPr fontId="3" type="noConversion"/>
  </si>
  <si>
    <t>配料：</t>
    <phoneticPr fontId="3" type="noConversion"/>
  </si>
  <si>
    <t>审核人：</t>
    <phoneticPr fontId="3" type="noConversion"/>
  </si>
  <si>
    <t>配料日期：</t>
    <phoneticPr fontId="3" type="noConversion"/>
  </si>
  <si>
    <t>审核日期：</t>
    <phoneticPr fontId="3" type="noConversion"/>
  </si>
  <si>
    <t>订单编号：</t>
    <phoneticPr fontId="3" type="noConversion"/>
  </si>
  <si>
    <t>下单日期</t>
    <phoneticPr fontId="3" type="noConversion"/>
  </si>
  <si>
    <t>序号</t>
    <phoneticPr fontId="3" type="noConversion"/>
  </si>
  <si>
    <t>材料名称</t>
    <phoneticPr fontId="3" type="noConversion"/>
  </si>
  <si>
    <t>数量</t>
    <phoneticPr fontId="3" type="noConversion"/>
  </si>
  <si>
    <t>米</t>
    <phoneticPr fontId="3" type="noConversion"/>
  </si>
  <si>
    <t>柜体</t>
    <phoneticPr fontId="3" type="noConversion"/>
  </si>
  <si>
    <t>项目</t>
    <phoneticPr fontId="3" type="noConversion"/>
  </si>
  <si>
    <t>型号、规格</t>
    <phoneticPr fontId="3" type="noConversion"/>
  </si>
  <si>
    <t>张</t>
    <phoneticPr fontId="3" type="noConversion"/>
  </si>
  <si>
    <t>克</t>
    <phoneticPr fontId="3" type="noConversion"/>
  </si>
  <si>
    <t>拉手</t>
    <phoneticPr fontId="3" type="noConversion"/>
  </si>
  <si>
    <t>铝制踢脚板</t>
    <phoneticPr fontId="3" type="noConversion"/>
  </si>
  <si>
    <t>意德法家木业生产线工序交接单</t>
    <phoneticPr fontId="3" type="noConversion"/>
  </si>
  <si>
    <t>图纸编号:</t>
    <phoneticPr fontId="3" type="noConversion"/>
  </si>
  <si>
    <t>销售点</t>
    <phoneticPr fontId="3" type="noConversion"/>
  </si>
  <si>
    <t>设计师</t>
    <phoneticPr fontId="3" type="noConversion"/>
  </si>
  <si>
    <t>应完成日期</t>
    <phoneticPr fontId="3" type="noConversion"/>
  </si>
  <si>
    <t>实际完成日期</t>
    <phoneticPr fontId="3" type="noConversion"/>
  </si>
  <si>
    <t>产品系列</t>
    <phoneticPr fontId="3" type="noConversion"/>
  </si>
  <si>
    <t>实木</t>
    <phoneticPr fontId="3" type="noConversion"/>
  </si>
  <si>
    <t>烤漆</t>
    <phoneticPr fontId="3" type="noConversion"/>
  </si>
  <si>
    <t>吸塑</t>
    <phoneticPr fontId="3" type="noConversion"/>
  </si>
  <si>
    <t>烤漆玻璃</t>
    <phoneticPr fontId="3" type="noConversion"/>
  </si>
  <si>
    <t>三聚氢氨</t>
    <phoneticPr fontId="3" type="noConversion"/>
  </si>
  <si>
    <t>金属封边</t>
    <phoneticPr fontId="3" type="noConversion"/>
  </si>
  <si>
    <t>镶嵌拉手</t>
    <phoneticPr fontId="3" type="noConversion"/>
  </si>
  <si>
    <t>标准地柜(件)</t>
    <phoneticPr fontId="3" type="noConversion"/>
  </si>
  <si>
    <t>标准吊柜(件)</t>
    <phoneticPr fontId="3" type="noConversion"/>
  </si>
  <si>
    <t>顶线</t>
    <phoneticPr fontId="3" type="noConversion"/>
  </si>
  <si>
    <t>开槽(件)</t>
    <phoneticPr fontId="3" type="noConversion"/>
  </si>
  <si>
    <t>单管防撞条</t>
    <phoneticPr fontId="3" type="noConversion"/>
  </si>
  <si>
    <t>灯线</t>
    <phoneticPr fontId="3" type="noConversion"/>
  </si>
  <si>
    <t>工序名称</t>
    <phoneticPr fontId="3" type="noConversion"/>
  </si>
  <si>
    <t>成品数量</t>
    <phoneticPr fontId="3" type="noConversion"/>
  </si>
  <si>
    <t>完成日期</t>
    <phoneticPr fontId="3" type="noConversion"/>
  </si>
  <si>
    <t>接料日期</t>
    <phoneticPr fontId="3" type="noConversion"/>
  </si>
  <si>
    <t>主机手</t>
    <phoneticPr fontId="3" type="noConversion"/>
  </si>
  <si>
    <t>质检</t>
    <phoneticPr fontId="3" type="noConversion"/>
  </si>
  <si>
    <t>下料</t>
    <phoneticPr fontId="3" type="noConversion"/>
  </si>
  <si>
    <t>封边</t>
    <phoneticPr fontId="3" type="noConversion"/>
  </si>
  <si>
    <t>排钻</t>
    <phoneticPr fontId="3" type="noConversion"/>
  </si>
  <si>
    <t>层板铝扣条</t>
    <phoneticPr fontId="3" type="noConversion"/>
  </si>
  <si>
    <t>T型铝封边</t>
    <phoneticPr fontId="3" type="noConversion"/>
  </si>
  <si>
    <t>通常铝拉手</t>
    <phoneticPr fontId="3" type="noConversion"/>
  </si>
  <si>
    <t>铣形</t>
    <phoneticPr fontId="3" type="noConversion"/>
  </si>
  <si>
    <t>异形封边</t>
    <phoneticPr fontId="3" type="noConversion"/>
  </si>
  <si>
    <t>组装</t>
    <phoneticPr fontId="3" type="noConversion"/>
  </si>
  <si>
    <t>拉蓝</t>
    <phoneticPr fontId="3" type="noConversion"/>
  </si>
  <si>
    <t>小怪物</t>
    <phoneticPr fontId="3" type="noConversion"/>
  </si>
  <si>
    <t>铝框门</t>
    <phoneticPr fontId="3" type="noConversion"/>
  </si>
  <si>
    <t>上翻平移门</t>
    <phoneticPr fontId="3" type="noConversion"/>
  </si>
  <si>
    <t>门铰</t>
    <phoneticPr fontId="3" type="noConversion"/>
  </si>
  <si>
    <t>门板倒角</t>
    <phoneticPr fontId="3" type="noConversion"/>
  </si>
  <si>
    <t>铝百叶</t>
    <phoneticPr fontId="3" type="noConversion"/>
  </si>
  <si>
    <t>水灶柜铝梁</t>
    <phoneticPr fontId="3" type="noConversion"/>
  </si>
  <si>
    <t>按玻璃</t>
    <phoneticPr fontId="3" type="noConversion"/>
  </si>
  <si>
    <t>烤漆玻璃喷花</t>
    <phoneticPr fontId="3" type="noConversion"/>
  </si>
  <si>
    <t>扣手</t>
    <phoneticPr fontId="3" type="noConversion"/>
  </si>
  <si>
    <t>打包</t>
    <phoneticPr fontId="3" type="noConversion"/>
  </si>
  <si>
    <t>车间负责人签字:</t>
    <phoneticPr fontId="3" type="noConversion"/>
  </si>
  <si>
    <t>工艺员：</t>
    <phoneticPr fontId="3" type="noConversion"/>
  </si>
  <si>
    <t>1套</t>
    <phoneticPr fontId="3" type="noConversion"/>
  </si>
  <si>
    <t>加工备注</t>
    <phoneticPr fontId="3" type="noConversion"/>
  </si>
  <si>
    <t>厨柜柜体半成品板件领料单</t>
    <phoneticPr fontId="3" type="noConversion"/>
  </si>
  <si>
    <t>订单编号</t>
    <phoneticPr fontId="24" type="noConversion"/>
  </si>
  <si>
    <t>客户名称</t>
    <phoneticPr fontId="24" type="noConversion"/>
  </si>
  <si>
    <t>下单时间</t>
    <phoneticPr fontId="24" type="noConversion"/>
  </si>
  <si>
    <t>产品款式</t>
    <phoneticPr fontId="24" type="noConversion"/>
  </si>
  <si>
    <t>设计名称</t>
    <phoneticPr fontId="24" type="noConversion"/>
  </si>
  <si>
    <t>安装时间</t>
    <phoneticPr fontId="24" type="noConversion"/>
  </si>
  <si>
    <t>图   例</t>
    <phoneticPr fontId="3" type="noConversion"/>
  </si>
  <si>
    <t>物料描述</t>
    <phoneticPr fontId="3" type="noConversion"/>
  </si>
  <si>
    <t>柜体规格</t>
    <phoneticPr fontId="3" type="noConversion"/>
  </si>
  <si>
    <t>柜体数量</t>
    <phoneticPr fontId="24" type="noConversion"/>
  </si>
  <si>
    <t>板件信息(16A暖白双帖三聚氰胺刨花板M11)</t>
    <phoneticPr fontId="3" type="noConversion"/>
  </si>
  <si>
    <t>计划备货数量</t>
    <phoneticPr fontId="3" type="noConversion"/>
  </si>
  <si>
    <t>板件信息(M12)</t>
    <phoneticPr fontId="3" type="noConversion"/>
  </si>
  <si>
    <r>
      <t>板材用量（m</t>
    </r>
    <r>
      <rPr>
        <b/>
        <vertAlign val="superscript"/>
        <sz val="10"/>
        <color indexed="8"/>
        <rFont val="宋体"/>
        <family val="3"/>
        <charset val="134"/>
      </rPr>
      <t>2</t>
    </r>
    <r>
      <rPr>
        <b/>
        <sz val="10"/>
        <color indexed="8"/>
        <rFont val="宋体"/>
        <family val="3"/>
        <charset val="134"/>
      </rPr>
      <t>）</t>
    </r>
    <phoneticPr fontId="3" type="noConversion"/>
  </si>
  <si>
    <t>封边条总用量（m）</t>
    <phoneticPr fontId="3" type="noConversion"/>
  </si>
  <si>
    <t>1.0封边条用量（m）</t>
    <phoneticPr fontId="3" type="noConversion"/>
  </si>
  <si>
    <t>0.4封边条用量（m）</t>
    <phoneticPr fontId="24" type="noConversion"/>
  </si>
  <si>
    <t>三合一</t>
    <phoneticPr fontId="24" type="noConversion"/>
  </si>
  <si>
    <r>
      <t>板件体积（m</t>
    </r>
    <r>
      <rPr>
        <b/>
        <vertAlign val="superscript"/>
        <sz val="10"/>
        <color indexed="8"/>
        <rFont val="宋体"/>
        <family val="3"/>
        <charset val="134"/>
      </rPr>
      <t>3</t>
    </r>
    <r>
      <rPr>
        <b/>
        <sz val="10"/>
        <color indexed="8"/>
        <rFont val="宋体"/>
        <family val="3"/>
        <charset val="134"/>
      </rPr>
      <t>）</t>
    </r>
    <r>
      <rPr>
        <b/>
        <sz val="10"/>
        <color indexed="8"/>
        <rFont val="宋体"/>
        <family val="3"/>
        <charset val="134"/>
      </rPr>
      <t/>
    </r>
    <phoneticPr fontId="3" type="noConversion"/>
  </si>
  <si>
    <r>
      <t>0</t>
    </r>
    <r>
      <rPr>
        <sz val="10"/>
        <color indexed="8"/>
        <rFont val="宋体"/>
        <family val="3"/>
        <charset val="134"/>
      </rPr>
      <t>/唯一  1/重复</t>
    </r>
    <phoneticPr fontId="3" type="noConversion"/>
  </si>
  <si>
    <t>宽(mm)</t>
    <phoneticPr fontId="3" type="noConversion"/>
  </si>
  <si>
    <t>深(mm)</t>
    <phoneticPr fontId="3" type="noConversion"/>
  </si>
  <si>
    <t>高(mm)</t>
    <phoneticPr fontId="3" type="noConversion"/>
  </si>
  <si>
    <t>物料编码</t>
    <phoneticPr fontId="3" type="noConversion"/>
  </si>
  <si>
    <t>柜体</t>
    <phoneticPr fontId="3" type="noConversion"/>
  </si>
  <si>
    <t>板件</t>
    <phoneticPr fontId="3" type="noConversion"/>
  </si>
  <si>
    <t>单门地柜</t>
    <phoneticPr fontId="24" type="noConversion"/>
  </si>
  <si>
    <t>KZL56072016_AM11</t>
    <phoneticPr fontId="3" type="noConversion"/>
  </si>
  <si>
    <t>560*720*16左侧板A_M11</t>
    <phoneticPr fontId="24" type="noConversion"/>
  </si>
  <si>
    <t>KZL56072016_AM12</t>
  </si>
  <si>
    <t>560*720*16左侧板A_M12</t>
  </si>
  <si>
    <t>450宽三抽地柜</t>
    <phoneticPr fontId="3" type="noConversion"/>
  </si>
  <si>
    <t>M11</t>
    <phoneticPr fontId="3" type="noConversion"/>
  </si>
  <si>
    <t>KZR56072016_AM11</t>
  </si>
  <si>
    <t>560*720*16右侧板A_M11</t>
  </si>
  <si>
    <t>KZR56072016_AM12</t>
  </si>
  <si>
    <t>560*720*16右侧板A_M12</t>
  </si>
  <si>
    <t>600宽内嵌烤箱/消毒柜下装饰板地柜</t>
    <phoneticPr fontId="3" type="noConversion"/>
  </si>
  <si>
    <t>900宽双门水盆地柜</t>
    <phoneticPr fontId="3" type="noConversion"/>
  </si>
  <si>
    <t>KZD56041816AM11</t>
  </si>
  <si>
    <t>560*417*16底板A_M11</t>
  </si>
  <si>
    <t>KZD56041816AM12</t>
  </si>
  <si>
    <t>560*417*16底板A_M12</t>
  </si>
  <si>
    <t>300宽单抽拉篮地柜</t>
    <phoneticPr fontId="3" type="noConversion"/>
  </si>
  <si>
    <t>900宽双门吊柜（含玻璃门）</t>
    <phoneticPr fontId="3" type="noConversion"/>
  </si>
  <si>
    <t>K_C47841716AM11</t>
  </si>
  <si>
    <t>514*416*16层板A_M11</t>
  </si>
  <si>
    <t>K_C47841716AM12</t>
  </si>
  <si>
    <t>514*416*16层板A_M12</t>
  </si>
  <si>
    <t>450宽单门吊柜（含玻璃门）</t>
    <phoneticPr fontId="3" type="noConversion"/>
  </si>
  <si>
    <t>K_B71043003AM11</t>
  </si>
  <si>
    <t>708*428*3背板A_M11</t>
  </si>
  <si>
    <t>K_B71043003AM12</t>
  </si>
  <si>
    <t>708*428*3背板A_M12</t>
  </si>
  <si>
    <t>450宽单门地柜</t>
    <phoneticPr fontId="3" type="noConversion"/>
  </si>
  <si>
    <t>KZJ08841816AM11</t>
  </si>
  <si>
    <t>88*417*16结构板A_M11</t>
  </si>
  <si>
    <t>KZJ08841816AM12</t>
  </si>
  <si>
    <t>88*417*16结构板A_M12</t>
  </si>
  <si>
    <t>600宽单门吊柜（含玻璃门）</t>
    <phoneticPr fontId="3" type="noConversion"/>
  </si>
  <si>
    <t>三抽屉地柜</t>
    <phoneticPr fontId="3" type="noConversion"/>
  </si>
  <si>
    <t>KZL56072016CAM11</t>
  </si>
  <si>
    <t>560*720*16抽屉柜左侧板A_M11</t>
  </si>
  <si>
    <t>KZL56072016CAM12</t>
  </si>
  <si>
    <t>560*720*16抽屉柜左侧板A_M12</t>
  </si>
  <si>
    <t>150宽单抽拉篮地柜</t>
    <phoneticPr fontId="3" type="noConversion"/>
  </si>
  <si>
    <t>KZR56072016CAM11</t>
  </si>
  <si>
    <t>560*720*16抽屉柜右侧板A_M11</t>
  </si>
  <si>
    <t>KZR56072016CAM12</t>
  </si>
  <si>
    <t>560*720*16抽屉柜右侧板A_M12</t>
  </si>
  <si>
    <t>600宽三抽地柜</t>
    <phoneticPr fontId="3" type="noConversion"/>
  </si>
  <si>
    <t>KZD56056816AM11</t>
  </si>
  <si>
    <t>560*567*16底板A_M11</t>
  </si>
  <si>
    <t>KZD56056816AM12</t>
  </si>
  <si>
    <t>560*567*16底板A_M12</t>
  </si>
  <si>
    <t>K_B71058003AM11</t>
  </si>
  <si>
    <t>708*578*3背板A_M11</t>
  </si>
  <si>
    <t>K_B71058003AM12</t>
  </si>
  <si>
    <t>708*578*3背板A_M12</t>
  </si>
  <si>
    <t>KZJ08856816AM11</t>
  </si>
  <si>
    <t>88*567*16结构板A_M11</t>
  </si>
  <si>
    <t>KZJ08856816AM12</t>
  </si>
  <si>
    <t>88*567*16结构板A_M12</t>
  </si>
  <si>
    <t>对开门水盆柜</t>
    <phoneticPr fontId="3" type="noConversion"/>
  </si>
  <si>
    <t>KZL56072016SAM11</t>
  </si>
  <si>
    <t>560*720*16水盆柜左侧板A_M11</t>
  </si>
  <si>
    <t>KZL56072016SAM12</t>
  </si>
  <si>
    <t>560*720*16水盆柜左侧板A_M12</t>
  </si>
  <si>
    <t>KZR56072016SAM11</t>
  </si>
  <si>
    <t>560*720*16水盆柜右侧板A_M11</t>
  </si>
  <si>
    <t>KZR56072016SAM12</t>
  </si>
  <si>
    <t>560*720*16水盆柜右侧板A_M12</t>
  </si>
  <si>
    <t>KZD56086816DM11</t>
  </si>
  <si>
    <t>558*867*16底板D_M11</t>
  </si>
  <si>
    <t>KZD56086816DM12</t>
  </si>
  <si>
    <t>558*867*16底板D_M12</t>
  </si>
  <si>
    <t>KZJ08886816AM11</t>
  </si>
  <si>
    <t>88*867*16结构板A_M11</t>
  </si>
  <si>
    <t>KZJ08886816AM12</t>
  </si>
  <si>
    <t>88*867*16结构板A_M12</t>
  </si>
  <si>
    <t>内嵌烤箱/消毒柜下装饰板地柜</t>
    <phoneticPr fontId="3" type="noConversion"/>
  </si>
  <si>
    <t>KZL56072016DBM11</t>
  </si>
  <si>
    <t>560*720*16电器柜左侧板B_M11</t>
  </si>
  <si>
    <t>KZL56072016DBM12</t>
  </si>
  <si>
    <t>560*720*16电器柜左侧板B_M12</t>
  </si>
  <si>
    <t>KZR56072016DBM11</t>
  </si>
  <si>
    <t>560*720*16电器柜右侧板B_M11</t>
  </si>
  <si>
    <t>KZR56072016DBM12</t>
  </si>
  <si>
    <t>560*720*16电器柜右侧板B_M12</t>
  </si>
  <si>
    <t>KZD52056716DM11</t>
  </si>
  <si>
    <t>520*567*16内嵌消毒柜地柜底板D_M11</t>
  </si>
  <si>
    <t>KZD52056716DM12</t>
  </si>
  <si>
    <t>520*567*16内嵌消毒柜地柜底板D_M12</t>
  </si>
  <si>
    <t>K_C56056716FM11</t>
  </si>
  <si>
    <t>520*567*16可调节板F_M11</t>
  </si>
  <si>
    <t>K_C56056716FM12</t>
  </si>
  <si>
    <t>520*567*16可调节板F_M12</t>
  </si>
  <si>
    <t>单抽拉篮地柜</t>
    <phoneticPr fontId="3" type="noConversion"/>
  </si>
  <si>
    <t>560*720*16拉篮柜左侧板A_M11</t>
  </si>
  <si>
    <t>KZL56072016LAM12</t>
  </si>
  <si>
    <t>560*720*16拉篮柜左侧板A_M12</t>
  </si>
  <si>
    <t>560*720*16拉篮柜右侧板A_M11</t>
  </si>
  <si>
    <t>KZR56072016LAM12</t>
  </si>
  <si>
    <t>560*720*16拉篮柜右侧板A_M12</t>
  </si>
  <si>
    <t>KZD56011816AM11</t>
  </si>
  <si>
    <t>560*117*16底板A_M11</t>
  </si>
  <si>
    <t>KZD56011816AM12</t>
  </si>
  <si>
    <t>560*117*16底板A_M12</t>
  </si>
  <si>
    <t>K_B71013003AM11</t>
  </si>
  <si>
    <t>708*128*3背板A_M11</t>
  </si>
  <si>
    <t>K_B71013003AM12</t>
  </si>
  <si>
    <t>708*128*3背板A_M12</t>
  </si>
  <si>
    <t>KZJ08811816AM11</t>
  </si>
  <si>
    <t>88*117*16结构板A_M11</t>
  </si>
  <si>
    <t>KZJ08811816AM12</t>
  </si>
  <si>
    <t>88*117*16结构板A_M12</t>
  </si>
  <si>
    <t>KZD56026816AM11</t>
  </si>
  <si>
    <t>560*267*16底板A_M11</t>
  </si>
  <si>
    <t>KZD56026816AM12</t>
  </si>
  <si>
    <t>560*267*16底板A_M12</t>
  </si>
  <si>
    <t>K_B71028003AM11</t>
  </si>
  <si>
    <t>708*278*3背板A_M11</t>
  </si>
  <si>
    <t>K_B71028003AM12</t>
  </si>
  <si>
    <t>708*278*3背板A_M12</t>
  </si>
  <si>
    <t>KZJ08826816AM11</t>
  </si>
  <si>
    <t>88*267*16结构板A_M11</t>
  </si>
  <si>
    <t>KZJ08826816AM12</t>
  </si>
  <si>
    <t>88*267*16结构板A_M12</t>
  </si>
  <si>
    <t>KZL30072016_AM11</t>
  </si>
  <si>
    <t>300*720*16左侧板A_M11</t>
  </si>
  <si>
    <t>KZL30072016_AM12</t>
  </si>
  <si>
    <t>300*720*16左侧板A_M12</t>
  </si>
  <si>
    <t>KZR30072016_AM11</t>
  </si>
  <si>
    <t>300*720*16右侧板A_M11</t>
  </si>
  <si>
    <t>KZR30072016_AM12</t>
  </si>
  <si>
    <t>300*720*16右侧板A_M12</t>
  </si>
  <si>
    <t>KZD30041816AM11</t>
  </si>
  <si>
    <t>300*417*16底板A_M11</t>
  </si>
  <si>
    <t>KZD30041816AM12</t>
  </si>
  <si>
    <t>300*417*16底板A_M12</t>
  </si>
  <si>
    <t>KZT27841816AM11</t>
  </si>
  <si>
    <t>277*417*16顶板A_M11</t>
  </si>
  <si>
    <t>KZT27841816AM12</t>
  </si>
  <si>
    <t>277*417*16顶板A_M12</t>
  </si>
  <si>
    <t>K_C25641716AM11</t>
  </si>
  <si>
    <t>254*416*16层板A_M11</t>
  </si>
  <si>
    <t>K_C25641716AM12</t>
  </si>
  <si>
    <t>254*416*16层板A_M12</t>
  </si>
  <si>
    <t>K_B71043003BM11</t>
  </si>
  <si>
    <t>708*428*3背板B_M11</t>
  </si>
  <si>
    <t>K_B71043003BM12</t>
  </si>
  <si>
    <t>708*428*3背板B_M12</t>
  </si>
  <si>
    <t>KZD30056816AM11</t>
  </si>
  <si>
    <t>300*567*16底板A_M11</t>
  </si>
  <si>
    <t>KZD30056816AM12</t>
  </si>
  <si>
    <t>300*567*16底板A_M12</t>
  </si>
  <si>
    <t>KZT27856816AM11</t>
  </si>
  <si>
    <t>277*567*16顶板A_M11</t>
  </si>
  <si>
    <t>KZT27856816AM12</t>
  </si>
  <si>
    <t>277*567*16顶板A_M12</t>
  </si>
  <si>
    <t>K_C25656716AM11</t>
  </si>
  <si>
    <t>254*566*16层板A_M11</t>
  </si>
  <si>
    <t>K_C25656716AM12</t>
  </si>
  <si>
    <t>254*566*16层板A_M12</t>
  </si>
  <si>
    <t>K_B71058003BM11</t>
  </si>
  <si>
    <t>708*578*3背板B_M11</t>
  </si>
  <si>
    <t>K_B71058003BM12</t>
  </si>
  <si>
    <t>708*578*3背板B_M12</t>
  </si>
  <si>
    <t>对开门吊柜（含玻璃门）</t>
    <phoneticPr fontId="3" type="noConversion"/>
  </si>
  <si>
    <t>KZD30086816BM11</t>
  </si>
  <si>
    <t>300*867*16底板B_M11</t>
  </si>
  <si>
    <t>KZD30086816BM12</t>
  </si>
  <si>
    <t>300*867*16底板B_M12</t>
  </si>
  <si>
    <t>KZT27886816AM11</t>
  </si>
  <si>
    <t>277*867*16顶板A_M11</t>
  </si>
  <si>
    <t>KZT27886816AM12</t>
  </si>
  <si>
    <t>277*867*16顶板A_M12</t>
  </si>
  <si>
    <t>K_C25686716AM11</t>
  </si>
  <si>
    <t>254*866*16层板A_M11</t>
  </si>
  <si>
    <t>K_C25686716AM12</t>
  </si>
  <si>
    <t>254*866*16层板A_M12</t>
  </si>
  <si>
    <t>K_B71088003BM11</t>
  </si>
  <si>
    <t>708*878*3背板B_M11</t>
  </si>
  <si>
    <t>K_B71088003BM12</t>
  </si>
  <si>
    <t>708*878*3背板B_M12</t>
  </si>
  <si>
    <t>KZJ08886816GM11</t>
  </si>
  <si>
    <t>88*867*16结构板G_M11</t>
  </si>
  <si>
    <t>KZJ08886816GM12</t>
  </si>
  <si>
    <t>88*867*16结构板G_M12</t>
  </si>
  <si>
    <t>KZL56072016_AM11</t>
  </si>
  <si>
    <t>560*720*16左侧板A_M11</t>
  </si>
  <si>
    <t>K_C47826716AM11</t>
  </si>
  <si>
    <t>514*266*16层板A_M11</t>
  </si>
  <si>
    <t>K_C47856716AM11</t>
  </si>
  <si>
    <t>514*566*16层板A_M11</t>
  </si>
  <si>
    <t>对开门地柜</t>
    <phoneticPr fontId="24" type="noConversion"/>
  </si>
  <si>
    <t>KZD56086816AM11</t>
  </si>
  <si>
    <t>560*867*16底板A_M11</t>
  </si>
  <si>
    <t>K_C47886716AM11</t>
  </si>
  <si>
    <t>514*866*16层板A_M11</t>
  </si>
  <si>
    <t>K_B71088003AM11</t>
  </si>
  <si>
    <t>708*878*3背板A_M11</t>
  </si>
  <si>
    <t>K_X04886716ALC</t>
  </si>
  <si>
    <t>48*867*16水盆柜铝横梁A_LC</t>
  </si>
  <si>
    <t>K_C25641708AB01</t>
  </si>
  <si>
    <t>254*416*8透明玻璃层板A_B01</t>
  </si>
  <si>
    <t>K_C25656708AB01</t>
  </si>
  <si>
    <t>254*566*8透明玻璃层板A_B01</t>
  </si>
  <si>
    <t>K_C25686708AB01</t>
  </si>
  <si>
    <t>254*866*8透明玻璃层板A_B01</t>
  </si>
  <si>
    <t>双上翻门吊柜</t>
    <phoneticPr fontId="24" type="noConversion"/>
  </si>
  <si>
    <t>KZL30072016FAM11</t>
  </si>
  <si>
    <t>300*720*16双上翻门左侧板A_M11</t>
  </si>
  <si>
    <t>KZR30072016FAM11</t>
  </si>
  <si>
    <t>300*720*16双上翻门右侧板A_M11</t>
  </si>
  <si>
    <t>KZT27886816BM11</t>
  </si>
  <si>
    <t>277*867*16顶板B_M11</t>
  </si>
  <si>
    <t>拆解人：</t>
    <phoneticPr fontId="20" type="noConversion"/>
  </si>
  <si>
    <t>审核人：</t>
    <phoneticPr fontId="20" type="noConversion"/>
  </si>
  <si>
    <t>兰天</t>
    <phoneticPr fontId="3" type="noConversion"/>
  </si>
  <si>
    <t>单门吊柜（含玻璃门）</t>
    <phoneticPr fontId="24" type="noConversion"/>
  </si>
  <si>
    <t>单门吊柜</t>
    <phoneticPr fontId="24" type="noConversion"/>
  </si>
  <si>
    <t>对开门吊柜</t>
    <phoneticPr fontId="3" type="noConversion"/>
  </si>
  <si>
    <t>瓶</t>
    <phoneticPr fontId="3" type="noConversion"/>
  </si>
  <si>
    <t xml:space="preserve">               北京意德法家木业有限公司包装材料单 （本地包装）  </t>
    <phoneticPr fontId="3" type="noConversion"/>
  </si>
  <si>
    <t>城市：</t>
    <phoneticPr fontId="3" type="noConversion"/>
  </si>
  <si>
    <t>宽</t>
    <phoneticPr fontId="3" type="noConversion"/>
  </si>
  <si>
    <t>高</t>
    <phoneticPr fontId="3" type="noConversion"/>
  </si>
  <si>
    <t>柜型</t>
    <phoneticPr fontId="3" type="noConversion"/>
  </si>
  <si>
    <t>柜体数量</t>
    <phoneticPr fontId="3" type="noConversion"/>
  </si>
  <si>
    <t>用量</t>
    <phoneticPr fontId="3" type="noConversion"/>
  </si>
  <si>
    <t>备注</t>
    <phoneticPr fontId="3" type="noConversion"/>
  </si>
  <si>
    <t>≤150</t>
    <phoneticPr fontId="24" type="noConversion"/>
  </si>
  <si>
    <t>地柜</t>
    <phoneticPr fontId="24" type="noConversion"/>
  </si>
  <si>
    <t>150宽柜体门板扣盖</t>
  </si>
  <si>
    <t>只</t>
  </si>
  <si>
    <t>2MM厚EPE保护膜（1150宽）</t>
    <phoneticPr fontId="24" type="noConversion"/>
  </si>
  <si>
    <t>米</t>
  </si>
  <si>
    <t>151-450</t>
    <phoneticPr fontId="24" type="noConversion"/>
  </si>
  <si>
    <t>吊/地柜</t>
    <phoneticPr fontId="24" type="noConversion"/>
  </si>
  <si>
    <t>300-450宽柜体门板扣盖</t>
    <phoneticPr fontId="3" type="noConversion"/>
  </si>
  <si>
    <t>平板苯板（10mm厚苯板）2000*10*1000</t>
    <phoneticPr fontId="3" type="noConversion"/>
  </si>
  <si>
    <t>张</t>
    <phoneticPr fontId="24" type="noConversion"/>
  </si>
  <si>
    <t>玻璃门板用</t>
    <phoneticPr fontId="24" type="noConversion"/>
  </si>
  <si>
    <t>451-600</t>
    <phoneticPr fontId="24" type="noConversion"/>
  </si>
  <si>
    <t>500-600宽柜体门板扣盖</t>
    <phoneticPr fontId="3" type="noConversion"/>
  </si>
  <si>
    <t>601-900</t>
    <phoneticPr fontId="24" type="noConversion"/>
  </si>
  <si>
    <t>800-900宽柜体门板扣盖</t>
    <phoneticPr fontId="3" type="noConversion"/>
  </si>
  <si>
    <t>901-1200</t>
    <phoneticPr fontId="24" type="noConversion"/>
  </si>
  <si>
    <t>1000-1200宽柜体门板扣盖</t>
    <phoneticPr fontId="3" type="noConversion"/>
  </si>
  <si>
    <t>半高柜</t>
    <phoneticPr fontId="24" type="noConversion"/>
  </si>
  <si>
    <t>450-600</t>
    <phoneticPr fontId="24" type="noConversion"/>
  </si>
  <si>
    <t>高柜</t>
    <phoneticPr fontId="24" type="noConversion"/>
  </si>
  <si>
    <t>600-2160宽柜体门板扣盖</t>
    <phoneticPr fontId="3" type="noConversion"/>
  </si>
  <si>
    <t>背板、层板、踢脚板、顶线、罗马柱、装饰板类</t>
    <phoneticPr fontId="3" type="noConversion"/>
  </si>
  <si>
    <t>图兰朵</t>
    <phoneticPr fontId="3" type="noConversion"/>
  </si>
  <si>
    <t>1--10个</t>
    <phoneticPr fontId="3" type="noConversion"/>
  </si>
  <si>
    <t>包装纸板1500mm*2400mm</t>
    <phoneticPr fontId="3" type="noConversion"/>
  </si>
  <si>
    <t>张</t>
  </si>
  <si>
    <t>米</t>
    <phoneticPr fontId="24" type="noConversion"/>
  </si>
  <si>
    <t>平板苯板（10mm厚苯板）1900*10*400</t>
    <phoneticPr fontId="3" type="noConversion"/>
  </si>
  <si>
    <t>个</t>
    <phoneticPr fontId="24" type="noConversion"/>
  </si>
  <si>
    <t>L型苯板护角（15mm厚）120*1000*120</t>
    <phoneticPr fontId="3" type="noConversion"/>
  </si>
  <si>
    <t>根</t>
    <phoneticPr fontId="24" type="noConversion"/>
  </si>
  <si>
    <t>罗马柱顶线用</t>
    <phoneticPr fontId="24" type="noConversion"/>
  </si>
  <si>
    <t>11个以上</t>
    <phoneticPr fontId="3" type="noConversion"/>
  </si>
  <si>
    <t xml:space="preserve">               北京意德法家木业有限公司包装材料单 （外地包装）  </t>
    <phoneticPr fontId="3" type="noConversion"/>
  </si>
  <si>
    <t>订单编号：</t>
    <phoneticPr fontId="3" type="noConversion"/>
  </si>
  <si>
    <t>城市：</t>
    <phoneticPr fontId="3" type="noConversion"/>
  </si>
  <si>
    <t>客户姓名</t>
    <phoneticPr fontId="3" type="noConversion"/>
  </si>
  <si>
    <t>下单日期</t>
    <phoneticPr fontId="3" type="noConversion"/>
  </si>
  <si>
    <t>橱柜款式：</t>
    <phoneticPr fontId="3" type="noConversion"/>
  </si>
  <si>
    <t>安装日期</t>
    <phoneticPr fontId="3" type="noConversion"/>
  </si>
  <si>
    <t>序号</t>
    <phoneticPr fontId="3" type="noConversion"/>
  </si>
  <si>
    <t>宽</t>
    <phoneticPr fontId="3" type="noConversion"/>
  </si>
  <si>
    <t>高</t>
    <phoneticPr fontId="3" type="noConversion"/>
  </si>
  <si>
    <t>柜型</t>
    <phoneticPr fontId="3" type="noConversion"/>
  </si>
  <si>
    <t>柜体数量</t>
    <phoneticPr fontId="3" type="noConversion"/>
  </si>
  <si>
    <t>材料名称</t>
    <phoneticPr fontId="3" type="noConversion"/>
  </si>
  <si>
    <t>用量</t>
    <phoneticPr fontId="3" type="noConversion"/>
  </si>
  <si>
    <t>单位</t>
    <phoneticPr fontId="3" type="noConversion"/>
  </si>
  <si>
    <t>备注</t>
    <phoneticPr fontId="3" type="noConversion"/>
  </si>
  <si>
    <t>300    450    600</t>
    <phoneticPr fontId="3" type="noConversion"/>
  </si>
  <si>
    <t>地柜</t>
    <phoneticPr fontId="24" type="noConversion"/>
  </si>
  <si>
    <t>600宽地柜一片成型包装箱</t>
    <phoneticPr fontId="24" type="noConversion"/>
  </si>
  <si>
    <t>个</t>
    <phoneticPr fontId="24" type="noConversion"/>
  </si>
  <si>
    <t>2MM厚EPE保护膜（1150宽）</t>
    <phoneticPr fontId="24" type="noConversion"/>
  </si>
  <si>
    <t>平板苯板（10mm厚苯板）1900*10*400</t>
    <phoneticPr fontId="24" type="noConversion"/>
  </si>
  <si>
    <t>张</t>
    <phoneticPr fontId="24" type="noConversion"/>
  </si>
  <si>
    <t>小护角</t>
    <phoneticPr fontId="24" type="noConversion"/>
  </si>
  <si>
    <t>900宽地柜一片成型包装箱</t>
    <phoneticPr fontId="24" type="noConversion"/>
  </si>
  <si>
    <t>小护角</t>
    <phoneticPr fontId="24" type="noConversion"/>
  </si>
  <si>
    <t>1200宽地柜一片成型包装箱</t>
    <phoneticPr fontId="24" type="noConversion"/>
  </si>
  <si>
    <t>吊柜</t>
    <phoneticPr fontId="24" type="noConversion"/>
  </si>
  <si>
    <t>600宽吊柜一片成型包装箱</t>
    <phoneticPr fontId="24" type="noConversion"/>
  </si>
  <si>
    <t>只</t>
    <phoneticPr fontId="24" type="noConversion"/>
  </si>
  <si>
    <t>900宽吊柜一片成型包装箱</t>
    <phoneticPr fontId="24" type="noConversion"/>
  </si>
  <si>
    <t>1200宽地柜柜一片成型包装箱</t>
    <phoneticPr fontId="24" type="noConversion"/>
  </si>
  <si>
    <t>450    600</t>
    <phoneticPr fontId="3" type="noConversion"/>
  </si>
  <si>
    <t>半高柜</t>
    <phoneticPr fontId="24" type="noConversion"/>
  </si>
  <si>
    <t>包装纸板1500mm*2400mm</t>
    <phoneticPr fontId="24" type="noConversion"/>
  </si>
  <si>
    <t>含门板包装材料</t>
    <phoneticPr fontId="3" type="noConversion"/>
  </si>
  <si>
    <t>小护角（整件时使用大护角）</t>
    <phoneticPr fontId="24" type="noConversion"/>
  </si>
  <si>
    <t>高柜</t>
    <phoneticPr fontId="24" type="noConversion"/>
  </si>
  <si>
    <t>600*2160高柜一片成型包装箱</t>
    <phoneticPr fontId="24" type="noConversion"/>
  </si>
  <si>
    <t>外地整包包装（抽屉柜、拉篮柜）</t>
    <phoneticPr fontId="3" type="noConversion"/>
  </si>
  <si>
    <t>拉篮柜</t>
    <phoneticPr fontId="3" type="noConversion"/>
  </si>
  <si>
    <t>150宽拉篮柜对口包装箱</t>
  </si>
  <si>
    <t>大护角</t>
    <phoneticPr fontId="24" type="noConversion"/>
  </si>
  <si>
    <t>拉篮柜
抽屉柜</t>
    <phoneticPr fontId="3" type="noConversion"/>
  </si>
  <si>
    <t>600宽拉篮、抽屉柜对口箱</t>
  </si>
  <si>
    <t>平板苯板（10mm厚苯板）2000*10*1000</t>
    <phoneticPr fontId="24" type="noConversion"/>
  </si>
  <si>
    <t>玻璃门板用</t>
    <phoneticPr fontId="24" type="noConversion"/>
  </si>
  <si>
    <t>900宽拉篮、抽屉柜对口箱</t>
  </si>
  <si>
    <t>外地门板</t>
    <phoneticPr fontId="24" type="noConversion"/>
  </si>
  <si>
    <t>297     447</t>
    <phoneticPr fontId="3" type="noConversion"/>
  </si>
  <si>
    <t>450宽门板一片成型包装箱</t>
    <phoneticPr fontId="24" type="noConversion"/>
  </si>
  <si>
    <t>4块门板一包</t>
    <phoneticPr fontId="3" type="noConversion"/>
  </si>
  <si>
    <t>600宽门板一片成型包装箱</t>
    <phoneticPr fontId="24" type="noConversion"/>
  </si>
  <si>
    <t>上翻门600宽门板一片成型包装箱</t>
    <phoneticPr fontId="24" type="noConversion"/>
  </si>
  <si>
    <t>个</t>
    <phoneticPr fontId="24" type="noConversion"/>
  </si>
  <si>
    <t>4块门板一包</t>
    <phoneticPr fontId="3" type="noConversion"/>
  </si>
  <si>
    <t>2MM厚EPE保护膜（1150宽）</t>
    <phoneticPr fontId="24" type="noConversion"/>
  </si>
  <si>
    <t>平板苯板（10mm厚苯板）1900*10*400</t>
    <phoneticPr fontId="24" type="noConversion"/>
  </si>
  <si>
    <t>小护角</t>
    <phoneticPr fontId="24" type="noConversion"/>
  </si>
  <si>
    <t>上翻门900宽门板一片成型包装箱</t>
    <phoneticPr fontId="24" type="noConversion"/>
  </si>
  <si>
    <t>背板、层板、踢脚板、顶线、罗马柱、装饰板类</t>
    <phoneticPr fontId="3" type="noConversion"/>
  </si>
  <si>
    <t>图兰朵</t>
    <phoneticPr fontId="3" type="noConversion"/>
  </si>
  <si>
    <t>柜体数量</t>
    <phoneticPr fontId="3" type="noConversion"/>
  </si>
  <si>
    <t>1--10个</t>
    <phoneticPr fontId="3" type="noConversion"/>
  </si>
  <si>
    <t>包装纸板1500mm*2400mm</t>
    <phoneticPr fontId="24" type="noConversion"/>
  </si>
  <si>
    <t>米</t>
    <phoneticPr fontId="24" type="noConversion"/>
  </si>
  <si>
    <t>L型苯板护角（15mm厚）120*1000*120</t>
    <phoneticPr fontId="24" type="noConversion"/>
  </si>
  <si>
    <t>根</t>
    <phoneticPr fontId="24" type="noConversion"/>
  </si>
  <si>
    <t>罗马柱顶线用</t>
    <phoneticPr fontId="24" type="noConversion"/>
  </si>
  <si>
    <t>11个以上</t>
    <phoneticPr fontId="3" type="noConversion"/>
  </si>
  <si>
    <t>张</t>
    <phoneticPr fontId="24" type="noConversion"/>
  </si>
  <si>
    <t>外地非标柜</t>
    <phoneticPr fontId="24" type="noConversion"/>
  </si>
  <si>
    <t>所有无法使用包装箱的地柜</t>
    <phoneticPr fontId="24" type="noConversion"/>
  </si>
  <si>
    <t>非标地柜</t>
    <phoneticPr fontId="24" type="noConversion"/>
  </si>
  <si>
    <t>此处包装材料用量中已包含非标柜的柜体和门板包装</t>
    <phoneticPr fontId="24" type="noConversion"/>
  </si>
  <si>
    <t>小护角（整件时使用大护角）</t>
    <phoneticPr fontId="24" type="noConversion"/>
  </si>
  <si>
    <t>所有无法使用包装箱的吊柜</t>
    <phoneticPr fontId="24" type="noConversion"/>
  </si>
  <si>
    <t>非标吊柜</t>
    <phoneticPr fontId="24" type="noConversion"/>
  </si>
  <si>
    <t>所有无法使用包装箱的半高柜、高柜</t>
    <phoneticPr fontId="24" type="noConversion"/>
  </si>
  <si>
    <t>非标半高柜、高柜</t>
    <phoneticPr fontId="24" type="noConversion"/>
  </si>
  <si>
    <t>版本型录号</t>
    <phoneticPr fontId="3" type="noConversion"/>
  </si>
  <si>
    <t>本地非标柜</t>
    <phoneticPr fontId="24" type="noConversion"/>
  </si>
  <si>
    <t>个</t>
    <phoneticPr fontId="33" type="noConversion"/>
  </si>
  <si>
    <t>本地衣帽间180高护角240*360</t>
    <phoneticPr fontId="24" type="noConversion"/>
  </si>
  <si>
    <t>本地衣帽间180高护角240*360</t>
    <phoneticPr fontId="24" type="noConversion"/>
  </si>
  <si>
    <t>硬纸护角41mm高</t>
  </si>
  <si>
    <t>热熔胶</t>
    <phoneticPr fontId="3" type="noConversion"/>
  </si>
  <si>
    <t>城市</t>
    <phoneticPr fontId="3" type="noConversion"/>
  </si>
  <si>
    <t>款式</t>
    <phoneticPr fontId="3" type="noConversion"/>
  </si>
  <si>
    <t>8803A</t>
  </si>
  <si>
    <t>香草天空Ⅱ</t>
    <phoneticPr fontId="49" type="noConversion"/>
  </si>
  <si>
    <t>版本型录号</t>
  </si>
  <si>
    <t>门板生产加工单（自加工）</t>
    <phoneticPr fontId="49" type="noConversion"/>
  </si>
  <si>
    <t>浮士德</t>
    <phoneticPr fontId="49" type="noConversion"/>
  </si>
  <si>
    <t>销售订单号</t>
    <phoneticPr fontId="49" type="noConversion"/>
  </si>
  <si>
    <t>客户姓名：</t>
    <phoneticPr fontId="49" type="noConversion"/>
  </si>
  <si>
    <t>版本型录号</t>
    <phoneticPr fontId="49" type="noConversion"/>
  </si>
  <si>
    <t>总数量：</t>
    <phoneticPr fontId="49" type="noConversion"/>
  </si>
  <si>
    <t>图纸编号：</t>
    <phoneticPr fontId="49" type="noConversion"/>
  </si>
  <si>
    <t>应完成日期</t>
    <phoneticPr fontId="49" type="noConversion"/>
  </si>
  <si>
    <r>
      <t>P</t>
    </r>
    <r>
      <rPr>
        <sz val="12"/>
        <rFont val="宋体"/>
        <family val="3"/>
        <charset val="134"/>
      </rPr>
      <t>02米黄</t>
    </r>
    <phoneticPr fontId="49" type="noConversion"/>
  </si>
  <si>
    <t>米黄麻单贴三聚氰胺罗宾E1级镂铣中密度板</t>
    <phoneticPr fontId="49" type="noConversion"/>
  </si>
  <si>
    <t>米黄吸塑膜</t>
    <phoneticPr fontId="49" type="noConversion"/>
  </si>
  <si>
    <t>米黄麻玻璃压条</t>
    <phoneticPr fontId="49" type="noConversion"/>
  </si>
  <si>
    <r>
      <t>P</t>
    </r>
    <r>
      <rPr>
        <sz val="12"/>
        <rFont val="宋体"/>
        <family val="3"/>
        <charset val="134"/>
      </rPr>
      <t>02</t>
    </r>
    <phoneticPr fontId="49" type="noConversion"/>
  </si>
  <si>
    <t>米黄</t>
    <phoneticPr fontId="49" type="noConversion"/>
  </si>
  <si>
    <t>门板描述：</t>
    <phoneticPr fontId="49" type="noConversion"/>
  </si>
  <si>
    <t>橱柜款式</t>
    <phoneticPr fontId="49" type="noConversion"/>
  </si>
  <si>
    <t>P01月牙白</t>
    <phoneticPr fontId="49" type="noConversion"/>
  </si>
  <si>
    <t>月牙白吸塑膜</t>
    <phoneticPr fontId="49" type="noConversion"/>
  </si>
  <si>
    <t>暖白玻璃压条</t>
  </si>
  <si>
    <r>
      <t>P</t>
    </r>
    <r>
      <rPr>
        <sz val="12"/>
        <rFont val="宋体"/>
        <family val="3"/>
        <charset val="134"/>
      </rPr>
      <t>01</t>
    </r>
    <phoneticPr fontId="49" type="noConversion"/>
  </si>
  <si>
    <t>银灰</t>
    <phoneticPr fontId="49" type="noConversion"/>
  </si>
  <si>
    <t>P08 樱桃色(开门竖纹）（抽屉和翻门为横纹）</t>
    <phoneticPr fontId="49" type="noConversion"/>
  </si>
  <si>
    <t>触感红樱桃单贴三聚氰胺罗宾镂铣E1级中密度板</t>
    <phoneticPr fontId="49" type="noConversion"/>
  </si>
  <si>
    <t>樱桃吸塑膜</t>
  </si>
  <si>
    <t>樱桃玻璃压条</t>
  </si>
  <si>
    <r>
      <t>P</t>
    </r>
    <r>
      <rPr>
        <sz val="12"/>
        <rFont val="宋体"/>
        <family val="3"/>
        <charset val="134"/>
      </rPr>
      <t>08</t>
    </r>
    <phoneticPr fontId="49" type="noConversion"/>
  </si>
  <si>
    <t>樱桃</t>
    <phoneticPr fontId="49" type="noConversion"/>
  </si>
  <si>
    <t>说明</t>
    <phoneticPr fontId="49" type="noConversion"/>
  </si>
  <si>
    <t>成型尺寸</t>
    <phoneticPr fontId="49" type="noConversion"/>
  </si>
  <si>
    <t>下料尺寸</t>
    <phoneticPr fontId="49" type="noConversion"/>
  </si>
  <si>
    <t>箱体序号</t>
    <phoneticPr fontId="49" type="noConversion"/>
  </si>
  <si>
    <t>宽度</t>
  </si>
  <si>
    <t>高度</t>
    <phoneticPr fontId="49" type="noConversion"/>
  </si>
  <si>
    <t>数量</t>
    <phoneticPr fontId="49" type="noConversion"/>
  </si>
  <si>
    <t>宽度</t>
    <phoneticPr fontId="49" type="noConversion"/>
  </si>
  <si>
    <t>门板颜色</t>
    <phoneticPr fontId="49" type="noConversion"/>
  </si>
  <si>
    <t xml:space="preserve">加工刀型 </t>
    <phoneticPr fontId="49" type="noConversion"/>
  </si>
  <si>
    <t>门板平米</t>
    <phoneticPr fontId="49" type="noConversion"/>
  </si>
  <si>
    <t>吸塑平米</t>
    <phoneticPr fontId="49" type="noConversion"/>
  </si>
  <si>
    <t>门板张数</t>
    <phoneticPr fontId="49" type="noConversion"/>
  </si>
  <si>
    <t>门板压条</t>
    <phoneticPr fontId="49" type="noConversion"/>
  </si>
  <si>
    <t>门板吸塑胶</t>
    <phoneticPr fontId="49" type="noConversion"/>
  </si>
  <si>
    <t>罗马柱础吸塑胶</t>
    <phoneticPr fontId="49" type="noConversion"/>
  </si>
  <si>
    <t>罗马柱吸塑胶</t>
    <phoneticPr fontId="49" type="noConversion"/>
  </si>
  <si>
    <t>踢脚板</t>
    <phoneticPr fontId="49" type="noConversion"/>
  </si>
  <si>
    <t>平板无刀型</t>
    <phoneticPr fontId="49" type="noConversion"/>
  </si>
  <si>
    <t>罗马柱</t>
    <phoneticPr fontId="49" type="noConversion"/>
  </si>
  <si>
    <t>25A</t>
    <phoneticPr fontId="49" type="noConversion"/>
  </si>
  <si>
    <t>罗马柱础</t>
    <phoneticPr fontId="49" type="noConversion"/>
  </si>
  <si>
    <t>罗马柱小方块</t>
    <phoneticPr fontId="49" type="noConversion"/>
  </si>
  <si>
    <t>一个罗马柱两个</t>
    <phoneticPr fontId="49" type="noConversion"/>
  </si>
  <si>
    <t>顶线</t>
    <phoneticPr fontId="49" type="noConversion"/>
  </si>
  <si>
    <t>18A</t>
    <phoneticPr fontId="49" type="noConversion"/>
  </si>
  <si>
    <t>门板平米：</t>
    <phoneticPr fontId="49" type="noConversion"/>
  </si>
  <si>
    <t>说明：按照2012新工艺铣型</t>
    <phoneticPr fontId="49" type="noConversion"/>
  </si>
  <si>
    <t>此单分下料尺寸和成型尺寸2种，请生产各工段注意！</t>
    <phoneticPr fontId="49" type="noConversion"/>
  </si>
  <si>
    <r>
      <t>如有材质、颜色、尺寸不明请和工艺组联系并确认</t>
    </r>
    <r>
      <rPr>
        <sz val="14"/>
        <rFont val="宋体"/>
        <family val="3"/>
        <charset val="134"/>
      </rPr>
      <t>！</t>
    </r>
    <r>
      <rPr>
        <sz val="14"/>
        <rFont val="华文行楷"/>
        <family val="3"/>
        <charset val="134"/>
      </rPr>
      <t xml:space="preserve">  分机电话：</t>
    </r>
    <r>
      <rPr>
        <sz val="14"/>
        <rFont val="华文行楷"/>
        <family val="3"/>
        <charset val="134"/>
      </rPr>
      <t>2207</t>
    </r>
    <phoneticPr fontId="49" type="noConversion"/>
  </si>
  <si>
    <t>制单人：</t>
    <phoneticPr fontId="49" type="noConversion"/>
  </si>
  <si>
    <t>订单编号：</t>
    <phoneticPr fontId="49" type="noConversion"/>
  </si>
  <si>
    <t>签单日期</t>
    <phoneticPr fontId="49" type="noConversion"/>
  </si>
  <si>
    <t>宽</t>
    <phoneticPr fontId="49" type="noConversion"/>
  </si>
  <si>
    <t>高</t>
    <phoneticPr fontId="49" type="noConversion"/>
  </si>
  <si>
    <t>平米</t>
    <phoneticPr fontId="49" type="noConversion"/>
  </si>
  <si>
    <t>玻璃平米</t>
    <phoneticPr fontId="49" type="noConversion"/>
  </si>
  <si>
    <t>客户姓名</t>
    <phoneticPr fontId="49" type="noConversion"/>
  </si>
  <si>
    <t>生产周期：</t>
    <phoneticPr fontId="49" type="noConversion"/>
  </si>
  <si>
    <t>天</t>
    <phoneticPr fontId="49" type="noConversion"/>
  </si>
  <si>
    <t>下单日期</t>
    <phoneticPr fontId="49" type="noConversion"/>
  </si>
  <si>
    <t>橱柜款式：</t>
    <phoneticPr fontId="49" type="noConversion"/>
  </si>
  <si>
    <t>安装日期</t>
    <phoneticPr fontId="49" type="noConversion"/>
  </si>
  <si>
    <t>项目</t>
    <phoneticPr fontId="49" type="noConversion"/>
  </si>
  <si>
    <t>序号</t>
    <phoneticPr fontId="49" type="noConversion"/>
  </si>
  <si>
    <t>材料名称</t>
    <phoneticPr fontId="49" type="noConversion"/>
  </si>
  <si>
    <t>型号规格</t>
    <phoneticPr fontId="49" type="noConversion"/>
  </si>
  <si>
    <t>单位</t>
    <phoneticPr fontId="49" type="noConversion"/>
  </si>
  <si>
    <t>材料名称</t>
  </si>
  <si>
    <t>颜色</t>
    <phoneticPr fontId="49" type="noConversion"/>
  </si>
  <si>
    <t>门板顶线罗马柱</t>
    <phoneticPr fontId="49" type="noConversion"/>
  </si>
  <si>
    <t>门板</t>
    <phoneticPr fontId="49" type="noConversion"/>
  </si>
  <si>
    <t>18*4*8尺</t>
    <phoneticPr fontId="49" type="noConversion"/>
  </si>
  <si>
    <t>张</t>
    <phoneticPr fontId="49" type="noConversion"/>
  </si>
  <si>
    <t>门板辅助材料</t>
    <phoneticPr fontId="49" type="noConversion"/>
  </si>
  <si>
    <t>0.35*1450</t>
    <phoneticPr fontId="49" type="noConversion"/>
  </si>
  <si>
    <t>25*4*8尺</t>
    <phoneticPr fontId="49" type="noConversion"/>
  </si>
  <si>
    <t>克力宝真空吸塑胶436.2（主剂）26千克/桶</t>
    <phoneticPr fontId="49" type="noConversion"/>
  </si>
  <si>
    <t>克</t>
    <phoneticPr fontId="49" type="noConversion"/>
  </si>
  <si>
    <t>克力宝真空吸塑胶807.0（固化剂）650克/瓶</t>
    <phoneticPr fontId="49" type="noConversion"/>
  </si>
  <si>
    <t>透明玻璃</t>
    <phoneticPr fontId="49" type="noConversion"/>
  </si>
  <si>
    <t>玻璃</t>
    <phoneticPr fontId="49" type="noConversion"/>
  </si>
  <si>
    <t>5*1830*2440</t>
    <phoneticPr fontId="49" type="noConversion"/>
  </si>
  <si>
    <t>顶线半成品</t>
    <phoneticPr fontId="49" type="noConversion"/>
  </si>
  <si>
    <t>根</t>
    <phoneticPr fontId="49" type="noConversion"/>
  </si>
  <si>
    <t>玉砂玻璃</t>
    <phoneticPr fontId="49" type="noConversion"/>
  </si>
  <si>
    <t>米</t>
    <phoneticPr fontId="49" type="noConversion"/>
  </si>
  <si>
    <t>花线</t>
    <phoneticPr fontId="49" type="noConversion"/>
  </si>
  <si>
    <t>水银镜</t>
    <phoneticPr fontId="49" type="noConversion"/>
  </si>
  <si>
    <t>波音软片</t>
    <phoneticPr fontId="49" type="noConversion"/>
  </si>
  <si>
    <t>罗马柱头半成品</t>
    <phoneticPr fontId="49" type="noConversion"/>
  </si>
  <si>
    <r>
      <t>4</t>
    </r>
    <r>
      <rPr>
        <sz val="12"/>
        <rFont val="宋体"/>
        <family val="3"/>
        <charset val="134"/>
      </rPr>
      <t>2*42</t>
    </r>
    <phoneticPr fontId="49" type="noConversion"/>
  </si>
  <si>
    <t>个</t>
    <phoneticPr fontId="49" type="noConversion"/>
  </si>
  <si>
    <t>透明玻璃/水银镜</t>
    <phoneticPr fontId="49" type="noConversion"/>
  </si>
  <si>
    <t>包装</t>
    <phoneticPr fontId="49" type="noConversion"/>
  </si>
  <si>
    <t>玻璃压条</t>
    <phoneticPr fontId="49" type="noConversion"/>
  </si>
  <si>
    <t>配料：</t>
    <phoneticPr fontId="49" type="noConversion"/>
  </si>
  <si>
    <t>审核人：</t>
    <phoneticPr fontId="49" type="noConversion"/>
  </si>
  <si>
    <t>配料日期：</t>
    <phoneticPr fontId="49" type="noConversion"/>
  </si>
  <si>
    <t>审核日期：</t>
    <phoneticPr fontId="49" type="noConversion"/>
  </si>
  <si>
    <t>包装纸板1500mm*2400mm（三层瓦楞纸)</t>
    <phoneticPr fontId="49" type="noConversion"/>
  </si>
  <si>
    <t>张</t>
    <phoneticPr fontId="49" type="noConversion"/>
  </si>
  <si>
    <t>气垫膜</t>
    <phoneticPr fontId="49" type="noConversion"/>
  </si>
  <si>
    <t>米</t>
    <phoneticPr fontId="49" type="noConversion"/>
  </si>
  <si>
    <t>个</t>
    <phoneticPr fontId="49" type="noConversion"/>
  </si>
  <si>
    <t>产品系列</t>
    <phoneticPr fontId="49" type="noConversion"/>
  </si>
  <si>
    <t>实木</t>
    <phoneticPr fontId="49" type="noConversion"/>
  </si>
  <si>
    <t>混油</t>
    <phoneticPr fontId="49" type="noConversion"/>
  </si>
  <si>
    <t>清油</t>
    <phoneticPr fontId="49" type="noConversion"/>
  </si>
  <si>
    <t>吸塑</t>
    <phoneticPr fontId="49" type="noConversion"/>
  </si>
  <si>
    <t>免漆</t>
    <phoneticPr fontId="49" type="noConversion"/>
  </si>
  <si>
    <t>铝框</t>
    <phoneticPr fontId="49" type="noConversion"/>
  </si>
  <si>
    <t>序号</t>
    <phoneticPr fontId="49" type="noConversion"/>
  </si>
  <si>
    <t>工序名称</t>
    <phoneticPr fontId="49" type="noConversion"/>
  </si>
  <si>
    <t>成品数量</t>
    <phoneticPr fontId="49" type="noConversion"/>
  </si>
  <si>
    <t>接单日期</t>
    <phoneticPr fontId="49" type="noConversion"/>
  </si>
  <si>
    <t>完成日期</t>
    <phoneticPr fontId="49" type="noConversion"/>
  </si>
  <si>
    <t>主机手</t>
    <phoneticPr fontId="49" type="noConversion"/>
  </si>
  <si>
    <t>质检</t>
    <phoneticPr fontId="49" type="noConversion"/>
  </si>
  <si>
    <t>备注</t>
    <phoneticPr fontId="49" type="noConversion"/>
  </si>
  <si>
    <t>下料</t>
    <phoneticPr fontId="49" type="noConversion"/>
  </si>
  <si>
    <t>码龙骨</t>
    <phoneticPr fontId="49" type="noConversion"/>
  </si>
  <si>
    <t>定厚砂光</t>
    <phoneticPr fontId="49" type="noConversion"/>
  </si>
  <si>
    <t>四面刨</t>
    <phoneticPr fontId="49" type="noConversion"/>
  </si>
  <si>
    <t>热压</t>
    <phoneticPr fontId="49" type="noConversion"/>
  </si>
  <si>
    <t>木皮切割</t>
    <phoneticPr fontId="49" type="noConversion"/>
  </si>
  <si>
    <t>木皮拼线</t>
    <phoneticPr fontId="49" type="noConversion"/>
  </si>
  <si>
    <t>木皮涂胶</t>
    <phoneticPr fontId="49" type="noConversion"/>
  </si>
  <si>
    <t>木皮砂光</t>
    <phoneticPr fontId="49" type="noConversion"/>
  </si>
  <si>
    <t>包覆机</t>
    <phoneticPr fontId="49" type="noConversion"/>
  </si>
  <si>
    <t>层板铝扣条</t>
    <phoneticPr fontId="49" type="noConversion"/>
  </si>
  <si>
    <t>铝制踢脚板</t>
    <phoneticPr fontId="49" type="noConversion"/>
  </si>
  <si>
    <t>封边</t>
    <phoneticPr fontId="49" type="noConversion"/>
  </si>
  <si>
    <t>排钻</t>
    <phoneticPr fontId="49" type="noConversion"/>
  </si>
  <si>
    <t>门板制作</t>
    <phoneticPr fontId="49" type="noConversion"/>
  </si>
  <si>
    <t>铣型</t>
    <phoneticPr fontId="49" type="noConversion"/>
  </si>
  <si>
    <t>异型封边</t>
    <phoneticPr fontId="49" type="noConversion"/>
  </si>
  <si>
    <t>COSTA砂光</t>
    <phoneticPr fontId="49" type="noConversion"/>
  </si>
  <si>
    <t>滚涂底漆</t>
    <phoneticPr fontId="49" type="noConversion"/>
  </si>
  <si>
    <t>手工清理边角</t>
    <phoneticPr fontId="49" type="noConversion"/>
  </si>
  <si>
    <t>双面砂边</t>
    <phoneticPr fontId="49" type="noConversion"/>
  </si>
  <si>
    <t>COSTA底漆</t>
    <phoneticPr fontId="49" type="noConversion"/>
  </si>
  <si>
    <t>手工边缘打磨</t>
    <phoneticPr fontId="49" type="noConversion"/>
  </si>
  <si>
    <t>清理除尘</t>
    <phoneticPr fontId="49" type="noConversion"/>
  </si>
  <si>
    <t>CEFLA白底</t>
    <phoneticPr fontId="49" type="noConversion"/>
  </si>
  <si>
    <t>手工喷漆</t>
    <phoneticPr fontId="49" type="noConversion"/>
  </si>
  <si>
    <t>手工润色</t>
    <phoneticPr fontId="49" type="noConversion"/>
  </si>
  <si>
    <t>水磨</t>
    <phoneticPr fontId="49" type="noConversion"/>
  </si>
  <si>
    <t>抛光</t>
    <phoneticPr fontId="49" type="noConversion"/>
  </si>
  <si>
    <t>组装</t>
    <phoneticPr fontId="49" type="noConversion"/>
  </si>
  <si>
    <t>拉篮</t>
    <phoneticPr fontId="49" type="noConversion"/>
  </si>
  <si>
    <t>小怪物</t>
    <phoneticPr fontId="49" type="noConversion"/>
  </si>
  <si>
    <t>铝框门</t>
    <phoneticPr fontId="49" type="noConversion"/>
  </si>
  <si>
    <t>门铰</t>
    <phoneticPr fontId="49" type="noConversion"/>
  </si>
  <si>
    <t>铝百叶</t>
    <phoneticPr fontId="49" type="noConversion"/>
  </si>
  <si>
    <t>安玻璃</t>
    <phoneticPr fontId="49" type="noConversion"/>
  </si>
  <si>
    <t>扣手</t>
    <phoneticPr fontId="49" type="noConversion"/>
  </si>
  <si>
    <t>封边拉手</t>
    <phoneticPr fontId="49" type="noConversion"/>
  </si>
  <si>
    <t>打包</t>
    <phoneticPr fontId="49" type="noConversion"/>
  </si>
  <si>
    <t>工艺员：</t>
    <phoneticPr fontId="49" type="noConversion"/>
  </si>
  <si>
    <t>车间负责人：</t>
    <phoneticPr fontId="49" type="noConversion"/>
  </si>
  <si>
    <t>门板生产加工单（自加工）</t>
    <phoneticPr fontId="3" type="noConversion"/>
  </si>
  <si>
    <t>客户姓名：</t>
    <phoneticPr fontId="3" type="noConversion"/>
  </si>
  <si>
    <t>总数量：</t>
    <phoneticPr fontId="3" type="noConversion"/>
  </si>
  <si>
    <t>亚马逊</t>
    <phoneticPr fontId="3" type="noConversion"/>
  </si>
  <si>
    <t>门板描述：</t>
    <phoneticPr fontId="3" type="noConversion"/>
  </si>
  <si>
    <t>M11暖白+2.0*22暖白PVC</t>
  </si>
  <si>
    <t>左岸都市II</t>
    <phoneticPr fontId="3" type="noConversion"/>
  </si>
  <si>
    <t>PVC</t>
    <phoneticPr fontId="3" type="noConversion"/>
  </si>
  <si>
    <t>3+1</t>
    <phoneticPr fontId="3" type="noConversion"/>
  </si>
  <si>
    <t>简爱I</t>
    <phoneticPr fontId="3" type="noConversion"/>
  </si>
  <si>
    <t>说明</t>
    <phoneticPr fontId="3" type="noConversion"/>
  </si>
  <si>
    <t>成型尺寸</t>
    <phoneticPr fontId="3" type="noConversion"/>
  </si>
  <si>
    <t>下料尺寸</t>
    <phoneticPr fontId="3" type="noConversion"/>
  </si>
  <si>
    <t>所有下料纹理方向均为高度方向</t>
    <phoneticPr fontId="3" type="noConversion"/>
  </si>
  <si>
    <t>简爱II</t>
    <phoneticPr fontId="3" type="noConversion"/>
  </si>
  <si>
    <t>箱体序号</t>
    <phoneticPr fontId="3" type="noConversion"/>
  </si>
  <si>
    <t>高度</t>
    <phoneticPr fontId="3" type="noConversion"/>
  </si>
  <si>
    <t>门板颜色</t>
    <phoneticPr fontId="3" type="noConversion"/>
  </si>
  <si>
    <t>LC-001铝材</t>
    <phoneticPr fontId="3" type="noConversion"/>
  </si>
  <si>
    <t>门板平米</t>
    <phoneticPr fontId="3" type="noConversion"/>
  </si>
  <si>
    <t>门板张数</t>
    <phoneticPr fontId="3" type="noConversion"/>
  </si>
  <si>
    <t>悦章</t>
    <phoneticPr fontId="3" type="noConversion"/>
  </si>
  <si>
    <r>
      <t>M01-01触感浅橡</t>
    </r>
    <r>
      <rPr>
        <sz val="12"/>
        <rFont val="宋体"/>
        <family val="3"/>
        <charset val="134"/>
      </rPr>
      <t>(横纹）</t>
    </r>
    <phoneticPr fontId="3" type="noConversion"/>
  </si>
  <si>
    <t>触感浅橡双贴三聚氰胺EO级刨花板</t>
    <phoneticPr fontId="3" type="noConversion"/>
  </si>
  <si>
    <t>2.0*22浅橡PVC</t>
    <phoneticPr fontId="3" type="noConversion"/>
  </si>
  <si>
    <r>
      <t>M03-01触感红樱桃</t>
    </r>
    <r>
      <rPr>
        <sz val="12"/>
        <rFont val="宋体"/>
        <family val="3"/>
        <charset val="134"/>
      </rPr>
      <t>(</t>
    </r>
    <r>
      <rPr>
        <sz val="12"/>
        <rFont val="宋体"/>
        <family val="3"/>
        <charset val="134"/>
      </rPr>
      <t>横纹）</t>
    </r>
    <phoneticPr fontId="3" type="noConversion"/>
  </si>
  <si>
    <t>触感红樱桃双贴三聚氰胺EO级刨花板</t>
    <phoneticPr fontId="3" type="noConversion"/>
  </si>
  <si>
    <t>2.0*22红樱桃橡PVC</t>
    <phoneticPr fontId="3" type="noConversion"/>
  </si>
  <si>
    <r>
      <t>M06-01触感深橡</t>
    </r>
    <r>
      <rPr>
        <sz val="12"/>
        <rFont val="宋体"/>
        <family val="3"/>
        <charset val="134"/>
      </rPr>
      <t>(</t>
    </r>
    <r>
      <rPr>
        <sz val="12"/>
        <rFont val="宋体"/>
        <family val="3"/>
        <charset val="134"/>
      </rPr>
      <t>横纹）</t>
    </r>
    <phoneticPr fontId="3" type="noConversion"/>
  </si>
  <si>
    <t>触感深橡双贴三聚氰胺E0级刨花板</t>
    <phoneticPr fontId="3" type="noConversion"/>
  </si>
  <si>
    <t>2.0*22深橡PVC</t>
    <phoneticPr fontId="3" type="noConversion"/>
  </si>
  <si>
    <t>M11暖白</t>
    <phoneticPr fontId="3" type="noConversion"/>
  </si>
  <si>
    <t>暖白双贴三聚氰胺E0级刨花板（竖纹）</t>
    <phoneticPr fontId="3" type="noConversion"/>
  </si>
  <si>
    <t>2.0*22暖白PVC</t>
    <phoneticPr fontId="3" type="noConversion"/>
  </si>
  <si>
    <r>
      <t>M07艺术胡桃</t>
    </r>
    <r>
      <rPr>
        <sz val="12"/>
        <rFont val="宋体"/>
        <family val="3"/>
        <charset val="134"/>
      </rPr>
      <t>(</t>
    </r>
    <r>
      <rPr>
        <sz val="12"/>
        <rFont val="宋体"/>
        <family val="3"/>
        <charset val="134"/>
      </rPr>
      <t>横纹）</t>
    </r>
    <phoneticPr fontId="3" type="noConversion"/>
  </si>
  <si>
    <t>艺术胡桃双贴三聚氰胺E0级刨花板（竖纹）</t>
    <phoneticPr fontId="3" type="noConversion"/>
  </si>
  <si>
    <t>2.0*22艺术胡桃PVC</t>
    <phoneticPr fontId="3" type="noConversion"/>
  </si>
  <si>
    <t>M13荷花白</t>
    <phoneticPr fontId="3" type="noConversion"/>
  </si>
  <si>
    <t>荷花白双贴三聚氰胺E0级刨花板</t>
    <phoneticPr fontId="3" type="noConversion"/>
  </si>
  <si>
    <r>
      <t>2.0*22荷花白</t>
    </r>
    <r>
      <rPr>
        <sz val="12"/>
        <rFont val="宋体"/>
        <family val="3"/>
        <charset val="134"/>
      </rPr>
      <t>PVC</t>
    </r>
    <phoneticPr fontId="3" type="noConversion"/>
  </si>
  <si>
    <t>M16触感铁灰+2.0*22铁灰PVC</t>
    <phoneticPr fontId="3" type="noConversion"/>
  </si>
  <si>
    <t>M16触感铁灰</t>
    <phoneticPr fontId="3" type="noConversion"/>
  </si>
  <si>
    <t>触感铁灰双贴三聚氰胺级E0刨花板</t>
    <phoneticPr fontId="3" type="noConversion"/>
  </si>
  <si>
    <r>
      <t>2.0*22铁灰</t>
    </r>
    <r>
      <rPr>
        <sz val="12"/>
        <rFont val="宋体"/>
        <family val="3"/>
        <charset val="134"/>
      </rPr>
      <t>PVC</t>
    </r>
    <phoneticPr fontId="3" type="noConversion"/>
  </si>
  <si>
    <t>M17豆绿哑光</t>
    <phoneticPr fontId="3" type="noConversion"/>
  </si>
  <si>
    <t>豆绿哑光双贴三聚氰胺级EO刨花板</t>
    <phoneticPr fontId="3" type="noConversion"/>
  </si>
  <si>
    <t>M28白蜡木(横纹）</t>
    <phoneticPr fontId="3" type="noConversion"/>
  </si>
  <si>
    <t>白蜡木双贴三聚氰胺E0级刨花板</t>
    <phoneticPr fontId="3" type="noConversion"/>
  </si>
  <si>
    <t>2.0*22白蜡木PVC</t>
    <phoneticPr fontId="3" type="noConversion"/>
  </si>
  <si>
    <t>M01-2浮雕浅橡(横纹）</t>
    <phoneticPr fontId="3" type="noConversion"/>
  </si>
  <si>
    <t>浅橡浮雕双贴三聚氰胺E0级刨花板</t>
    <phoneticPr fontId="3" type="noConversion"/>
  </si>
  <si>
    <t>2.0*22浮雕浅橡PVC</t>
    <phoneticPr fontId="3" type="noConversion"/>
  </si>
  <si>
    <t>M29-深胡桃(横纹）</t>
    <phoneticPr fontId="3" type="noConversion"/>
  </si>
  <si>
    <t>深胡桃双贴三聚氰胺E0级刨花板</t>
    <phoneticPr fontId="3" type="noConversion"/>
  </si>
  <si>
    <t>2.0*22深胡桃PVC</t>
    <phoneticPr fontId="3" type="noConversion"/>
  </si>
  <si>
    <t>M30柚木(横纹）</t>
    <phoneticPr fontId="3" type="noConversion"/>
  </si>
  <si>
    <t>柚木双贴三聚氰胺E0级刨花板</t>
    <phoneticPr fontId="3" type="noConversion"/>
  </si>
  <si>
    <t>2.0*22柚木PVC</t>
    <phoneticPr fontId="3" type="noConversion"/>
  </si>
  <si>
    <t>M43</t>
    <phoneticPr fontId="3" type="noConversion"/>
  </si>
  <si>
    <t>奶油灰高光双贴三聚氰胺E1级中密度板</t>
    <phoneticPr fontId="3" type="noConversion"/>
  </si>
  <si>
    <t>铝色PVC2.0*22</t>
    <phoneticPr fontId="3" type="noConversion"/>
  </si>
  <si>
    <t>M38</t>
    <phoneticPr fontId="3" type="noConversion"/>
  </si>
  <si>
    <t>酒红高光双贴三聚氰胺E1级中密度板</t>
    <phoneticPr fontId="3" type="noConversion"/>
  </si>
  <si>
    <t>M39</t>
  </si>
  <si>
    <t>黑檀高光双贴三聚氰胺E1级中密度板</t>
    <phoneticPr fontId="3" type="noConversion"/>
  </si>
  <si>
    <t>M40</t>
  </si>
  <si>
    <t>香槟高光双贴三聚氰胺E1级中密度板</t>
  </si>
  <si>
    <t>M41</t>
  </si>
  <si>
    <t>湛蓝高光双贴三聚氰胺E1级中密度板</t>
    <phoneticPr fontId="3" type="noConversion"/>
  </si>
  <si>
    <t>M42</t>
  </si>
  <si>
    <t>纯白高光双贴三聚氰胺E1级中密度板</t>
    <phoneticPr fontId="3" type="noConversion"/>
  </si>
  <si>
    <r>
      <t>M21银灰波浪</t>
    </r>
    <r>
      <rPr>
        <sz val="12"/>
        <rFont val="宋体"/>
        <family val="3"/>
        <charset val="134"/>
      </rPr>
      <t>(</t>
    </r>
    <r>
      <rPr>
        <sz val="12"/>
        <rFont val="宋体"/>
        <family val="3"/>
        <charset val="134"/>
      </rPr>
      <t>横纹）</t>
    </r>
    <phoneticPr fontId="3" type="noConversion"/>
  </si>
  <si>
    <t>银灰波浪双贴三聚氰胺级EO刨花板</t>
    <phoneticPr fontId="3" type="noConversion"/>
  </si>
  <si>
    <t>2.0*22银灰波浪PVC</t>
    <phoneticPr fontId="3" type="noConversion"/>
  </si>
  <si>
    <r>
      <t>M24荷花白波浪</t>
    </r>
    <r>
      <rPr>
        <sz val="12"/>
        <rFont val="宋体"/>
        <family val="3"/>
        <charset val="134"/>
      </rPr>
      <t>(</t>
    </r>
    <r>
      <rPr>
        <sz val="12"/>
        <rFont val="宋体"/>
        <family val="3"/>
        <charset val="134"/>
      </rPr>
      <t>横纹）</t>
    </r>
    <phoneticPr fontId="3" type="noConversion"/>
  </si>
  <si>
    <t>18厚M24荷花白波浪双贴三聚氰胺刨花板</t>
    <phoneticPr fontId="3" type="noConversion"/>
  </si>
  <si>
    <t>合计数</t>
    <phoneticPr fontId="3" type="noConversion"/>
  </si>
  <si>
    <t>M25银灰</t>
    <phoneticPr fontId="3" type="noConversion"/>
  </si>
  <si>
    <t>18mm银灰双贴三聚氰胺级刨花板</t>
    <phoneticPr fontId="3" type="noConversion"/>
  </si>
  <si>
    <r>
      <t>2.0*22银灰</t>
    </r>
    <r>
      <rPr>
        <sz val="12"/>
        <rFont val="宋体"/>
        <family val="3"/>
        <charset val="134"/>
      </rPr>
      <t>PVC</t>
    </r>
    <phoneticPr fontId="3" type="noConversion"/>
  </si>
  <si>
    <r>
      <t>M1</t>
    </r>
    <r>
      <rPr>
        <sz val="12"/>
        <rFont val="宋体"/>
        <family val="3"/>
        <charset val="134"/>
      </rPr>
      <t>6铁灰</t>
    </r>
    <r>
      <rPr>
        <sz val="12"/>
        <rFont val="宋体"/>
        <family val="3"/>
        <charset val="134"/>
      </rPr>
      <t>+T型铝封边</t>
    </r>
    <phoneticPr fontId="3" type="noConversion"/>
  </si>
  <si>
    <t>M16铁灰</t>
    <phoneticPr fontId="3" type="noConversion"/>
  </si>
  <si>
    <t>铁灰双贴三聚氰胺级E0刨花板</t>
    <phoneticPr fontId="3" type="noConversion"/>
  </si>
  <si>
    <r>
      <t>如有材质、颜色、尺寸不明请和工艺组联系并确认</t>
    </r>
    <r>
      <rPr>
        <sz val="14"/>
        <rFont val="宋体"/>
        <family val="3"/>
        <charset val="134"/>
      </rPr>
      <t>！</t>
    </r>
    <r>
      <rPr>
        <sz val="14"/>
        <rFont val="华文行楷"/>
        <family val="3"/>
        <charset val="134"/>
      </rPr>
      <t xml:space="preserve">  分机电话：</t>
    </r>
    <r>
      <rPr>
        <sz val="14"/>
        <rFont val="华文中宋"/>
        <family val="3"/>
        <charset val="134"/>
      </rPr>
      <t>2160</t>
    </r>
    <phoneticPr fontId="3" type="noConversion"/>
  </si>
  <si>
    <t>制单人：</t>
    <phoneticPr fontId="3" type="noConversion"/>
  </si>
  <si>
    <t>纯色，竖纹</t>
    <phoneticPr fontId="3" type="noConversion"/>
  </si>
  <si>
    <t>横纹</t>
    <phoneticPr fontId="3" type="noConversion"/>
  </si>
  <si>
    <t>对纹</t>
    <phoneticPr fontId="3" type="noConversion"/>
  </si>
  <si>
    <t>客户姓名：</t>
  </si>
  <si>
    <t>款式：</t>
    <phoneticPr fontId="3" type="noConversion"/>
  </si>
  <si>
    <t>图纸编号：</t>
  </si>
  <si>
    <t>型号.规格.颜色</t>
    <phoneticPr fontId="3" type="noConversion"/>
  </si>
  <si>
    <t>门板顶线罗马柱</t>
    <phoneticPr fontId="3" type="noConversion"/>
  </si>
  <si>
    <t>18*4*8</t>
    <phoneticPr fontId="3" type="noConversion"/>
  </si>
  <si>
    <t>门板加工辅助材料</t>
    <phoneticPr fontId="3" type="noConversion"/>
  </si>
  <si>
    <t>通长铝拉手</t>
    <phoneticPr fontId="3" type="noConversion"/>
  </si>
  <si>
    <r>
      <t>L</t>
    </r>
    <r>
      <rPr>
        <sz val="12"/>
        <color indexed="10"/>
        <rFont val="宋体"/>
        <family val="3"/>
        <charset val="134"/>
      </rPr>
      <t>C-003</t>
    </r>
    <phoneticPr fontId="3" type="noConversion"/>
  </si>
  <si>
    <t>普施宝免钉胶</t>
    <phoneticPr fontId="3" type="noConversion"/>
  </si>
  <si>
    <t>接单日期</t>
    <phoneticPr fontId="3" type="noConversion"/>
  </si>
  <si>
    <t>码龙骨</t>
    <phoneticPr fontId="3" type="noConversion"/>
  </si>
  <si>
    <t>定厚砂光</t>
    <phoneticPr fontId="3" type="noConversion"/>
  </si>
  <si>
    <t>四面刨</t>
    <phoneticPr fontId="3" type="noConversion"/>
  </si>
  <si>
    <t>热压</t>
    <phoneticPr fontId="3" type="noConversion"/>
  </si>
  <si>
    <t>木皮切割</t>
    <phoneticPr fontId="3" type="noConversion"/>
  </si>
  <si>
    <t>木皮拼线</t>
    <phoneticPr fontId="3" type="noConversion"/>
  </si>
  <si>
    <t>木皮涂胶</t>
    <phoneticPr fontId="3" type="noConversion"/>
  </si>
  <si>
    <t>木皮砂光</t>
    <phoneticPr fontId="3" type="noConversion"/>
  </si>
  <si>
    <t>包覆机</t>
    <phoneticPr fontId="3" type="noConversion"/>
  </si>
  <si>
    <t>门板制作</t>
    <phoneticPr fontId="3" type="noConversion"/>
  </si>
  <si>
    <t>铣型</t>
    <phoneticPr fontId="3" type="noConversion"/>
  </si>
  <si>
    <t>异型封边</t>
    <phoneticPr fontId="3" type="noConversion"/>
  </si>
  <si>
    <t>COSTA砂光</t>
    <phoneticPr fontId="3" type="noConversion"/>
  </si>
  <si>
    <t>滚涂底漆</t>
    <phoneticPr fontId="3" type="noConversion"/>
  </si>
  <si>
    <t>手工清理边角</t>
    <phoneticPr fontId="3" type="noConversion"/>
  </si>
  <si>
    <t>双面砂边</t>
    <phoneticPr fontId="3" type="noConversion"/>
  </si>
  <si>
    <t>COSTA底漆</t>
    <phoneticPr fontId="3" type="noConversion"/>
  </si>
  <si>
    <t>手工边缘打磨</t>
    <phoneticPr fontId="3" type="noConversion"/>
  </si>
  <si>
    <t>清理除尘</t>
    <phoneticPr fontId="3" type="noConversion"/>
  </si>
  <si>
    <t>CEFLA白底</t>
    <phoneticPr fontId="3" type="noConversion"/>
  </si>
  <si>
    <t>手工喷漆</t>
    <phoneticPr fontId="3" type="noConversion"/>
  </si>
  <si>
    <t>手工润色</t>
    <phoneticPr fontId="3" type="noConversion"/>
  </si>
  <si>
    <t>水磨</t>
    <phoneticPr fontId="3" type="noConversion"/>
  </si>
  <si>
    <t>抛光</t>
    <phoneticPr fontId="3" type="noConversion"/>
  </si>
  <si>
    <t>拉篮</t>
    <phoneticPr fontId="3" type="noConversion"/>
  </si>
  <si>
    <t>安玻璃</t>
    <phoneticPr fontId="3" type="noConversion"/>
  </si>
  <si>
    <t>封边拉手</t>
    <phoneticPr fontId="3" type="noConversion"/>
  </si>
  <si>
    <t>车间负责人：</t>
    <phoneticPr fontId="3" type="noConversion"/>
  </si>
  <si>
    <t>木业有限公司销售中心-工艺部</t>
    <phoneticPr fontId="3" type="noConversion"/>
  </si>
  <si>
    <t>木业有限公司工艺材料单(门板)</t>
    <phoneticPr fontId="3" type="noConversion"/>
  </si>
  <si>
    <t>木业有限公司技术部-工艺组</t>
    <phoneticPr fontId="49" type="noConversion"/>
  </si>
  <si>
    <t>木业有限公司工艺材料单(门板)</t>
    <phoneticPr fontId="49" type="noConversion"/>
  </si>
  <si>
    <t>门板生产加工单（自加工）</t>
    <phoneticPr fontId="76" type="noConversion"/>
  </si>
  <si>
    <t>客户姓名：</t>
    <phoneticPr fontId="76" type="noConversion"/>
  </si>
  <si>
    <t>总数量：</t>
  </si>
  <si>
    <t>图纸编号：</t>
    <phoneticPr fontId="76" type="noConversion"/>
  </si>
  <si>
    <t>下单日期：</t>
  </si>
  <si>
    <r>
      <t xml:space="preserve"> </t>
    </r>
    <r>
      <rPr>
        <sz val="12"/>
        <rFont val="宋体"/>
        <family val="3"/>
        <charset val="134"/>
      </rPr>
      <t xml:space="preserve"> </t>
    </r>
    <phoneticPr fontId="76" type="noConversion"/>
  </si>
  <si>
    <t>城市</t>
  </si>
  <si>
    <t>门板描述：</t>
    <phoneticPr fontId="76" type="noConversion"/>
  </si>
  <si>
    <t>单面烤漆：</t>
    <phoneticPr fontId="76" type="noConversion"/>
  </si>
  <si>
    <t>橱柜款式</t>
    <phoneticPr fontId="76" type="noConversion"/>
  </si>
  <si>
    <t>色诱</t>
    <phoneticPr fontId="76" type="noConversion"/>
  </si>
  <si>
    <t>此单为单面烤漆，正面及四边做漆</t>
    <phoneticPr fontId="76" type="noConversion"/>
  </si>
  <si>
    <t>说明</t>
    <phoneticPr fontId="76" type="noConversion"/>
  </si>
  <si>
    <t>成型尺寸</t>
    <phoneticPr fontId="76" type="noConversion"/>
  </si>
  <si>
    <t>下料尺寸</t>
    <phoneticPr fontId="76" type="noConversion"/>
  </si>
  <si>
    <t>门板基材:</t>
    <phoneticPr fontId="76" type="noConversion"/>
  </si>
  <si>
    <t>18A暖白双贴三聚氰胺刨花板</t>
    <phoneticPr fontId="76" type="noConversion"/>
  </si>
  <si>
    <t>一实际宽边方向铣拉手槽</t>
    <phoneticPr fontId="76" type="noConversion"/>
  </si>
  <si>
    <t>箱体序号</t>
    <phoneticPr fontId="76" type="noConversion"/>
  </si>
  <si>
    <t>高度</t>
    <phoneticPr fontId="76" type="noConversion"/>
  </si>
  <si>
    <t>数量</t>
    <phoneticPr fontId="76" type="noConversion"/>
  </si>
  <si>
    <t>宽度</t>
    <phoneticPr fontId="76" type="noConversion"/>
  </si>
  <si>
    <t>加工备注</t>
    <phoneticPr fontId="76" type="noConversion"/>
  </si>
  <si>
    <t>门板平米</t>
    <phoneticPr fontId="76" type="noConversion"/>
  </si>
  <si>
    <t>门板封边</t>
    <phoneticPr fontId="76" type="noConversion"/>
  </si>
  <si>
    <t>门板张数</t>
    <phoneticPr fontId="76" type="noConversion"/>
  </si>
  <si>
    <t>单面油漆总平米数</t>
    <phoneticPr fontId="76" type="noConversion"/>
  </si>
  <si>
    <t>双面油漆总平米数</t>
    <phoneticPr fontId="76" type="noConversion"/>
  </si>
  <si>
    <t>LC-003铝材</t>
    <phoneticPr fontId="76" type="noConversion"/>
  </si>
  <si>
    <t>油漆平米数：</t>
    <phoneticPr fontId="76" type="noConversion"/>
  </si>
  <si>
    <t>此单分下料尺寸和成型尺寸2种，请生产各工段注意！</t>
    <phoneticPr fontId="76" type="noConversion"/>
  </si>
  <si>
    <t>合计数</t>
    <phoneticPr fontId="76" type="noConversion"/>
  </si>
  <si>
    <r>
      <t>如有材质、颜色、尺寸不明请和工艺组联系并确认</t>
    </r>
    <r>
      <rPr>
        <sz val="14"/>
        <rFont val="宋体"/>
        <family val="3"/>
        <charset val="134"/>
      </rPr>
      <t>！</t>
    </r>
    <r>
      <rPr>
        <sz val="14"/>
        <rFont val="华文行楷"/>
        <family val="3"/>
        <charset val="134"/>
      </rPr>
      <t xml:space="preserve">  分机电话：2160</t>
    </r>
    <phoneticPr fontId="76" type="noConversion"/>
  </si>
  <si>
    <t>侧边平米数</t>
    <phoneticPr fontId="76" type="noConversion"/>
  </si>
  <si>
    <t>制单人：</t>
    <phoneticPr fontId="76" type="noConversion"/>
  </si>
  <si>
    <t>门板单面+四边油漆面积</t>
    <phoneticPr fontId="76" type="noConversion"/>
  </si>
  <si>
    <t>油漆平米数：</t>
  </si>
  <si>
    <t>橱柜款式</t>
    <phoneticPr fontId="76" type="noConversion"/>
  </si>
  <si>
    <t>色诱</t>
    <phoneticPr fontId="76" type="noConversion"/>
  </si>
  <si>
    <t>材质</t>
    <phoneticPr fontId="76" type="noConversion"/>
  </si>
  <si>
    <t>表面光度</t>
  </si>
  <si>
    <t>颜色名称</t>
  </si>
  <si>
    <t>色号</t>
    <phoneticPr fontId="76" type="noConversion"/>
  </si>
  <si>
    <t>加工工序</t>
  </si>
  <si>
    <t>加工方式</t>
    <phoneticPr fontId="76" type="noConversion"/>
  </si>
  <si>
    <t>单次定额
g/㎡</t>
    <phoneticPr fontId="76" type="noConversion"/>
  </si>
  <si>
    <t>次数</t>
    <phoneticPr fontId="76" type="noConversion"/>
  </si>
  <si>
    <t>材料型号</t>
  </si>
  <si>
    <t>配比</t>
  </si>
  <si>
    <t>用量</t>
    <phoneticPr fontId="76" type="noConversion"/>
  </si>
  <si>
    <t>主剂</t>
  </si>
  <si>
    <t>固化剂</t>
  </si>
  <si>
    <t>稀料（冬/夏）</t>
  </si>
  <si>
    <t>修色剂</t>
  </si>
  <si>
    <t>稀释剂</t>
  </si>
  <si>
    <t>项目</t>
    <phoneticPr fontId="76" type="noConversion"/>
  </si>
  <si>
    <t>序号</t>
    <phoneticPr fontId="76" type="noConversion"/>
  </si>
  <si>
    <t>材料名称</t>
    <phoneticPr fontId="76" type="noConversion"/>
  </si>
  <si>
    <t>规格</t>
    <phoneticPr fontId="76" type="noConversion"/>
  </si>
  <si>
    <t>数量</t>
    <phoneticPr fontId="76" type="noConversion"/>
  </si>
  <si>
    <t>单位</t>
    <phoneticPr fontId="76" type="noConversion"/>
  </si>
  <si>
    <t>材质颜色</t>
    <phoneticPr fontId="76" type="noConversion"/>
  </si>
  <si>
    <t>PU一分光</t>
    <phoneticPr fontId="76" type="noConversion"/>
  </si>
  <si>
    <t>象牙白</t>
  </si>
  <si>
    <t>L02</t>
  </si>
  <si>
    <t>面漆工序</t>
    <phoneticPr fontId="76" type="noConversion"/>
  </si>
  <si>
    <t>手工喷涂</t>
    <phoneticPr fontId="76" type="noConversion"/>
  </si>
  <si>
    <t>PBJ3386</t>
  </si>
  <si>
    <t>PR82</t>
  </si>
  <si>
    <t>PX903/PX904</t>
  </si>
  <si>
    <t>无</t>
    <phoneticPr fontId="76" type="noConversion"/>
  </si>
  <si>
    <t>门板基材</t>
    <phoneticPr fontId="76" type="noConversion"/>
  </si>
  <si>
    <t>1220*2440</t>
    <phoneticPr fontId="76" type="noConversion"/>
  </si>
  <si>
    <t>张</t>
    <phoneticPr fontId="76" type="noConversion"/>
  </si>
  <si>
    <t>冬用</t>
    <phoneticPr fontId="76" type="noConversion"/>
  </si>
  <si>
    <t>纯白</t>
  </si>
  <si>
    <t>L12</t>
  </si>
  <si>
    <t>面漆工序</t>
    <phoneticPr fontId="76" type="noConversion"/>
  </si>
  <si>
    <t>手工喷涂</t>
    <phoneticPr fontId="76" type="noConversion"/>
  </si>
  <si>
    <t>CRF55085A9</t>
  </si>
  <si>
    <t>CRF55085B</t>
    <phoneticPr fontId="76" type="noConversion"/>
  </si>
  <si>
    <t>RTS-10SL</t>
    <phoneticPr fontId="76" type="noConversion"/>
  </si>
  <si>
    <t>1.0*22白色PVC（混油专用）</t>
    <phoneticPr fontId="76" type="noConversion"/>
  </si>
  <si>
    <t>米</t>
    <phoneticPr fontId="76" type="noConversion"/>
  </si>
  <si>
    <t>夏用</t>
    <phoneticPr fontId="76" type="noConversion"/>
  </si>
  <si>
    <t>珍珠白</t>
  </si>
  <si>
    <t>L01</t>
  </si>
  <si>
    <t>PBJ3388</t>
  </si>
  <si>
    <t>无</t>
  </si>
  <si>
    <t>热熔胶</t>
  </si>
  <si>
    <t>克</t>
    <phoneticPr fontId="76" type="noConversion"/>
  </si>
  <si>
    <t>油漆明细</t>
    <phoneticPr fontId="76" type="noConversion"/>
  </si>
  <si>
    <t>千克</t>
    <phoneticPr fontId="76" type="noConversion"/>
  </si>
  <si>
    <t>浅灰</t>
  </si>
  <si>
    <t>L05</t>
  </si>
  <si>
    <t>面漆工序</t>
    <phoneticPr fontId="76" type="noConversion"/>
  </si>
  <si>
    <t>手工喷涂</t>
    <phoneticPr fontId="76" type="noConversion"/>
  </si>
  <si>
    <t>PBJ3413</t>
  </si>
  <si>
    <t>PR50</t>
  </si>
  <si>
    <t>PU
高光</t>
    <phoneticPr fontId="76" type="noConversion"/>
  </si>
  <si>
    <t>卡布奇诺</t>
  </si>
  <si>
    <t>L06</t>
  </si>
  <si>
    <t>面漆工序</t>
    <phoneticPr fontId="76" type="noConversion"/>
  </si>
  <si>
    <t>手工喷涂</t>
    <phoneticPr fontId="76" type="noConversion"/>
  </si>
  <si>
    <t>PBJ3411</t>
  </si>
  <si>
    <r>
      <t>PU白底（cefla喷涂</t>
    </r>
    <r>
      <rPr>
        <sz val="10"/>
        <rFont val="宋体"/>
        <family val="3"/>
        <charset val="134"/>
      </rPr>
      <t>+手工喷涂</t>
    </r>
    <r>
      <rPr>
        <sz val="10"/>
        <rFont val="宋体"/>
        <family val="3"/>
        <charset val="134"/>
      </rPr>
      <t>）</t>
    </r>
    <phoneticPr fontId="76" type="noConversion"/>
  </si>
  <si>
    <t>千克</t>
    <phoneticPr fontId="76" type="noConversion"/>
  </si>
  <si>
    <t>纯黑</t>
    <phoneticPr fontId="76" type="noConversion"/>
  </si>
  <si>
    <t>L11</t>
  </si>
  <si>
    <t>P1270</t>
  </si>
  <si>
    <t>千克</t>
    <phoneticPr fontId="76" type="noConversion"/>
  </si>
  <si>
    <t>面漆工序</t>
    <phoneticPr fontId="76" type="noConversion"/>
  </si>
  <si>
    <t>手工喷涂</t>
    <phoneticPr fontId="76" type="noConversion"/>
  </si>
  <si>
    <t>CRF55085B</t>
  </si>
  <si>
    <t>RTS-10SL</t>
  </si>
  <si>
    <t>千克</t>
    <phoneticPr fontId="76" type="noConversion"/>
  </si>
  <si>
    <t>G01</t>
  </si>
  <si>
    <t>面漆工序</t>
  </si>
  <si>
    <t>G02</t>
  </si>
  <si>
    <t>PU面漆（手工喷涂)</t>
    <phoneticPr fontId="76" type="noConversion"/>
  </si>
  <si>
    <t>G06</t>
  </si>
  <si>
    <t>深灰</t>
    <phoneticPr fontId="76" type="noConversion"/>
  </si>
  <si>
    <t>G07</t>
  </si>
  <si>
    <t>PBJ3408</t>
  </si>
  <si>
    <t>柠檬绿</t>
    <phoneticPr fontId="76" type="noConversion"/>
  </si>
  <si>
    <t>G08</t>
    <phoneticPr fontId="76" type="noConversion"/>
  </si>
  <si>
    <t>PBJ3412</t>
    <phoneticPr fontId="76" type="noConversion"/>
  </si>
  <si>
    <t>PR50</t>
    <phoneticPr fontId="76" type="noConversion"/>
  </si>
  <si>
    <t>法拉利红</t>
  </si>
  <si>
    <t>G09</t>
  </si>
  <si>
    <t>PBJ3403</t>
  </si>
  <si>
    <t>酒红</t>
  </si>
  <si>
    <t>G10</t>
  </si>
  <si>
    <t>PBJ3419</t>
  </si>
  <si>
    <t>纯黑</t>
  </si>
  <si>
    <t>G11</t>
  </si>
  <si>
    <r>
      <t>P127</t>
    </r>
    <r>
      <rPr>
        <sz val="8"/>
        <color indexed="8"/>
        <rFont val="微软雅黑"/>
        <family val="2"/>
        <charset val="134"/>
      </rPr>
      <t>0</t>
    </r>
    <phoneticPr fontId="76" type="noConversion"/>
  </si>
  <si>
    <t>拉手</t>
    <phoneticPr fontId="76" type="noConversion"/>
  </si>
  <si>
    <t>配料：</t>
    <phoneticPr fontId="76" type="noConversion"/>
  </si>
  <si>
    <t>G12</t>
  </si>
  <si>
    <t>PBJ4490</t>
  </si>
  <si>
    <t>T32944</t>
  </si>
  <si>
    <t>PX801/PX803</t>
  </si>
  <si>
    <t>配料日期：</t>
    <phoneticPr fontId="76" type="noConversion"/>
  </si>
  <si>
    <t>三聚氰胺刨花板门板/柜板</t>
    <phoneticPr fontId="76" type="noConversion"/>
  </si>
  <si>
    <t>G01/G02/G06/G07/G09/G10/G11/G12</t>
    <phoneticPr fontId="76" type="noConversion"/>
  </si>
  <si>
    <t>UV清底</t>
  </si>
  <si>
    <t>辊涂面</t>
  </si>
  <si>
    <t>平面</t>
    <phoneticPr fontId="76" type="noConversion"/>
  </si>
  <si>
    <t>UA5002</t>
  </si>
  <si>
    <t>UV白底</t>
  </si>
  <si>
    <t>UTA1012</t>
  </si>
  <si>
    <t>PU白底</t>
    <phoneticPr fontId="76" type="noConversion"/>
  </si>
  <si>
    <t>手工喷涂</t>
  </si>
  <si>
    <t>平面+四边</t>
    <phoneticPr fontId="76" type="noConversion"/>
  </si>
  <si>
    <t>T20975</t>
    <phoneticPr fontId="76" type="noConversion"/>
  </si>
  <si>
    <t>PR66</t>
  </si>
  <si>
    <t>PX705/PX707</t>
  </si>
  <si>
    <t>L01/L02/L05/L06/L12</t>
    <phoneticPr fontId="76" type="noConversion"/>
  </si>
  <si>
    <t>共</t>
    <phoneticPr fontId="76" type="noConversion"/>
  </si>
  <si>
    <t>套</t>
    <phoneticPr fontId="76" type="noConversion"/>
  </si>
  <si>
    <t>客户姓名</t>
    <phoneticPr fontId="76" type="noConversion"/>
  </si>
  <si>
    <t>订单编号</t>
    <phoneticPr fontId="76" type="noConversion"/>
  </si>
  <si>
    <t>接单日期</t>
    <phoneticPr fontId="76" type="noConversion"/>
  </si>
  <si>
    <t>款式名称</t>
    <phoneticPr fontId="76" type="noConversion"/>
  </si>
  <si>
    <t>色诱</t>
    <phoneticPr fontId="76" type="noConversion"/>
  </si>
  <si>
    <t>材质/色号</t>
    <phoneticPr fontId="76" type="noConversion"/>
  </si>
  <si>
    <t>下单日期</t>
    <phoneticPr fontId="76" type="noConversion"/>
  </si>
  <si>
    <t>销售点</t>
    <phoneticPr fontId="76" type="noConversion"/>
  </si>
  <si>
    <t>设计师</t>
    <phoneticPr fontId="76" type="noConversion"/>
  </si>
  <si>
    <t>应完成日期</t>
    <phoneticPr fontId="76" type="noConversion"/>
  </si>
  <si>
    <t>产品系列</t>
    <phoneticPr fontId="76" type="noConversion"/>
  </si>
  <si>
    <t>实木</t>
    <phoneticPr fontId="76" type="noConversion"/>
  </si>
  <si>
    <t>混油</t>
    <phoneticPr fontId="76" type="noConversion"/>
  </si>
  <si>
    <t>清油</t>
    <phoneticPr fontId="76" type="noConversion"/>
  </si>
  <si>
    <t>吸塑</t>
    <phoneticPr fontId="76" type="noConversion"/>
  </si>
  <si>
    <t>免漆</t>
    <phoneticPr fontId="76" type="noConversion"/>
  </si>
  <si>
    <t>铝框</t>
    <phoneticPr fontId="76" type="noConversion"/>
  </si>
  <si>
    <t>序号</t>
    <phoneticPr fontId="76" type="noConversion"/>
  </si>
  <si>
    <t>工序名称</t>
    <phoneticPr fontId="76" type="noConversion"/>
  </si>
  <si>
    <t>成品数量</t>
    <phoneticPr fontId="76" type="noConversion"/>
  </si>
  <si>
    <t>接单日期</t>
    <phoneticPr fontId="76" type="noConversion"/>
  </si>
  <si>
    <t>完成日期</t>
    <phoneticPr fontId="76" type="noConversion"/>
  </si>
  <si>
    <t>主机手</t>
    <phoneticPr fontId="76" type="noConversion"/>
  </si>
  <si>
    <t>质检</t>
    <phoneticPr fontId="76" type="noConversion"/>
  </si>
  <si>
    <t>备注</t>
    <phoneticPr fontId="76" type="noConversion"/>
  </si>
  <si>
    <t>下料</t>
    <phoneticPr fontId="76" type="noConversion"/>
  </si>
  <si>
    <t>码龙骨</t>
    <phoneticPr fontId="76" type="noConversion"/>
  </si>
  <si>
    <t>定厚砂光</t>
    <phoneticPr fontId="76" type="noConversion"/>
  </si>
  <si>
    <t>四面刨</t>
    <phoneticPr fontId="76" type="noConversion"/>
  </si>
  <si>
    <t>热压</t>
    <phoneticPr fontId="76" type="noConversion"/>
  </si>
  <si>
    <t>木皮切割</t>
    <phoneticPr fontId="76" type="noConversion"/>
  </si>
  <si>
    <t>木皮拼线</t>
    <phoneticPr fontId="76" type="noConversion"/>
  </si>
  <si>
    <t>木皮涂胶</t>
    <phoneticPr fontId="76" type="noConversion"/>
  </si>
  <si>
    <t>木皮砂光</t>
    <phoneticPr fontId="76" type="noConversion"/>
  </si>
  <si>
    <t>包覆机</t>
    <phoneticPr fontId="76" type="noConversion"/>
  </si>
  <si>
    <t>层板铝扣条</t>
    <phoneticPr fontId="76" type="noConversion"/>
  </si>
  <si>
    <t>铝制踢脚板</t>
    <phoneticPr fontId="76" type="noConversion"/>
  </si>
  <si>
    <t>封边</t>
    <phoneticPr fontId="76" type="noConversion"/>
  </si>
  <si>
    <t>排钻</t>
    <phoneticPr fontId="76" type="noConversion"/>
  </si>
  <si>
    <t>门板制作</t>
    <phoneticPr fontId="76" type="noConversion"/>
  </si>
  <si>
    <t>铣型</t>
    <phoneticPr fontId="76" type="noConversion"/>
  </si>
  <si>
    <t>异型封边</t>
    <phoneticPr fontId="76" type="noConversion"/>
  </si>
  <si>
    <t>COSTA砂光</t>
    <phoneticPr fontId="76" type="noConversion"/>
  </si>
  <si>
    <t>滚涂底漆</t>
    <phoneticPr fontId="76" type="noConversion"/>
  </si>
  <si>
    <t>手工清理边角</t>
    <phoneticPr fontId="76" type="noConversion"/>
  </si>
  <si>
    <t>双面砂边</t>
    <phoneticPr fontId="76" type="noConversion"/>
  </si>
  <si>
    <t>COSTA底漆</t>
    <phoneticPr fontId="76" type="noConversion"/>
  </si>
  <si>
    <t>手工边缘打磨</t>
    <phoneticPr fontId="76" type="noConversion"/>
  </si>
  <si>
    <t>清理除尘</t>
    <phoneticPr fontId="76" type="noConversion"/>
  </si>
  <si>
    <t>CEFLA白底</t>
    <phoneticPr fontId="76" type="noConversion"/>
  </si>
  <si>
    <t>手工喷漆</t>
    <phoneticPr fontId="76" type="noConversion"/>
  </si>
  <si>
    <t>手工润色</t>
    <phoneticPr fontId="76" type="noConversion"/>
  </si>
  <si>
    <t>水磨</t>
    <phoneticPr fontId="76" type="noConversion"/>
  </si>
  <si>
    <t>抛光</t>
    <phoneticPr fontId="76" type="noConversion"/>
  </si>
  <si>
    <t>组装</t>
    <phoneticPr fontId="76" type="noConversion"/>
  </si>
  <si>
    <t>拉篮</t>
    <phoneticPr fontId="76" type="noConversion"/>
  </si>
  <si>
    <t>小怪物</t>
    <phoneticPr fontId="76" type="noConversion"/>
  </si>
  <si>
    <t>铝框门</t>
    <phoneticPr fontId="76" type="noConversion"/>
  </si>
  <si>
    <t>门铰</t>
    <phoneticPr fontId="76" type="noConversion"/>
  </si>
  <si>
    <t>铝百叶</t>
    <phoneticPr fontId="76" type="noConversion"/>
  </si>
  <si>
    <t>安玻璃</t>
    <phoneticPr fontId="76" type="noConversion"/>
  </si>
  <si>
    <t>扣手</t>
    <phoneticPr fontId="76" type="noConversion"/>
  </si>
  <si>
    <t>封边拉手</t>
    <phoneticPr fontId="76" type="noConversion"/>
  </si>
  <si>
    <t>打包</t>
    <phoneticPr fontId="76" type="noConversion"/>
  </si>
  <si>
    <t>工艺员：</t>
    <phoneticPr fontId="76" type="noConversion"/>
  </si>
  <si>
    <t>车间负责人：</t>
    <phoneticPr fontId="76" type="noConversion"/>
  </si>
  <si>
    <t>木业有限公司技术部-工艺组</t>
    <phoneticPr fontId="76" type="noConversion"/>
  </si>
  <si>
    <t>木业有限公司工艺材料单(门板)</t>
    <phoneticPr fontId="76" type="noConversion"/>
  </si>
  <si>
    <t>夏用</t>
  </si>
  <si>
    <t>木业生产线工序交接表（橱柜油漆门板）</t>
    <phoneticPr fontId="76" type="noConversion"/>
  </si>
  <si>
    <t>UV白底</t>
    <phoneticPr fontId="3" type="noConversion"/>
  </si>
  <si>
    <t>UV1012</t>
    <phoneticPr fontId="3" type="noConversion"/>
  </si>
  <si>
    <t>UV1043</t>
    <phoneticPr fontId="3" type="noConversion"/>
  </si>
  <si>
    <t>木业有限公司技术部-工艺组</t>
    <phoneticPr fontId="3" type="noConversion"/>
  </si>
  <si>
    <t>门板生产加工单（自加工）      UV辊边工艺</t>
    <phoneticPr fontId="3" type="noConversion"/>
  </si>
  <si>
    <t>庄园橡木山纹N02-V</t>
  </si>
  <si>
    <t>设计姓名：</t>
    <phoneticPr fontId="3" type="noConversion"/>
  </si>
  <si>
    <t>樱桃山纹N03-V</t>
  </si>
  <si>
    <t>下单日期：</t>
    <phoneticPr fontId="3" type="noConversion"/>
  </si>
  <si>
    <t>安装日期</t>
    <phoneticPr fontId="3" type="noConversion"/>
  </si>
  <si>
    <t xml:space="preserve"> </t>
    <phoneticPr fontId="3" type="noConversion"/>
  </si>
  <si>
    <t>浅胡桃-山纹-N04-V</t>
  </si>
  <si>
    <t>门板描述：</t>
    <phoneticPr fontId="3" type="noConversion"/>
  </si>
  <si>
    <t>双面实木贴皮：</t>
    <phoneticPr fontId="3" type="noConversion"/>
  </si>
  <si>
    <t>横纹</t>
    <phoneticPr fontId="3" type="noConversion"/>
  </si>
  <si>
    <t>3分光</t>
    <phoneticPr fontId="3" type="noConversion"/>
  </si>
  <si>
    <t>左岸都市I</t>
    <phoneticPr fontId="3" type="noConversion"/>
  </si>
  <si>
    <t>门板成型尺寸一宽方向铣拉手槽</t>
  </si>
  <si>
    <t>深胡桃-山纹-N05-V</t>
  </si>
  <si>
    <t>所有下料纹理方向均为高度方向</t>
    <phoneticPr fontId="3" type="noConversion"/>
  </si>
  <si>
    <t>深橡-山纹N06</t>
  </si>
  <si>
    <t>说明</t>
    <phoneticPr fontId="3" type="noConversion"/>
  </si>
  <si>
    <t>成型尺寸</t>
    <phoneticPr fontId="3" type="noConversion"/>
  </si>
  <si>
    <t>下料尺寸</t>
    <phoneticPr fontId="3" type="noConversion"/>
  </si>
  <si>
    <t>门板基材：</t>
    <phoneticPr fontId="3" type="noConversion"/>
  </si>
  <si>
    <t>18厚EO级素刨花板</t>
    <phoneticPr fontId="3" type="noConversion"/>
  </si>
  <si>
    <t>非洲核桃直纹-N07-H</t>
  </si>
  <si>
    <t>箱体序号</t>
    <phoneticPr fontId="3" type="noConversion"/>
  </si>
  <si>
    <t>高度</t>
    <phoneticPr fontId="3" type="noConversion"/>
  </si>
  <si>
    <t>数量</t>
    <phoneticPr fontId="3" type="noConversion"/>
  </si>
  <si>
    <t>宽度</t>
    <phoneticPr fontId="3" type="noConversion"/>
  </si>
  <si>
    <t>门板说明</t>
    <phoneticPr fontId="3" type="noConversion"/>
  </si>
  <si>
    <t>备注</t>
    <phoneticPr fontId="3" type="noConversion"/>
  </si>
  <si>
    <t>门板封边</t>
    <phoneticPr fontId="3" type="noConversion"/>
  </si>
  <si>
    <t>门板平米</t>
    <phoneticPr fontId="3" type="noConversion"/>
  </si>
  <si>
    <t>门板张数</t>
    <phoneticPr fontId="3" type="noConversion"/>
  </si>
  <si>
    <t>双面平米</t>
    <phoneticPr fontId="3" type="noConversion"/>
  </si>
  <si>
    <t>木皮平米数</t>
    <phoneticPr fontId="3" type="noConversion"/>
  </si>
  <si>
    <t>踢脚板</t>
    <phoneticPr fontId="3" type="noConversion"/>
  </si>
  <si>
    <t>红色区域勿动</t>
    <phoneticPr fontId="3" type="noConversion"/>
  </si>
  <si>
    <t>此单分下料尺寸和成型尺寸2种，请生产各工段注意！</t>
    <phoneticPr fontId="3" type="noConversion"/>
  </si>
  <si>
    <t>油漆平米数</t>
    <phoneticPr fontId="3" type="noConversion"/>
  </si>
  <si>
    <r>
      <t>如有材质、颜色、尺寸不明请和工艺组联系并确认</t>
    </r>
    <r>
      <rPr>
        <sz val="14"/>
        <rFont val="宋体"/>
        <family val="3"/>
        <charset val="134"/>
      </rPr>
      <t>！</t>
    </r>
    <r>
      <rPr>
        <sz val="14"/>
        <rFont val="华文行楷"/>
        <family val="3"/>
        <charset val="134"/>
      </rPr>
      <t xml:space="preserve">  分机电话：2115</t>
    </r>
    <phoneticPr fontId="3" type="noConversion"/>
  </si>
  <si>
    <t>侧边平米数</t>
    <phoneticPr fontId="3" type="noConversion"/>
  </si>
  <si>
    <t>制单人：</t>
    <phoneticPr fontId="3" type="noConversion"/>
  </si>
  <si>
    <t>夏用(有慢干水)</t>
  </si>
  <si>
    <t>夏用(无慢干水)</t>
    <phoneticPr fontId="3" type="noConversion"/>
  </si>
  <si>
    <t>夏用(有慢干水)</t>
    <phoneticPr fontId="3" type="noConversion"/>
  </si>
  <si>
    <t>手工喷边</t>
    <phoneticPr fontId="3" type="noConversion"/>
  </si>
  <si>
    <t>手工喷涂整个做漆面</t>
    <phoneticPr fontId="3" type="noConversion"/>
  </si>
  <si>
    <t>左岸都市1</t>
    <phoneticPr fontId="3" type="noConversion"/>
  </si>
  <si>
    <t>冬用</t>
    <phoneticPr fontId="3" type="noConversion"/>
  </si>
  <si>
    <t>木皮</t>
    <phoneticPr fontId="3" type="noConversion"/>
  </si>
  <si>
    <t>封边条</t>
    <phoneticPr fontId="3" type="noConversion"/>
  </si>
  <si>
    <t>修色</t>
    <phoneticPr fontId="3" type="noConversion"/>
  </si>
  <si>
    <t>单次量</t>
    <phoneticPr fontId="3" type="noConversion"/>
  </si>
  <si>
    <t>次数</t>
    <phoneticPr fontId="3" type="noConversion"/>
  </si>
  <si>
    <t>面漆</t>
    <phoneticPr fontId="3" type="noConversion"/>
  </si>
  <si>
    <t>PU清漆</t>
    <phoneticPr fontId="3" type="noConversion"/>
  </si>
  <si>
    <t>UV清底</t>
    <phoneticPr fontId="3" type="noConversion"/>
  </si>
  <si>
    <t>PU清底</t>
    <phoneticPr fontId="3" type="noConversion"/>
  </si>
  <si>
    <r>
      <t>U</t>
    </r>
    <r>
      <rPr>
        <sz val="12"/>
        <rFont val="宋体"/>
        <family val="3"/>
        <charset val="134"/>
      </rPr>
      <t>V辊面</t>
    </r>
    <phoneticPr fontId="3" type="noConversion"/>
  </si>
  <si>
    <t>设计姓名</t>
    <phoneticPr fontId="3" type="noConversion"/>
  </si>
  <si>
    <t>一分光</t>
    <phoneticPr fontId="3" type="noConversion"/>
  </si>
  <si>
    <t>白橡木皮</t>
    <phoneticPr fontId="3" type="noConversion"/>
  </si>
  <si>
    <t>山纹</t>
    <phoneticPr fontId="3" type="noConversion"/>
  </si>
  <si>
    <t>白橡山纹木皮封边</t>
    <phoneticPr fontId="3" type="noConversion"/>
  </si>
  <si>
    <t>主剂GT2024</t>
    <phoneticPr fontId="3" type="noConversion"/>
  </si>
  <si>
    <t>固化剂PR50</t>
    <phoneticPr fontId="3" type="noConversion"/>
  </si>
  <si>
    <t>稀料PX903/PX904</t>
    <phoneticPr fontId="3" type="noConversion"/>
  </si>
  <si>
    <t>红黄黑色精</t>
    <phoneticPr fontId="3" type="noConversion"/>
  </si>
  <si>
    <t>主剂P12001</t>
    <phoneticPr fontId="3" type="noConversion"/>
  </si>
  <si>
    <t>主剂PD3200</t>
    <phoneticPr fontId="3" type="noConversion"/>
  </si>
  <si>
    <t>固化剂PR66</t>
    <phoneticPr fontId="3" type="noConversion"/>
  </si>
  <si>
    <t>稀料PX705/PX707</t>
    <phoneticPr fontId="3" type="noConversion"/>
  </si>
  <si>
    <t>主剂UA5002</t>
    <phoneticPr fontId="3" type="noConversion"/>
  </si>
  <si>
    <t>三分光</t>
    <phoneticPr fontId="3" type="noConversion"/>
  </si>
  <si>
    <t>樱桃山纹木皮</t>
    <phoneticPr fontId="3" type="noConversion"/>
  </si>
  <si>
    <t>樱桃山纹木皮0.5mm</t>
    <phoneticPr fontId="3" type="noConversion"/>
  </si>
  <si>
    <t>红樱桃木皮封边</t>
    <phoneticPr fontId="3" type="noConversion"/>
  </si>
  <si>
    <t>PBJ3992</t>
    <phoneticPr fontId="3" type="noConversion"/>
  </si>
  <si>
    <t>主剂P86003</t>
    <phoneticPr fontId="3" type="noConversion"/>
  </si>
  <si>
    <t>固化剂PR86</t>
    <phoneticPr fontId="3" type="noConversion"/>
  </si>
  <si>
    <t>门板基材</t>
    <phoneticPr fontId="3" type="noConversion"/>
  </si>
  <si>
    <t>门板</t>
    <phoneticPr fontId="3" type="noConversion"/>
  </si>
  <si>
    <t>*</t>
    <phoneticPr fontId="3" type="noConversion"/>
  </si>
  <si>
    <t>胡桃山纹木皮</t>
    <phoneticPr fontId="3" type="noConversion"/>
  </si>
  <si>
    <t>胡桃山纹木皮0.5mm</t>
    <phoneticPr fontId="3" type="noConversion"/>
  </si>
  <si>
    <t>胡桃木皮封边</t>
  </si>
  <si>
    <t>PBJ4525</t>
    <phoneticPr fontId="3" type="noConversion"/>
  </si>
  <si>
    <t>胡桃山纹木皮</t>
  </si>
  <si>
    <t>胡桃山纹木皮封边条</t>
  </si>
  <si>
    <t>平米</t>
    <phoneticPr fontId="3" type="noConversion"/>
  </si>
  <si>
    <t>转换平米合计</t>
    <phoneticPr fontId="3" type="noConversion"/>
  </si>
  <si>
    <t>红橡山纹木皮</t>
    <phoneticPr fontId="3" type="noConversion"/>
  </si>
  <si>
    <t>红橡山纹木皮0.5mm</t>
    <phoneticPr fontId="3" type="noConversion"/>
  </si>
  <si>
    <t>红橡直纹木皮封边条</t>
    <phoneticPr fontId="3" type="noConversion"/>
  </si>
  <si>
    <t>PBJ4526</t>
    <phoneticPr fontId="3" type="noConversion"/>
  </si>
  <si>
    <t>胶类</t>
    <phoneticPr fontId="3" type="noConversion"/>
  </si>
  <si>
    <t>丽凯8803A</t>
    <phoneticPr fontId="3" type="noConversion"/>
  </si>
  <si>
    <t>非洲核桃木皮</t>
  </si>
  <si>
    <t>直纹木皮0.5mm厚</t>
    <phoneticPr fontId="3" type="noConversion"/>
  </si>
  <si>
    <t>非洲核桃木皮封边条</t>
    <phoneticPr fontId="3" type="noConversion"/>
  </si>
  <si>
    <t>主剂GT2024</t>
    <phoneticPr fontId="3" type="noConversion"/>
  </si>
  <si>
    <t>固化剂PR50</t>
    <phoneticPr fontId="3" type="noConversion"/>
  </si>
  <si>
    <t>稀料PX903/PX904</t>
    <phoneticPr fontId="3" type="noConversion"/>
  </si>
  <si>
    <t>红黄黑色精</t>
    <phoneticPr fontId="3" type="noConversion"/>
  </si>
  <si>
    <t>主剂P12001</t>
    <phoneticPr fontId="3" type="noConversion"/>
  </si>
  <si>
    <t>主剂PD3200</t>
    <phoneticPr fontId="3" type="noConversion"/>
  </si>
  <si>
    <t>固化剂PR66</t>
    <phoneticPr fontId="3" type="noConversion"/>
  </si>
  <si>
    <t>稀料PX705/PX707</t>
    <phoneticPr fontId="3" type="noConversion"/>
  </si>
  <si>
    <t>主剂UA5002</t>
    <phoneticPr fontId="3" type="noConversion"/>
  </si>
  <si>
    <t>拉手</t>
    <phoneticPr fontId="3" type="noConversion"/>
  </si>
  <si>
    <t>LC-003</t>
    <phoneticPr fontId="3" type="noConversion"/>
  </si>
  <si>
    <t>米</t>
    <phoneticPr fontId="3" type="noConversion"/>
  </si>
  <si>
    <t>热熔胶</t>
    <phoneticPr fontId="3" type="noConversion"/>
  </si>
  <si>
    <t>KS3920</t>
    <phoneticPr fontId="3" type="noConversion"/>
  </si>
  <si>
    <t>克</t>
    <phoneticPr fontId="3" type="noConversion"/>
  </si>
  <si>
    <t>普施宝免钉胶</t>
    <phoneticPr fontId="3" type="noConversion"/>
  </si>
  <si>
    <t>瓶</t>
    <phoneticPr fontId="3" type="noConversion"/>
  </si>
  <si>
    <t>贴面胶</t>
    <phoneticPr fontId="3" type="noConversion"/>
  </si>
  <si>
    <t>KL3052SR</t>
    <phoneticPr fontId="3" type="noConversion"/>
  </si>
  <si>
    <t>油漆明细</t>
    <phoneticPr fontId="3" type="noConversion"/>
  </si>
  <si>
    <t>UV底漆</t>
    <phoneticPr fontId="3" type="noConversion"/>
  </si>
  <si>
    <t>UV1832</t>
    <phoneticPr fontId="3" type="noConversion"/>
  </si>
  <si>
    <t>千克</t>
    <phoneticPr fontId="3" type="noConversion"/>
  </si>
  <si>
    <t>UA5002</t>
    <phoneticPr fontId="3" type="noConversion"/>
  </si>
  <si>
    <t>UA5012</t>
    <phoneticPr fontId="3" type="noConversion"/>
  </si>
  <si>
    <t>以下区域勿动</t>
    <phoneticPr fontId="3" type="noConversion"/>
  </si>
  <si>
    <t>UA辊边</t>
    <phoneticPr fontId="3" type="noConversion"/>
  </si>
  <si>
    <t>UV辊边</t>
    <phoneticPr fontId="3" type="noConversion"/>
  </si>
  <si>
    <t>UA1832</t>
    <phoneticPr fontId="3" type="noConversion"/>
  </si>
  <si>
    <t>UV辊边工艺</t>
    <phoneticPr fontId="3" type="noConversion"/>
  </si>
  <si>
    <t>UA4032</t>
    <phoneticPr fontId="3" type="noConversion"/>
  </si>
  <si>
    <t>PU清底（手工喷涂）</t>
    <phoneticPr fontId="3" type="noConversion"/>
  </si>
  <si>
    <t>修色 面漆</t>
    <phoneticPr fontId="3" type="noConversion"/>
  </si>
  <si>
    <t>慢干水PZ807</t>
    <phoneticPr fontId="3" type="noConversion"/>
  </si>
  <si>
    <t>PU面漆（手工喷涂）</t>
    <phoneticPr fontId="3" type="noConversion"/>
  </si>
  <si>
    <t>UV清底</t>
    <phoneticPr fontId="3" type="noConversion"/>
  </si>
  <si>
    <t>配料：</t>
    <phoneticPr fontId="3" type="noConversion"/>
  </si>
  <si>
    <t>审核人：</t>
    <phoneticPr fontId="3" type="noConversion"/>
  </si>
  <si>
    <t>UV辊面</t>
    <phoneticPr fontId="3" type="noConversion"/>
  </si>
  <si>
    <t>主剂UA69225</t>
    <phoneticPr fontId="3" type="noConversion"/>
  </si>
  <si>
    <t>配料日期：</t>
    <phoneticPr fontId="3" type="noConversion"/>
  </si>
  <si>
    <t>审核日期：</t>
    <phoneticPr fontId="3" type="noConversion"/>
  </si>
  <si>
    <t>木业生产线工序交接表（橱柜油漆门板）  UV辊边工艺</t>
    <phoneticPr fontId="3" type="noConversion"/>
  </si>
  <si>
    <t>共</t>
    <phoneticPr fontId="3" type="noConversion"/>
  </si>
  <si>
    <t>套</t>
    <phoneticPr fontId="3" type="noConversion"/>
  </si>
  <si>
    <t>客户姓名</t>
    <phoneticPr fontId="3" type="noConversion"/>
  </si>
  <si>
    <t>订单编号</t>
    <phoneticPr fontId="3" type="noConversion"/>
  </si>
  <si>
    <t>接单日期</t>
    <phoneticPr fontId="3" type="noConversion"/>
  </si>
  <si>
    <t>款式名称</t>
    <phoneticPr fontId="3" type="noConversion"/>
  </si>
  <si>
    <t>材质/色号</t>
    <phoneticPr fontId="3" type="noConversion"/>
  </si>
  <si>
    <t>下单日期</t>
    <phoneticPr fontId="3" type="noConversion"/>
  </si>
  <si>
    <t>销售点</t>
    <phoneticPr fontId="3" type="noConversion"/>
  </si>
  <si>
    <t>设计师</t>
    <phoneticPr fontId="3" type="noConversion"/>
  </si>
  <si>
    <t>应完成日期</t>
    <phoneticPr fontId="3" type="noConversion"/>
  </si>
  <si>
    <t>产品系列</t>
    <phoneticPr fontId="3" type="noConversion"/>
  </si>
  <si>
    <t>实木</t>
    <phoneticPr fontId="3" type="noConversion"/>
  </si>
  <si>
    <t>混油</t>
    <phoneticPr fontId="3" type="noConversion"/>
  </si>
  <si>
    <t>清油</t>
    <phoneticPr fontId="3" type="noConversion"/>
  </si>
  <si>
    <t>吸塑</t>
    <phoneticPr fontId="3" type="noConversion"/>
  </si>
  <si>
    <t>免漆</t>
    <phoneticPr fontId="3" type="noConversion"/>
  </si>
  <si>
    <t>铝框</t>
    <phoneticPr fontId="3" type="noConversion"/>
  </si>
  <si>
    <t>序号</t>
    <phoneticPr fontId="3" type="noConversion"/>
  </si>
  <si>
    <t>工序名称</t>
    <phoneticPr fontId="3" type="noConversion"/>
  </si>
  <si>
    <t>成品数量</t>
    <phoneticPr fontId="3" type="noConversion"/>
  </si>
  <si>
    <t>完成日期</t>
    <phoneticPr fontId="3" type="noConversion"/>
  </si>
  <si>
    <t>主机手</t>
    <phoneticPr fontId="3" type="noConversion"/>
  </si>
  <si>
    <t>质检</t>
    <phoneticPr fontId="3" type="noConversion"/>
  </si>
  <si>
    <t>备注</t>
    <phoneticPr fontId="3" type="noConversion"/>
  </si>
  <si>
    <t>下料</t>
    <phoneticPr fontId="3" type="noConversion"/>
  </si>
  <si>
    <t>码龙骨</t>
    <phoneticPr fontId="3" type="noConversion"/>
  </si>
  <si>
    <t>定厚砂光</t>
    <phoneticPr fontId="3" type="noConversion"/>
  </si>
  <si>
    <t>四面刨</t>
    <phoneticPr fontId="3" type="noConversion"/>
  </si>
  <si>
    <t>热压</t>
    <phoneticPr fontId="3" type="noConversion"/>
  </si>
  <si>
    <t>木皮切割</t>
    <phoneticPr fontId="3" type="noConversion"/>
  </si>
  <si>
    <t>木皮拼线</t>
    <phoneticPr fontId="3" type="noConversion"/>
  </si>
  <si>
    <t>木皮涂胶</t>
    <phoneticPr fontId="3" type="noConversion"/>
  </si>
  <si>
    <t>木皮砂光</t>
    <phoneticPr fontId="3" type="noConversion"/>
  </si>
  <si>
    <t>包覆机</t>
    <phoneticPr fontId="3" type="noConversion"/>
  </si>
  <si>
    <t>层板铝扣条</t>
    <phoneticPr fontId="3" type="noConversion"/>
  </si>
  <si>
    <t>铝制踢脚板</t>
    <phoneticPr fontId="3" type="noConversion"/>
  </si>
  <si>
    <t>封边</t>
    <phoneticPr fontId="3" type="noConversion"/>
  </si>
  <si>
    <t>排钻</t>
    <phoneticPr fontId="3" type="noConversion"/>
  </si>
  <si>
    <t>门板制作</t>
    <phoneticPr fontId="3" type="noConversion"/>
  </si>
  <si>
    <t>铣型</t>
    <phoneticPr fontId="3" type="noConversion"/>
  </si>
  <si>
    <t>异型封边</t>
    <phoneticPr fontId="3" type="noConversion"/>
  </si>
  <si>
    <t>COSTA砂光</t>
    <phoneticPr fontId="3" type="noConversion"/>
  </si>
  <si>
    <t>滚涂底漆</t>
    <phoneticPr fontId="3" type="noConversion"/>
  </si>
  <si>
    <t>手工清理边角</t>
    <phoneticPr fontId="3" type="noConversion"/>
  </si>
  <si>
    <t>双面砂边</t>
    <phoneticPr fontId="3" type="noConversion"/>
  </si>
  <si>
    <t>COSTA底漆</t>
    <phoneticPr fontId="3" type="noConversion"/>
  </si>
  <si>
    <t>手工边缘打磨</t>
    <phoneticPr fontId="3" type="noConversion"/>
  </si>
  <si>
    <t>清理除尘</t>
    <phoneticPr fontId="3" type="noConversion"/>
  </si>
  <si>
    <t>CEFLA白底</t>
    <phoneticPr fontId="3" type="noConversion"/>
  </si>
  <si>
    <t>手工喷漆</t>
    <phoneticPr fontId="3" type="noConversion"/>
  </si>
  <si>
    <t>手工润色</t>
    <phoneticPr fontId="3" type="noConversion"/>
  </si>
  <si>
    <t>水磨</t>
    <phoneticPr fontId="3" type="noConversion"/>
  </si>
  <si>
    <t>抛光</t>
    <phoneticPr fontId="3" type="noConversion"/>
  </si>
  <si>
    <t>组装</t>
    <phoneticPr fontId="3" type="noConversion"/>
  </si>
  <si>
    <t>拉篮</t>
    <phoneticPr fontId="3" type="noConversion"/>
  </si>
  <si>
    <t>小怪物</t>
    <phoneticPr fontId="3" type="noConversion"/>
  </si>
  <si>
    <t>铝框门</t>
    <phoneticPr fontId="3" type="noConversion"/>
  </si>
  <si>
    <t>门铰</t>
    <phoneticPr fontId="3" type="noConversion"/>
  </si>
  <si>
    <t>铝百叶</t>
    <phoneticPr fontId="3" type="noConversion"/>
  </si>
  <si>
    <t>安玻璃</t>
    <phoneticPr fontId="3" type="noConversion"/>
  </si>
  <si>
    <t>扣手</t>
    <phoneticPr fontId="3" type="noConversion"/>
  </si>
  <si>
    <t>封边拉手</t>
    <phoneticPr fontId="3" type="noConversion"/>
  </si>
  <si>
    <t>打包</t>
    <phoneticPr fontId="3" type="noConversion"/>
  </si>
  <si>
    <t>工艺员：</t>
    <phoneticPr fontId="3" type="noConversion"/>
  </si>
  <si>
    <t>车间负责人：</t>
    <phoneticPr fontId="3" type="noConversion"/>
  </si>
  <si>
    <r>
      <t xml:space="preserve"> </t>
    </r>
    <r>
      <rPr>
        <b/>
        <sz val="16"/>
        <rFont val="宋体"/>
        <family val="3"/>
        <charset val="134"/>
      </rPr>
      <t>（厨浴柜）门板外协加工单</t>
    </r>
    <phoneticPr fontId="76" type="noConversion"/>
  </si>
  <si>
    <t xml:space="preserve"> </t>
    <phoneticPr fontId="76" type="noConversion"/>
  </si>
  <si>
    <t>TO:</t>
    <phoneticPr fontId="76" type="noConversion"/>
  </si>
  <si>
    <t>宜美家</t>
    <phoneticPr fontId="76" type="noConversion"/>
  </si>
  <si>
    <r>
      <t>客户姓名：</t>
    </r>
    <r>
      <rPr>
        <sz val="12"/>
        <rFont val="Times New Roman"/>
        <family val="1"/>
      </rPr>
      <t xml:space="preserve">  </t>
    </r>
    <phoneticPr fontId="76" type="noConversion"/>
  </si>
  <si>
    <r>
      <t>件数</t>
    </r>
    <r>
      <rPr>
        <sz val="12"/>
        <rFont val="Times New Roman"/>
        <family val="1"/>
      </rPr>
      <t>:</t>
    </r>
    <phoneticPr fontId="76" type="noConversion"/>
  </si>
  <si>
    <t>订单编号：</t>
    <phoneticPr fontId="76" type="noConversion"/>
  </si>
  <si>
    <t>传单日期：</t>
    <phoneticPr fontId="76" type="noConversion"/>
  </si>
  <si>
    <t>交货日期：</t>
    <phoneticPr fontId="76" type="noConversion"/>
  </si>
  <si>
    <t>供货单位：</t>
    <phoneticPr fontId="76" type="noConversion"/>
  </si>
  <si>
    <t>供货传真：</t>
    <phoneticPr fontId="76" type="noConversion"/>
  </si>
  <si>
    <t>供货电话：</t>
    <phoneticPr fontId="76" type="noConversion"/>
  </si>
  <si>
    <r>
      <t>定货单位：</t>
    </r>
    <r>
      <rPr>
        <sz val="12"/>
        <rFont val="Times New Roman"/>
        <family val="1"/>
      </rPr>
      <t xml:space="preserve">               </t>
    </r>
    <phoneticPr fontId="76" type="noConversion"/>
  </si>
  <si>
    <t>收货传真：</t>
    <phoneticPr fontId="76" type="noConversion"/>
  </si>
  <si>
    <t>收货电话：</t>
    <phoneticPr fontId="76" type="noConversion"/>
  </si>
  <si>
    <r>
      <t>门板种类</t>
    </r>
    <r>
      <rPr>
        <sz val="12"/>
        <rFont val="宋体"/>
        <family val="3"/>
        <charset val="134"/>
      </rPr>
      <t>：</t>
    </r>
    <r>
      <rPr>
        <sz val="12"/>
        <rFont val="Times New Roman"/>
        <family val="1"/>
      </rPr>
      <t xml:space="preserve">     </t>
    </r>
    <phoneticPr fontId="76" type="noConversion"/>
  </si>
  <si>
    <t>门板颜色及刀型：香颂</t>
    <phoneticPr fontId="76" type="noConversion"/>
  </si>
  <si>
    <t>收货人：</t>
    <phoneticPr fontId="76" type="noConversion"/>
  </si>
  <si>
    <t>郝晓卓/冯刚强</t>
    <phoneticPr fontId="76" type="noConversion"/>
  </si>
  <si>
    <t>X</t>
    <phoneticPr fontId="76" type="noConversion"/>
  </si>
  <si>
    <t>加工刀型</t>
    <phoneticPr fontId="76" type="noConversion"/>
  </si>
  <si>
    <t>罗马柱</t>
    <phoneticPr fontId="76" type="noConversion"/>
  </si>
  <si>
    <r>
      <t>含1</t>
    </r>
    <r>
      <rPr>
        <sz val="12"/>
        <rFont val="宋体"/>
        <family val="3"/>
        <charset val="134"/>
      </rPr>
      <t>00高罗马柱础</t>
    </r>
    <phoneticPr fontId="76" type="noConversion"/>
  </si>
  <si>
    <t>踢脚板</t>
    <phoneticPr fontId="76" type="noConversion"/>
  </si>
  <si>
    <t>平板无刀型</t>
    <phoneticPr fontId="76" type="noConversion"/>
  </si>
  <si>
    <t>顶线</t>
    <phoneticPr fontId="76" type="noConversion"/>
  </si>
  <si>
    <t>烟机罩顶线</t>
    <phoneticPr fontId="76" type="noConversion"/>
  </si>
  <si>
    <t>烟机罩眉线</t>
    <phoneticPr fontId="76" type="noConversion"/>
  </si>
  <si>
    <t>备注：香颂罗马柱侧板的深度地柜为540mm吊柜为280mm</t>
    <phoneticPr fontId="76" type="noConversion"/>
  </si>
  <si>
    <r>
      <t>如有刀型不明请回传!收到后请回传此单至</t>
    </r>
    <r>
      <rPr>
        <sz val="14"/>
        <rFont val="宋体"/>
        <family val="3"/>
        <charset val="134"/>
      </rPr>
      <t>:80529723</t>
    </r>
    <r>
      <rPr>
        <sz val="14"/>
        <rFont val="华文行楷"/>
        <family val="3"/>
        <charset val="134"/>
      </rPr>
      <t xml:space="preserve"> 签收人:__________</t>
    </r>
    <phoneticPr fontId="76" type="noConversion"/>
  </si>
  <si>
    <t>审核人：</t>
  </si>
  <si>
    <r>
      <rPr>
        <b/>
        <sz val="16"/>
        <rFont val="宋体"/>
        <family val="3"/>
        <charset val="134"/>
      </rPr>
      <t>（厨浴柜）</t>
    </r>
    <r>
      <rPr>
        <b/>
        <sz val="16"/>
        <rFont val="Times New Roman"/>
        <family val="1"/>
      </rPr>
      <t xml:space="preserve"> </t>
    </r>
    <r>
      <rPr>
        <b/>
        <sz val="16"/>
        <rFont val="宋体"/>
        <family val="3"/>
        <charset val="134"/>
      </rPr>
      <t>门板外协加工单</t>
    </r>
    <phoneticPr fontId="76" type="noConversion"/>
  </si>
  <si>
    <t>卡其</t>
    <phoneticPr fontId="76" type="noConversion"/>
  </si>
  <si>
    <t>北京家和佳兴家具厂</t>
    <phoneticPr fontId="76" type="noConversion"/>
  </si>
  <si>
    <t>门板颜色及刀型同罗丹单面做旧</t>
    <phoneticPr fontId="76" type="noConversion"/>
  </si>
  <si>
    <t>颜色</t>
    <phoneticPr fontId="76" type="noConversion"/>
  </si>
  <si>
    <t>X</t>
    <phoneticPr fontId="76" type="noConversion"/>
  </si>
  <si>
    <t>罗马柱</t>
    <phoneticPr fontId="76" type="noConversion"/>
  </si>
  <si>
    <t>罗马柱础</t>
    <phoneticPr fontId="76" type="noConversion"/>
  </si>
  <si>
    <t>踢脚板</t>
    <phoneticPr fontId="76" type="noConversion"/>
  </si>
  <si>
    <t>平板无刀型</t>
    <phoneticPr fontId="76" type="noConversion"/>
  </si>
  <si>
    <t>顶线</t>
    <phoneticPr fontId="76" type="noConversion"/>
  </si>
  <si>
    <t>烟机罩装饰顶线</t>
    <phoneticPr fontId="76" type="noConversion"/>
  </si>
  <si>
    <t>具体尺寸及刀型详见图纸(厚度36）</t>
    <phoneticPr fontId="76" type="noConversion"/>
  </si>
  <si>
    <t>烟机罩装饰眉板</t>
    <phoneticPr fontId="76" type="noConversion"/>
  </si>
  <si>
    <t>具体尺寸及刀型详见图纸（厚度18）</t>
    <phoneticPr fontId="76" type="noConversion"/>
  </si>
  <si>
    <t>烟机罩装饰底线</t>
    <phoneticPr fontId="76" type="noConversion"/>
  </si>
  <si>
    <t>具体尺寸及刀型详见图纸（厚度36）</t>
    <phoneticPr fontId="76" type="noConversion"/>
  </si>
  <si>
    <r>
      <t>如有刀型不明请回传!收到后请回传此单至</t>
    </r>
    <r>
      <rPr>
        <sz val="12"/>
        <rFont val="宋体"/>
        <family val="3"/>
        <charset val="134"/>
      </rPr>
      <t>:</t>
    </r>
    <r>
      <rPr>
        <sz val="12"/>
        <rFont val="宋体"/>
        <family val="3"/>
        <charset val="134"/>
      </rPr>
      <t>80529723</t>
    </r>
    <r>
      <rPr>
        <sz val="14"/>
        <rFont val="宋体"/>
        <family val="3"/>
        <charset val="134"/>
      </rPr>
      <t xml:space="preserve"> </t>
    </r>
    <r>
      <rPr>
        <sz val="14"/>
        <rFont val="华文行楷"/>
        <family val="3"/>
        <charset val="134"/>
      </rPr>
      <t xml:space="preserve">   签收人:__________</t>
    </r>
    <phoneticPr fontId="76" type="noConversion"/>
  </si>
  <si>
    <t>制单人：</t>
    <phoneticPr fontId="76" type="noConversion"/>
  </si>
  <si>
    <t>审核人：</t>
    <phoneticPr fontId="76" type="noConversion"/>
  </si>
  <si>
    <t>采购：</t>
    <phoneticPr fontId="76" type="noConversion"/>
  </si>
  <si>
    <t>整体厨房工艺科</t>
    <phoneticPr fontId="76" type="noConversion"/>
  </si>
  <si>
    <t>木业有限公司·工艺组</t>
    <phoneticPr fontId="76" type="noConversion"/>
  </si>
  <si>
    <t>高朋祥</t>
  </si>
  <si>
    <t>高朋祥</t>
    <phoneticPr fontId="49" type="noConversion"/>
  </si>
  <si>
    <t>高朋祥</t>
    <phoneticPr fontId="76" type="noConversion"/>
  </si>
  <si>
    <t>高朋祥</t>
    <phoneticPr fontId="76" type="noConversion"/>
  </si>
  <si>
    <t>P01月牙白</t>
  </si>
  <si>
    <t xml:space="preserve">暖白单贴三聚氰胺E1级罗宾镂铣中密度
</t>
    <phoneticPr fontId="49" type="noConversion"/>
  </si>
  <si>
    <t>成品描述：</t>
    <phoneticPr fontId="3" type="noConversion"/>
  </si>
  <si>
    <t>成品编码：</t>
    <phoneticPr fontId="3" type="noConversion"/>
  </si>
  <si>
    <t>材质：</t>
    <phoneticPr fontId="3" type="noConversion"/>
  </si>
  <si>
    <t>客户姓名</t>
    <phoneticPr fontId="3" type="noConversion"/>
  </si>
  <si>
    <t>订单编号</t>
    <phoneticPr fontId="3" type="noConversion"/>
  </si>
  <si>
    <t>接单日期</t>
    <phoneticPr fontId="3" type="noConversion"/>
  </si>
  <si>
    <t>款式名称</t>
    <phoneticPr fontId="3" type="noConversion"/>
  </si>
  <si>
    <t>材质/色号</t>
    <phoneticPr fontId="3" type="noConversion"/>
  </si>
  <si>
    <t>下单日期</t>
    <phoneticPr fontId="3" type="noConversion"/>
  </si>
  <si>
    <t>销售点</t>
    <phoneticPr fontId="3" type="noConversion"/>
  </si>
  <si>
    <t>应完成日期</t>
    <phoneticPr fontId="3" type="noConversion"/>
  </si>
  <si>
    <t>产品系列</t>
    <phoneticPr fontId="3" type="noConversion"/>
  </si>
  <si>
    <t>实木</t>
    <phoneticPr fontId="3" type="noConversion"/>
  </si>
  <si>
    <t>混油</t>
    <phoneticPr fontId="3" type="noConversion"/>
  </si>
  <si>
    <t>清油</t>
    <phoneticPr fontId="3" type="noConversion"/>
  </si>
  <si>
    <t>吸塑</t>
    <phoneticPr fontId="3" type="noConversion"/>
  </si>
  <si>
    <t>免漆</t>
    <phoneticPr fontId="3" type="noConversion"/>
  </si>
  <si>
    <t>铝框</t>
    <phoneticPr fontId="3" type="noConversion"/>
  </si>
  <si>
    <t>生产线工序交接单（门板）</t>
    <phoneticPr fontId="3" type="noConversion"/>
  </si>
  <si>
    <t>古典镜子</t>
    <phoneticPr fontId="3" type="noConversion"/>
  </si>
  <si>
    <t>整板铣型，严格按照技术部下发图纸加工</t>
    <phoneticPr fontId="3" type="noConversion"/>
  </si>
  <si>
    <r>
      <rPr>
        <sz val="8"/>
        <rFont val="宋体"/>
        <family val="3"/>
        <charset val="134"/>
      </rPr>
      <t>镜子背板</t>
    </r>
    <r>
      <rPr>
        <sz val="8"/>
        <rFont val="Times New Roman"/>
        <family val="1"/>
      </rPr>
      <t>12mm</t>
    </r>
    <phoneticPr fontId="3" type="noConversion"/>
  </si>
  <si>
    <t>按技术部下发文件加工</t>
    <phoneticPr fontId="3" type="noConversion"/>
  </si>
  <si>
    <r>
      <t>3mm</t>
    </r>
    <r>
      <rPr>
        <sz val="12"/>
        <rFont val="宋体"/>
        <family val="3"/>
        <charset val="134"/>
      </rPr>
      <t>背板</t>
    </r>
    <phoneticPr fontId="3" type="noConversion"/>
  </si>
  <si>
    <t>12*1220*2440</t>
    <phoneticPr fontId="3" type="noConversion"/>
  </si>
  <si>
    <t>素高林E1级中密度</t>
    <phoneticPr fontId="3" type="noConversion"/>
  </si>
  <si>
    <t>3*1220*2440</t>
  </si>
  <si>
    <t>暖白双贴三聚氰胺E1级中密度板</t>
  </si>
  <si>
    <r>
      <t>拉米诺挂件UN</t>
    </r>
    <r>
      <rPr>
        <sz val="10"/>
        <rFont val="宋体"/>
        <family val="3"/>
        <charset val="134"/>
      </rPr>
      <t>O</t>
    </r>
    <r>
      <rPr>
        <sz val="10"/>
        <rFont val="宋体"/>
        <family val="3"/>
        <charset val="134"/>
      </rPr>
      <t>30</t>
    </r>
    <phoneticPr fontId="3" type="noConversion"/>
  </si>
  <si>
    <t>自攻钉3.5*12</t>
    <phoneticPr fontId="3" type="noConversion"/>
  </si>
  <si>
    <t>个</t>
    <phoneticPr fontId="3" type="noConversion"/>
  </si>
  <si>
    <t>套</t>
    <phoneticPr fontId="3" type="noConversion"/>
  </si>
  <si>
    <t>PU面漆（手工喷涂）</t>
  </si>
  <si>
    <t>主剂86003</t>
  </si>
  <si>
    <t>千克</t>
    <phoneticPr fontId="3" type="noConversion"/>
  </si>
  <si>
    <t>固化剂PR86</t>
  </si>
  <si>
    <t>PX903/稀料PX904</t>
  </si>
  <si>
    <t>版本型录号</t>
    <phoneticPr fontId="3" type="noConversion"/>
  </si>
  <si>
    <t>总数量：</t>
    <phoneticPr fontId="3" type="noConversion"/>
  </si>
  <si>
    <t>G01珍珠白</t>
    <phoneticPr fontId="3" type="noConversion"/>
  </si>
  <si>
    <t>订单编号：</t>
    <phoneticPr fontId="3" type="noConversion"/>
  </si>
  <si>
    <t>下单日期：</t>
    <phoneticPr fontId="3" type="noConversion"/>
  </si>
  <si>
    <t>应完成日期</t>
    <phoneticPr fontId="3" type="noConversion"/>
  </si>
  <si>
    <t>G02象牙白</t>
  </si>
  <si>
    <t>橱柜款式</t>
    <phoneticPr fontId="3" type="noConversion"/>
  </si>
  <si>
    <t>色诱</t>
    <phoneticPr fontId="3" type="noConversion"/>
  </si>
  <si>
    <t>G06卡布奇诺</t>
  </si>
  <si>
    <t>此单为单面烤漆，正面和四边做90%的高光漆</t>
    <phoneticPr fontId="3" type="noConversion"/>
  </si>
  <si>
    <t>G07深灰</t>
  </si>
  <si>
    <t>说明</t>
    <phoneticPr fontId="3" type="noConversion"/>
  </si>
  <si>
    <t>成型尺寸</t>
    <phoneticPr fontId="3" type="noConversion"/>
  </si>
  <si>
    <t>下料尺寸</t>
    <phoneticPr fontId="3" type="noConversion"/>
  </si>
  <si>
    <t>G08柠檬绿</t>
  </si>
  <si>
    <t>箱体序号</t>
    <phoneticPr fontId="3" type="noConversion"/>
  </si>
  <si>
    <t>高度</t>
    <phoneticPr fontId="3" type="noConversion"/>
  </si>
  <si>
    <t>数量</t>
    <phoneticPr fontId="3" type="noConversion"/>
  </si>
  <si>
    <t>宽度</t>
    <phoneticPr fontId="3" type="noConversion"/>
  </si>
  <si>
    <t>加工备注</t>
    <phoneticPr fontId="3" type="noConversion"/>
  </si>
  <si>
    <t>G09法拉利红</t>
    <phoneticPr fontId="3" type="noConversion"/>
  </si>
  <si>
    <t>G10酒红</t>
    <phoneticPr fontId="3" type="noConversion"/>
  </si>
  <si>
    <t>G11纯黑</t>
    <phoneticPr fontId="3" type="noConversion"/>
  </si>
  <si>
    <t>G10酒红</t>
  </si>
  <si>
    <t>油漆平米数：</t>
    <phoneticPr fontId="3" type="noConversion"/>
  </si>
  <si>
    <t>此单分下料尺寸和成型尺寸2种，请生产各工段注意！</t>
    <phoneticPr fontId="3" type="noConversion"/>
  </si>
  <si>
    <r>
      <t>如有材质、颜色、尺寸不明请和工艺组联系并确认</t>
    </r>
    <r>
      <rPr>
        <sz val="14"/>
        <rFont val="宋体"/>
        <family val="3"/>
        <charset val="134"/>
      </rPr>
      <t>！</t>
    </r>
    <r>
      <rPr>
        <sz val="14"/>
        <rFont val="华文行楷"/>
        <family val="3"/>
        <charset val="134"/>
      </rPr>
      <t xml:space="preserve">  分机电话：2160</t>
    </r>
    <phoneticPr fontId="3" type="noConversion"/>
  </si>
  <si>
    <t>制单人：</t>
    <phoneticPr fontId="3" type="noConversion"/>
  </si>
  <si>
    <t>北京意德法家木业有限公司工艺材料单(门板)</t>
    <phoneticPr fontId="3" type="noConversion"/>
  </si>
  <si>
    <t>冬用</t>
  </si>
  <si>
    <t>夏用（慢干水）</t>
  </si>
  <si>
    <t>稀料PX707</t>
  </si>
  <si>
    <t>主剂</t>
    <phoneticPr fontId="3" type="noConversion"/>
  </si>
  <si>
    <t>固化剂</t>
    <phoneticPr fontId="3" type="noConversion"/>
  </si>
  <si>
    <t>稀料</t>
    <phoneticPr fontId="3" type="noConversion"/>
  </si>
  <si>
    <t>单次定额</t>
    <phoneticPr fontId="3" type="noConversion"/>
  </si>
  <si>
    <t>橱柜款式</t>
    <phoneticPr fontId="3" type="noConversion"/>
  </si>
  <si>
    <t>色诱</t>
    <phoneticPr fontId="3" type="noConversion"/>
  </si>
  <si>
    <t>稀料PX705</t>
  </si>
  <si>
    <t>G01珍珠白</t>
    <phoneticPr fontId="3" type="noConversion"/>
  </si>
  <si>
    <t>固化剂PR82</t>
    <phoneticPr fontId="3" type="noConversion"/>
  </si>
  <si>
    <r>
      <t>主剂T</t>
    </r>
    <r>
      <rPr>
        <sz val="12"/>
        <rFont val="宋体"/>
        <family val="3"/>
        <charset val="134"/>
      </rPr>
      <t>20975</t>
    </r>
    <phoneticPr fontId="3" type="noConversion"/>
  </si>
  <si>
    <t>固化剂PR66</t>
    <phoneticPr fontId="3" type="noConversion"/>
  </si>
  <si>
    <t>稀料PX705/PX707</t>
    <phoneticPr fontId="3" type="noConversion"/>
  </si>
  <si>
    <t>慢干水PZ807</t>
  </si>
  <si>
    <t>固化剂PR82</t>
    <phoneticPr fontId="3" type="noConversion"/>
  </si>
  <si>
    <t>固化剂PR50</t>
    <phoneticPr fontId="3" type="noConversion"/>
  </si>
  <si>
    <t>G09法拉利红</t>
    <phoneticPr fontId="3" type="noConversion"/>
  </si>
  <si>
    <t>固化剂PR50</t>
    <phoneticPr fontId="3" type="noConversion"/>
  </si>
  <si>
    <r>
      <t>主剂T</t>
    </r>
    <r>
      <rPr>
        <sz val="12"/>
        <rFont val="宋体"/>
        <family val="3"/>
        <charset val="134"/>
      </rPr>
      <t>20975</t>
    </r>
    <phoneticPr fontId="3" type="noConversion"/>
  </si>
  <si>
    <t>固化剂PR66</t>
    <phoneticPr fontId="3" type="noConversion"/>
  </si>
  <si>
    <t>稀料PX705/PX707</t>
    <phoneticPr fontId="3" type="noConversion"/>
  </si>
  <si>
    <t>以下区域勿动</t>
    <phoneticPr fontId="3" type="noConversion"/>
  </si>
  <si>
    <t>固化剂T32944</t>
    <phoneticPr fontId="3" type="noConversion"/>
  </si>
  <si>
    <t>稀料PX801/PX803</t>
    <phoneticPr fontId="3" type="noConversion"/>
  </si>
  <si>
    <t>L01珍珠白</t>
    <phoneticPr fontId="3" type="noConversion"/>
  </si>
  <si>
    <t>固化剂PR82</t>
    <phoneticPr fontId="3" type="noConversion"/>
  </si>
  <si>
    <t>L02象牙白</t>
    <phoneticPr fontId="3" type="noConversion"/>
  </si>
  <si>
    <t>L05浅灰</t>
    <phoneticPr fontId="3" type="noConversion"/>
  </si>
  <si>
    <t>L06卡布奇诺</t>
    <phoneticPr fontId="3" type="noConversion"/>
  </si>
  <si>
    <t>L11纯黑</t>
    <phoneticPr fontId="3" type="noConversion"/>
  </si>
  <si>
    <t>固化剂CRF55085B</t>
    <phoneticPr fontId="3" type="noConversion"/>
  </si>
  <si>
    <t>稀料RTS-10SL</t>
    <phoneticPr fontId="3" type="noConversion"/>
  </si>
  <si>
    <t>L01珍珠白</t>
    <phoneticPr fontId="3" type="noConversion"/>
  </si>
  <si>
    <t>L02象牙白</t>
    <phoneticPr fontId="3" type="noConversion"/>
  </si>
  <si>
    <t>L05浅灰</t>
    <phoneticPr fontId="3" type="noConversion"/>
  </si>
  <si>
    <t>此单为单面烤漆，正面和四边做哑光漆</t>
    <phoneticPr fontId="3" type="noConversion"/>
  </si>
  <si>
    <t>L06卡布奇诺</t>
    <phoneticPr fontId="3" type="noConversion"/>
  </si>
  <si>
    <t>18A暖白双贴三聚氰胺刨花板</t>
    <phoneticPr fontId="3" type="noConversion"/>
  </si>
  <si>
    <t>L11纯黑</t>
    <phoneticPr fontId="3" type="noConversion"/>
  </si>
  <si>
    <t>油漆平米数：</t>
    <phoneticPr fontId="3" type="noConversion"/>
  </si>
  <si>
    <r>
      <t>如有材质、颜色、尺寸不明请和工艺组联系并确认</t>
    </r>
    <r>
      <rPr>
        <sz val="14"/>
        <rFont val="宋体"/>
        <family val="3"/>
        <charset val="134"/>
      </rPr>
      <t>！</t>
    </r>
    <r>
      <rPr>
        <sz val="14"/>
        <rFont val="华文行楷"/>
        <family val="3"/>
        <charset val="134"/>
      </rPr>
      <t xml:space="preserve">  分机电话：2160</t>
    </r>
    <phoneticPr fontId="3" type="noConversion"/>
  </si>
  <si>
    <t>底漆部分</t>
    <phoneticPr fontId="3" type="noConversion"/>
  </si>
  <si>
    <r>
      <t>主剂T</t>
    </r>
    <r>
      <rPr>
        <sz val="12"/>
        <rFont val="宋体"/>
        <family val="3"/>
        <charset val="134"/>
      </rPr>
      <t>20975</t>
    </r>
    <phoneticPr fontId="3" type="noConversion"/>
  </si>
  <si>
    <t>材质颜色</t>
    <phoneticPr fontId="3" type="noConversion"/>
  </si>
  <si>
    <t>1220*2440</t>
    <phoneticPr fontId="3" type="noConversion"/>
  </si>
  <si>
    <r>
      <t>1</t>
    </r>
    <r>
      <rPr>
        <sz val="10"/>
        <rFont val="宋体"/>
        <family val="3"/>
        <charset val="134"/>
      </rPr>
      <t>.0*22白色PVC（混油专用）</t>
    </r>
    <phoneticPr fontId="3" type="noConversion"/>
  </si>
  <si>
    <t>G09法拉利红</t>
    <phoneticPr fontId="3" type="noConversion"/>
  </si>
  <si>
    <t>G10酒红</t>
    <phoneticPr fontId="3" type="noConversion"/>
  </si>
  <si>
    <t>G11纯黑</t>
    <phoneticPr fontId="3" type="noConversion"/>
  </si>
  <si>
    <t>PU清底（手工喷边）</t>
    <phoneticPr fontId="3" type="noConversion"/>
  </si>
  <si>
    <t>稀料PX707/稀料PX705</t>
    <phoneticPr fontId="3" type="noConversion"/>
  </si>
  <si>
    <t>固化剂T32944</t>
    <phoneticPr fontId="3" type="noConversion"/>
  </si>
  <si>
    <t>稀料PX801/PX803</t>
    <phoneticPr fontId="3" type="noConversion"/>
  </si>
  <si>
    <t>注：9月21日-4月20日恢复325</t>
    <phoneticPr fontId="3" type="noConversion"/>
  </si>
  <si>
    <t>固化剂CRF55085B</t>
    <phoneticPr fontId="3" type="noConversion"/>
  </si>
  <si>
    <t>稀料RTS-10SL</t>
    <phoneticPr fontId="3" type="noConversion"/>
  </si>
  <si>
    <t>支</t>
    <phoneticPr fontId="3" type="noConversion"/>
  </si>
  <si>
    <t>门板材质</t>
    <phoneticPr fontId="76" type="noConversion"/>
  </si>
  <si>
    <t>单面面漆（面+边）1</t>
    <phoneticPr fontId="3" type="noConversion"/>
  </si>
  <si>
    <t>单面面漆（面+边）2</t>
  </si>
  <si>
    <t>双面面漆（面+边）1</t>
    <phoneticPr fontId="3" type="noConversion"/>
  </si>
  <si>
    <t>双面面漆（面+边）2</t>
    <phoneticPr fontId="76" type="noConversion"/>
  </si>
  <si>
    <r>
      <t>PU白底（</t>
    </r>
    <r>
      <rPr>
        <sz val="10"/>
        <rFont val="宋体"/>
        <family val="3"/>
        <charset val="134"/>
      </rPr>
      <t>手工喷涂</t>
    </r>
    <r>
      <rPr>
        <sz val="10"/>
        <rFont val="宋体"/>
        <family val="3"/>
        <charset val="134"/>
      </rPr>
      <t>）</t>
    </r>
    <phoneticPr fontId="3" type="noConversion"/>
  </si>
  <si>
    <t>门板底漆平米</t>
    <phoneticPr fontId="3" type="noConversion"/>
  </si>
  <si>
    <t>门板</t>
    <phoneticPr fontId="3" type="noConversion"/>
  </si>
  <si>
    <t>18A暖白双贴三聚氰胺刨花板</t>
    <phoneticPr fontId="3" type="noConversion"/>
  </si>
  <si>
    <t>LC-003拉手</t>
    <phoneticPr fontId="3" type="noConversion"/>
  </si>
  <si>
    <t>延米数</t>
  </si>
  <si>
    <t>UTA1012</t>
    <phoneticPr fontId="3" type="noConversion"/>
  </si>
  <si>
    <t>UTA1043A</t>
    <phoneticPr fontId="3" type="noConversion"/>
  </si>
  <si>
    <t>瓷白</t>
    <phoneticPr fontId="76" type="noConversion"/>
  </si>
  <si>
    <t>透明</t>
    <phoneticPr fontId="76" type="noConversion"/>
  </si>
  <si>
    <t>L07深灰</t>
    <phoneticPr fontId="3" type="noConversion"/>
  </si>
  <si>
    <t>G05浅灰</t>
    <phoneticPr fontId="3" type="noConversion"/>
  </si>
  <si>
    <t>稀料PX903</t>
    <phoneticPr fontId="76" type="noConversion"/>
  </si>
  <si>
    <t>稀料PX903</t>
    <phoneticPr fontId="76" type="noConversion"/>
  </si>
  <si>
    <t>稀料PX807</t>
    <phoneticPr fontId="76" type="noConversion"/>
  </si>
  <si>
    <t>家具班组转序交接表</t>
    <phoneticPr fontId="24" type="noConversion"/>
  </si>
  <si>
    <t>客户姓名</t>
    <phoneticPr fontId="24" type="noConversion"/>
  </si>
  <si>
    <t>接单日期</t>
    <phoneticPr fontId="24" type="noConversion"/>
  </si>
  <si>
    <t>款式名称</t>
    <phoneticPr fontId="24" type="noConversion"/>
  </si>
  <si>
    <t>材质/色号</t>
    <phoneticPr fontId="24" type="noConversion"/>
  </si>
  <si>
    <t>下单日期</t>
    <phoneticPr fontId="24" type="noConversion"/>
  </si>
  <si>
    <t>销售点</t>
    <phoneticPr fontId="24" type="noConversion"/>
  </si>
  <si>
    <t>版本型号录号</t>
    <phoneticPr fontId="24" type="noConversion"/>
  </si>
  <si>
    <t>应完成日期</t>
    <phoneticPr fontId="24" type="noConversion"/>
  </si>
  <si>
    <t>产品系列</t>
    <phoneticPr fontId="24" type="noConversion"/>
  </si>
  <si>
    <t>实木</t>
    <phoneticPr fontId="24" type="noConversion"/>
  </si>
  <si>
    <t>混油</t>
    <phoneticPr fontId="24" type="noConversion"/>
  </si>
  <si>
    <t>清油</t>
    <phoneticPr fontId="24" type="noConversion"/>
  </si>
  <si>
    <t>吸塑</t>
    <phoneticPr fontId="24" type="noConversion"/>
  </si>
  <si>
    <t>免漆</t>
    <phoneticPr fontId="24" type="noConversion"/>
  </si>
  <si>
    <t>铝框</t>
    <phoneticPr fontId="24" type="noConversion"/>
  </si>
  <si>
    <t>标准地柜</t>
    <phoneticPr fontId="24" type="noConversion"/>
  </si>
  <si>
    <t>标准吊柜</t>
    <phoneticPr fontId="24" type="noConversion"/>
  </si>
  <si>
    <t>生产周期</t>
    <phoneticPr fontId="24" type="noConversion"/>
  </si>
  <si>
    <t>序号</t>
    <phoneticPr fontId="24" type="noConversion"/>
  </si>
  <si>
    <t>工段班组</t>
    <phoneticPr fontId="24" type="noConversion"/>
  </si>
  <si>
    <t>工序名称</t>
    <phoneticPr fontId="24" type="noConversion"/>
  </si>
  <si>
    <t>成品数量</t>
    <phoneticPr fontId="24" type="noConversion"/>
  </si>
  <si>
    <t>单位</t>
    <phoneticPr fontId="24" type="noConversion"/>
  </si>
  <si>
    <t>完成日期</t>
    <phoneticPr fontId="24" type="noConversion"/>
  </si>
  <si>
    <t>主机手</t>
    <phoneticPr fontId="24" type="noConversion"/>
  </si>
  <si>
    <t>质检</t>
    <phoneticPr fontId="24" type="noConversion"/>
  </si>
  <si>
    <t>备注</t>
    <phoneticPr fontId="24" type="noConversion"/>
  </si>
  <si>
    <t>橱柜线</t>
    <phoneticPr fontId="24" type="noConversion"/>
  </si>
  <si>
    <t>下料组</t>
    <phoneticPr fontId="24" type="noConversion"/>
  </si>
  <si>
    <t>块</t>
    <phoneticPr fontId="24" type="noConversion"/>
  </si>
  <si>
    <t>封边组</t>
  </si>
  <si>
    <t>钻铣组1</t>
    <phoneticPr fontId="24" type="noConversion"/>
  </si>
  <si>
    <t>家具线</t>
    <phoneticPr fontId="24" type="noConversion"/>
  </si>
  <si>
    <t>钻铣组2</t>
    <phoneticPr fontId="24" type="noConversion"/>
  </si>
  <si>
    <t>门板线</t>
    <phoneticPr fontId="24" type="noConversion"/>
  </si>
  <si>
    <t>下料冷压封边组</t>
    <phoneticPr fontId="24" type="noConversion"/>
  </si>
  <si>
    <t>钻铣组3</t>
    <phoneticPr fontId="24" type="noConversion"/>
  </si>
  <si>
    <t>吸塑线</t>
    <phoneticPr fontId="24" type="noConversion"/>
  </si>
  <si>
    <t>机加组</t>
    <phoneticPr fontId="24" type="noConversion"/>
  </si>
  <si>
    <t>吸塑组</t>
    <phoneticPr fontId="24" type="noConversion"/>
  </si>
  <si>
    <t>打磨组</t>
    <phoneticPr fontId="24" type="noConversion"/>
  </si>
  <si>
    <t>铝材拼框组</t>
    <phoneticPr fontId="24" type="noConversion"/>
  </si>
  <si>
    <t>试装线</t>
    <phoneticPr fontId="24" type="noConversion"/>
  </si>
  <si>
    <t>橱柜试装组</t>
    <phoneticPr fontId="24" type="noConversion"/>
  </si>
  <si>
    <t>延米</t>
    <phoneticPr fontId="24" type="noConversion"/>
  </si>
  <si>
    <t>衣帽间试装组</t>
    <phoneticPr fontId="24" type="noConversion"/>
  </si>
  <si>
    <t>平米</t>
    <phoneticPr fontId="24" type="noConversion"/>
  </si>
  <si>
    <t>五金配套组</t>
    <phoneticPr fontId="24" type="noConversion"/>
  </si>
  <si>
    <t>单</t>
    <phoneticPr fontId="24" type="noConversion"/>
  </si>
  <si>
    <t>家具高光线</t>
    <phoneticPr fontId="24" type="noConversion"/>
  </si>
  <si>
    <t>机涂组</t>
    <phoneticPr fontId="24" type="noConversion"/>
  </si>
  <si>
    <t>高光喷漆组</t>
    <phoneticPr fontId="24" type="noConversion"/>
  </si>
  <si>
    <t>包装线</t>
    <phoneticPr fontId="24" type="noConversion"/>
  </si>
  <si>
    <t>家具包装组</t>
    <phoneticPr fontId="24" type="noConversion"/>
  </si>
  <si>
    <t>稀料PX904</t>
    <phoneticPr fontId="76" type="noConversion"/>
  </si>
  <si>
    <r>
      <rPr>
        <b/>
        <sz val="16"/>
        <color rgb="FFFF0000"/>
        <rFont val="宋体"/>
        <family val="3"/>
        <charset val="134"/>
      </rPr>
      <t>备注</t>
    </r>
    <r>
      <rPr>
        <b/>
        <sz val="14"/>
        <color rgb="FFFF0000"/>
        <rFont val="宋体"/>
        <family val="3"/>
        <charset val="134"/>
      </rPr>
      <t>：油漆用量均以体系内单面做漆为基础公式，如需双面做漆请手工更改</t>
    </r>
    <phoneticPr fontId="76" type="noConversion"/>
  </si>
  <si>
    <t>内门线</t>
    <phoneticPr fontId="3" type="noConversion"/>
  </si>
  <si>
    <t>混油打磨组</t>
    <phoneticPr fontId="3" type="noConversion"/>
  </si>
  <si>
    <t>平米</t>
    <phoneticPr fontId="24" type="noConversion"/>
  </si>
  <si>
    <t>清油打磨组</t>
    <phoneticPr fontId="3" type="noConversion"/>
  </si>
  <si>
    <t>夏用</t>
    <phoneticPr fontId="76" type="noConversion"/>
  </si>
  <si>
    <t>哑光PU面漆（手工喷涂)</t>
    <phoneticPr fontId="3" type="noConversion"/>
  </si>
  <si>
    <t>夏用</t>
    <phoneticPr fontId="76" type="noConversion"/>
  </si>
  <si>
    <t>生产类型</t>
    <phoneticPr fontId="3" type="noConversion"/>
  </si>
  <si>
    <t>厨浴柜</t>
    <phoneticPr fontId="3" type="noConversion"/>
  </si>
  <si>
    <t>应完成日期</t>
    <phoneticPr fontId="3" type="noConversion"/>
  </si>
  <si>
    <t>G12纯白（PBJ4490）</t>
  </si>
  <si>
    <t>L12纯白（CRF55085A9）</t>
  </si>
  <si>
    <t>L12纯白（CRF55085A9）</t>
    <phoneticPr fontId="3" type="noConversion"/>
  </si>
  <si>
    <t>G12纯白（PBJ4490）</t>
    <phoneticPr fontId="3" type="noConversion"/>
  </si>
  <si>
    <t>木皮线</t>
    <phoneticPr fontId="24" type="noConversion"/>
  </si>
  <si>
    <t>裁切木皮组</t>
    <phoneticPr fontId="24" type="noConversion"/>
  </si>
  <si>
    <t>块</t>
    <phoneticPr fontId="24" type="noConversion"/>
  </si>
  <si>
    <t>订单减尺</t>
    <phoneticPr fontId="3" type="noConversion"/>
  </si>
  <si>
    <t>拉手类型</t>
    <phoneticPr fontId="3" type="noConversion"/>
  </si>
  <si>
    <t>减尺规则</t>
    <phoneticPr fontId="3" type="noConversion"/>
  </si>
  <si>
    <t>外置拉手</t>
    <phoneticPr fontId="3" type="noConversion"/>
  </si>
  <si>
    <t>LC-003拉手</t>
    <phoneticPr fontId="3" type="noConversion"/>
  </si>
  <si>
    <t>豪美丽367</t>
    <phoneticPr fontId="3" type="noConversion"/>
  </si>
  <si>
    <t>豪美丽773</t>
    <phoneticPr fontId="3" type="noConversion"/>
  </si>
  <si>
    <t>门板描述</t>
    <phoneticPr fontId="76" type="noConversion"/>
  </si>
  <si>
    <t>单面
烤漆</t>
    <phoneticPr fontId="76" type="noConversion"/>
  </si>
  <si>
    <t>拉手类型</t>
    <phoneticPr fontId="76" type="noConversion"/>
  </si>
  <si>
    <t>单面
烤漆</t>
    <phoneticPr fontId="76" type="noConversion"/>
  </si>
  <si>
    <t>门板描述</t>
    <phoneticPr fontId="76" type="noConversion"/>
  </si>
  <si>
    <t>拉手类型</t>
    <phoneticPr fontId="76" type="noConversion"/>
  </si>
  <si>
    <t>延米数</t>
    <phoneticPr fontId="76" type="noConversion"/>
  </si>
  <si>
    <t>G05浅灰</t>
    <phoneticPr fontId="76" type="noConversion"/>
  </si>
  <si>
    <t>无拉手装饰板</t>
    <phoneticPr fontId="76" type="noConversion"/>
  </si>
  <si>
    <t>拉手类型</t>
  </si>
  <si>
    <t>门板封边</t>
    <phoneticPr fontId="3" type="noConversion"/>
  </si>
  <si>
    <t>门板底漆平米</t>
    <phoneticPr fontId="3" type="noConversion"/>
  </si>
  <si>
    <t>门板张数</t>
    <phoneticPr fontId="3" type="noConversion"/>
  </si>
  <si>
    <t>单面面漆（面+边）1</t>
    <phoneticPr fontId="3" type="noConversion"/>
  </si>
  <si>
    <t>双面面漆（面+边）1</t>
    <phoneticPr fontId="3" type="noConversion"/>
  </si>
  <si>
    <t>双面面漆（面+边）2</t>
    <phoneticPr fontId="76" type="noConversion"/>
  </si>
  <si>
    <t>LC-003拉手</t>
    <phoneticPr fontId="3" type="noConversion"/>
  </si>
  <si>
    <t>北京意德法家木业有限公司工艺材料单(门板)</t>
    <phoneticPr fontId="3" type="noConversion"/>
  </si>
  <si>
    <t>订单编号：</t>
    <phoneticPr fontId="3" type="noConversion"/>
  </si>
  <si>
    <t>客户姓名</t>
    <phoneticPr fontId="3" type="noConversion"/>
  </si>
  <si>
    <t>下单日期</t>
    <phoneticPr fontId="3" type="noConversion"/>
  </si>
  <si>
    <t>版本型录号</t>
    <phoneticPr fontId="3" type="noConversion"/>
  </si>
  <si>
    <t>应完成日期</t>
    <phoneticPr fontId="3" type="noConversion"/>
  </si>
  <si>
    <t>项目</t>
    <phoneticPr fontId="3" type="noConversion"/>
  </si>
  <si>
    <t>序号</t>
    <phoneticPr fontId="3" type="noConversion"/>
  </si>
  <si>
    <t>材料名称</t>
    <phoneticPr fontId="3" type="noConversion"/>
  </si>
  <si>
    <t>规格</t>
    <phoneticPr fontId="3" type="noConversion"/>
  </si>
  <si>
    <t>数量</t>
    <phoneticPr fontId="3" type="noConversion"/>
  </si>
  <si>
    <t>单位</t>
    <phoneticPr fontId="3" type="noConversion"/>
  </si>
  <si>
    <t>材质颜色</t>
    <phoneticPr fontId="3" type="noConversion"/>
  </si>
  <si>
    <t>1220*2440</t>
    <phoneticPr fontId="3" type="noConversion"/>
  </si>
  <si>
    <t>张</t>
    <phoneticPr fontId="3" type="noConversion"/>
  </si>
  <si>
    <t>1.0*22白色PVC（混油专用）</t>
    <phoneticPr fontId="3" type="noConversion"/>
  </si>
  <si>
    <t>丽凯8803A</t>
    <phoneticPr fontId="3" type="noConversion"/>
  </si>
  <si>
    <t>克</t>
    <phoneticPr fontId="3" type="noConversion"/>
  </si>
  <si>
    <t>UV白底</t>
    <phoneticPr fontId="3" type="noConversion"/>
  </si>
  <si>
    <t>UTA1012</t>
    <phoneticPr fontId="3" type="noConversion"/>
  </si>
  <si>
    <t>千克</t>
    <phoneticPr fontId="3" type="noConversion"/>
  </si>
  <si>
    <t>UTA1043A</t>
    <phoneticPr fontId="3" type="noConversion"/>
  </si>
  <si>
    <t>主剂PD3200</t>
    <phoneticPr fontId="3" type="noConversion"/>
  </si>
  <si>
    <t>固化剂PR66</t>
    <phoneticPr fontId="3" type="noConversion"/>
  </si>
  <si>
    <t>稀料PX707/稀料PX705</t>
    <phoneticPr fontId="3" type="noConversion"/>
  </si>
  <si>
    <t>高光PU面漆（手工喷涂)</t>
    <phoneticPr fontId="3" type="noConversion"/>
  </si>
  <si>
    <t>抛光液</t>
    <phoneticPr fontId="3" type="noConversion"/>
  </si>
  <si>
    <t>白细腊</t>
    <phoneticPr fontId="3" type="noConversion"/>
  </si>
  <si>
    <t>拉手</t>
    <phoneticPr fontId="3" type="noConversion"/>
  </si>
  <si>
    <t>LC-003通长铝拉手</t>
    <phoneticPr fontId="76" type="noConversion"/>
  </si>
  <si>
    <t>米</t>
    <phoneticPr fontId="3" type="noConversion"/>
  </si>
  <si>
    <t>普施宝免钉胶</t>
    <phoneticPr fontId="3" type="noConversion"/>
  </si>
  <si>
    <t>支</t>
    <phoneticPr fontId="3" type="noConversion"/>
  </si>
  <si>
    <t>序号</t>
    <phoneticPr fontId="76" type="noConversion"/>
  </si>
  <si>
    <t>型号</t>
    <phoneticPr fontId="76" type="noConversion"/>
  </si>
  <si>
    <t>配料：</t>
    <phoneticPr fontId="3" type="noConversion"/>
  </si>
  <si>
    <t>配料日期：</t>
    <phoneticPr fontId="3" type="noConversion"/>
  </si>
  <si>
    <t>米</t>
    <phoneticPr fontId="3" type="noConversion"/>
  </si>
  <si>
    <t>门板
拉手
外协</t>
    <phoneticPr fontId="76" type="noConversion"/>
  </si>
  <si>
    <t>橱柜   
款式</t>
    <phoneticPr fontId="3" type="noConversion"/>
  </si>
  <si>
    <t>PU清底
（手工喷边）</t>
    <phoneticPr fontId="3" type="noConversion"/>
  </si>
  <si>
    <t>PU白底
（手工喷涂）</t>
    <phoneticPr fontId="3" type="noConversion"/>
  </si>
  <si>
    <t>门板
基材</t>
    <phoneticPr fontId="3" type="noConversion"/>
  </si>
  <si>
    <t>油漆
明细</t>
    <phoneticPr fontId="3" type="noConversion"/>
  </si>
  <si>
    <t>数量</t>
    <phoneticPr fontId="76" type="noConversion"/>
  </si>
  <si>
    <t>单位</t>
    <phoneticPr fontId="76" type="noConversion"/>
  </si>
  <si>
    <t>LC-003拉手</t>
  </si>
</sst>
</file>

<file path=xl/styles.xml><?xml version="1.0" encoding="utf-8"?>
<styleSheet xmlns="http://schemas.openxmlformats.org/spreadsheetml/2006/main">
  <numFmts count="9">
    <numFmt numFmtId="43" formatCode="_ * #,##0.00_ ;_ * \-#,##0.00_ ;_ * &quot;-&quot;??_ ;_ @_ "/>
    <numFmt numFmtId="176" formatCode="0_ "/>
    <numFmt numFmtId="177" formatCode="0.00_ "/>
    <numFmt numFmtId="178" formatCode="0.0_ "/>
    <numFmt numFmtId="179" formatCode="yyyy&quot;年&quot;m&quot;月&quot;d&quot;日&quot;;@"/>
    <numFmt numFmtId="180" formatCode="[$-F800]dddd\,\ mmmm\ dd\,\ yyyy"/>
    <numFmt numFmtId="181" formatCode="0.0_);[Red]\(0.0\)"/>
    <numFmt numFmtId="182" formatCode="0.00_);[Red]\(0.00\)"/>
    <numFmt numFmtId="183" formatCode="0.0"/>
  </numFmts>
  <fonts count="125">
    <font>
      <sz val="12"/>
      <name val="宋体"/>
      <charset val="134"/>
    </font>
    <font>
      <sz val="11"/>
      <color theme="1"/>
      <name val="宋体"/>
      <family val="2"/>
      <charset val="134"/>
      <scheme val="minor"/>
    </font>
    <font>
      <sz val="12"/>
      <name val="宋体"/>
      <family val="3"/>
      <charset val="134"/>
    </font>
    <font>
      <sz val="9"/>
      <name val="宋体"/>
      <family val="3"/>
      <charset val="134"/>
    </font>
    <font>
      <sz val="12"/>
      <name val="Times New Roman"/>
      <family val="1"/>
    </font>
    <font>
      <b/>
      <sz val="12"/>
      <name val="宋体"/>
      <family val="3"/>
      <charset val="134"/>
    </font>
    <font>
      <sz val="14"/>
      <name val="宋体"/>
      <family val="3"/>
      <charset val="134"/>
    </font>
    <font>
      <sz val="10"/>
      <name val="宋体"/>
      <family val="3"/>
      <charset val="134"/>
    </font>
    <font>
      <b/>
      <sz val="14"/>
      <name val="宋体"/>
      <family val="3"/>
      <charset val="134"/>
    </font>
    <font>
      <sz val="11"/>
      <name val="宋体"/>
      <family val="3"/>
      <charset val="134"/>
    </font>
    <font>
      <b/>
      <sz val="10"/>
      <color indexed="8"/>
      <name val="宋体"/>
      <family val="3"/>
      <charset val="134"/>
    </font>
    <font>
      <sz val="10"/>
      <color indexed="8"/>
      <name val="宋体"/>
      <family val="3"/>
      <charset val="134"/>
    </font>
    <font>
      <sz val="9"/>
      <color indexed="81"/>
      <name val="宋体"/>
      <family val="3"/>
      <charset val="134"/>
    </font>
    <font>
      <b/>
      <sz val="9"/>
      <color indexed="81"/>
      <name val="宋体"/>
      <family val="3"/>
      <charset val="134"/>
    </font>
    <font>
      <b/>
      <sz val="22"/>
      <name val="华文细黑"/>
      <family val="3"/>
      <charset val="134"/>
    </font>
    <font>
      <sz val="14"/>
      <name val="华文细黑"/>
      <family val="3"/>
      <charset val="134"/>
    </font>
    <font>
      <sz val="12"/>
      <name val="华文新魏"/>
      <family val="3"/>
      <charset val="134"/>
    </font>
    <font>
      <sz val="14"/>
      <name val="华文新魏"/>
      <family val="3"/>
      <charset val="134"/>
    </font>
    <font>
      <b/>
      <sz val="16"/>
      <name val="华文细黑"/>
      <family val="3"/>
      <charset val="134"/>
    </font>
    <font>
      <sz val="8"/>
      <name val="宋体"/>
      <family val="3"/>
      <charset val="134"/>
    </font>
    <font>
      <sz val="9"/>
      <name val="宋体"/>
      <family val="3"/>
      <charset val="134"/>
    </font>
    <font>
      <sz val="11"/>
      <color theme="1"/>
      <name val="宋体"/>
      <family val="3"/>
      <charset val="134"/>
      <scheme val="minor"/>
    </font>
    <font>
      <b/>
      <sz val="12"/>
      <color theme="1"/>
      <name val="宋体"/>
      <family val="3"/>
      <charset val="134"/>
      <scheme val="minor"/>
    </font>
    <font>
      <sz val="10"/>
      <color theme="1"/>
      <name val="宋体"/>
      <family val="3"/>
      <charset val="134"/>
      <scheme val="minor"/>
    </font>
    <font>
      <sz val="9"/>
      <name val="宋体"/>
      <family val="2"/>
      <charset val="134"/>
      <scheme val="minor"/>
    </font>
    <font>
      <b/>
      <sz val="10"/>
      <color theme="1"/>
      <name val="宋体"/>
      <family val="3"/>
      <charset val="134"/>
      <scheme val="minor"/>
    </font>
    <font>
      <b/>
      <vertAlign val="superscript"/>
      <sz val="10"/>
      <color indexed="8"/>
      <name val="宋体"/>
      <family val="3"/>
      <charset val="134"/>
    </font>
    <font>
      <b/>
      <sz val="10"/>
      <name val="宋体"/>
      <family val="3"/>
      <charset val="134"/>
      <scheme val="minor"/>
    </font>
    <font>
      <sz val="10"/>
      <name val="Arial Unicode MS"/>
      <family val="2"/>
      <charset val="134"/>
    </font>
    <font>
      <sz val="9"/>
      <color indexed="81"/>
      <name val="Tahoma"/>
      <family val="2"/>
    </font>
    <font>
      <sz val="10"/>
      <color rgb="FFFF0000"/>
      <name val="宋体"/>
      <family val="3"/>
      <charset val="134"/>
      <scheme val="minor"/>
    </font>
    <font>
      <sz val="12"/>
      <name val="宋体"/>
      <family val="3"/>
      <charset val="134"/>
    </font>
    <font>
      <b/>
      <sz val="14"/>
      <name val="宋体"/>
      <family val="3"/>
      <charset val="134"/>
      <scheme val="minor"/>
    </font>
    <font>
      <sz val="9"/>
      <name val="宋体"/>
      <family val="3"/>
      <charset val="134"/>
    </font>
    <font>
      <sz val="10"/>
      <name val="宋体"/>
      <family val="3"/>
      <charset val="134"/>
      <scheme val="minor"/>
    </font>
    <font>
      <sz val="9"/>
      <color indexed="20"/>
      <name val="宋体"/>
      <family val="3"/>
      <charset val="134"/>
    </font>
    <font>
      <sz val="11"/>
      <color theme="1"/>
      <name val="宋体"/>
      <family val="3"/>
      <charset val="134"/>
      <scheme val="minor"/>
    </font>
    <font>
      <sz val="9"/>
      <color theme="1"/>
      <name val="宋体"/>
      <family val="3"/>
      <charset val="134"/>
    </font>
    <font>
      <sz val="11"/>
      <color indexed="8"/>
      <name val="宋体"/>
      <family val="3"/>
      <charset val="134"/>
    </font>
    <font>
      <sz val="9"/>
      <color indexed="17"/>
      <name val="宋体"/>
      <family val="3"/>
      <charset val="134"/>
    </font>
    <font>
      <sz val="16"/>
      <name val="宋体"/>
      <family val="3"/>
      <charset val="134"/>
      <scheme val="minor"/>
    </font>
    <font>
      <sz val="10"/>
      <name val="宋体"/>
      <family val="3"/>
      <charset val="134"/>
      <scheme val="minor"/>
    </font>
    <font>
      <sz val="12"/>
      <name val="宋体"/>
      <family val="3"/>
      <charset val="134"/>
      <scheme val="minor"/>
    </font>
    <font>
      <sz val="9"/>
      <color theme="1"/>
      <name val="宋体"/>
      <family val="3"/>
      <charset val="134"/>
      <scheme val="minor"/>
    </font>
    <font>
      <b/>
      <sz val="12"/>
      <name val="Times New Roman"/>
      <family val="1"/>
    </font>
    <font>
      <sz val="14"/>
      <name val="华文行楷"/>
      <family val="3"/>
      <charset val="134"/>
    </font>
    <font>
      <sz val="10"/>
      <color theme="0"/>
      <name val="宋体"/>
      <family val="3"/>
      <charset val="134"/>
    </font>
    <font>
      <sz val="16"/>
      <name val="宋体"/>
      <family val="3"/>
      <charset val="134"/>
    </font>
    <font>
      <sz val="12"/>
      <name val="宋体"/>
      <family val="3"/>
      <charset val="134"/>
    </font>
    <font>
      <sz val="9"/>
      <name val="宋体"/>
      <family val="3"/>
      <charset val="134"/>
    </font>
    <font>
      <u/>
      <sz val="10"/>
      <name val="宋体"/>
      <family val="3"/>
      <charset val="134"/>
    </font>
    <font>
      <b/>
      <sz val="14"/>
      <name val="宋体"/>
      <family val="3"/>
      <charset val="134"/>
    </font>
    <font>
      <sz val="12"/>
      <color indexed="10"/>
      <name val="宋体"/>
      <family val="3"/>
      <charset val="134"/>
    </font>
    <font>
      <sz val="10"/>
      <name val="宋体"/>
      <family val="3"/>
      <charset val="134"/>
    </font>
    <font>
      <sz val="11"/>
      <color indexed="10"/>
      <name val="宋体"/>
      <family val="3"/>
      <charset val="134"/>
    </font>
    <font>
      <sz val="11"/>
      <name val="宋体"/>
      <family val="3"/>
      <charset val="134"/>
    </font>
    <font>
      <sz val="8"/>
      <name val="宋体"/>
      <family val="3"/>
      <charset val="134"/>
    </font>
    <font>
      <b/>
      <sz val="12"/>
      <name val="宋体"/>
      <family val="3"/>
      <charset val="134"/>
    </font>
    <font>
      <sz val="14"/>
      <name val="宋体"/>
      <family val="3"/>
      <charset val="134"/>
    </font>
    <font>
      <sz val="14"/>
      <name val="华文行楷"/>
      <family val="3"/>
      <charset val="134"/>
    </font>
    <font>
      <sz val="14"/>
      <name val="Times New Roman"/>
      <family val="1"/>
    </font>
    <font>
      <b/>
      <i/>
      <sz val="14"/>
      <name val="宋体"/>
      <family val="3"/>
      <charset val="134"/>
    </font>
    <font>
      <sz val="16"/>
      <name val="宋体"/>
      <family val="3"/>
      <charset val="134"/>
    </font>
    <font>
      <sz val="16"/>
      <name val="Times New Roman"/>
      <family val="1"/>
    </font>
    <font>
      <sz val="10"/>
      <color rgb="FFFF0000"/>
      <name val="宋体"/>
      <family val="3"/>
      <charset val="134"/>
    </font>
    <font>
      <sz val="11"/>
      <color theme="1"/>
      <name val="宋体"/>
      <family val="3"/>
      <charset val="134"/>
      <scheme val="minor"/>
    </font>
    <font>
      <sz val="10"/>
      <color theme="1"/>
      <name val="宋体"/>
      <family val="3"/>
      <charset val="134"/>
      <scheme val="minor"/>
    </font>
    <font>
      <sz val="30"/>
      <color theme="2" tint="-9.9978637043366805E-2"/>
      <name val="宋体"/>
      <family val="3"/>
      <charset val="134"/>
    </font>
    <font>
      <sz val="10"/>
      <name val="宋体"/>
      <family val="3"/>
      <charset val="134"/>
      <scheme val="minor"/>
    </font>
    <font>
      <b/>
      <sz val="10"/>
      <name val="宋体"/>
      <family val="3"/>
      <charset val="134"/>
      <scheme val="minor"/>
    </font>
    <font>
      <u/>
      <sz val="10"/>
      <name val="宋体"/>
      <family val="3"/>
      <charset val="134"/>
    </font>
    <font>
      <sz val="12"/>
      <color indexed="10"/>
      <name val="宋体"/>
      <family val="3"/>
      <charset val="134"/>
    </font>
    <font>
      <sz val="11"/>
      <name val="Times New Roman"/>
      <family val="1"/>
    </font>
    <font>
      <sz val="14"/>
      <name val="华文中宋"/>
      <family val="3"/>
      <charset val="134"/>
    </font>
    <font>
      <b/>
      <i/>
      <sz val="14"/>
      <name val="宋体"/>
      <family val="3"/>
      <charset val="134"/>
    </font>
    <font>
      <sz val="12"/>
      <name val="宋体"/>
      <family val="3"/>
      <charset val="134"/>
    </font>
    <font>
      <sz val="9"/>
      <name val="宋体"/>
      <family val="3"/>
      <charset val="134"/>
    </font>
    <font>
      <u/>
      <sz val="10"/>
      <name val="宋体"/>
      <family val="3"/>
      <charset val="134"/>
    </font>
    <font>
      <b/>
      <sz val="14"/>
      <name val="宋体"/>
      <family val="3"/>
      <charset val="134"/>
    </font>
    <font>
      <sz val="12"/>
      <color indexed="10"/>
      <name val="宋体"/>
      <family val="3"/>
      <charset val="134"/>
    </font>
    <font>
      <sz val="10"/>
      <name val="宋体"/>
      <family val="3"/>
      <charset val="134"/>
    </font>
    <font>
      <b/>
      <sz val="20"/>
      <name val="宋体"/>
      <family val="3"/>
      <charset val="134"/>
      <scheme val="major"/>
    </font>
    <font>
      <b/>
      <sz val="12"/>
      <name val="宋体"/>
      <family val="3"/>
      <charset val="134"/>
    </font>
    <font>
      <sz val="11"/>
      <color indexed="10"/>
      <name val="宋体"/>
      <family val="3"/>
      <charset val="134"/>
    </font>
    <font>
      <sz val="11"/>
      <name val="宋体"/>
      <family val="3"/>
      <charset val="134"/>
    </font>
    <font>
      <sz val="14"/>
      <name val="华文行楷"/>
      <family val="3"/>
      <charset val="134"/>
    </font>
    <font>
      <sz val="14"/>
      <name val="宋体"/>
      <family val="3"/>
      <charset val="134"/>
    </font>
    <font>
      <b/>
      <i/>
      <sz val="14"/>
      <name val="宋体"/>
      <family val="3"/>
      <charset val="134"/>
    </font>
    <font>
      <sz val="16"/>
      <name val="宋体"/>
      <family val="3"/>
      <charset val="134"/>
    </font>
    <font>
      <b/>
      <sz val="9"/>
      <name val="微软雅黑"/>
      <family val="2"/>
      <charset val="134"/>
    </font>
    <font>
      <b/>
      <sz val="10"/>
      <name val="微软雅黑"/>
      <family val="2"/>
      <charset val="134"/>
    </font>
    <font>
      <sz val="8"/>
      <name val="微软雅黑"/>
      <family val="2"/>
      <charset val="134"/>
    </font>
    <font>
      <sz val="20"/>
      <name val="宋体"/>
      <family val="3"/>
      <charset val="134"/>
    </font>
    <font>
      <sz val="8"/>
      <color indexed="8"/>
      <name val="微软雅黑"/>
      <family val="2"/>
      <charset val="134"/>
    </font>
    <font>
      <b/>
      <sz val="14"/>
      <name val="宋体"/>
      <family val="3"/>
      <charset val="134"/>
      <scheme val="minor"/>
    </font>
    <font>
      <sz val="10"/>
      <name val="宋体"/>
      <family val="3"/>
      <charset val="134"/>
      <scheme val="minor"/>
    </font>
    <font>
      <b/>
      <sz val="10"/>
      <name val="宋体"/>
      <family val="3"/>
      <charset val="134"/>
      <scheme val="minor"/>
    </font>
    <font>
      <b/>
      <sz val="16"/>
      <name val="宋体"/>
      <family val="3"/>
      <charset val="134"/>
    </font>
    <font>
      <b/>
      <sz val="18"/>
      <color indexed="8"/>
      <name val="宋体"/>
      <family val="3"/>
      <charset val="134"/>
    </font>
    <font>
      <sz val="12"/>
      <color theme="4"/>
      <name val="宋体"/>
      <family val="3"/>
      <charset val="134"/>
    </font>
    <font>
      <sz val="12"/>
      <color rgb="FFFF0000"/>
      <name val="宋体"/>
      <family val="3"/>
      <charset val="134"/>
    </font>
    <font>
      <sz val="30"/>
      <name val="宋体"/>
      <family val="3"/>
      <charset val="134"/>
    </font>
    <font>
      <b/>
      <sz val="16"/>
      <name val="Times New Roman"/>
      <family val="1"/>
    </font>
    <font>
      <b/>
      <sz val="16"/>
      <name val="宋体"/>
      <family val="3"/>
      <charset val="134"/>
    </font>
    <font>
      <sz val="18"/>
      <name val="宋体"/>
      <family val="3"/>
      <charset val="134"/>
    </font>
    <font>
      <b/>
      <i/>
      <sz val="16"/>
      <name val="宋体"/>
      <family val="3"/>
      <charset val="134"/>
    </font>
    <font>
      <sz val="8"/>
      <name val="宋体"/>
      <family val="3"/>
      <charset val="134"/>
    </font>
    <font>
      <b/>
      <sz val="9"/>
      <name val="宋体"/>
      <family val="3"/>
      <charset val="134"/>
      <scheme val="minor"/>
    </font>
    <font>
      <sz val="8"/>
      <name val="Times New Roman"/>
      <family val="1"/>
    </font>
    <font>
      <sz val="10"/>
      <color theme="1"/>
      <name val="宋体"/>
      <family val="3"/>
      <charset val="134"/>
    </font>
    <font>
      <b/>
      <sz val="9"/>
      <color indexed="81"/>
      <name val="Tahoma"/>
      <family val="2"/>
    </font>
    <font>
      <b/>
      <sz val="15"/>
      <name val="Times New Roman"/>
      <family val="1"/>
    </font>
    <font>
      <sz val="15"/>
      <name val="宋体"/>
      <family val="3"/>
      <charset val="134"/>
    </font>
    <font>
      <b/>
      <sz val="12"/>
      <color rgb="FFFF0000"/>
      <name val="宋体"/>
      <family val="3"/>
      <charset val="134"/>
    </font>
    <font>
      <b/>
      <sz val="12"/>
      <color rgb="FFFF0000"/>
      <name val="Times New Roman"/>
      <family val="1"/>
    </font>
    <font>
      <b/>
      <sz val="15"/>
      <color rgb="FFFF0000"/>
      <name val="Times New Roman"/>
      <family val="1"/>
    </font>
    <font>
      <sz val="12"/>
      <color theme="1"/>
      <name val="宋体"/>
      <family val="3"/>
      <charset val="134"/>
    </font>
    <font>
      <sz val="11"/>
      <color theme="1"/>
      <name val="宋体"/>
      <family val="3"/>
      <charset val="134"/>
    </font>
    <font>
      <b/>
      <sz val="14"/>
      <color rgb="FFFF0000"/>
      <name val="宋体"/>
      <family val="3"/>
      <charset val="134"/>
    </font>
    <font>
      <b/>
      <sz val="16"/>
      <color theme="1"/>
      <name val="宋体"/>
      <family val="3"/>
      <charset val="134"/>
      <scheme val="minor"/>
    </font>
    <font>
      <sz val="11"/>
      <name val="宋体"/>
      <family val="3"/>
      <charset val="134"/>
      <scheme val="minor"/>
    </font>
    <font>
      <sz val="9"/>
      <name val="宋体"/>
      <family val="3"/>
      <charset val="134"/>
      <scheme val="minor"/>
    </font>
    <font>
      <b/>
      <sz val="16"/>
      <color rgb="FFFF0000"/>
      <name val="宋体"/>
      <family val="3"/>
      <charset val="134"/>
    </font>
    <font>
      <b/>
      <sz val="10"/>
      <color rgb="FFFF0000"/>
      <name val="Times New Roman"/>
      <family val="1"/>
    </font>
    <font>
      <b/>
      <sz val="10"/>
      <name val="Times New Roman"/>
      <family val="1"/>
    </font>
  </fonts>
  <fills count="22">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indexed="45"/>
      </patternFill>
    </fill>
    <fill>
      <patternFill patternType="solid">
        <fgColor indexed="42"/>
      </patternFill>
    </fill>
    <fill>
      <patternFill patternType="solid">
        <fgColor theme="8"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0" tint="-9.9978637043366805E-2"/>
        <bgColor indexed="64"/>
      </patternFill>
    </fill>
    <fill>
      <patternFill patternType="solid">
        <fgColor rgb="FFFFC000"/>
        <bgColor indexed="64"/>
      </patternFill>
    </fill>
    <fill>
      <patternFill patternType="solid">
        <fgColor theme="6" tint="-0.499984740745262"/>
        <bgColor indexed="64"/>
      </patternFill>
    </fill>
    <fill>
      <patternFill patternType="solid">
        <fgColor indexed="10"/>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1" tint="0.499984740745262"/>
        <bgColor indexed="64"/>
      </patternFill>
    </fill>
    <fill>
      <patternFill patternType="solid">
        <fgColor indexed="55"/>
        <bgColor indexed="64"/>
      </patternFill>
    </fill>
    <fill>
      <patternFill patternType="solid">
        <fgColor rgb="FF0070C0"/>
        <bgColor indexed="64"/>
      </patternFill>
    </fill>
    <fill>
      <patternFill patternType="solid">
        <fgColor rgb="FF00B050"/>
        <bgColor indexed="64"/>
      </patternFill>
    </fill>
    <fill>
      <patternFill patternType="solid">
        <fgColor rgb="FFFF0000"/>
        <bgColor indexed="64"/>
      </patternFill>
    </fill>
  </fills>
  <borders count="1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bottom style="thin">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bottom/>
      <diagonal/>
    </border>
    <border>
      <left style="medium">
        <color indexed="64"/>
      </left>
      <right style="hair">
        <color indexed="64"/>
      </right>
      <top/>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right/>
      <top style="hair">
        <color indexed="64"/>
      </top>
      <bottom style="hair">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style="medium">
        <color indexed="64"/>
      </top>
      <bottom/>
      <diagonal/>
    </border>
    <border>
      <left/>
      <right/>
      <top style="medium">
        <color indexed="64"/>
      </top>
      <bottom/>
      <diagonal/>
    </border>
    <border>
      <left/>
      <right/>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medium">
        <color indexed="64"/>
      </left>
      <right style="hair">
        <color indexed="64"/>
      </right>
      <top style="hair">
        <color indexed="64"/>
      </top>
      <bottom/>
      <diagonal/>
    </border>
    <border>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medium">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diagonal/>
    </border>
    <border>
      <left style="hair">
        <color indexed="64"/>
      </left>
      <right style="hair">
        <color indexed="64"/>
      </right>
      <top/>
      <bottom style="medium">
        <color indexed="64"/>
      </bottom>
      <diagonal/>
    </border>
    <border>
      <left/>
      <right style="hair">
        <color indexed="64"/>
      </right>
      <top/>
      <bottom style="thin">
        <color indexed="64"/>
      </bottom>
      <diagonal/>
    </border>
    <border>
      <left style="hair">
        <color indexed="64"/>
      </left>
      <right style="thin">
        <color indexed="64"/>
      </right>
      <top style="hair">
        <color indexed="64"/>
      </top>
      <bottom/>
      <diagonal/>
    </border>
    <border>
      <left style="hair">
        <color indexed="64"/>
      </left>
      <right style="medium">
        <color indexed="64"/>
      </right>
      <top/>
      <bottom style="hair">
        <color indexed="64"/>
      </bottom>
      <diagonal/>
    </border>
    <border>
      <left style="medium">
        <color indexed="64"/>
      </left>
      <right style="hair">
        <color indexed="64"/>
      </right>
      <top style="medium">
        <color indexed="64"/>
      </top>
      <bottom/>
      <diagonal/>
    </border>
    <border>
      <left style="medium">
        <color indexed="64"/>
      </left>
      <right style="hair">
        <color indexed="64"/>
      </right>
      <top/>
      <bottom style="medium">
        <color indexed="64"/>
      </bottom>
      <diagonal/>
    </border>
    <border>
      <left style="hair">
        <color indexed="64"/>
      </left>
      <right/>
      <top/>
      <bottom/>
      <diagonal/>
    </border>
    <border>
      <left style="hair">
        <color indexed="64"/>
      </left>
      <right/>
      <top/>
      <bottom style="medium">
        <color indexed="64"/>
      </bottom>
      <diagonal/>
    </border>
    <border>
      <left style="thin">
        <color indexed="64"/>
      </left>
      <right/>
      <top style="thin">
        <color indexed="64"/>
      </top>
      <bottom style="hair">
        <color rgb="FF000000"/>
      </bottom>
      <diagonal/>
    </border>
    <border>
      <left/>
      <right/>
      <top style="thin">
        <color indexed="64"/>
      </top>
      <bottom style="hair">
        <color rgb="FF000000"/>
      </bottom>
      <diagonal/>
    </border>
    <border>
      <left/>
      <right style="thin">
        <color indexed="64"/>
      </right>
      <top style="thin">
        <color indexed="64"/>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medium">
        <color indexed="64"/>
      </left>
      <right style="hair">
        <color indexed="64"/>
      </right>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right/>
      <top/>
      <bottom style="hair">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style="hair">
        <color indexed="64"/>
      </left>
      <right/>
      <top style="hair">
        <color indexed="64"/>
      </top>
      <bottom style="medium">
        <color indexed="64"/>
      </bottom>
      <diagonal/>
    </border>
    <border>
      <left/>
      <right style="medium">
        <color indexed="64"/>
      </right>
      <top style="hair">
        <color indexed="64"/>
      </top>
      <bottom style="hair">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diagonal/>
    </border>
    <border>
      <left/>
      <right style="medium">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medium">
        <color indexed="64"/>
      </right>
      <top style="medium">
        <color indexed="64"/>
      </top>
      <bottom style="hair">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hair">
        <color indexed="64"/>
      </left>
      <right/>
      <top style="hair">
        <color indexed="64"/>
      </top>
      <bottom/>
      <diagonal/>
    </border>
    <border>
      <left/>
      <right/>
      <top style="hair">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s>
  <cellStyleXfs count="44">
    <xf numFmtId="0" fontId="0" fillId="0" borderId="0">
      <alignment vertical="center"/>
    </xf>
    <xf numFmtId="0" fontId="2" fillId="0" borderId="0"/>
    <xf numFmtId="0" fontId="21" fillId="0" borderId="0">
      <alignment vertical="center"/>
    </xf>
    <xf numFmtId="0" fontId="2" fillId="0" borderId="0">
      <alignment vertical="center"/>
    </xf>
    <xf numFmtId="0" fontId="31" fillId="0" borderId="0"/>
    <xf numFmtId="0" fontId="31" fillId="0" borderId="0">
      <alignment vertical="center"/>
    </xf>
    <xf numFmtId="0" fontId="35" fillId="4" borderId="0" applyNumberFormat="0" applyBorder="0" applyAlignment="0" applyProtection="0">
      <alignment vertical="center"/>
    </xf>
    <xf numFmtId="0" fontId="31" fillId="0" borderId="0"/>
    <xf numFmtId="0" fontId="31" fillId="0" borderId="0"/>
    <xf numFmtId="0" fontId="31" fillId="0" borderId="0"/>
    <xf numFmtId="0" fontId="31" fillId="0" borderId="0"/>
    <xf numFmtId="0" fontId="36" fillId="0" borderId="0">
      <alignment vertical="center"/>
    </xf>
    <xf numFmtId="0" fontId="37" fillId="0" borderId="0">
      <alignment vertical="center"/>
    </xf>
    <xf numFmtId="0" fontId="31" fillId="0" borderId="0"/>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1" fillId="0" borderId="0"/>
    <xf numFmtId="0" fontId="37" fillId="0" borderId="0">
      <alignment vertical="center"/>
    </xf>
    <xf numFmtId="0" fontId="36" fillId="0" borderId="0">
      <alignment vertical="center"/>
    </xf>
    <xf numFmtId="0" fontId="36" fillId="0" borderId="0">
      <alignment vertical="center"/>
    </xf>
    <xf numFmtId="0" fontId="39" fillId="5" borderId="0" applyNumberFormat="0" applyBorder="0" applyAlignment="0" applyProtection="0">
      <alignment vertical="center"/>
    </xf>
    <xf numFmtId="0" fontId="39" fillId="5" borderId="0" applyNumberFormat="0" applyBorder="0" applyAlignment="0" applyProtection="0">
      <alignment vertical="center"/>
    </xf>
    <xf numFmtId="0" fontId="1" fillId="0" borderId="0">
      <alignment vertical="center"/>
    </xf>
    <xf numFmtId="0" fontId="48" fillId="0" borderId="0"/>
    <xf numFmtId="0" fontId="65" fillId="0" borderId="0">
      <alignment vertical="center"/>
    </xf>
    <xf numFmtId="0" fontId="48" fillId="0" borderId="0"/>
    <xf numFmtId="0" fontId="48" fillId="0" borderId="0">
      <alignment vertical="center"/>
    </xf>
    <xf numFmtId="0" fontId="48" fillId="0" borderId="0"/>
    <xf numFmtId="0" fontId="2" fillId="0" borderId="0"/>
    <xf numFmtId="0" fontId="75" fillId="0" borderId="0"/>
    <xf numFmtId="0" fontId="75" fillId="0" borderId="0">
      <alignment vertical="center"/>
    </xf>
    <xf numFmtId="0" fontId="75" fillId="0" borderId="0"/>
    <xf numFmtId="0" fontId="75" fillId="0" borderId="0"/>
    <xf numFmtId="0" fontId="38" fillId="0" borderId="0">
      <alignment vertical="center"/>
    </xf>
    <xf numFmtId="0" fontId="75" fillId="0" borderId="0"/>
    <xf numFmtId="43"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cellStyleXfs>
  <cellXfs count="1474">
    <xf numFmtId="0" fontId="0" fillId="0" borderId="0" xfId="0">
      <alignment vertical="center"/>
    </xf>
    <xf numFmtId="0" fontId="0" fillId="0" borderId="1" xfId="0" applyBorder="1">
      <alignment vertical="center"/>
    </xf>
    <xf numFmtId="0" fontId="2" fillId="0" borderId="0" xfId="1"/>
    <xf numFmtId="49" fontId="2" fillId="0" borderId="0" xfId="1" applyNumberFormat="1"/>
    <xf numFmtId="0" fontId="0" fillId="0" borderId="0" xfId="0" applyAlignment="1"/>
    <xf numFmtId="0" fontId="0" fillId="0" borderId="0" xfId="0" applyAlignment="1" applyProtection="1">
      <protection locked="0"/>
    </xf>
    <xf numFmtId="0" fontId="2" fillId="0" borderId="1" xfId="0" applyFont="1" applyBorder="1" applyAlignment="1">
      <alignment horizontal="center" vertical="center"/>
    </xf>
    <xf numFmtId="0" fontId="15" fillId="0" borderId="0" xfId="0" applyFont="1">
      <alignment vertical="center"/>
    </xf>
    <xf numFmtId="0" fontId="15" fillId="0" borderId="0" xfId="0" applyFont="1" applyAlignment="1">
      <alignment horizontal="center" vertical="center"/>
    </xf>
    <xf numFmtId="0" fontId="15" fillId="0" borderId="4" xfId="0" applyFont="1" applyBorder="1" applyAlignment="1">
      <alignment horizontal="center" vertical="center"/>
    </xf>
    <xf numFmtId="0" fontId="16" fillId="0" borderId="1" xfId="0" applyFont="1" applyBorder="1" applyAlignment="1">
      <alignment horizontal="center" vertical="center"/>
    </xf>
    <xf numFmtId="0" fontId="6" fillId="0" borderId="1" xfId="0" applyFont="1" applyBorder="1" applyAlignment="1">
      <alignment horizontal="center" vertical="center"/>
    </xf>
    <xf numFmtId="0" fontId="17" fillId="0" borderId="1" xfId="0" applyFont="1" applyBorder="1" applyAlignment="1">
      <alignment horizontal="center" vertical="center"/>
    </xf>
    <xf numFmtId="0" fontId="15" fillId="0" borderId="1" xfId="0" applyFont="1" applyBorder="1" applyAlignment="1">
      <alignment horizontal="center" vertical="center"/>
    </xf>
    <xf numFmtId="0" fontId="15" fillId="0" borderId="0" xfId="0" applyFont="1" applyBorder="1" applyAlignment="1">
      <alignment horizontal="center" vertical="center"/>
    </xf>
    <xf numFmtId="0" fontId="15" fillId="0" borderId="17" xfId="0" applyFont="1" applyBorder="1" applyAlignment="1">
      <alignment horizontal="center" vertical="center"/>
    </xf>
    <xf numFmtId="0" fontId="15" fillId="0" borderId="0" xfId="0" applyFont="1" applyBorder="1" applyAlignment="1">
      <alignment horizontal="right" vertical="center"/>
    </xf>
    <xf numFmtId="0" fontId="18" fillId="0" borderId="0" xfId="0" applyFont="1" applyAlignment="1">
      <alignment horizontal="center" vertical="center"/>
    </xf>
    <xf numFmtId="0" fontId="0" fillId="0" borderId="1" xfId="0" applyFill="1" applyBorder="1" applyAlignment="1">
      <alignment horizontal="center" vertical="center"/>
    </xf>
    <xf numFmtId="0" fontId="22" fillId="0" borderId="0" xfId="2" applyFont="1" applyFill="1" applyBorder="1" applyAlignment="1">
      <alignment vertical="center"/>
    </xf>
    <xf numFmtId="0" fontId="23" fillId="0" borderId="0" xfId="2" applyFont="1" applyFill="1" applyAlignment="1">
      <alignment horizontal="center" vertical="center"/>
    </xf>
    <xf numFmtId="0" fontId="23" fillId="0" borderId="0" xfId="2" applyFont="1" applyFill="1">
      <alignment vertical="center"/>
    </xf>
    <xf numFmtId="0" fontId="22" fillId="0" borderId="0" xfId="2" applyFont="1" applyFill="1" applyBorder="1" applyAlignment="1">
      <alignment horizontal="center" vertical="center"/>
    </xf>
    <xf numFmtId="0" fontId="25" fillId="0" borderId="13" xfId="2" applyFont="1" applyFill="1" applyBorder="1" applyAlignment="1">
      <alignment horizontal="center" vertical="center"/>
    </xf>
    <xf numFmtId="0" fontId="25" fillId="0" borderId="14" xfId="2" applyFont="1" applyFill="1" applyBorder="1" applyAlignment="1">
      <alignment horizontal="center" vertical="center"/>
    </xf>
    <xf numFmtId="0" fontId="25" fillId="0" borderId="43" xfId="2" applyFont="1" applyFill="1" applyBorder="1" applyAlignment="1">
      <alignment horizontal="center" vertical="center" wrapText="1"/>
    </xf>
    <xf numFmtId="0" fontId="27" fillId="0" borderId="44" xfId="2" applyFont="1" applyFill="1" applyBorder="1" applyAlignment="1">
      <alignment horizontal="center" vertical="center" wrapText="1"/>
    </xf>
    <xf numFmtId="0" fontId="25" fillId="0" borderId="9" xfId="2" applyFont="1" applyFill="1" applyBorder="1" applyAlignment="1">
      <alignment horizontal="center" vertical="center"/>
    </xf>
    <xf numFmtId="0" fontId="25" fillId="0" borderId="6" xfId="2" applyFont="1" applyFill="1" applyBorder="1" applyAlignment="1">
      <alignment horizontal="center" vertical="center"/>
    </xf>
    <xf numFmtId="0" fontId="23" fillId="0" borderId="0" xfId="2" applyFont="1" applyFill="1" applyBorder="1" applyAlignment="1">
      <alignment horizontal="center" vertical="center"/>
    </xf>
    <xf numFmtId="0" fontId="23" fillId="0" borderId="31" xfId="2" applyFont="1" applyFill="1" applyBorder="1" applyAlignment="1">
      <alignment horizontal="left" vertical="center"/>
    </xf>
    <xf numFmtId="0" fontId="23" fillId="0" borderId="33" xfId="2" applyFont="1" applyFill="1" applyBorder="1" applyAlignment="1">
      <alignment horizontal="center" vertical="center"/>
    </xf>
    <xf numFmtId="0" fontId="23" fillId="0" borderId="49" xfId="2" applyFont="1" applyFill="1" applyBorder="1" applyAlignment="1">
      <alignment horizontal="center" vertical="center" wrapText="1"/>
    </xf>
    <xf numFmtId="0" fontId="23" fillId="0" borderId="9" xfId="2" applyFont="1" applyFill="1" applyBorder="1" applyAlignment="1">
      <alignment horizontal="left" vertical="center"/>
    </xf>
    <xf numFmtId="0" fontId="23" fillId="0" borderId="6" xfId="2" applyFont="1" applyFill="1" applyBorder="1" applyAlignment="1">
      <alignment horizontal="left" vertical="center"/>
    </xf>
    <xf numFmtId="0" fontId="21" fillId="0" borderId="1" xfId="2" applyFill="1" applyBorder="1" applyAlignment="1">
      <alignment horizontal="center" vertical="center"/>
    </xf>
    <xf numFmtId="0" fontId="21" fillId="0" borderId="3" xfId="2" applyFill="1" applyBorder="1" applyAlignment="1">
      <alignment horizontal="center" vertical="center"/>
    </xf>
    <xf numFmtId="177" fontId="21" fillId="0" borderId="50" xfId="2" applyNumberFormat="1" applyFill="1" applyBorder="1" applyAlignment="1">
      <alignment horizontal="right" vertical="center" wrapText="1"/>
    </xf>
    <xf numFmtId="177" fontId="21" fillId="0" borderId="51" xfId="2" applyNumberFormat="1" applyFill="1" applyBorder="1" applyAlignment="1">
      <alignment horizontal="right" vertical="center" wrapText="1"/>
    </xf>
    <xf numFmtId="177" fontId="21" fillId="0" borderId="39" xfId="2" applyNumberFormat="1" applyFill="1" applyBorder="1" applyAlignment="1">
      <alignment horizontal="right" vertical="center" wrapText="1"/>
    </xf>
    <xf numFmtId="0" fontId="23" fillId="0" borderId="7" xfId="2" applyFont="1" applyFill="1" applyBorder="1" applyAlignment="1">
      <alignment horizontal="center" vertical="center"/>
    </xf>
    <xf numFmtId="0" fontId="21" fillId="0" borderId="0" xfId="2" applyFill="1" applyBorder="1" applyAlignment="1">
      <alignment horizontal="center" vertical="center"/>
    </xf>
    <xf numFmtId="0" fontId="0" fillId="0" borderId="1" xfId="0" applyFill="1" applyBorder="1" applyAlignment="1">
      <alignment vertical="center"/>
    </xf>
    <xf numFmtId="0" fontId="21" fillId="0" borderId="0" xfId="2" applyFill="1" applyAlignment="1">
      <alignment horizontal="center" vertical="center"/>
    </xf>
    <xf numFmtId="0" fontId="21" fillId="0" borderId="0" xfId="2" applyFill="1">
      <alignment vertical="center"/>
    </xf>
    <xf numFmtId="0" fontId="23" fillId="0" borderId="13" xfId="2" applyFont="1" applyFill="1" applyBorder="1" applyAlignment="1">
      <alignment horizontal="left" vertical="center"/>
    </xf>
    <xf numFmtId="0" fontId="23" fillId="0" borderId="14" xfId="2" applyFont="1" applyFill="1" applyBorder="1" applyAlignment="1">
      <alignment horizontal="center" vertical="center"/>
    </xf>
    <xf numFmtId="0" fontId="23" fillId="0" borderId="44" xfId="2" applyFont="1" applyFill="1" applyBorder="1" applyAlignment="1">
      <alignment horizontal="center" vertical="center" wrapText="1"/>
    </xf>
    <xf numFmtId="0" fontId="23" fillId="0" borderId="55" xfId="2" applyFont="1" applyFill="1" applyBorder="1" applyAlignment="1">
      <alignment horizontal="center" vertical="center" wrapText="1"/>
    </xf>
    <xf numFmtId="0" fontId="23" fillId="0" borderId="10" xfId="2" applyFont="1" applyFill="1" applyBorder="1" applyAlignment="1">
      <alignment horizontal="left" vertical="center"/>
    </xf>
    <xf numFmtId="0" fontId="23" fillId="0" borderId="34" xfId="2" applyFont="1" applyFill="1" applyBorder="1" applyAlignment="1">
      <alignment horizontal="left" vertical="center"/>
    </xf>
    <xf numFmtId="0" fontId="21" fillId="0" borderId="0" xfId="2" applyFill="1" applyAlignment="1">
      <alignment vertical="center" wrapText="1"/>
    </xf>
    <xf numFmtId="0" fontId="21" fillId="0" borderId="0" xfId="2" applyFill="1" applyAlignment="1">
      <alignment horizontal="center" vertical="center" wrapText="1"/>
    </xf>
    <xf numFmtId="179" fontId="22" fillId="0" borderId="0" xfId="2" applyNumberFormat="1" applyFont="1" applyFill="1" applyBorder="1" applyAlignment="1">
      <alignment horizontal="center" vertical="center"/>
    </xf>
    <xf numFmtId="0" fontId="23" fillId="0" borderId="6" xfId="0" applyFont="1" applyBorder="1" applyAlignment="1">
      <alignment horizontal="left" vertical="center"/>
    </xf>
    <xf numFmtId="0" fontId="23" fillId="0" borderId="1" xfId="0" applyFont="1" applyBorder="1" applyAlignment="1">
      <alignment horizontal="left" vertical="center"/>
    </xf>
    <xf numFmtId="0" fontId="23" fillId="0" borderId="1" xfId="0" applyFont="1" applyBorder="1">
      <alignment vertical="center"/>
    </xf>
    <xf numFmtId="177" fontId="21" fillId="0" borderId="1" xfId="2" applyNumberFormat="1" applyBorder="1" applyAlignment="1">
      <alignment horizontal="center" vertical="center" wrapText="1"/>
    </xf>
    <xf numFmtId="0" fontId="23" fillId="0" borderId="0" xfId="0" applyFont="1">
      <alignment vertical="center"/>
    </xf>
    <xf numFmtId="0" fontId="23" fillId="0" borderId="1" xfId="2" applyFont="1" applyBorder="1" applyAlignment="1">
      <alignment horizontal="left" vertical="center"/>
    </xf>
    <xf numFmtId="0" fontId="23" fillId="0" borderId="0" xfId="2" applyFont="1">
      <alignment vertical="center"/>
    </xf>
    <xf numFmtId="0" fontId="21" fillId="0" borderId="0" xfId="2" applyAlignment="1">
      <alignment horizontal="center" vertical="center"/>
    </xf>
    <xf numFmtId="0" fontId="21" fillId="0" borderId="0" xfId="2">
      <alignment vertical="center"/>
    </xf>
    <xf numFmtId="0" fontId="21" fillId="0" borderId="1" xfId="2" applyBorder="1">
      <alignment vertical="center"/>
    </xf>
    <xf numFmtId="0" fontId="23" fillId="0" borderId="9" xfId="0" applyFont="1" applyBorder="1" applyAlignment="1">
      <alignment horizontal="left" vertical="center"/>
    </xf>
    <xf numFmtId="0" fontId="23" fillId="0" borderId="19" xfId="0" applyFont="1" applyBorder="1" applyAlignment="1">
      <alignment horizontal="center" vertical="center"/>
    </xf>
    <xf numFmtId="0" fontId="23" fillId="0" borderId="19" xfId="2" applyFont="1" applyBorder="1" applyAlignment="1">
      <alignment horizontal="center" vertical="center" wrapText="1"/>
    </xf>
    <xf numFmtId="0" fontId="23" fillId="0" borderId="19" xfId="0" applyFont="1" applyBorder="1" applyAlignment="1">
      <alignment horizontal="left" vertical="center"/>
    </xf>
    <xf numFmtId="0" fontId="23" fillId="0" borderId="19" xfId="0" applyFont="1" applyBorder="1" applyAlignment="1">
      <alignment vertical="center"/>
    </xf>
    <xf numFmtId="0" fontId="23" fillId="0" borderId="31" xfId="0" applyFont="1" applyBorder="1" applyAlignment="1">
      <alignment horizontal="left" vertical="center"/>
    </xf>
    <xf numFmtId="0" fontId="23" fillId="0" borderId="33" xfId="0" applyFont="1" applyBorder="1" applyAlignment="1">
      <alignment horizontal="center" vertical="center"/>
    </xf>
    <xf numFmtId="0" fontId="23" fillId="0" borderId="7" xfId="0" applyFont="1" applyBorder="1" applyAlignment="1">
      <alignment horizontal="center" vertical="center"/>
    </xf>
    <xf numFmtId="0" fontId="23" fillId="0" borderId="13" xfId="0" applyFont="1" applyBorder="1" applyAlignment="1">
      <alignment horizontal="left" vertical="center"/>
    </xf>
    <xf numFmtId="0" fontId="23" fillId="0" borderId="14" xfId="0" applyFont="1" applyBorder="1" applyAlignment="1">
      <alignment horizontal="center" vertical="center"/>
    </xf>
    <xf numFmtId="0" fontId="15" fillId="0" borderId="4" xfId="0" applyFont="1" applyBorder="1" applyAlignment="1">
      <alignment horizontal="center" vertical="center"/>
    </xf>
    <xf numFmtId="176" fontId="17" fillId="0" borderId="1" xfId="0" applyNumberFormat="1" applyFont="1" applyBorder="1" applyAlignment="1">
      <alignment horizontal="center" vertical="center"/>
    </xf>
    <xf numFmtId="0" fontId="30" fillId="2" borderId="1" xfId="2" applyFont="1" applyFill="1" applyBorder="1" applyAlignment="1">
      <alignment horizontal="left" vertical="center"/>
    </xf>
    <xf numFmtId="0" fontId="23" fillId="0" borderId="36" xfId="2" applyFont="1" applyFill="1" applyBorder="1" applyAlignment="1">
      <alignment horizontal="left" vertical="center"/>
    </xf>
    <xf numFmtId="0" fontId="23" fillId="0" borderId="56" xfId="2" applyFont="1" applyFill="1" applyBorder="1" applyAlignment="1">
      <alignment horizontal="center" vertical="center"/>
    </xf>
    <xf numFmtId="0" fontId="30" fillId="0" borderId="1" xfId="2" applyFont="1" applyBorder="1" applyAlignment="1">
      <alignment horizontal="center" vertical="center"/>
    </xf>
    <xf numFmtId="0" fontId="30" fillId="0" borderId="1" xfId="2" applyFont="1" applyBorder="1" applyAlignment="1">
      <alignment horizontal="center" vertical="center" wrapText="1"/>
    </xf>
    <xf numFmtId="0" fontId="41" fillId="0" borderId="0" xfId="0" applyFont="1" applyFill="1" applyBorder="1">
      <alignment vertical="center"/>
    </xf>
    <xf numFmtId="0" fontId="41" fillId="0" borderId="0" xfId="0" applyFont="1" applyFill="1" applyBorder="1" applyAlignment="1">
      <alignment horizontal="center" vertical="center"/>
    </xf>
    <xf numFmtId="0" fontId="23" fillId="6" borderId="1"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30" fillId="2" borderId="1" xfId="0" applyFont="1" applyFill="1" applyBorder="1" applyAlignment="1">
      <alignment horizontal="center" vertical="center" wrapText="1"/>
    </xf>
    <xf numFmtId="0" fontId="42" fillId="7" borderId="0" xfId="0" applyFont="1" applyFill="1" applyBorder="1">
      <alignment vertical="center"/>
    </xf>
    <xf numFmtId="0" fontId="42" fillId="7" borderId="0" xfId="0" applyFont="1" applyFill="1" applyBorder="1" applyAlignment="1">
      <alignment horizontal="center" vertical="center"/>
    </xf>
    <xf numFmtId="0" fontId="43" fillId="0" borderId="1" xfId="0" applyFont="1" applyFill="1" applyBorder="1" applyAlignment="1">
      <alignment horizontal="center" vertical="center" wrapText="1"/>
    </xf>
    <xf numFmtId="0" fontId="42" fillId="0" borderId="0" xfId="0" applyFont="1" applyFill="1" applyBorder="1">
      <alignment vertical="center"/>
    </xf>
    <xf numFmtId="0" fontId="30" fillId="0" borderId="1" xfId="0" applyFont="1" applyFill="1" applyBorder="1" applyAlignment="1">
      <alignment horizontal="center" vertical="center" wrapText="1"/>
    </xf>
    <xf numFmtId="0" fontId="41" fillId="0" borderId="1" xfId="0" applyFont="1" applyFill="1" applyBorder="1">
      <alignment vertical="center"/>
    </xf>
    <xf numFmtId="0" fontId="42" fillId="0" borderId="0" xfId="0" applyFont="1" applyFill="1" applyBorder="1" applyAlignment="1">
      <alignment horizontal="center" vertical="center"/>
    </xf>
    <xf numFmtId="0" fontId="23" fillId="0" borderId="1" xfId="0" applyFont="1" applyFill="1" applyBorder="1" applyAlignment="1">
      <alignment horizontal="center" vertical="center" wrapText="1"/>
    </xf>
    <xf numFmtId="0" fontId="0" fillId="0" borderId="0" xfId="27" applyFont="1" applyBorder="1"/>
    <xf numFmtId="0" fontId="0" fillId="0" borderId="0" xfId="27" applyFont="1"/>
    <xf numFmtId="0" fontId="0" fillId="0" borderId="4" xfId="27" applyFont="1" applyBorder="1" applyAlignment="1">
      <alignment horizontal="center" vertical="center"/>
    </xf>
    <xf numFmtId="0" fontId="0" fillId="0" borderId="0" xfId="27" applyFont="1" applyBorder="1" applyAlignment="1">
      <alignment horizontal="center" vertical="center"/>
    </xf>
    <xf numFmtId="0" fontId="0" fillId="0" borderId="0" xfId="27" applyFont="1" applyAlignment="1">
      <alignment horizontal="center" vertical="center"/>
    </xf>
    <xf numFmtId="0" fontId="48" fillId="0" borderId="0" xfId="27" applyFont="1" applyAlignment="1">
      <alignment horizontal="center" vertical="center"/>
    </xf>
    <xf numFmtId="0" fontId="48" fillId="0" borderId="0" xfId="27" applyFont="1" applyBorder="1" applyAlignment="1">
      <alignment horizontal="center" vertical="center"/>
    </xf>
    <xf numFmtId="0" fontId="52" fillId="0" borderId="4" xfId="27" applyFont="1" applyBorder="1" applyAlignment="1">
      <alignment horizontal="center" vertical="center"/>
    </xf>
    <xf numFmtId="0" fontId="48" fillId="0" borderId="0" xfId="27" applyFont="1" applyAlignment="1">
      <alignment horizontal="left" vertical="center"/>
    </xf>
    <xf numFmtId="179" fontId="53" fillId="2" borderId="20" xfId="27" applyNumberFormat="1" applyFont="1" applyFill="1" applyBorder="1" applyAlignment="1">
      <alignment horizontal="center" vertical="center"/>
    </xf>
    <xf numFmtId="179" fontId="52" fillId="2" borderId="0" xfId="27" applyNumberFormat="1" applyFont="1" applyFill="1" applyBorder="1" applyAlignment="1">
      <alignment horizontal="center" vertical="center"/>
    </xf>
    <xf numFmtId="0" fontId="0" fillId="0" borderId="0" xfId="27" applyFont="1" applyAlignment="1">
      <alignment horizontal="left" vertical="center"/>
    </xf>
    <xf numFmtId="0" fontId="4" fillId="0" borderId="0" xfId="27" applyFont="1" applyBorder="1" applyAlignment="1">
      <alignment horizontal="center" vertical="center"/>
    </xf>
    <xf numFmtId="179" fontId="53" fillId="0" borderId="0" xfId="27" applyNumberFormat="1" applyFont="1" applyBorder="1" applyAlignment="1">
      <alignment horizontal="center" vertical="center"/>
    </xf>
    <xf numFmtId="0" fontId="48" fillId="0" borderId="32" xfId="27" applyFont="1" applyBorder="1" applyAlignment="1">
      <alignment horizontal="center" vertical="center"/>
    </xf>
    <xf numFmtId="0" fontId="55" fillId="0" borderId="5" xfId="27" applyFont="1" applyBorder="1" applyAlignment="1">
      <alignment horizontal="center" vertical="center"/>
    </xf>
    <xf numFmtId="0" fontId="48" fillId="0" borderId="6" xfId="27" applyFont="1" applyBorder="1" applyAlignment="1">
      <alignment horizontal="center" vertical="center"/>
    </xf>
    <xf numFmtId="0" fontId="48" fillId="0" borderId="1" xfId="27" applyFont="1" applyBorder="1" applyAlignment="1">
      <alignment horizontal="center" vertical="center"/>
    </xf>
    <xf numFmtId="179" fontId="53" fillId="2" borderId="1" xfId="27" applyNumberFormat="1" applyFont="1" applyFill="1" applyBorder="1" applyAlignment="1">
      <alignment horizontal="center" vertical="center"/>
    </xf>
    <xf numFmtId="0" fontId="53" fillId="0" borderId="0" xfId="27" applyFont="1" applyFill="1" applyBorder="1" applyAlignment="1">
      <alignment horizontal="center" vertical="center"/>
    </xf>
    <xf numFmtId="0" fontId="49" fillId="0" borderId="0" xfId="27" applyFont="1" applyFill="1" applyBorder="1" applyAlignment="1">
      <alignment horizontal="center" vertical="center"/>
    </xf>
    <xf numFmtId="0" fontId="4" fillId="0" borderId="5" xfId="27" applyNumberFormat="1" applyFont="1" applyBorder="1" applyAlignment="1">
      <alignment horizontal="center" vertical="center"/>
    </xf>
    <xf numFmtId="0" fontId="4" fillId="0" borderId="6" xfId="27" applyFont="1" applyBorder="1" applyAlignment="1">
      <alignment horizontal="center" vertical="center"/>
    </xf>
    <xf numFmtId="0" fontId="48" fillId="0" borderId="5" xfId="27" applyNumberFormat="1" applyFont="1" applyBorder="1" applyAlignment="1">
      <alignment horizontal="center" vertical="center"/>
    </xf>
    <xf numFmtId="0" fontId="48" fillId="11" borderId="37" xfId="27" applyNumberFormat="1" applyFont="1" applyFill="1" applyBorder="1" applyAlignment="1">
      <alignment horizontal="center" vertical="center"/>
    </xf>
    <xf numFmtId="0" fontId="4" fillId="11" borderId="34" xfId="27" applyFont="1" applyFill="1" applyBorder="1" applyAlignment="1">
      <alignment horizontal="center" vertical="center"/>
    </xf>
    <xf numFmtId="0" fontId="48" fillId="11" borderId="34" xfId="27" applyFont="1" applyFill="1" applyBorder="1" applyAlignment="1">
      <alignment horizontal="center" vertical="center"/>
    </xf>
    <xf numFmtId="0" fontId="48" fillId="11" borderId="6" xfId="27" applyFont="1" applyFill="1" applyBorder="1" applyAlignment="1">
      <alignment horizontal="center" vertical="center"/>
    </xf>
    <xf numFmtId="0" fontId="0" fillId="11" borderId="0" xfId="27" applyFont="1" applyFill="1" applyAlignment="1">
      <alignment horizontal="center" vertical="center"/>
    </xf>
    <xf numFmtId="0" fontId="0" fillId="11" borderId="0" xfId="27" applyFont="1" applyFill="1"/>
    <xf numFmtId="176" fontId="49" fillId="0" borderId="5" xfId="27" applyNumberFormat="1" applyFont="1" applyBorder="1" applyAlignment="1">
      <alignment horizontal="center" vertical="center"/>
    </xf>
    <xf numFmtId="176" fontId="56" fillId="0" borderId="5" xfId="27" applyNumberFormat="1" applyFont="1" applyBorder="1" applyAlignment="1">
      <alignment horizontal="center" vertical="center"/>
    </xf>
    <xf numFmtId="176" fontId="0" fillId="0" borderId="5" xfId="27" applyNumberFormat="1" applyFont="1" applyBorder="1" applyAlignment="1">
      <alignment horizontal="center" vertical="center"/>
    </xf>
    <xf numFmtId="0" fontId="48" fillId="0" borderId="30" xfId="27" applyNumberFormat="1" applyFont="1" applyBorder="1" applyAlignment="1">
      <alignment horizontal="center" vertical="center"/>
    </xf>
    <xf numFmtId="0" fontId="48" fillId="0" borderId="13" xfId="27" applyFont="1" applyBorder="1" applyAlignment="1">
      <alignment horizontal="center" vertical="center"/>
    </xf>
    <xf numFmtId="0" fontId="48" fillId="0" borderId="0" xfId="27" applyNumberFormat="1" applyFont="1" applyBorder="1" applyAlignment="1">
      <alignment horizontal="center" vertical="center"/>
    </xf>
    <xf numFmtId="0" fontId="58" fillId="0" borderId="0" xfId="27" applyFont="1" applyBorder="1" applyAlignment="1">
      <alignment horizontal="center" vertical="center"/>
    </xf>
    <xf numFmtId="0" fontId="58" fillId="0" borderId="0" xfId="27" applyFont="1" applyAlignment="1">
      <alignment horizontal="center" vertical="center"/>
    </xf>
    <xf numFmtId="0" fontId="58" fillId="0" borderId="0" xfId="27" applyFont="1"/>
    <xf numFmtId="58" fontId="60" fillId="0" borderId="0" xfId="27" applyNumberFormat="1" applyFont="1" applyBorder="1"/>
    <xf numFmtId="0" fontId="61" fillId="0" borderId="0" xfId="27" applyFont="1"/>
    <xf numFmtId="0" fontId="58" fillId="0" borderId="0" xfId="27" applyFont="1" applyBorder="1" applyAlignment="1">
      <alignment horizontal="center"/>
    </xf>
    <xf numFmtId="0" fontId="60" fillId="0" borderId="0" xfId="27" applyFont="1" applyBorder="1" applyAlignment="1">
      <alignment horizontal="center"/>
    </xf>
    <xf numFmtId="0" fontId="58" fillId="0" borderId="0" xfId="27" applyFont="1" applyBorder="1"/>
    <xf numFmtId="0" fontId="62" fillId="0" borderId="0" xfId="27" applyFont="1"/>
    <xf numFmtId="0" fontId="48" fillId="0" borderId="0" xfId="27" applyNumberFormat="1" applyFont="1" applyBorder="1"/>
    <xf numFmtId="0" fontId="48" fillId="0" borderId="0" xfId="27" applyFont="1" applyBorder="1" applyAlignment="1">
      <alignment horizontal="center"/>
    </xf>
    <xf numFmtId="0" fontId="48" fillId="0" borderId="0" xfId="27" applyFont="1" applyBorder="1"/>
    <xf numFmtId="58" fontId="63" fillId="0" borderId="0" xfId="27" applyNumberFormat="1" applyFont="1" applyBorder="1"/>
    <xf numFmtId="0" fontId="62" fillId="0" borderId="0" xfId="27" applyFont="1" applyBorder="1" applyAlignment="1">
      <alignment horizontal="center"/>
    </xf>
    <xf numFmtId="0" fontId="63" fillId="0" borderId="0" xfId="27" applyFont="1" applyBorder="1" applyAlignment="1">
      <alignment horizontal="center"/>
    </xf>
    <xf numFmtId="0" fontId="62" fillId="0" borderId="0" xfId="27" applyFont="1" applyBorder="1"/>
    <xf numFmtId="0" fontId="58" fillId="0" borderId="0" xfId="27" applyFont="1" applyAlignment="1">
      <alignment vertical="center"/>
    </xf>
    <xf numFmtId="177" fontId="48" fillId="0" borderId="0" xfId="27" applyNumberFormat="1" applyFont="1" applyBorder="1" applyAlignment="1">
      <alignment horizontal="center" vertical="center"/>
    </xf>
    <xf numFmtId="177" fontId="0" fillId="0" borderId="0" xfId="27" applyNumberFormat="1" applyFont="1" applyBorder="1" applyAlignment="1">
      <alignment horizontal="center" vertical="center"/>
    </xf>
    <xf numFmtId="0" fontId="53" fillId="0" borderId="0" xfId="27" applyFont="1" applyBorder="1" applyAlignment="1">
      <alignment vertical="center"/>
    </xf>
    <xf numFmtId="0" fontId="53" fillId="0" borderId="0" xfId="27" applyFont="1" applyBorder="1" applyAlignment="1">
      <alignment horizontal="center" vertical="center"/>
    </xf>
    <xf numFmtId="0" fontId="48" fillId="0" borderId="70" xfId="27" applyFont="1" applyFill="1" applyBorder="1" applyAlignment="1">
      <alignment horizontal="center" vertical="center"/>
    </xf>
    <xf numFmtId="0" fontId="48" fillId="0" borderId="6" xfId="27" applyFont="1" applyFill="1" applyBorder="1" applyAlignment="1">
      <alignment horizontal="center" vertical="center"/>
    </xf>
    <xf numFmtId="0" fontId="53" fillId="0" borderId="8" xfId="27" applyFont="1" applyFill="1" applyBorder="1" applyAlignment="1">
      <alignment vertical="center"/>
    </xf>
    <xf numFmtId="0" fontId="48" fillId="0" borderId="34" xfId="27" applyFont="1" applyFill="1" applyBorder="1" applyAlignment="1">
      <alignment horizontal="center" vertical="center"/>
    </xf>
    <xf numFmtId="0" fontId="48" fillId="0" borderId="49" xfId="27" applyFont="1" applyFill="1" applyBorder="1" applyAlignment="1">
      <alignment horizontal="center" vertical="center"/>
    </xf>
    <xf numFmtId="0" fontId="55" fillId="0" borderId="6" xfId="27" applyFont="1" applyFill="1" applyBorder="1" applyAlignment="1">
      <alignment horizontal="center" vertical="center"/>
    </xf>
    <xf numFmtId="0" fontId="56" fillId="0" borderId="8" xfId="27" applyFont="1" applyFill="1" applyBorder="1" applyAlignment="1">
      <alignment horizontal="center" vertical="center"/>
    </xf>
    <xf numFmtId="178" fontId="48" fillId="0" borderId="8" xfId="27" applyNumberFormat="1" applyFont="1" applyFill="1" applyBorder="1" applyAlignment="1">
      <alignment horizontal="center" vertical="center"/>
    </xf>
    <xf numFmtId="0" fontId="48" fillId="0" borderId="9" xfId="27" applyFont="1" applyFill="1" applyBorder="1" applyAlignment="1">
      <alignment horizontal="center" vertical="center"/>
    </xf>
    <xf numFmtId="176" fontId="48" fillId="0" borderId="6" xfId="27" applyNumberFormat="1" applyFont="1" applyFill="1" applyBorder="1" applyAlignment="1">
      <alignment horizontal="center" vertical="center"/>
    </xf>
    <xf numFmtId="0" fontId="48" fillId="0" borderId="8" xfId="27" applyFont="1" applyFill="1" applyBorder="1" applyAlignment="1">
      <alignment horizontal="center" vertical="center"/>
    </xf>
    <xf numFmtId="0" fontId="0" fillId="0" borderId="1" xfId="27" applyFont="1" applyBorder="1" applyAlignment="1">
      <alignment horizontal="center" vertical="center"/>
    </xf>
    <xf numFmtId="181" fontId="48" fillId="0" borderId="8" xfId="27" applyNumberFormat="1" applyFont="1" applyFill="1" applyBorder="1" applyAlignment="1">
      <alignment horizontal="center" vertical="center"/>
    </xf>
    <xf numFmtId="0" fontId="48" fillId="0" borderId="9" xfId="27" applyFont="1" applyFill="1" applyBorder="1" applyAlignment="1">
      <alignment horizontal="center" vertical="center" wrapText="1"/>
    </xf>
    <xf numFmtId="0" fontId="0" fillId="0" borderId="49" xfId="27" applyFont="1" applyFill="1" applyBorder="1" applyAlignment="1">
      <alignment horizontal="center" vertical="center"/>
    </xf>
    <xf numFmtId="177" fontId="53" fillId="0" borderId="0" xfId="27" applyNumberFormat="1" applyFont="1" applyBorder="1" applyAlignment="1">
      <alignment horizontal="left" vertical="center"/>
    </xf>
    <xf numFmtId="177" fontId="53" fillId="0" borderId="0" xfId="27" applyNumberFormat="1" applyFont="1" applyBorder="1" applyAlignment="1">
      <alignment horizontal="center" vertical="center"/>
    </xf>
    <xf numFmtId="0" fontId="55" fillId="0" borderId="34" xfId="27" applyFont="1" applyFill="1" applyBorder="1" applyAlignment="1">
      <alignment horizontal="center" vertical="center"/>
    </xf>
    <xf numFmtId="0" fontId="48" fillId="0" borderId="10" xfId="27" applyFont="1" applyFill="1" applyBorder="1" applyAlignment="1">
      <alignment horizontal="center" vertical="center" wrapText="1"/>
    </xf>
    <xf numFmtId="0" fontId="55" fillId="0" borderId="72" xfId="27" applyFont="1" applyFill="1" applyBorder="1" applyAlignment="1">
      <alignment horizontal="center" vertical="center"/>
    </xf>
    <xf numFmtId="0" fontId="48" fillId="0" borderId="77" xfId="27" applyFont="1" applyFill="1" applyBorder="1" applyAlignment="1">
      <alignment horizontal="center" vertical="center"/>
    </xf>
    <xf numFmtId="0" fontId="48" fillId="0" borderId="43" xfId="27" applyFont="1" applyFill="1" applyBorder="1" applyAlignment="1">
      <alignment horizontal="center" vertical="center"/>
    </xf>
    <xf numFmtId="0" fontId="53" fillId="0" borderId="43" xfId="27" applyFont="1" applyFill="1" applyBorder="1" applyAlignment="1">
      <alignment vertical="center"/>
    </xf>
    <xf numFmtId="0" fontId="53" fillId="0" borderId="78" xfId="27" applyFont="1" applyFill="1" applyBorder="1" applyAlignment="1">
      <alignment vertical="center"/>
    </xf>
    <xf numFmtId="0" fontId="48" fillId="0" borderId="77" xfId="27" applyFont="1" applyFill="1" applyBorder="1" applyAlignment="1">
      <alignment vertical="center"/>
    </xf>
    <xf numFmtId="0" fontId="48" fillId="0" borderId="43" xfId="27" applyFont="1" applyFill="1" applyBorder="1" applyAlignment="1">
      <alignment vertical="center"/>
    </xf>
    <xf numFmtId="0" fontId="48" fillId="0" borderId="72" xfId="27" applyFont="1" applyFill="1" applyBorder="1" applyAlignment="1">
      <alignment horizontal="center" vertical="center"/>
    </xf>
    <xf numFmtId="0" fontId="48" fillId="0" borderId="44" xfId="27" applyFont="1" applyFill="1" applyBorder="1" applyAlignment="1">
      <alignment horizontal="center" vertical="center"/>
    </xf>
    <xf numFmtId="177" fontId="0" fillId="0" borderId="0" xfId="27" applyNumberFormat="1" applyFont="1" applyBorder="1" applyAlignment="1">
      <alignment horizontal="left"/>
    </xf>
    <xf numFmtId="177" fontId="0" fillId="0" borderId="0" xfId="27" applyNumberFormat="1" applyFont="1" applyBorder="1" applyAlignment="1">
      <alignment horizontal="center"/>
    </xf>
    <xf numFmtId="0" fontId="55" fillId="0" borderId="0" xfId="27" applyFont="1" applyFill="1"/>
    <xf numFmtId="0" fontId="55" fillId="0" borderId="0" xfId="27" applyFont="1" applyFill="1" applyBorder="1"/>
    <xf numFmtId="177" fontId="0" fillId="0" borderId="0" xfId="27" applyNumberFormat="1" applyFont="1" applyFill="1" applyBorder="1" applyAlignment="1">
      <alignment horizontal="left"/>
    </xf>
    <xf numFmtId="177" fontId="0" fillId="0" borderId="0" xfId="27" applyNumberFormat="1" applyFont="1" applyFill="1" applyBorder="1" applyAlignment="1">
      <alignment horizontal="center"/>
    </xf>
    <xf numFmtId="0" fontId="48" fillId="0" borderId="0" xfId="27" applyFont="1" applyFill="1"/>
    <xf numFmtId="0" fontId="48" fillId="0" borderId="0" xfId="27" applyFont="1" applyFill="1" applyAlignment="1">
      <alignment horizontal="right" vertical="center"/>
    </xf>
    <xf numFmtId="0" fontId="55" fillId="0" borderId="0" xfId="27" applyFont="1" applyFill="1" applyAlignment="1">
      <alignment horizontal="center" vertical="center"/>
    </xf>
    <xf numFmtId="0" fontId="48" fillId="0" borderId="0" xfId="27" applyFont="1" applyFill="1" applyAlignment="1">
      <alignment horizontal="center" vertical="center"/>
    </xf>
    <xf numFmtId="0" fontId="48" fillId="0" borderId="0" xfId="27" applyFont="1" applyFill="1" applyAlignment="1">
      <alignment vertical="center"/>
    </xf>
    <xf numFmtId="0" fontId="48" fillId="0" borderId="0" xfId="27" applyFont="1" applyFill="1" applyBorder="1" applyAlignment="1">
      <alignment horizontal="center" vertical="center"/>
    </xf>
    <xf numFmtId="0" fontId="68" fillId="0" borderId="0" xfId="29" applyFont="1"/>
    <xf numFmtId="0" fontId="68" fillId="0" borderId="0" xfId="29" applyFont="1" applyAlignment="1">
      <alignment horizontal="right"/>
    </xf>
    <xf numFmtId="0" fontId="68" fillId="0" borderId="1" xfId="30" applyFont="1" applyBorder="1" applyAlignment="1">
      <alignment horizontal="center" vertical="center"/>
    </xf>
    <xf numFmtId="0" fontId="68" fillId="0" borderId="1" xfId="29" applyFont="1" applyBorder="1" applyAlignment="1">
      <alignment horizontal="center" vertical="center"/>
    </xf>
    <xf numFmtId="0" fontId="69" fillId="0" borderId="1" xfId="29" applyFont="1" applyBorder="1" applyAlignment="1">
      <alignment horizontal="center" vertical="center"/>
    </xf>
    <xf numFmtId="0" fontId="68" fillId="0" borderId="0" xfId="29" applyFont="1" applyBorder="1" applyAlignment="1">
      <alignment horizontal="center" vertical="center"/>
    </xf>
    <xf numFmtId="0" fontId="68" fillId="0" borderId="0" xfId="29" applyFont="1" applyAlignment="1"/>
    <xf numFmtId="0" fontId="69" fillId="0" borderId="0" xfId="29" applyFont="1" applyAlignment="1"/>
    <xf numFmtId="0" fontId="0" fillId="0" borderId="0" xfId="31" applyFont="1" applyBorder="1"/>
    <xf numFmtId="0" fontId="0" fillId="0" borderId="0" xfId="31" applyFont="1" applyFill="1" applyBorder="1"/>
    <xf numFmtId="0" fontId="0" fillId="8" borderId="0" xfId="31" applyFont="1" applyFill="1"/>
    <xf numFmtId="0" fontId="0" fillId="0" borderId="0" xfId="31" applyFont="1"/>
    <xf numFmtId="0" fontId="0" fillId="0" borderId="4" xfId="31" applyFont="1" applyBorder="1"/>
    <xf numFmtId="0" fontId="2" fillId="0" borderId="0" xfId="31" applyFont="1" applyBorder="1" applyAlignment="1">
      <alignment horizontal="center"/>
    </xf>
    <xf numFmtId="0" fontId="71" fillId="0" borderId="4" xfId="31" applyFont="1" applyBorder="1" applyAlignment="1">
      <alignment horizontal="center"/>
    </xf>
    <xf numFmtId="179" fontId="7" fillId="0" borderId="20" xfId="31" applyNumberFormat="1" applyFont="1" applyBorder="1" applyAlignment="1">
      <alignment horizontal="center"/>
    </xf>
    <xf numFmtId="0" fontId="0" fillId="0" borderId="20" xfId="31" applyFont="1" applyBorder="1"/>
    <xf numFmtId="0" fontId="2" fillId="0" borderId="0" xfId="31" applyFont="1" applyAlignment="1">
      <alignment horizontal="center"/>
    </xf>
    <xf numFmtId="0" fontId="4" fillId="0" borderId="0" xfId="31" applyFont="1" applyBorder="1" applyAlignment="1">
      <alignment horizontal="center"/>
    </xf>
    <xf numFmtId="0" fontId="4" fillId="0" borderId="0" xfId="31" applyFont="1" applyFill="1" applyBorder="1" applyAlignment="1">
      <alignment horizontal="center"/>
    </xf>
    <xf numFmtId="0" fontId="2" fillId="8" borderId="0" xfId="31" applyFont="1" applyFill="1" applyAlignment="1">
      <alignment horizontal="center"/>
    </xf>
    <xf numFmtId="0" fontId="2" fillId="0" borderId="0" xfId="31" applyFont="1"/>
    <xf numFmtId="179" fontId="7" fillId="0" borderId="0" xfId="31" applyNumberFormat="1" applyFont="1" applyBorder="1" applyAlignment="1">
      <alignment horizontal="center"/>
    </xf>
    <xf numFmtId="0" fontId="2" fillId="0" borderId="32" xfId="31" applyFont="1" applyBorder="1" applyAlignment="1">
      <alignment horizontal="center" vertical="center"/>
    </xf>
    <xf numFmtId="0" fontId="9" fillId="0" borderId="5" xfId="31" applyFont="1" applyBorder="1" applyAlignment="1">
      <alignment horizontal="center" vertical="center"/>
    </xf>
    <xf numFmtId="0" fontId="2" fillId="0" borderId="6" xfId="31" applyFont="1" applyBorder="1" applyAlignment="1">
      <alignment horizontal="center" vertical="center"/>
    </xf>
    <xf numFmtId="0" fontId="2" fillId="0" borderId="6" xfId="31" applyFont="1" applyFill="1" applyBorder="1" applyAlignment="1">
      <alignment horizontal="center" vertical="center"/>
    </xf>
    <xf numFmtId="0" fontId="2" fillId="12" borderId="6" xfId="31" applyFont="1" applyFill="1" applyBorder="1" applyAlignment="1">
      <alignment horizontal="center" vertical="center"/>
    </xf>
    <xf numFmtId="0" fontId="7" fillId="0" borderId="0" xfId="31" applyFont="1" applyFill="1" applyBorder="1" applyAlignment="1">
      <alignment horizontal="center"/>
    </xf>
    <xf numFmtId="0" fontId="3" fillId="0" borderId="0" xfId="31" applyFont="1" applyFill="1" applyBorder="1" applyAlignment="1">
      <alignment horizontal="center"/>
    </xf>
    <xf numFmtId="0" fontId="4" fillId="0" borderId="5" xfId="31" applyNumberFormat="1" applyFont="1" applyBorder="1" applyAlignment="1">
      <alignment horizontal="center"/>
    </xf>
    <xf numFmtId="0" fontId="4" fillId="0" borderId="6" xfId="31" applyFont="1" applyBorder="1" applyAlignment="1">
      <alignment horizontal="center"/>
    </xf>
    <xf numFmtId="0" fontId="2" fillId="0" borderId="6" xfId="31" applyFont="1" applyBorder="1" applyAlignment="1">
      <alignment horizontal="center"/>
    </xf>
    <xf numFmtId="0" fontId="2" fillId="0" borderId="6" xfId="31" applyFont="1" applyFill="1" applyBorder="1" applyAlignment="1">
      <alignment horizontal="center"/>
    </xf>
    <xf numFmtId="0" fontId="2" fillId="12" borderId="6" xfId="31" applyFont="1" applyFill="1" applyBorder="1" applyAlignment="1">
      <alignment horizontal="center"/>
    </xf>
    <xf numFmtId="0" fontId="2" fillId="0" borderId="0" xfId="31" quotePrefix="1" applyFont="1"/>
    <xf numFmtId="0" fontId="0" fillId="0" borderId="0" xfId="31" quotePrefix="1" applyFont="1"/>
    <xf numFmtId="0" fontId="0" fillId="0" borderId="0" xfId="31" applyFont="1" applyFill="1"/>
    <xf numFmtId="176" fontId="4" fillId="0" borderId="5" xfId="31" applyNumberFormat="1" applyFont="1" applyBorder="1" applyAlignment="1">
      <alignment horizontal="center"/>
    </xf>
    <xf numFmtId="0" fontId="2" fillId="0" borderId="5" xfId="31" applyNumberFormat="1" applyFont="1" applyBorder="1" applyAlignment="1">
      <alignment horizontal="center"/>
    </xf>
    <xf numFmtId="0" fontId="9" fillId="0" borderId="5" xfId="31" applyNumberFormat="1" applyFont="1" applyBorder="1" applyAlignment="1">
      <alignment horizontal="center"/>
    </xf>
    <xf numFmtId="0" fontId="2" fillId="0" borderId="37" xfId="31" applyNumberFormat="1" applyFont="1" applyBorder="1" applyAlignment="1">
      <alignment horizontal="center"/>
    </xf>
    <xf numFmtId="0" fontId="4" fillId="0" borderId="34" xfId="31" applyFont="1" applyBorder="1" applyAlignment="1">
      <alignment horizontal="center"/>
    </xf>
    <xf numFmtId="0" fontId="2" fillId="0" borderId="34" xfId="31" applyFont="1" applyBorder="1" applyAlignment="1">
      <alignment horizontal="center"/>
    </xf>
    <xf numFmtId="0" fontId="2" fillId="0" borderId="30" xfId="31" applyNumberFormat="1" applyFont="1" applyBorder="1" applyAlignment="1">
      <alignment horizontal="center"/>
    </xf>
    <xf numFmtId="0" fontId="2" fillId="0" borderId="13" xfId="31" applyFont="1" applyBorder="1" applyAlignment="1">
      <alignment horizontal="center" vertical="center"/>
    </xf>
    <xf numFmtId="0" fontId="2" fillId="0" borderId="13" xfId="31" applyFont="1" applyBorder="1" applyAlignment="1">
      <alignment horizontal="center"/>
    </xf>
    <xf numFmtId="0" fontId="2" fillId="0" borderId="0" xfId="31" applyNumberFormat="1" applyFont="1" applyBorder="1"/>
    <xf numFmtId="0" fontId="6" fillId="0" borderId="0" xfId="31" applyFont="1" applyBorder="1"/>
    <xf numFmtId="0" fontId="6" fillId="0" borderId="0" xfId="31" applyFont="1"/>
    <xf numFmtId="58" fontId="60" fillId="0" borderId="0" xfId="31" applyNumberFormat="1" applyFont="1" applyBorder="1"/>
    <xf numFmtId="0" fontId="74" fillId="0" borderId="0" xfId="31" applyFont="1"/>
    <xf numFmtId="0" fontId="6" fillId="0" borderId="0" xfId="31" applyFont="1" applyFill="1"/>
    <xf numFmtId="0" fontId="6" fillId="8" borderId="0" xfId="31" applyFont="1" applyFill="1" applyBorder="1" applyAlignment="1">
      <alignment horizontal="center"/>
    </xf>
    <xf numFmtId="0" fontId="60" fillId="8" borderId="0" xfId="31" applyFont="1" applyFill="1" applyBorder="1" applyAlignment="1">
      <alignment horizontal="center"/>
    </xf>
    <xf numFmtId="0" fontId="6" fillId="0" borderId="0" xfId="31" applyFont="1" applyBorder="1" applyAlignment="1">
      <alignment horizontal="center"/>
    </xf>
    <xf numFmtId="0" fontId="47" fillId="0" borderId="0" xfId="31" applyFont="1"/>
    <xf numFmtId="0" fontId="2" fillId="0" borderId="0" xfId="31" applyFont="1" applyFill="1" applyBorder="1"/>
    <xf numFmtId="0" fontId="0" fillId="0" borderId="0" xfId="31" applyFont="1" applyAlignment="1">
      <alignment horizontal="center"/>
    </xf>
    <xf numFmtId="0" fontId="7" fillId="0" borderId="0" xfId="31" applyFont="1" applyAlignment="1">
      <alignment horizontal="center"/>
    </xf>
    <xf numFmtId="58" fontId="63" fillId="0" borderId="0" xfId="31" applyNumberFormat="1" applyFont="1" applyBorder="1"/>
    <xf numFmtId="0" fontId="47" fillId="0" borderId="0" xfId="31" applyFont="1" applyBorder="1" applyAlignment="1">
      <alignment horizontal="center"/>
    </xf>
    <xf numFmtId="0" fontId="6" fillId="0" borderId="0" xfId="31" applyFont="1" applyFill="1" applyBorder="1"/>
    <xf numFmtId="0" fontId="47" fillId="8" borderId="0" xfId="31" applyFont="1" applyFill="1" applyBorder="1" applyAlignment="1">
      <alignment horizontal="center"/>
    </xf>
    <xf numFmtId="0" fontId="63" fillId="8" borderId="0" xfId="31" applyFont="1" applyFill="1" applyBorder="1" applyAlignment="1">
      <alignment horizontal="center"/>
    </xf>
    <xf numFmtId="0" fontId="47" fillId="0" borderId="0" xfId="31" applyFont="1" applyBorder="1"/>
    <xf numFmtId="177" fontId="0" fillId="0" borderId="0" xfId="31" applyNumberFormat="1" applyFont="1"/>
    <xf numFmtId="0" fontId="47" fillId="0" borderId="0" xfId="31" applyFont="1" applyFill="1"/>
    <xf numFmtId="0" fontId="47" fillId="8" borderId="0" xfId="31" applyFont="1" applyFill="1"/>
    <xf numFmtId="177" fontId="2" fillId="0" borderId="0" xfId="31" applyNumberFormat="1" applyFont="1"/>
    <xf numFmtId="0" fontId="47" fillId="12" borderId="0" xfId="31" applyFont="1" applyFill="1"/>
    <xf numFmtId="0" fontId="0" fillId="12" borderId="0" xfId="31" applyFont="1" applyFill="1"/>
    <xf numFmtId="0" fontId="6" fillId="0" borderId="0" xfId="29" applyFont="1" applyAlignment="1">
      <alignment vertical="center"/>
    </xf>
    <xf numFmtId="0" fontId="0" fillId="0" borderId="0" xfId="29" applyFont="1" applyBorder="1"/>
    <xf numFmtId="0" fontId="0" fillId="0" borderId="0" xfId="29" applyFont="1" applyBorder="1" applyAlignment="1">
      <alignment horizontal="center" vertical="center"/>
    </xf>
    <xf numFmtId="0" fontId="2" fillId="0" borderId="6" xfId="29" applyFont="1" applyFill="1" applyBorder="1" applyAlignment="1">
      <alignment vertical="center"/>
    </xf>
    <xf numFmtId="179" fontId="3" fillId="0" borderId="6" xfId="29" applyNumberFormat="1" applyFont="1" applyFill="1" applyBorder="1" applyAlignment="1">
      <alignment vertical="center"/>
    </xf>
    <xf numFmtId="0" fontId="7" fillId="0" borderId="6" xfId="29" applyFont="1" applyFill="1" applyBorder="1" applyAlignment="1">
      <alignment vertical="center"/>
    </xf>
    <xf numFmtId="0" fontId="7" fillId="0" borderId="0" xfId="29" applyFont="1" applyBorder="1" applyAlignment="1">
      <alignment vertical="center"/>
    </xf>
    <xf numFmtId="0" fontId="7" fillId="0" borderId="0" xfId="29" applyFont="1" applyBorder="1" applyAlignment="1">
      <alignment horizontal="center" vertical="center"/>
    </xf>
    <xf numFmtId="0" fontId="2" fillId="0" borderId="0" xfId="29" applyFont="1" applyBorder="1" applyAlignment="1">
      <alignment horizontal="center"/>
    </xf>
    <xf numFmtId="0" fontId="71" fillId="0" borderId="0" xfId="29" applyFont="1" applyBorder="1" applyAlignment="1">
      <alignment horizontal="center"/>
    </xf>
    <xf numFmtId="0" fontId="2" fillId="0" borderId="6" xfId="29" applyFont="1" applyFill="1" applyBorder="1" applyAlignment="1">
      <alignment horizontal="center" vertical="center"/>
    </xf>
    <xf numFmtId="179" fontId="7" fillId="0" borderId="0" xfId="29" applyNumberFormat="1" applyFont="1" applyBorder="1" applyAlignment="1">
      <alignment horizontal="center"/>
    </xf>
    <xf numFmtId="176" fontId="2" fillId="0" borderId="6" xfId="29" applyNumberFormat="1" applyFont="1" applyFill="1" applyBorder="1" applyAlignment="1">
      <alignment horizontal="center" vertical="center"/>
    </xf>
    <xf numFmtId="0" fontId="2" fillId="0" borderId="6" xfId="29" applyFont="1" applyFill="1" applyBorder="1"/>
    <xf numFmtId="0" fontId="9" fillId="0" borderId="0" xfId="29" applyFont="1" applyFill="1"/>
    <xf numFmtId="0" fontId="9" fillId="0" borderId="0" xfId="29" applyFont="1" applyFill="1" applyBorder="1"/>
    <xf numFmtId="0" fontId="9" fillId="0" borderId="0" xfId="29" applyFont="1" applyFill="1" applyAlignment="1">
      <alignment horizontal="center" vertical="center"/>
    </xf>
    <xf numFmtId="0" fontId="2" fillId="0" borderId="0" xfId="29" applyFont="1" applyFill="1"/>
    <xf numFmtId="0" fontId="2" fillId="0" borderId="0" xfId="29" applyFont="1" applyFill="1" applyAlignment="1">
      <alignment horizontal="right" vertical="center"/>
    </xf>
    <xf numFmtId="0" fontId="2" fillId="0" borderId="0" xfId="29" applyFont="1" applyFill="1" applyAlignment="1">
      <alignment horizontal="center" vertical="center"/>
    </xf>
    <xf numFmtId="0" fontId="2" fillId="0" borderId="0" xfId="29" applyFont="1" applyFill="1" applyAlignment="1">
      <alignment vertical="center"/>
    </xf>
    <xf numFmtId="0" fontId="2" fillId="0" borderId="0" xfId="29" applyFont="1" applyFill="1" applyBorder="1" applyAlignment="1">
      <alignment horizontal="center" vertical="center"/>
    </xf>
    <xf numFmtId="0" fontId="0" fillId="0" borderId="0" xfId="29" applyFont="1" applyFill="1" applyBorder="1"/>
    <xf numFmtId="0" fontId="34" fillId="0" borderId="0" xfId="32" applyFont="1"/>
    <xf numFmtId="0" fontId="34" fillId="0" borderId="0" xfId="32" applyFont="1" applyAlignment="1">
      <alignment horizontal="right"/>
    </xf>
    <xf numFmtId="0" fontId="34" fillId="0" borderId="1" xfId="3" applyFont="1" applyBorder="1" applyAlignment="1">
      <alignment horizontal="center" vertical="center"/>
    </xf>
    <xf numFmtId="0" fontId="34" fillId="0" borderId="1" xfId="32" applyFont="1" applyBorder="1" applyAlignment="1">
      <alignment horizontal="center" vertical="center"/>
    </xf>
    <xf numFmtId="0" fontId="27" fillId="0" borderId="1" xfId="32" applyFont="1" applyBorder="1" applyAlignment="1">
      <alignment horizontal="center" vertical="center"/>
    </xf>
    <xf numFmtId="0" fontId="34" fillId="0" borderId="0" xfId="32" applyFont="1" applyBorder="1" applyAlignment="1">
      <alignment horizontal="center" vertical="center"/>
    </xf>
    <xf numFmtId="0" fontId="34" fillId="0" borderId="0" xfId="32" applyFont="1" applyAlignment="1"/>
    <xf numFmtId="0" fontId="27" fillId="0" borderId="0" xfId="32" applyFont="1" applyAlignment="1"/>
    <xf numFmtId="0" fontId="34" fillId="0" borderId="1" xfId="3" applyFont="1" applyBorder="1" applyAlignment="1">
      <alignment horizontal="center" vertical="center"/>
    </xf>
    <xf numFmtId="0" fontId="34" fillId="0" borderId="1" xfId="32" applyFont="1" applyBorder="1" applyAlignment="1">
      <alignment horizontal="center" vertical="center"/>
    </xf>
    <xf numFmtId="0" fontId="0" fillId="0" borderId="0" xfId="33" applyFont="1" applyBorder="1"/>
    <xf numFmtId="0" fontId="0" fillId="0" borderId="0" xfId="33" applyFont="1"/>
    <xf numFmtId="177" fontId="0" fillId="10" borderId="0" xfId="33" applyNumberFormat="1" applyFont="1" applyFill="1" applyAlignment="1">
      <alignment vertical="center"/>
    </xf>
    <xf numFmtId="177" fontId="0" fillId="10" borderId="0" xfId="33" applyNumberFormat="1" applyFont="1" applyFill="1"/>
    <xf numFmtId="0" fontId="0" fillId="10" borderId="0" xfId="33" applyFont="1" applyFill="1"/>
    <xf numFmtId="0" fontId="0" fillId="0" borderId="4" xfId="33" applyFont="1" applyBorder="1"/>
    <xf numFmtId="0" fontId="75" fillId="0" borderId="0" xfId="33" applyFont="1" applyBorder="1" applyAlignment="1">
      <alignment horizontal="center"/>
    </xf>
    <xf numFmtId="0" fontId="79" fillId="0" borderId="4" xfId="33" applyFont="1" applyBorder="1" applyAlignment="1">
      <alignment horizontal="center"/>
    </xf>
    <xf numFmtId="177" fontId="0" fillId="10" borderId="0" xfId="33" applyNumberFormat="1" applyFont="1" applyFill="1" applyBorder="1" applyAlignment="1">
      <alignment horizontal="center" vertical="center"/>
    </xf>
    <xf numFmtId="0" fontId="75" fillId="0" borderId="0" xfId="33" applyFont="1" applyAlignment="1">
      <alignment horizontal="center"/>
    </xf>
    <xf numFmtId="179" fontId="80" fillId="8" borderId="20" xfId="33" applyNumberFormat="1" applyFont="1" applyFill="1" applyBorder="1" applyAlignment="1">
      <alignment horizontal="center"/>
    </xf>
    <xf numFmtId="179" fontId="79" fillId="0" borderId="0" xfId="33" applyNumberFormat="1" applyFont="1" applyBorder="1" applyAlignment="1">
      <alignment horizontal="center"/>
    </xf>
    <xf numFmtId="0" fontId="75" fillId="0" borderId="32" xfId="33" applyFont="1" applyBorder="1" applyAlignment="1">
      <alignment horizontal="center" vertical="center"/>
    </xf>
    <xf numFmtId="0" fontId="79" fillId="0" borderId="93" xfId="33" applyFont="1" applyBorder="1" applyAlignment="1">
      <alignment horizontal="center" vertical="center"/>
    </xf>
    <xf numFmtId="0" fontId="84" fillId="0" borderId="5" xfId="33" applyFont="1" applyBorder="1" applyAlignment="1">
      <alignment horizontal="center" vertical="center"/>
    </xf>
    <xf numFmtId="0" fontId="75" fillId="0" borderId="6" xfId="33" applyFont="1" applyBorder="1" applyAlignment="1">
      <alignment horizontal="center" vertical="center"/>
    </xf>
    <xf numFmtId="177" fontId="80" fillId="10" borderId="0" xfId="33" applyNumberFormat="1" applyFont="1" applyFill="1" applyBorder="1" applyAlignment="1">
      <alignment horizontal="center" vertical="center"/>
    </xf>
    <xf numFmtId="177" fontId="80" fillId="10" borderId="0" xfId="33" applyNumberFormat="1" applyFont="1" applyFill="1" applyBorder="1" applyAlignment="1">
      <alignment horizontal="center"/>
    </xf>
    <xf numFmtId="177" fontId="76" fillId="10" borderId="0" xfId="33" applyNumberFormat="1" applyFont="1" applyFill="1" applyBorder="1" applyAlignment="1">
      <alignment horizontal="center"/>
    </xf>
    <xf numFmtId="177" fontId="76" fillId="10" borderId="0" xfId="33" applyNumberFormat="1" applyFont="1" applyFill="1" applyAlignment="1">
      <alignment vertical="center" wrapText="1"/>
    </xf>
    <xf numFmtId="177" fontId="80" fillId="10" borderId="0" xfId="33" applyNumberFormat="1" applyFont="1" applyFill="1" applyBorder="1" applyAlignment="1">
      <alignment horizontal="center" wrapText="1"/>
    </xf>
    <xf numFmtId="0" fontId="4" fillId="0" borderId="5" xfId="33" applyNumberFormat="1" applyFont="1" applyBorder="1" applyAlignment="1">
      <alignment horizontal="center"/>
    </xf>
    <xf numFmtId="0" fontId="4" fillId="0" borderId="6" xfId="33" applyFont="1" applyBorder="1" applyAlignment="1">
      <alignment horizontal="center"/>
    </xf>
    <xf numFmtId="0" fontId="75" fillId="0" borderId="6" xfId="33" applyFont="1" applyBorder="1" applyAlignment="1">
      <alignment horizontal="center"/>
    </xf>
    <xf numFmtId="0" fontId="75" fillId="0" borderId="6" xfId="33" applyFont="1" applyFill="1" applyBorder="1" applyAlignment="1">
      <alignment horizontal="center"/>
    </xf>
    <xf numFmtId="0" fontId="80" fillId="0" borderId="5" xfId="33" applyNumberFormat="1" applyFont="1" applyBorder="1" applyAlignment="1">
      <alignment horizontal="center"/>
    </xf>
    <xf numFmtId="0" fontId="75" fillId="0" borderId="5" xfId="33" applyNumberFormat="1" applyFont="1" applyBorder="1" applyAlignment="1">
      <alignment horizontal="center"/>
    </xf>
    <xf numFmtId="0" fontId="75" fillId="0" borderId="37" xfId="33" applyNumberFormat="1" applyFont="1" applyBorder="1" applyAlignment="1">
      <alignment horizontal="center"/>
    </xf>
    <xf numFmtId="0" fontId="4" fillId="0" borderId="34" xfId="33" applyFont="1" applyBorder="1" applyAlignment="1">
      <alignment horizontal="center"/>
    </xf>
    <xf numFmtId="0" fontId="75" fillId="0" borderId="34" xfId="33" applyFont="1" applyBorder="1" applyAlignment="1">
      <alignment horizontal="center"/>
    </xf>
    <xf numFmtId="176" fontId="76" fillId="0" borderId="5" xfId="33" applyNumberFormat="1" applyFont="1" applyBorder="1" applyAlignment="1">
      <alignment horizontal="center"/>
    </xf>
    <xf numFmtId="176" fontId="0" fillId="0" borderId="5" xfId="33" applyNumberFormat="1" applyFont="1" applyBorder="1" applyAlignment="1">
      <alignment horizontal="center"/>
    </xf>
    <xf numFmtId="0" fontId="75" fillId="0" borderId="30" xfId="33" applyNumberFormat="1" applyFont="1" applyBorder="1" applyAlignment="1">
      <alignment horizontal="center"/>
    </xf>
    <xf numFmtId="0" fontId="75" fillId="0" borderId="13" xfId="33" applyFont="1" applyBorder="1" applyAlignment="1">
      <alignment horizontal="center" vertical="center"/>
    </xf>
    <xf numFmtId="0" fontId="75" fillId="0" borderId="13" xfId="33" applyFont="1" applyBorder="1" applyAlignment="1">
      <alignment horizontal="center"/>
    </xf>
    <xf numFmtId="177" fontId="80" fillId="0" borderId="82" xfId="33" applyNumberFormat="1" applyFont="1" applyBorder="1" applyAlignment="1">
      <alignment horizontal="left" vertical="center"/>
    </xf>
    <xf numFmtId="0" fontId="75" fillId="0" borderId="0" xfId="33" applyNumberFormat="1" applyFont="1" applyBorder="1"/>
    <xf numFmtId="0" fontId="86" fillId="0" borderId="0" xfId="33" applyFont="1" applyBorder="1"/>
    <xf numFmtId="0" fontId="86" fillId="10" borderId="0" xfId="33" applyFont="1" applyFill="1"/>
    <xf numFmtId="0" fontId="86" fillId="0" borderId="0" xfId="33" applyFont="1"/>
    <xf numFmtId="177" fontId="75" fillId="10" borderId="0" xfId="33" applyNumberFormat="1" applyFont="1" applyFill="1"/>
    <xf numFmtId="58" fontId="60" fillId="0" borderId="0" xfId="33" applyNumberFormat="1" applyFont="1" applyBorder="1"/>
    <xf numFmtId="0" fontId="87" fillId="0" borderId="0" xfId="33" applyFont="1"/>
    <xf numFmtId="0" fontId="86" fillId="0" borderId="0" xfId="33" applyFont="1" applyBorder="1" applyAlignment="1">
      <alignment horizontal="center"/>
    </xf>
    <xf numFmtId="0" fontId="60" fillId="0" borderId="0" xfId="33" applyFont="1" applyBorder="1" applyAlignment="1">
      <alignment horizontal="center"/>
    </xf>
    <xf numFmtId="0" fontId="88" fillId="0" borderId="0" xfId="33" applyFont="1"/>
    <xf numFmtId="0" fontId="75" fillId="0" borderId="0" xfId="33" applyFont="1" applyBorder="1"/>
    <xf numFmtId="58" fontId="63" fillId="0" borderId="0" xfId="33" applyNumberFormat="1" applyFont="1" applyBorder="1"/>
    <xf numFmtId="0" fontId="88" fillId="0" borderId="0" xfId="33" applyFont="1" applyBorder="1" applyAlignment="1">
      <alignment horizontal="center"/>
    </xf>
    <xf numFmtId="0" fontId="63" fillId="0" borderId="0" xfId="33" applyFont="1" applyBorder="1" applyAlignment="1">
      <alignment horizontal="center"/>
    </xf>
    <xf numFmtId="0" fontId="88" fillId="0" borderId="0" xfId="33" applyFont="1" applyBorder="1"/>
    <xf numFmtId="0" fontId="88" fillId="10" borderId="0" xfId="33" applyFont="1" applyFill="1"/>
    <xf numFmtId="0" fontId="75" fillId="10" borderId="0" xfId="33" applyFont="1" applyFill="1" applyBorder="1"/>
    <xf numFmtId="0" fontId="0" fillId="10" borderId="0" xfId="33" applyFont="1" applyFill="1" applyBorder="1"/>
    <xf numFmtId="0" fontId="0" fillId="10" borderId="0" xfId="33" applyFont="1" applyFill="1" applyBorder="1" applyAlignment="1">
      <alignment horizontal="center" vertical="center"/>
    </xf>
    <xf numFmtId="177" fontId="0" fillId="0" borderId="0" xfId="33" applyNumberFormat="1" applyFont="1" applyBorder="1"/>
    <xf numFmtId="0" fontId="75" fillId="0" borderId="0" xfId="33" applyFont="1" applyFill="1" applyBorder="1" applyAlignment="1">
      <alignment horizontal="center" vertical="center"/>
    </xf>
    <xf numFmtId="0" fontId="75" fillId="0" borderId="93" xfId="33" applyFont="1" applyFill="1" applyBorder="1" applyAlignment="1">
      <alignment horizontal="center" vertical="center"/>
    </xf>
    <xf numFmtId="58" fontId="75" fillId="0" borderId="93" xfId="33" applyNumberFormat="1" applyFont="1" applyFill="1" applyBorder="1" applyAlignment="1">
      <alignment horizontal="center" vertical="center"/>
    </xf>
    <xf numFmtId="0" fontId="75" fillId="10" borderId="96" xfId="33" applyFont="1" applyFill="1" applyBorder="1" applyAlignment="1">
      <alignment vertical="center"/>
    </xf>
    <xf numFmtId="0" fontId="89" fillId="13" borderId="93" xfId="34" applyFont="1" applyFill="1" applyBorder="1" applyAlignment="1">
      <alignment vertical="center" wrapText="1"/>
    </xf>
    <xf numFmtId="0" fontId="89" fillId="13" borderId="93" xfId="33" applyFont="1" applyFill="1" applyBorder="1" applyAlignment="1">
      <alignment vertical="center" wrapText="1"/>
    </xf>
    <xf numFmtId="0" fontId="0" fillId="0" borderId="93" xfId="33" applyFont="1" applyBorder="1"/>
    <xf numFmtId="0" fontId="75" fillId="0" borderId="1" xfId="33" applyFont="1" applyFill="1" applyBorder="1" applyAlignment="1">
      <alignment horizontal="center" vertical="center"/>
    </xf>
    <xf numFmtId="0" fontId="75" fillId="0" borderId="1" xfId="33" applyNumberFormat="1" applyFont="1" applyFill="1" applyBorder="1" applyAlignment="1">
      <alignment horizontal="center" vertical="center"/>
    </xf>
    <xf numFmtId="0" fontId="75" fillId="10" borderId="0" xfId="33" applyFont="1" applyFill="1" applyBorder="1" applyAlignment="1">
      <alignment horizontal="center" vertical="center"/>
    </xf>
    <xf numFmtId="0" fontId="0" fillId="10" borderId="97" xfId="33" applyFont="1" applyFill="1" applyBorder="1" applyAlignment="1">
      <alignment vertical="center"/>
    </xf>
    <xf numFmtId="0" fontId="89" fillId="13" borderId="1" xfId="34" applyFont="1" applyFill="1" applyBorder="1" applyAlignment="1">
      <alignment vertical="center" wrapText="1"/>
    </xf>
    <xf numFmtId="0" fontId="89" fillId="13" borderId="1" xfId="33" applyFont="1" applyFill="1" applyBorder="1" applyAlignment="1">
      <alignment vertical="center" wrapText="1"/>
    </xf>
    <xf numFmtId="0" fontId="89" fillId="13" borderId="1" xfId="34" applyFont="1" applyFill="1" applyBorder="1" applyAlignment="1">
      <alignment horizontal="center" vertical="center" wrapText="1"/>
    </xf>
    <xf numFmtId="0" fontId="0" fillId="0" borderId="1" xfId="33" applyFont="1" applyBorder="1"/>
    <xf numFmtId="0" fontId="89" fillId="13" borderId="98" xfId="34" applyFont="1" applyFill="1" applyBorder="1" applyAlignment="1">
      <alignment horizontal="center" vertical="center" wrapText="1"/>
    </xf>
    <xf numFmtId="0" fontId="75" fillId="0" borderId="97" xfId="33" applyFont="1" applyFill="1" applyBorder="1" applyAlignment="1">
      <alignment horizontal="center" vertical="center"/>
    </xf>
    <xf numFmtId="0" fontId="75" fillId="0" borderId="1" xfId="33" applyFont="1" applyFill="1" applyBorder="1" applyAlignment="1">
      <alignment horizontal="center" vertical="center" wrapText="1"/>
    </xf>
    <xf numFmtId="182" fontId="75" fillId="0" borderId="1" xfId="33" applyNumberFormat="1" applyFont="1" applyFill="1" applyBorder="1" applyAlignment="1">
      <alignment horizontal="center" vertical="center"/>
    </xf>
    <xf numFmtId="0" fontId="82" fillId="10" borderId="0" xfId="33" applyFont="1" applyFill="1" applyBorder="1" applyAlignment="1">
      <alignment horizontal="center" vertical="center"/>
    </xf>
    <xf numFmtId="0" fontId="0" fillId="10" borderId="97" xfId="33" applyFont="1" applyFill="1" applyBorder="1" applyAlignment="1">
      <alignment horizontal="center" vertical="center"/>
    </xf>
    <xf numFmtId="0" fontId="91" fillId="8" borderId="1" xfId="34" applyFont="1" applyFill="1" applyBorder="1" applyAlignment="1">
      <alignment vertical="center" wrapText="1"/>
    </xf>
    <xf numFmtId="0" fontId="91" fillId="8" borderId="1" xfId="34" applyFont="1" applyFill="1" applyBorder="1" applyAlignment="1">
      <alignment horizontal="center" vertical="center" wrapText="1"/>
    </xf>
    <xf numFmtId="0" fontId="91" fillId="0" borderId="1" xfId="34" applyFont="1" applyFill="1" applyBorder="1" applyAlignment="1">
      <alignment horizontal="center" vertical="center" wrapText="1"/>
    </xf>
    <xf numFmtId="177" fontId="0" fillId="0" borderId="1" xfId="33" applyNumberFormat="1" applyFont="1" applyBorder="1"/>
    <xf numFmtId="177" fontId="0" fillId="0" borderId="98" xfId="33" applyNumberFormat="1" applyFont="1" applyBorder="1"/>
    <xf numFmtId="0" fontId="80" fillId="0" borderId="1" xfId="33" applyFont="1" applyFill="1" applyBorder="1" applyAlignment="1">
      <alignment horizontal="center" vertical="center"/>
    </xf>
    <xf numFmtId="0" fontId="80" fillId="0" borderId="1" xfId="33" applyFont="1" applyFill="1" applyBorder="1" applyAlignment="1">
      <alignment horizontal="center" vertical="center" wrapText="1"/>
    </xf>
    <xf numFmtId="181" fontId="84" fillId="0" borderId="1" xfId="33" applyNumberFormat="1" applyFont="1" applyFill="1" applyBorder="1" applyAlignment="1">
      <alignment horizontal="center" vertical="center"/>
    </xf>
    <xf numFmtId="182" fontId="80" fillId="0" borderId="1" xfId="33" applyNumberFormat="1" applyFont="1" applyFill="1" applyBorder="1" applyAlignment="1">
      <alignment horizontal="center" vertical="center"/>
    </xf>
    <xf numFmtId="0" fontId="84" fillId="0" borderId="1" xfId="33" applyFont="1" applyFill="1" applyBorder="1" applyAlignment="1">
      <alignment horizontal="center" vertical="center"/>
    </xf>
    <xf numFmtId="177" fontId="80" fillId="0" borderId="1" xfId="33" applyNumberFormat="1" applyFont="1" applyFill="1" applyBorder="1" applyAlignment="1">
      <alignment horizontal="center" vertical="center"/>
    </xf>
    <xf numFmtId="0" fontId="84" fillId="0" borderId="98" xfId="33" applyFont="1" applyFill="1" applyBorder="1" applyAlignment="1">
      <alignment horizontal="center" vertical="center"/>
    </xf>
    <xf numFmtId="0" fontId="84" fillId="0" borderId="100" xfId="33" applyFont="1" applyFill="1" applyBorder="1" applyAlignment="1">
      <alignment horizontal="center" vertical="center"/>
    </xf>
    <xf numFmtId="182" fontId="84" fillId="0" borderId="100" xfId="33" applyNumberFormat="1" applyFont="1" applyFill="1" applyBorder="1" applyAlignment="1">
      <alignment horizontal="center" vertical="center"/>
    </xf>
    <xf numFmtId="0" fontId="84" fillId="0" borderId="101" xfId="33" applyFont="1" applyFill="1" applyBorder="1" applyAlignment="1">
      <alignment horizontal="center" vertical="center"/>
    </xf>
    <xf numFmtId="0" fontId="75" fillId="0" borderId="0" xfId="33" applyFont="1" applyFill="1" applyAlignment="1">
      <alignment horizontal="center" vertical="center"/>
    </xf>
    <xf numFmtId="182" fontId="75" fillId="0" borderId="0" xfId="33" applyNumberFormat="1" applyFont="1" applyFill="1"/>
    <xf numFmtId="0" fontId="84" fillId="0" borderId="0" xfId="33" applyFont="1" applyFill="1" applyBorder="1"/>
    <xf numFmtId="0" fontId="84" fillId="0" borderId="0" xfId="33" applyFont="1" applyFill="1" applyAlignment="1">
      <alignment horizontal="center" vertical="center"/>
    </xf>
    <xf numFmtId="0" fontId="75" fillId="0" borderId="0" xfId="33" applyFont="1" applyFill="1" applyAlignment="1">
      <alignment vertical="center"/>
    </xf>
    <xf numFmtId="0" fontId="75" fillId="0" borderId="0" xfId="33" applyFont="1" applyFill="1" applyAlignment="1">
      <alignment horizontal="right" vertical="center"/>
    </xf>
    <xf numFmtId="0" fontId="0" fillId="0" borderId="0" xfId="33" applyFont="1" applyFill="1" applyBorder="1"/>
    <xf numFmtId="182" fontId="0" fillId="0" borderId="0" xfId="33" applyNumberFormat="1" applyFont="1" applyFill="1" applyBorder="1"/>
    <xf numFmtId="0" fontId="0" fillId="10" borderId="99" xfId="33" applyFont="1" applyFill="1" applyBorder="1" applyAlignment="1">
      <alignment horizontal="center" vertical="center"/>
    </xf>
    <xf numFmtId="0" fontId="91" fillId="8" borderId="100" xfId="34" applyFont="1" applyFill="1" applyBorder="1" applyAlignment="1">
      <alignment vertical="center" wrapText="1"/>
    </xf>
    <xf numFmtId="0" fontId="91" fillId="8" borderId="100" xfId="34" applyFont="1" applyFill="1" applyBorder="1" applyAlignment="1">
      <alignment horizontal="center" vertical="center" wrapText="1"/>
    </xf>
    <xf numFmtId="0" fontId="91" fillId="0" borderId="100" xfId="34" applyFont="1" applyFill="1" applyBorder="1" applyAlignment="1">
      <alignment horizontal="center" vertical="center" wrapText="1"/>
    </xf>
    <xf numFmtId="0" fontId="0" fillId="0" borderId="100" xfId="33" applyFont="1" applyBorder="1"/>
    <xf numFmtId="177" fontId="0" fillId="0" borderId="100" xfId="33" applyNumberFormat="1" applyFont="1" applyBorder="1"/>
    <xf numFmtId="177" fontId="0" fillId="0" borderId="101" xfId="33" applyNumberFormat="1" applyFont="1" applyBorder="1"/>
    <xf numFmtId="182" fontId="0" fillId="0" borderId="0" xfId="33" applyNumberFormat="1" applyFont="1" applyBorder="1"/>
    <xf numFmtId="0" fontId="0" fillId="10" borderId="96" xfId="33" applyFont="1" applyFill="1" applyBorder="1" applyAlignment="1">
      <alignment horizontal="center" vertical="center"/>
    </xf>
    <xf numFmtId="0" fontId="91" fillId="8" borderId="93" xfId="33" applyFont="1" applyFill="1" applyBorder="1" applyAlignment="1">
      <alignment vertical="center" wrapText="1"/>
    </xf>
    <xf numFmtId="0" fontId="91" fillId="8" borderId="93" xfId="33" applyFont="1" applyFill="1" applyBorder="1" applyAlignment="1">
      <alignment horizontal="center" vertical="center" wrapText="1"/>
    </xf>
    <xf numFmtId="0" fontId="91" fillId="8" borderId="93" xfId="33" applyFont="1" applyFill="1" applyBorder="1" applyAlignment="1">
      <alignment horizontal="center" vertical="center"/>
    </xf>
    <xf numFmtId="177" fontId="0" fillId="0" borderId="93" xfId="33" applyNumberFormat="1" applyFont="1" applyBorder="1"/>
    <xf numFmtId="177" fontId="0" fillId="0" borderId="94" xfId="33" applyNumberFormat="1" applyFont="1" applyBorder="1"/>
    <xf numFmtId="0" fontId="91" fillId="8" borderId="1" xfId="33" applyFont="1" applyFill="1" applyBorder="1" applyAlignment="1">
      <alignment vertical="center" wrapText="1"/>
    </xf>
    <xf numFmtId="0" fontId="91" fillId="8" borderId="1" xfId="33" applyFont="1" applyFill="1" applyBorder="1" applyAlignment="1">
      <alignment horizontal="center" vertical="center" wrapText="1"/>
    </xf>
    <xf numFmtId="0" fontId="91" fillId="8" borderId="1" xfId="33" applyFont="1" applyFill="1" applyBorder="1" applyAlignment="1">
      <alignment horizontal="center" vertical="center"/>
    </xf>
    <xf numFmtId="0" fontId="91" fillId="8" borderId="100" xfId="33" applyFont="1" applyFill="1" applyBorder="1" applyAlignment="1">
      <alignment vertical="center" wrapText="1"/>
    </xf>
    <xf numFmtId="0" fontId="91" fillId="8" borderId="100" xfId="33" applyFont="1" applyFill="1" applyBorder="1" applyAlignment="1">
      <alignment horizontal="center" vertical="center" wrapText="1"/>
    </xf>
    <xf numFmtId="0" fontId="91" fillId="8" borderId="100" xfId="33" applyFont="1" applyFill="1" applyBorder="1" applyAlignment="1">
      <alignment horizontal="center" vertical="center"/>
    </xf>
    <xf numFmtId="0" fontId="95" fillId="0" borderId="0" xfId="35" applyFont="1"/>
    <xf numFmtId="0" fontId="95" fillId="0" borderId="0" xfId="35" applyFont="1" applyAlignment="1">
      <alignment horizontal="right"/>
    </xf>
    <xf numFmtId="0" fontId="95" fillId="0" borderId="1" xfId="34" applyFont="1" applyBorder="1" applyAlignment="1">
      <alignment horizontal="center" vertical="center"/>
    </xf>
    <xf numFmtId="0" fontId="95" fillId="0" borderId="1" xfId="35" applyFont="1" applyBorder="1" applyAlignment="1">
      <alignment horizontal="center" vertical="center"/>
    </xf>
    <xf numFmtId="0" fontId="96" fillId="0" borderId="1" xfId="35" applyFont="1" applyBorder="1" applyAlignment="1">
      <alignment horizontal="center" vertical="center"/>
    </xf>
    <xf numFmtId="0" fontId="95" fillId="0" borderId="0" xfId="35" applyFont="1" applyBorder="1" applyAlignment="1">
      <alignment horizontal="center" vertical="center"/>
    </xf>
    <xf numFmtId="0" fontId="95" fillId="0" borderId="0" xfId="35" applyFont="1" applyAlignment="1"/>
    <xf numFmtId="0" fontId="96" fillId="0" borderId="0" xfId="35" applyFont="1" applyAlignment="1"/>
    <xf numFmtId="0" fontId="34" fillId="0" borderId="0" xfId="35" applyFont="1" applyAlignment="1"/>
    <xf numFmtId="0" fontId="7" fillId="0" borderId="1" xfId="26" applyFont="1" applyFill="1" applyBorder="1" applyAlignment="1">
      <alignment horizontal="center" vertical="center"/>
    </xf>
    <xf numFmtId="0" fontId="0" fillId="0" borderId="0" xfId="36" applyFont="1" applyBorder="1"/>
    <xf numFmtId="0" fontId="0" fillId="0" borderId="0" xfId="36" applyFont="1"/>
    <xf numFmtId="0" fontId="0" fillId="0" borderId="4" xfId="36" applyFont="1" applyBorder="1"/>
    <xf numFmtId="0" fontId="2" fillId="0" borderId="0" xfId="36" applyFont="1" applyBorder="1" applyAlignment="1">
      <alignment horizontal="center"/>
    </xf>
    <xf numFmtId="0" fontId="52" fillId="0" borderId="4" xfId="36" applyFont="1" applyBorder="1" applyAlignment="1">
      <alignment horizontal="center"/>
    </xf>
    <xf numFmtId="179" fontId="2" fillId="0" borderId="20" xfId="36" applyNumberFormat="1" applyFont="1" applyBorder="1" applyAlignment="1">
      <alignment horizontal="center"/>
    </xf>
    <xf numFmtId="0" fontId="2" fillId="0" borderId="4" xfId="36" applyFont="1" applyBorder="1" applyAlignment="1">
      <alignment horizontal="center"/>
    </xf>
    <xf numFmtId="179" fontId="8" fillId="0" borderId="0" xfId="36" applyNumberFormat="1" applyFont="1" applyBorder="1" applyAlignment="1">
      <alignment horizontal="center"/>
    </xf>
    <xf numFmtId="179" fontId="0" fillId="0" borderId="0" xfId="36" applyNumberFormat="1" applyFont="1" applyBorder="1" applyAlignment="1">
      <alignment horizontal="center"/>
    </xf>
    <xf numFmtId="0" fontId="2" fillId="0" borderId="32" xfId="36" applyFont="1" applyBorder="1" applyAlignment="1">
      <alignment horizontal="center" vertical="center"/>
    </xf>
    <xf numFmtId="0" fontId="2" fillId="0" borderId="5" xfId="36" applyFont="1" applyBorder="1" applyAlignment="1">
      <alignment horizontal="center" vertical="center"/>
    </xf>
    <xf numFmtId="0" fontId="2" fillId="0" borderId="6" xfId="36" applyFont="1" applyBorder="1" applyAlignment="1">
      <alignment horizontal="center" vertical="center"/>
    </xf>
    <xf numFmtId="0" fontId="2" fillId="12" borderId="6" xfId="36" applyFont="1" applyFill="1" applyBorder="1" applyAlignment="1">
      <alignment horizontal="center" vertical="center"/>
    </xf>
    <xf numFmtId="0" fontId="7" fillId="0" borderId="0" xfId="36" applyFont="1" applyFill="1" applyBorder="1" applyAlignment="1">
      <alignment horizontal="center"/>
    </xf>
    <xf numFmtId="0" fontId="3" fillId="0" borderId="0" xfId="36" applyFont="1" applyFill="1" applyBorder="1" applyAlignment="1">
      <alignment horizontal="center"/>
    </xf>
    <xf numFmtId="0" fontId="2" fillId="0" borderId="0" xfId="36" applyFont="1"/>
    <xf numFmtId="0" fontId="4" fillId="0" borderId="5" xfId="36" applyNumberFormat="1" applyFont="1" applyBorder="1" applyAlignment="1">
      <alignment horizontal="center"/>
    </xf>
    <xf numFmtId="0" fontId="2" fillId="0" borderId="6" xfId="36" applyFont="1" applyBorder="1" applyAlignment="1">
      <alignment horizontal="center"/>
    </xf>
    <xf numFmtId="0" fontId="2" fillId="12" borderId="6" xfId="36" applyFont="1" applyFill="1" applyBorder="1" applyAlignment="1">
      <alignment horizontal="center"/>
    </xf>
    <xf numFmtId="0" fontId="2" fillId="0" borderId="5" xfId="36" applyNumberFormat="1" applyFont="1" applyBorder="1" applyAlignment="1">
      <alignment horizontal="center"/>
    </xf>
    <xf numFmtId="0" fontId="2" fillId="0" borderId="37" xfId="36" applyNumberFormat="1" applyFont="1" applyBorder="1" applyAlignment="1">
      <alignment horizontal="center"/>
    </xf>
    <xf numFmtId="0" fontId="4" fillId="0" borderId="34" xfId="36" applyFont="1" applyBorder="1" applyAlignment="1">
      <alignment horizontal="center"/>
    </xf>
    <xf numFmtId="0" fontId="2" fillId="0" borderId="34" xfId="36" applyFont="1" applyBorder="1" applyAlignment="1">
      <alignment horizontal="center"/>
    </xf>
    <xf numFmtId="0" fontId="2" fillId="0" borderId="30" xfId="36" applyNumberFormat="1" applyFont="1" applyBorder="1" applyAlignment="1">
      <alignment horizontal="center"/>
    </xf>
    <xf numFmtId="0" fontId="2" fillId="0" borderId="13" xfId="36" applyFont="1" applyBorder="1" applyAlignment="1">
      <alignment horizontal="center" vertical="center"/>
    </xf>
    <xf numFmtId="0" fontId="2" fillId="0" borderId="13" xfId="36" applyFont="1" applyBorder="1" applyAlignment="1">
      <alignment horizontal="center"/>
    </xf>
    <xf numFmtId="0" fontId="2" fillId="12" borderId="13" xfId="36" applyFont="1" applyFill="1" applyBorder="1" applyAlignment="1">
      <alignment horizontal="center"/>
    </xf>
    <xf numFmtId="0" fontId="0" fillId="14" borderId="0" xfId="36" applyFont="1" applyFill="1" applyAlignment="1">
      <alignment vertical="center"/>
    </xf>
    <xf numFmtId="0" fontId="2" fillId="0" borderId="0" xfId="36" applyFont="1" applyAlignment="1">
      <alignment vertical="center"/>
    </xf>
    <xf numFmtId="0" fontId="0" fillId="0" borderId="0" xfId="36" applyFont="1" applyAlignment="1">
      <alignment vertical="center"/>
    </xf>
    <xf numFmtId="0" fontId="2" fillId="0" borderId="0" xfId="36" applyNumberFormat="1" applyFont="1" applyBorder="1" applyAlignment="1">
      <alignment vertical="center"/>
    </xf>
    <xf numFmtId="0" fontId="7" fillId="0" borderId="0" xfId="36" applyFont="1" applyBorder="1" applyAlignment="1">
      <alignment horizontal="center" vertical="center"/>
    </xf>
    <xf numFmtId="0" fontId="6" fillId="0" borderId="0" xfId="36" applyFont="1" applyBorder="1" applyAlignment="1">
      <alignment vertical="center"/>
    </xf>
    <xf numFmtId="0" fontId="6" fillId="14" borderId="0" xfId="36" applyFont="1" applyFill="1" applyAlignment="1">
      <alignment vertical="center"/>
    </xf>
    <xf numFmtId="0" fontId="6" fillId="0" borderId="0" xfId="36" applyFont="1" applyAlignment="1">
      <alignment vertical="center"/>
    </xf>
    <xf numFmtId="58" fontId="60" fillId="0" borderId="0" xfId="36" applyNumberFormat="1" applyFont="1" applyBorder="1"/>
    <xf numFmtId="0" fontId="61" fillId="0" borderId="0" xfId="36" applyFont="1"/>
    <xf numFmtId="0" fontId="6" fillId="0" borderId="0" xfId="36" applyFont="1"/>
    <xf numFmtId="0" fontId="6" fillId="0" borderId="0" xfId="36" applyFont="1" applyBorder="1" applyAlignment="1">
      <alignment horizontal="center"/>
    </xf>
    <xf numFmtId="0" fontId="60" fillId="0" borderId="0" xfId="36" applyFont="1" applyBorder="1" applyAlignment="1">
      <alignment horizontal="center"/>
    </xf>
    <xf numFmtId="0" fontId="6" fillId="0" borderId="0" xfId="36" applyFont="1" applyBorder="1"/>
    <xf numFmtId="0" fontId="47" fillId="0" borderId="0" xfId="36" applyFont="1"/>
    <xf numFmtId="0" fontId="2" fillId="0" borderId="0" xfId="36" applyNumberFormat="1" applyFont="1" applyBorder="1"/>
    <xf numFmtId="0" fontId="2" fillId="0" borderId="0" xfId="36" applyFont="1" applyBorder="1"/>
    <xf numFmtId="0" fontId="6" fillId="0" borderId="0" xfId="33" applyFont="1" applyAlignment="1">
      <alignment vertical="center"/>
    </xf>
    <xf numFmtId="0" fontId="98" fillId="0" borderId="0" xfId="37" applyFont="1" applyProtection="1">
      <alignment vertical="center"/>
      <protection locked="0"/>
    </xf>
    <xf numFmtId="0" fontId="38" fillId="0" borderId="0" xfId="37" applyFont="1" applyProtection="1">
      <alignment vertical="center"/>
      <protection locked="0"/>
    </xf>
    <xf numFmtId="0" fontId="0" fillId="0" borderId="0" xfId="33" applyFont="1" applyBorder="1" applyAlignment="1">
      <alignment horizontal="center" vertical="center"/>
    </xf>
    <xf numFmtId="0" fontId="0" fillId="0" borderId="0" xfId="33" applyFont="1" applyBorder="1" applyAlignment="1">
      <alignment horizontal="center"/>
    </xf>
    <xf numFmtId="0" fontId="0" fillId="0" borderId="0" xfId="33" applyFont="1" applyAlignment="1">
      <alignment vertical="center"/>
    </xf>
    <xf numFmtId="0" fontId="0" fillId="0" borderId="0" xfId="33" applyFont="1" applyAlignment="1">
      <alignment horizontal="center" vertical="center"/>
    </xf>
    <xf numFmtId="0" fontId="2" fillId="0" borderId="0" xfId="33" applyFont="1" applyAlignment="1">
      <alignment vertical="center"/>
    </xf>
    <xf numFmtId="0" fontId="2" fillId="0" borderId="0" xfId="33" applyFont="1" applyBorder="1"/>
    <xf numFmtId="0" fontId="0" fillId="15" borderId="0" xfId="33" applyFont="1" applyFill="1" applyAlignment="1">
      <alignment vertical="center"/>
    </xf>
    <xf numFmtId="0" fontId="0" fillId="15" borderId="0" xfId="33" applyFont="1" applyFill="1" applyAlignment="1">
      <alignment horizontal="center" vertical="center"/>
    </xf>
    <xf numFmtId="0" fontId="2" fillId="9" borderId="0" xfId="33" applyFont="1" applyFill="1" applyAlignment="1">
      <alignment horizontal="center" vertical="center"/>
    </xf>
    <xf numFmtId="0" fontId="99" fillId="15" borderId="0" xfId="33" applyFont="1" applyFill="1" applyAlignment="1">
      <alignment vertical="center"/>
    </xf>
    <xf numFmtId="0" fontId="99" fillId="15" borderId="0" xfId="33" applyFont="1" applyFill="1" applyAlignment="1">
      <alignment horizontal="center" vertical="center"/>
    </xf>
    <xf numFmtId="0" fontId="2" fillId="15" borderId="0" xfId="33" applyFont="1" applyFill="1" applyAlignment="1">
      <alignment vertical="center"/>
    </xf>
    <xf numFmtId="0" fontId="2" fillId="16" borderId="0" xfId="33" applyFont="1" applyFill="1" applyAlignment="1">
      <alignment vertical="center"/>
    </xf>
    <xf numFmtId="0" fontId="2" fillId="17" borderId="0" xfId="33" applyFont="1" applyFill="1" applyAlignment="1">
      <alignment vertical="center"/>
    </xf>
    <xf numFmtId="0" fontId="7" fillId="0" borderId="0" xfId="33" applyFont="1" applyBorder="1" applyAlignment="1">
      <alignment vertical="center"/>
    </xf>
    <xf numFmtId="0" fontId="7" fillId="0" borderId="0" xfId="33" applyFont="1" applyBorder="1" applyAlignment="1">
      <alignment horizontal="center" vertical="center"/>
    </xf>
    <xf numFmtId="0" fontId="0" fillId="15" borderId="0" xfId="33" applyFont="1" applyFill="1" applyAlignment="1">
      <alignment horizontal="left" vertical="center"/>
    </xf>
    <xf numFmtId="0" fontId="2" fillId="9" borderId="1" xfId="33" applyFont="1" applyFill="1" applyBorder="1" applyAlignment="1">
      <alignment horizontal="left" vertical="center"/>
    </xf>
    <xf numFmtId="0" fontId="2" fillId="9" borderId="0" xfId="33" applyFont="1" applyFill="1" applyAlignment="1">
      <alignment horizontal="left" vertical="center"/>
    </xf>
    <xf numFmtId="0" fontId="2" fillId="0" borderId="96" xfId="33" applyFont="1" applyFill="1" applyBorder="1" applyAlignment="1">
      <alignment horizontal="center" vertical="center"/>
    </xf>
    <xf numFmtId="0" fontId="2" fillId="0" borderId="93" xfId="33" applyFont="1" applyFill="1" applyBorder="1" applyAlignment="1">
      <alignment horizontal="center" vertical="center"/>
    </xf>
    <xf numFmtId="182" fontId="2" fillId="0" borderId="104" xfId="33" applyNumberFormat="1" applyFont="1" applyFill="1" applyBorder="1" applyAlignment="1">
      <alignment horizontal="center" vertical="center"/>
    </xf>
    <xf numFmtId="182" fontId="2" fillId="0" borderId="93" xfId="33" applyNumberFormat="1" applyFont="1" applyFill="1" applyBorder="1" applyAlignment="1">
      <alignment horizontal="center" vertical="center"/>
    </xf>
    <xf numFmtId="0" fontId="2" fillId="0" borderId="94" xfId="33" applyFont="1" applyFill="1" applyBorder="1" applyAlignment="1">
      <alignment horizontal="center" vertical="center"/>
    </xf>
    <xf numFmtId="0" fontId="7" fillId="8" borderId="1" xfId="33" applyFont="1" applyFill="1" applyBorder="1" applyAlignment="1">
      <alignment horizontal="center" vertical="center"/>
    </xf>
    <xf numFmtId="182" fontId="7" fillId="8" borderId="3" xfId="33" applyNumberFormat="1" applyFont="1" applyFill="1" applyBorder="1" applyAlignment="1">
      <alignment horizontal="center" vertical="center"/>
    </xf>
    <xf numFmtId="178" fontId="7" fillId="8" borderId="3" xfId="33" applyNumberFormat="1" applyFont="1" applyFill="1" applyBorder="1" applyAlignment="1">
      <alignment horizontal="center" vertical="center"/>
    </xf>
    <xf numFmtId="0" fontId="7" fillId="8" borderId="20" xfId="33" applyFont="1" applyFill="1" applyBorder="1" applyAlignment="1">
      <alignment horizontal="center" vertical="center"/>
    </xf>
    <xf numFmtId="0" fontId="7" fillId="8" borderId="19" xfId="33" applyFont="1" applyFill="1" applyBorder="1" applyAlignment="1">
      <alignment horizontal="center" vertical="center"/>
    </xf>
    <xf numFmtId="182" fontId="7" fillId="8" borderId="1" xfId="33" applyNumberFormat="1" applyFont="1" applyFill="1" applyBorder="1" applyAlignment="1">
      <alignment horizontal="center"/>
    </xf>
    <xf numFmtId="0" fontId="7" fillId="8" borderId="98" xfId="33" applyFont="1" applyFill="1" applyBorder="1" applyAlignment="1">
      <alignment horizontal="center" vertical="center"/>
    </xf>
    <xf numFmtId="182" fontId="7" fillId="8" borderId="1" xfId="33" applyNumberFormat="1" applyFont="1" applyFill="1" applyBorder="1" applyAlignment="1">
      <alignment horizontal="center" vertical="center"/>
    </xf>
    <xf numFmtId="182" fontId="7" fillId="0" borderId="3" xfId="33" applyNumberFormat="1" applyFont="1" applyFill="1" applyBorder="1" applyAlignment="1">
      <alignment horizontal="center" vertical="center"/>
    </xf>
    <xf numFmtId="0" fontId="7" fillId="0" borderId="1" xfId="33" applyFont="1" applyFill="1" applyBorder="1" applyAlignment="1">
      <alignment horizontal="center" vertical="center"/>
    </xf>
    <xf numFmtId="0" fontId="7" fillId="8" borderId="19" xfId="33" applyFont="1" applyFill="1" applyBorder="1" applyAlignment="1">
      <alignment horizontal="center" vertical="center" wrapText="1"/>
    </xf>
    <xf numFmtId="0" fontId="7" fillId="8" borderId="3" xfId="33" applyFont="1" applyFill="1" applyBorder="1" applyAlignment="1">
      <alignment horizontal="center" vertical="center"/>
    </xf>
    <xf numFmtId="0" fontId="100" fillId="18" borderId="1" xfId="33" applyFont="1" applyFill="1" applyBorder="1" applyAlignment="1">
      <alignment vertical="center" wrapText="1"/>
    </xf>
    <xf numFmtId="0" fontId="100" fillId="18" borderId="1" xfId="33" applyFont="1" applyFill="1" applyBorder="1" applyAlignment="1">
      <alignment horizontal="center" vertical="center"/>
    </xf>
    <xf numFmtId="0" fontId="100" fillId="18" borderId="1" xfId="33" applyFont="1" applyFill="1" applyBorder="1"/>
    <xf numFmtId="0" fontId="2" fillId="18" borderId="2" xfId="33" applyFont="1" applyFill="1" applyBorder="1" applyAlignment="1">
      <alignment horizontal="center" vertical="center" wrapText="1"/>
    </xf>
    <xf numFmtId="0" fontId="2" fillId="18" borderId="1" xfId="33" applyFont="1" applyFill="1" applyBorder="1" applyAlignment="1">
      <alignment horizontal="center" vertical="center"/>
    </xf>
    <xf numFmtId="0" fontId="0" fillId="18" borderId="1" xfId="33" applyFont="1" applyFill="1" applyBorder="1" applyAlignment="1">
      <alignment horizontal="center" vertical="center"/>
    </xf>
    <xf numFmtId="0" fontId="0" fillId="18" borderId="1" xfId="33" applyFont="1" applyFill="1" applyBorder="1"/>
    <xf numFmtId="0" fontId="100" fillId="18" borderId="2" xfId="33" applyFont="1" applyFill="1" applyBorder="1" applyAlignment="1">
      <alignment horizontal="center" vertical="center" wrapText="1"/>
    </xf>
    <xf numFmtId="0" fontId="7" fillId="8" borderId="107" xfId="33" applyFont="1" applyFill="1" applyBorder="1" applyAlignment="1">
      <alignment horizontal="center" vertical="center"/>
    </xf>
    <xf numFmtId="0" fontId="7" fillId="8" borderId="3" xfId="33" applyFont="1" applyFill="1" applyBorder="1" applyAlignment="1">
      <alignment horizontal="center" vertical="center" wrapText="1"/>
    </xf>
    <xf numFmtId="0" fontId="100" fillId="18" borderId="16" xfId="33" applyFont="1" applyFill="1" applyBorder="1" applyAlignment="1">
      <alignment horizontal="center" vertical="center" wrapText="1"/>
    </xf>
    <xf numFmtId="0" fontId="100" fillId="15" borderId="1" xfId="33" applyFont="1" applyFill="1" applyBorder="1" applyAlignment="1">
      <alignment horizontal="center" vertical="center"/>
    </xf>
    <xf numFmtId="0" fontId="100" fillId="15" borderId="1" xfId="33" applyFont="1" applyFill="1" applyBorder="1"/>
    <xf numFmtId="182" fontId="7" fillId="8" borderId="100" xfId="33" applyNumberFormat="1" applyFont="1" applyFill="1" applyBorder="1" applyAlignment="1">
      <alignment horizontal="center" vertical="center"/>
    </xf>
    <xf numFmtId="0" fontId="7" fillId="8" borderId="100" xfId="33" applyFont="1" applyFill="1" applyBorder="1" applyAlignment="1">
      <alignment horizontal="center" vertical="center"/>
    </xf>
    <xf numFmtId="0" fontId="7" fillId="8" borderId="101" xfId="33" applyFont="1" applyFill="1" applyBorder="1" applyAlignment="1">
      <alignment horizontal="center" vertical="center"/>
    </xf>
    <xf numFmtId="0" fontId="9" fillId="0" borderId="0" xfId="33" applyFont="1" applyFill="1"/>
    <xf numFmtId="182" fontId="9" fillId="0" borderId="0" xfId="33" applyNumberFormat="1" applyFont="1" applyFill="1"/>
    <xf numFmtId="0" fontId="9" fillId="0" borderId="0" xfId="33" applyFont="1" applyFill="1" applyBorder="1"/>
    <xf numFmtId="182" fontId="9" fillId="0" borderId="0" xfId="33" applyNumberFormat="1" applyFont="1" applyFill="1" applyBorder="1"/>
    <xf numFmtId="0" fontId="2" fillId="0" borderId="0" xfId="33" applyFont="1" applyFill="1"/>
    <xf numFmtId="0" fontId="2" fillId="0" borderId="0" xfId="33" applyFont="1" applyFill="1" applyAlignment="1">
      <alignment horizontal="right" vertical="center"/>
    </xf>
    <xf numFmtId="0" fontId="2" fillId="0" borderId="0" xfId="33" applyFont="1" applyFill="1" applyAlignment="1">
      <alignment horizontal="center" vertical="center"/>
    </xf>
    <xf numFmtId="182" fontId="9" fillId="0" borderId="0" xfId="33" applyNumberFormat="1" applyFont="1" applyFill="1" applyBorder="1" applyAlignment="1">
      <alignment horizontal="center"/>
    </xf>
    <xf numFmtId="0" fontId="2" fillId="0" borderId="1" xfId="33" applyFont="1" applyBorder="1"/>
    <xf numFmtId="0" fontId="2" fillId="0" borderId="1" xfId="33" applyFont="1" applyBorder="1" applyAlignment="1">
      <alignment horizontal="center" vertical="center"/>
    </xf>
    <xf numFmtId="0" fontId="2" fillId="15" borderId="1" xfId="33" applyFont="1" applyFill="1" applyBorder="1" applyAlignment="1">
      <alignment horizontal="center" vertical="center"/>
    </xf>
    <xf numFmtId="0" fontId="2" fillId="15" borderId="1" xfId="33" applyFont="1" applyFill="1" applyBorder="1"/>
    <xf numFmtId="0" fontId="9" fillId="0" borderId="0" xfId="33" applyFont="1" applyFill="1" applyAlignment="1">
      <alignment horizontal="center" vertical="center"/>
    </xf>
    <xf numFmtId="182" fontId="2" fillId="0" borderId="0" xfId="33" applyNumberFormat="1" applyFont="1" applyFill="1" applyAlignment="1">
      <alignment horizontal="center" vertical="center"/>
    </xf>
    <xf numFmtId="0" fontId="2" fillId="0" borderId="0" xfId="33" applyFont="1" applyFill="1" applyAlignment="1">
      <alignment vertical="center"/>
    </xf>
    <xf numFmtId="0" fontId="2" fillId="0" borderId="0" xfId="33" applyFont="1" applyFill="1" applyBorder="1" applyAlignment="1">
      <alignment horizontal="center" vertical="center"/>
    </xf>
    <xf numFmtId="0" fontId="34" fillId="0" borderId="0" xfId="32" applyFont="1" applyAlignment="1">
      <alignment horizontal="center" vertical="center"/>
    </xf>
    <xf numFmtId="0" fontId="34" fillId="0" borderId="0" xfId="32" applyFont="1" applyAlignment="1">
      <alignment horizontal="center"/>
    </xf>
    <xf numFmtId="0" fontId="75" fillId="0" borderId="0" xfId="33" applyFont="1" applyBorder="1" applyAlignment="1">
      <alignment horizontal="center"/>
    </xf>
    <xf numFmtId="0" fontId="0" fillId="0" borderId="4" xfId="33" applyFont="1" applyBorder="1" applyAlignment="1">
      <alignment horizontal="center"/>
    </xf>
    <xf numFmtId="0" fontId="75" fillId="0" borderId="4" xfId="33" applyFont="1" applyBorder="1" applyAlignment="1">
      <alignment horizontal="center"/>
    </xf>
    <xf numFmtId="0" fontId="75" fillId="0" borderId="0" xfId="33" applyFont="1" applyAlignment="1">
      <alignment horizontal="center"/>
    </xf>
    <xf numFmtId="0" fontId="75" fillId="0" borderId="20" xfId="33" applyFont="1" applyBorder="1" applyAlignment="1">
      <alignment horizontal="center"/>
    </xf>
    <xf numFmtId="0" fontId="86" fillId="0" borderId="0" xfId="33" applyFont="1" applyBorder="1" applyAlignment="1">
      <alignment horizontal="center"/>
    </xf>
    <xf numFmtId="0" fontId="0" fillId="0" borderId="0" xfId="38" applyFont="1" applyBorder="1"/>
    <xf numFmtId="0" fontId="0" fillId="0" borderId="0" xfId="38" applyFont="1"/>
    <xf numFmtId="0" fontId="0" fillId="0" borderId="4" xfId="38" applyFont="1" applyBorder="1"/>
    <xf numFmtId="0" fontId="4" fillId="0" borderId="0" xfId="38" applyFont="1"/>
    <xf numFmtId="0" fontId="75" fillId="0" borderId="0" xfId="38" applyFont="1" applyBorder="1" applyAlignment="1">
      <alignment horizontal="center"/>
    </xf>
    <xf numFmtId="0" fontId="75" fillId="0" borderId="0" xfId="38" applyFont="1"/>
    <xf numFmtId="0" fontId="75" fillId="0" borderId="4" xfId="38" applyFont="1" applyBorder="1" applyAlignment="1">
      <alignment horizontal="center"/>
    </xf>
    <xf numFmtId="179" fontId="75" fillId="0" borderId="20" xfId="38" applyNumberFormat="1" applyFont="1" applyBorder="1" applyAlignment="1">
      <alignment horizontal="center"/>
    </xf>
    <xf numFmtId="0" fontId="75" fillId="0" borderId="0" xfId="38" applyFont="1" applyBorder="1" applyAlignment="1">
      <alignment horizontal="left"/>
    </xf>
    <xf numFmtId="0" fontId="75" fillId="0" borderId="0" xfId="38" applyFont="1" applyAlignment="1">
      <alignment horizontal="center"/>
    </xf>
    <xf numFmtId="0" fontId="75" fillId="0" borderId="0" xfId="38" applyFont="1" applyBorder="1" applyAlignment="1"/>
    <xf numFmtId="0" fontId="75" fillId="0" borderId="20" xfId="38" applyFont="1" applyBorder="1" applyAlignment="1">
      <alignment horizontal="center"/>
    </xf>
    <xf numFmtId="0" fontId="75" fillId="0" borderId="1" xfId="38" applyFont="1" applyBorder="1" applyAlignment="1">
      <alignment horizontal="center"/>
    </xf>
    <xf numFmtId="0" fontId="0" fillId="0" borderId="1" xfId="38" applyFont="1" applyBorder="1" applyAlignment="1">
      <alignment horizontal="center"/>
    </xf>
    <xf numFmtId="0" fontId="60" fillId="0" borderId="1" xfId="38" applyNumberFormat="1" applyFont="1" applyBorder="1" applyAlignment="1">
      <alignment horizontal="center"/>
    </xf>
    <xf numFmtId="0" fontId="60" fillId="0" borderId="1" xfId="38" applyFont="1" applyBorder="1" applyAlignment="1">
      <alignment horizontal="center"/>
    </xf>
    <xf numFmtId="0" fontId="0" fillId="3" borderId="0" xfId="38" applyFont="1" applyFill="1" applyAlignment="1">
      <alignment horizontal="center"/>
    </xf>
    <xf numFmtId="0" fontId="86" fillId="0" borderId="1" xfId="38" applyFont="1" applyBorder="1" applyAlignment="1">
      <alignment horizontal="center"/>
    </xf>
    <xf numFmtId="0" fontId="86" fillId="0" borderId="1" xfId="38" applyNumberFormat="1" applyFont="1" applyBorder="1" applyAlignment="1">
      <alignment horizontal="center"/>
    </xf>
    <xf numFmtId="0" fontId="86" fillId="0" borderId="1" xfId="38" applyNumberFormat="1" applyFont="1" applyBorder="1"/>
    <xf numFmtId="0" fontId="60" fillId="0" borderId="1" xfId="38" applyNumberFormat="1" applyFont="1" applyBorder="1"/>
    <xf numFmtId="0" fontId="75" fillId="3" borderId="1" xfId="38" applyNumberFormat="1" applyFont="1" applyFill="1" applyBorder="1"/>
    <xf numFmtId="0" fontId="86" fillId="3" borderId="1" xfId="38" applyFont="1" applyFill="1" applyBorder="1" applyAlignment="1">
      <alignment horizontal="center"/>
    </xf>
    <xf numFmtId="0" fontId="75" fillId="3" borderId="1" xfId="38" applyFont="1" applyFill="1" applyBorder="1" applyAlignment="1">
      <alignment horizontal="center"/>
    </xf>
    <xf numFmtId="0" fontId="60" fillId="3" borderId="1" xfId="38" applyFont="1" applyFill="1" applyBorder="1" applyAlignment="1">
      <alignment horizontal="center"/>
    </xf>
    <xf numFmtId="0" fontId="0" fillId="3" borderId="1" xfId="38" applyFont="1" applyFill="1" applyBorder="1" applyAlignment="1">
      <alignment horizontal="center"/>
    </xf>
    <xf numFmtId="0" fontId="75" fillId="0" borderId="1" xfId="38" applyNumberFormat="1" applyFont="1" applyBorder="1"/>
    <xf numFmtId="0" fontId="4" fillId="0" borderId="1" xfId="38" applyFont="1" applyBorder="1" applyAlignment="1">
      <alignment horizontal="center"/>
    </xf>
    <xf numFmtId="0" fontId="80" fillId="2" borderId="1" xfId="38" applyNumberFormat="1" applyFont="1" applyFill="1" applyBorder="1"/>
    <xf numFmtId="0" fontId="75" fillId="2" borderId="1" xfId="38" applyFont="1" applyFill="1" applyBorder="1" applyAlignment="1">
      <alignment horizontal="center"/>
    </xf>
    <xf numFmtId="0" fontId="0" fillId="2" borderId="1" xfId="38" applyFont="1" applyFill="1" applyBorder="1" applyAlignment="1">
      <alignment horizontal="center"/>
    </xf>
    <xf numFmtId="0" fontId="4" fillId="2" borderId="1" xfId="38" applyFont="1" applyFill="1" applyBorder="1" applyAlignment="1">
      <alignment horizontal="center"/>
    </xf>
    <xf numFmtId="58" fontId="60" fillId="0" borderId="0" xfId="38" applyNumberFormat="1" applyFont="1" applyBorder="1"/>
    <xf numFmtId="0" fontId="87" fillId="0" borderId="0" xfId="38" applyFont="1"/>
    <xf numFmtId="0" fontId="86" fillId="0" borderId="0" xfId="38" applyFont="1"/>
    <xf numFmtId="0" fontId="86" fillId="0" borderId="0" xfId="38" applyFont="1" applyBorder="1" applyAlignment="1">
      <alignment horizontal="center"/>
    </xf>
    <xf numFmtId="0" fontId="60" fillId="0" borderId="0" xfId="38" applyFont="1" applyBorder="1" applyAlignment="1">
      <alignment horizontal="center"/>
    </xf>
    <xf numFmtId="0" fontId="86" fillId="0" borderId="0" xfId="38" applyFont="1" applyBorder="1"/>
    <xf numFmtId="0" fontId="75" fillId="0" borderId="0" xfId="38" applyNumberFormat="1" applyFont="1" applyBorder="1"/>
    <xf numFmtId="0" fontId="75" fillId="0" borderId="0" xfId="38" applyFont="1" applyBorder="1"/>
    <xf numFmtId="58" fontId="63" fillId="0" borderId="0" xfId="38" applyNumberFormat="1" applyFont="1" applyBorder="1"/>
    <xf numFmtId="0" fontId="88" fillId="0" borderId="0" xfId="38" applyFont="1" applyBorder="1" applyAlignment="1">
      <alignment horizontal="center"/>
    </xf>
    <xf numFmtId="0" fontId="63" fillId="0" borderId="0" xfId="38" applyFont="1" applyBorder="1" applyAlignment="1">
      <alignment horizontal="center"/>
    </xf>
    <xf numFmtId="0" fontId="88" fillId="0" borderId="0" xfId="38" applyFont="1" applyBorder="1"/>
    <xf numFmtId="0" fontId="88" fillId="0" borderId="0" xfId="38" applyFont="1"/>
    <xf numFmtId="0" fontId="105" fillId="0" borderId="0" xfId="38" applyFont="1"/>
    <xf numFmtId="0" fontId="4" fillId="0" borderId="0" xfId="33" applyFont="1"/>
    <xf numFmtId="0" fontId="75" fillId="0" borderId="0" xfId="33" applyFont="1"/>
    <xf numFmtId="179" fontId="80" fillId="0" borderId="20" xfId="33" applyNumberFormat="1" applyFont="1" applyBorder="1" applyAlignment="1">
      <alignment horizontal="center"/>
    </xf>
    <xf numFmtId="0" fontId="75" fillId="0" borderId="0" xfId="33" applyFont="1" applyBorder="1" applyAlignment="1">
      <alignment horizontal="left"/>
    </xf>
    <xf numFmtId="0" fontId="75" fillId="0" borderId="0" xfId="33" applyFont="1" applyBorder="1" applyAlignment="1"/>
    <xf numFmtId="0" fontId="75" fillId="0" borderId="4" xfId="33" applyFont="1" applyBorder="1" applyAlignment="1"/>
    <xf numFmtId="0" fontId="75" fillId="0" borderId="1" xfId="33" applyFont="1" applyBorder="1" applyAlignment="1">
      <alignment horizontal="center"/>
    </xf>
    <xf numFmtId="0" fontId="4" fillId="0" borderId="1" xfId="33" applyNumberFormat="1" applyFont="1" applyBorder="1"/>
    <xf numFmtId="0" fontId="4" fillId="0" borderId="1" xfId="33" applyFont="1" applyBorder="1" applyAlignment="1">
      <alignment horizontal="center"/>
    </xf>
    <xf numFmtId="0" fontId="4" fillId="0" borderId="2" xfId="33" applyFont="1" applyFill="1" applyBorder="1" applyAlignment="1">
      <alignment horizontal="center"/>
    </xf>
    <xf numFmtId="0" fontId="75" fillId="0" borderId="1" xfId="33" applyFont="1" applyBorder="1"/>
    <xf numFmtId="183" fontId="4" fillId="0" borderId="1" xfId="33" applyNumberFormat="1" applyFont="1" applyBorder="1"/>
    <xf numFmtId="0" fontId="75" fillId="0" borderId="1" xfId="33" applyNumberFormat="1" applyFont="1" applyBorder="1"/>
    <xf numFmtId="0" fontId="4" fillId="0" borderId="1" xfId="33" applyFont="1" applyBorder="1"/>
    <xf numFmtId="0" fontId="75" fillId="20" borderId="1" xfId="33" applyNumberFormat="1" applyFont="1" applyFill="1" applyBorder="1"/>
    <xf numFmtId="0" fontId="75" fillId="20" borderId="1" xfId="33" applyFont="1" applyFill="1" applyBorder="1" applyAlignment="1">
      <alignment horizontal="center"/>
    </xf>
    <xf numFmtId="0" fontId="4" fillId="20" borderId="1" xfId="33" applyFont="1" applyFill="1" applyBorder="1"/>
    <xf numFmtId="0" fontId="0" fillId="20" borderId="1" xfId="33" applyFont="1" applyFill="1" applyBorder="1" applyAlignment="1">
      <alignment horizontal="center"/>
    </xf>
    <xf numFmtId="0" fontId="106" fillId="2" borderId="1" xfId="33" applyNumberFormat="1" applyFont="1" applyFill="1" applyBorder="1"/>
    <xf numFmtId="0" fontId="75" fillId="2" borderId="1" xfId="33" applyFont="1" applyFill="1" applyBorder="1" applyAlignment="1">
      <alignment horizontal="center"/>
    </xf>
    <xf numFmtId="0" fontId="0" fillId="2" borderId="1" xfId="33" applyFont="1" applyFill="1" applyBorder="1" applyAlignment="1">
      <alignment horizontal="center"/>
    </xf>
    <xf numFmtId="0" fontId="80" fillId="2" borderId="1" xfId="33" applyNumberFormat="1" applyFont="1" applyFill="1" applyBorder="1" applyAlignment="1">
      <alignment wrapText="1"/>
    </xf>
    <xf numFmtId="0" fontId="4" fillId="2" borderId="1" xfId="33" applyFont="1" applyFill="1" applyBorder="1"/>
    <xf numFmtId="0" fontId="105" fillId="0" borderId="0" xfId="33" applyFont="1"/>
    <xf numFmtId="0" fontId="34" fillId="0" borderId="0" xfId="29" applyFont="1" applyAlignment="1"/>
    <xf numFmtId="0" fontId="0" fillId="0" borderId="0" xfId="27" applyFont="1" applyAlignment="1">
      <alignment horizontal="left" vertical="center" wrapText="1"/>
    </xf>
    <xf numFmtId="0" fontId="34" fillId="0" borderId="1" xfId="5" applyFont="1" applyBorder="1" applyAlignment="1">
      <alignment horizontal="center" vertical="center"/>
    </xf>
    <xf numFmtId="0" fontId="32" fillId="2" borderId="4" xfId="4" applyFont="1" applyFill="1" applyBorder="1" applyAlignment="1">
      <alignment horizontal="center" vertical="center"/>
    </xf>
    <xf numFmtId="0" fontId="34" fillId="2" borderId="1" xfId="5" applyFont="1" applyFill="1" applyBorder="1" applyAlignment="1">
      <alignment horizontal="center" vertical="center"/>
    </xf>
    <xf numFmtId="0" fontId="34" fillId="0" borderId="1" xfId="5" applyFont="1" applyFill="1" applyBorder="1" applyAlignment="1">
      <alignment horizontal="center" vertical="center"/>
    </xf>
    <xf numFmtId="0" fontId="9" fillId="0" borderId="6"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7" fillId="0" borderId="6" xfId="0" applyFont="1" applyFill="1" applyBorder="1" applyAlignment="1">
      <alignment horizontal="center" vertical="center"/>
    </xf>
    <xf numFmtId="0" fontId="2" fillId="2" borderId="5" xfId="0" applyNumberFormat="1" applyFont="1" applyFill="1" applyBorder="1" applyAlignment="1">
      <alignment horizontal="center"/>
    </xf>
    <xf numFmtId="0" fontId="44" fillId="2" borderId="6" xfId="0" applyFont="1" applyFill="1" applyBorder="1" applyAlignment="1">
      <alignment horizontal="center"/>
    </xf>
    <xf numFmtId="0" fontId="2" fillId="2" borderId="6" xfId="0" applyFont="1" applyFill="1" applyBorder="1" applyAlignment="1">
      <alignment horizontal="center"/>
    </xf>
    <xf numFmtId="0" fontId="4" fillId="2" borderId="6" xfId="0" applyFont="1" applyFill="1" applyBorder="1" applyAlignment="1">
      <alignment horizontal="center"/>
    </xf>
    <xf numFmtId="0" fontId="108" fillId="2" borderId="5" xfId="0" applyNumberFormat="1" applyFont="1" applyFill="1" applyBorder="1" applyAlignment="1">
      <alignment horizontal="center"/>
    </xf>
    <xf numFmtId="0" fontId="19" fillId="0" borderId="8" xfId="0" applyFont="1" applyFill="1" applyBorder="1" applyAlignment="1">
      <alignment horizontal="center" vertical="center" wrapText="1"/>
    </xf>
    <xf numFmtId="0" fontId="2" fillId="0" borderId="8" xfId="0" applyFont="1" applyFill="1" applyBorder="1" applyAlignment="1">
      <alignment horizontal="center" vertical="center" wrapText="1"/>
    </xf>
    <xf numFmtId="177" fontId="2" fillId="0" borderId="6" xfId="0" applyNumberFormat="1" applyFont="1" applyFill="1" applyBorder="1" applyAlignment="1">
      <alignment horizontal="center" vertical="center" wrapText="1"/>
    </xf>
    <xf numFmtId="0" fontId="2" fillId="0" borderId="7" xfId="0" applyFont="1" applyFill="1" applyBorder="1" applyAlignment="1">
      <alignment horizontal="center" vertical="center" wrapText="1"/>
    </xf>
    <xf numFmtId="0" fontId="6" fillId="0" borderId="0" xfId="36" applyFont="1" applyBorder="1" applyAlignment="1">
      <alignment horizontal="center"/>
    </xf>
    <xf numFmtId="0" fontId="2" fillId="0" borderId="0" xfId="36" applyFont="1" applyBorder="1" applyAlignment="1">
      <alignment horizontal="center"/>
    </xf>
    <xf numFmtId="0" fontId="2" fillId="0" borderId="0" xfId="36" applyFont="1" applyBorder="1" applyAlignment="1">
      <alignment horizontal="center" vertical="center"/>
    </xf>
    <xf numFmtId="0" fontId="2" fillId="0" borderId="0" xfId="36" applyFont="1" applyAlignment="1">
      <alignment horizontal="center"/>
    </xf>
    <xf numFmtId="0" fontId="9" fillId="0" borderId="0" xfId="33" applyFont="1" applyFill="1" applyAlignment="1">
      <alignment horizontal="center" vertical="center"/>
    </xf>
    <xf numFmtId="0" fontId="2" fillId="0" borderId="0" xfId="33" applyFont="1" applyFill="1" applyAlignment="1">
      <alignment horizontal="center" vertical="center"/>
    </xf>
    <xf numFmtId="0" fontId="2" fillId="0" borderId="0" xfId="33" applyFont="1" applyFill="1" applyAlignment="1">
      <alignment horizontal="right" vertical="center"/>
    </xf>
    <xf numFmtId="0" fontId="7" fillId="0" borderId="1" xfId="33" applyFont="1" applyFill="1" applyBorder="1" applyAlignment="1">
      <alignment horizontal="center" vertical="center"/>
    </xf>
    <xf numFmtId="0" fontId="0" fillId="0" borderId="0" xfId="33" applyFont="1" applyFill="1" applyBorder="1" applyAlignment="1">
      <alignment horizontal="center" vertical="center"/>
    </xf>
    <xf numFmtId="0" fontId="2" fillId="0" borderId="0" xfId="33" applyFont="1" applyFill="1" applyBorder="1" applyAlignment="1">
      <alignment horizontal="center" vertical="center"/>
    </xf>
    <xf numFmtId="0" fontId="34" fillId="2" borderId="1" xfId="3" applyFont="1" applyFill="1" applyBorder="1" applyAlignment="1">
      <alignment horizontal="center" vertical="center"/>
    </xf>
    <xf numFmtId="179" fontId="7" fillId="2" borderId="20" xfId="36" applyNumberFormat="1" applyFont="1" applyFill="1" applyBorder="1" applyAlignment="1">
      <alignment horizontal="center"/>
    </xf>
    <xf numFmtId="0" fontId="0" fillId="0" borderId="0" xfId="36" applyFont="1" applyBorder="1" applyAlignment="1">
      <alignment horizontal="center" vertical="center"/>
    </xf>
    <xf numFmtId="0" fontId="0" fillId="0" borderId="0" xfId="36" applyFont="1" applyFill="1" applyBorder="1" applyAlignment="1">
      <alignment horizontal="center" vertical="center"/>
    </xf>
    <xf numFmtId="0" fontId="2" fillId="0" borderId="96" xfId="36" applyFont="1" applyBorder="1" applyAlignment="1">
      <alignment horizontal="center" vertical="center"/>
    </xf>
    <xf numFmtId="0" fontId="9" fillId="0" borderId="97" xfId="36" applyFont="1" applyBorder="1" applyAlignment="1">
      <alignment horizontal="center" vertical="center"/>
    </xf>
    <xf numFmtId="0" fontId="2" fillId="0" borderId="1" xfId="36" applyFont="1" applyBorder="1" applyAlignment="1">
      <alignment horizontal="center" vertical="center"/>
    </xf>
    <xf numFmtId="0" fontId="4" fillId="0" borderId="97" xfId="36" applyNumberFormat="1" applyFont="1" applyBorder="1" applyAlignment="1">
      <alignment horizontal="center"/>
    </xf>
    <xf numFmtId="0" fontId="4" fillId="0" borderId="1" xfId="36" applyFont="1" applyBorder="1" applyAlignment="1">
      <alignment horizontal="center"/>
    </xf>
    <xf numFmtId="0" fontId="2" fillId="0" borderId="1" xfId="36" applyFont="1" applyBorder="1" applyAlignment="1">
      <alignment horizontal="center"/>
    </xf>
    <xf numFmtId="0" fontId="7" fillId="0" borderId="97" xfId="36" applyNumberFormat="1" applyFont="1" applyBorder="1" applyAlignment="1">
      <alignment horizontal="center"/>
    </xf>
    <xf numFmtId="0" fontId="2" fillId="0" borderId="97" xfId="36" applyNumberFormat="1" applyFont="1" applyBorder="1" applyAlignment="1">
      <alignment horizontal="center"/>
    </xf>
    <xf numFmtId="176" fontId="3" fillId="0" borderId="97" xfId="36" applyNumberFormat="1" applyFont="1" applyBorder="1" applyAlignment="1">
      <alignment horizontal="center"/>
    </xf>
    <xf numFmtId="176" fontId="0" fillId="0" borderId="97" xfId="36" applyNumberFormat="1" applyFont="1" applyBorder="1" applyAlignment="1">
      <alignment horizontal="center"/>
    </xf>
    <xf numFmtId="0" fontId="2" fillId="0" borderId="99" xfId="36" applyNumberFormat="1" applyFont="1" applyBorder="1" applyAlignment="1">
      <alignment horizontal="center"/>
    </xf>
    <xf numFmtId="0" fontId="2" fillId="0" borderId="100" xfId="36" applyFont="1" applyBorder="1" applyAlignment="1">
      <alignment horizontal="center" vertical="center"/>
    </xf>
    <xf numFmtId="0" fontId="2" fillId="0" borderId="100" xfId="36" applyFont="1" applyBorder="1" applyAlignment="1">
      <alignment horizontal="center"/>
    </xf>
    <xf numFmtId="177" fontId="7" fillId="0" borderId="101" xfId="36" applyNumberFormat="1" applyFont="1" applyBorder="1" applyAlignment="1">
      <alignment horizontal="center" vertical="center"/>
    </xf>
    <xf numFmtId="58" fontId="63" fillId="0" borderId="0" xfId="36" applyNumberFormat="1" applyFont="1" applyBorder="1"/>
    <xf numFmtId="0" fontId="47" fillId="0" borderId="0" xfId="36" applyFont="1" applyBorder="1" applyAlignment="1">
      <alignment horizontal="center"/>
    </xf>
    <xf numFmtId="0" fontId="63" fillId="0" borderId="0" xfId="36" applyFont="1" applyBorder="1" applyAlignment="1">
      <alignment horizontal="center"/>
    </xf>
    <xf numFmtId="0" fontId="47" fillId="0" borderId="0" xfId="36" applyFont="1" applyBorder="1"/>
    <xf numFmtId="0" fontId="7" fillId="0" borderId="0" xfId="33" applyFont="1" applyBorder="1" applyAlignment="1">
      <alignment horizontal="center"/>
    </xf>
    <xf numFmtId="177" fontId="2" fillId="0" borderId="0" xfId="33" applyNumberFormat="1" applyFont="1" applyFill="1" applyBorder="1" applyAlignment="1">
      <alignment horizontal="center" vertical="center"/>
    </xf>
    <xf numFmtId="0" fontId="7" fillId="0" borderId="1" xfId="33" applyFont="1" applyBorder="1" applyAlignment="1">
      <alignment horizontal="center" vertical="center"/>
    </xf>
    <xf numFmtId="0" fontId="2" fillId="0" borderId="6" xfId="33" applyFont="1" applyBorder="1" applyAlignment="1">
      <alignment horizontal="center"/>
    </xf>
    <xf numFmtId="0" fontId="0" fillId="0" borderId="6" xfId="33" applyFont="1" applyBorder="1" applyAlignment="1">
      <alignment horizontal="center"/>
    </xf>
    <xf numFmtId="0" fontId="0" fillId="0" borderId="6" xfId="33" applyFont="1" applyFill="1" applyBorder="1" applyAlignment="1">
      <alignment horizontal="center"/>
    </xf>
    <xf numFmtId="0" fontId="2" fillId="0" borderId="1" xfId="33" applyFont="1" applyFill="1" applyBorder="1" applyAlignment="1">
      <alignment horizontal="center" vertical="center"/>
    </xf>
    <xf numFmtId="179" fontId="2" fillId="0" borderId="1" xfId="33" applyNumberFormat="1" applyFont="1" applyFill="1" applyBorder="1" applyAlignment="1">
      <alignment horizontal="center" vertical="center"/>
    </xf>
    <xf numFmtId="0" fontId="7" fillId="0" borderId="104" xfId="33" applyFont="1" applyFill="1" applyBorder="1" applyAlignment="1">
      <alignment vertical="center" wrapText="1"/>
    </xf>
    <xf numFmtId="182" fontId="7" fillId="0" borderId="93" xfId="33" applyNumberFormat="1" applyFont="1" applyFill="1" applyBorder="1" applyAlignment="1">
      <alignment horizontal="center" vertical="center"/>
    </xf>
    <xf numFmtId="0" fontId="7" fillId="0" borderId="20" xfId="33" applyFont="1" applyFill="1" applyBorder="1" applyAlignment="1">
      <alignment vertical="center"/>
    </xf>
    <xf numFmtId="182" fontId="7" fillId="0" borderId="1" xfId="33" applyNumberFormat="1" applyFont="1" applyFill="1" applyBorder="1" applyAlignment="1">
      <alignment horizontal="center" vertical="center"/>
    </xf>
    <xf numFmtId="0" fontId="0" fillId="0" borderId="1" xfId="33" applyFont="1" applyFill="1" applyBorder="1" applyAlignment="1">
      <alignment horizontal="center" vertical="center"/>
    </xf>
    <xf numFmtId="0" fontId="0" fillId="0" borderId="1" xfId="33" applyFont="1" applyFill="1" applyBorder="1"/>
    <xf numFmtId="0" fontId="46" fillId="0" borderId="1" xfId="33" applyFont="1" applyFill="1" applyBorder="1" applyAlignment="1">
      <alignment horizontal="center" vertical="center"/>
    </xf>
    <xf numFmtId="0" fontId="2" fillId="0" borderId="2" xfId="33" applyFont="1" applyFill="1" applyBorder="1" applyAlignment="1">
      <alignment horizontal="center" vertical="center" wrapText="1"/>
    </xf>
    <xf numFmtId="0" fontId="7" fillId="0" borderId="1" xfId="33" applyFont="1" applyBorder="1" applyAlignment="1">
      <alignment horizontal="center"/>
    </xf>
    <xf numFmtId="0" fontId="19" fillId="0" borderId="1" xfId="33" applyFont="1" applyBorder="1" applyAlignment="1">
      <alignment horizontal="center" vertical="center"/>
    </xf>
    <xf numFmtId="0" fontId="7" fillId="0" borderId="0" xfId="33" applyFont="1" applyFill="1" applyBorder="1" applyAlignment="1">
      <alignment horizontal="center" vertical="center"/>
    </xf>
    <xf numFmtId="0" fontId="2" fillId="0" borderId="0" xfId="33" applyFont="1" applyFill="1" applyBorder="1" applyAlignment="1">
      <alignment horizontal="center" vertical="center" wrapText="1"/>
    </xf>
    <xf numFmtId="182" fontId="7" fillId="0" borderId="1" xfId="33" applyNumberFormat="1" applyFont="1" applyFill="1" applyBorder="1" applyAlignment="1">
      <alignment vertical="center"/>
    </xf>
    <xf numFmtId="0" fontId="7" fillId="0" borderId="1" xfId="33" applyFont="1" applyFill="1" applyBorder="1" applyAlignment="1">
      <alignment vertical="center"/>
    </xf>
    <xf numFmtId="182" fontId="7" fillId="0" borderId="0" xfId="33" applyNumberFormat="1" applyFont="1" applyFill="1" applyBorder="1" applyAlignment="1">
      <alignment vertical="center"/>
    </xf>
    <xf numFmtId="0" fontId="7" fillId="0" borderId="0" xfId="33" applyFont="1" applyFill="1" applyBorder="1" applyAlignment="1">
      <alignment vertical="center"/>
    </xf>
    <xf numFmtId="182" fontId="2" fillId="0" borderId="0" xfId="33" applyNumberFormat="1" applyFont="1" applyFill="1"/>
    <xf numFmtId="0" fontId="2" fillId="0" borderId="0" xfId="38" applyFont="1" applyBorder="1" applyAlignment="1">
      <alignment horizontal="center"/>
    </xf>
    <xf numFmtId="179" fontId="52" fillId="0" borderId="0" xfId="38" applyNumberFormat="1" applyFont="1" applyBorder="1" applyAlignment="1">
      <alignment horizontal="center"/>
    </xf>
    <xf numFmtId="0" fontId="2" fillId="0" borderId="0" xfId="38" applyFont="1" applyAlignment="1">
      <alignment horizontal="center"/>
    </xf>
    <xf numFmtId="0" fontId="2" fillId="0" borderId="96" xfId="38" applyFont="1" applyBorder="1" applyAlignment="1">
      <alignment horizontal="center" vertical="center"/>
    </xf>
    <xf numFmtId="0" fontId="52" fillId="0" borderId="93" xfId="38" applyFont="1" applyBorder="1" applyAlignment="1">
      <alignment horizontal="center" vertical="center"/>
    </xf>
    <xf numFmtId="0" fontId="9" fillId="0" borderId="97" xfId="38" applyFont="1" applyBorder="1" applyAlignment="1">
      <alignment horizontal="center" vertical="center"/>
    </xf>
    <xf numFmtId="0" fontId="2" fillId="0" borderId="1" xfId="38" applyFont="1" applyBorder="1" applyAlignment="1">
      <alignment horizontal="center" vertical="center"/>
    </xf>
    <xf numFmtId="0" fontId="4" fillId="0" borderId="97" xfId="38" applyNumberFormat="1" applyFont="1" applyBorder="1" applyAlignment="1">
      <alignment horizontal="center"/>
    </xf>
    <xf numFmtId="0" fontId="2" fillId="0" borderId="1" xfId="38" applyFont="1" applyBorder="1" applyAlignment="1">
      <alignment horizontal="center"/>
    </xf>
    <xf numFmtId="0" fontId="7" fillId="0" borderId="97" xfId="38" applyNumberFormat="1" applyFont="1" applyBorder="1" applyAlignment="1">
      <alignment horizontal="center"/>
    </xf>
    <xf numFmtId="0" fontId="2" fillId="0" borderId="97" xfId="38" applyNumberFormat="1" applyFont="1" applyBorder="1" applyAlignment="1">
      <alignment horizontal="center"/>
    </xf>
    <xf numFmtId="176" fontId="3" fillId="0" borderId="97" xfId="38" applyNumberFormat="1" applyFont="1" applyBorder="1" applyAlignment="1">
      <alignment horizontal="center"/>
    </xf>
    <xf numFmtId="176" fontId="0" fillId="0" borderId="97" xfId="38" applyNumberFormat="1" applyFont="1" applyBorder="1" applyAlignment="1">
      <alignment horizontal="center"/>
    </xf>
    <xf numFmtId="0" fontId="2" fillId="0" borderId="99" xfId="38" applyNumberFormat="1" applyFont="1" applyBorder="1" applyAlignment="1">
      <alignment horizontal="center"/>
    </xf>
    <xf numFmtId="0" fontId="2" fillId="0" borderId="100" xfId="38" applyFont="1" applyBorder="1" applyAlignment="1">
      <alignment horizontal="center" vertical="center"/>
    </xf>
    <xf numFmtId="0" fontId="2" fillId="0" borderId="100" xfId="38" applyFont="1" applyBorder="1" applyAlignment="1">
      <alignment horizontal="center"/>
    </xf>
    <xf numFmtId="0" fontId="2" fillId="0" borderId="0" xfId="38" applyNumberFormat="1" applyFont="1" applyBorder="1"/>
    <xf numFmtId="0" fontId="6" fillId="0" borderId="0" xfId="38" applyFont="1" applyBorder="1"/>
    <xf numFmtId="0" fontId="6" fillId="0" borderId="0" xfId="38" applyFont="1"/>
    <xf numFmtId="0" fontId="61" fillId="0" borderId="0" xfId="38" applyFont="1"/>
    <xf numFmtId="0" fontId="6" fillId="0" borderId="0" xfId="38" applyFont="1" applyBorder="1" applyAlignment="1">
      <alignment horizontal="center"/>
    </xf>
    <xf numFmtId="0" fontId="47" fillId="0" borderId="0" xfId="38" applyFont="1"/>
    <xf numFmtId="0" fontId="2" fillId="0" borderId="0" xfId="38" applyFont="1" applyBorder="1"/>
    <xf numFmtId="0" fontId="47" fillId="0" borderId="0" xfId="38" applyFont="1" applyBorder="1" applyAlignment="1">
      <alignment horizontal="center"/>
    </xf>
    <xf numFmtId="0" fontId="47" fillId="0" borderId="0" xfId="38" applyFont="1" applyBorder="1"/>
    <xf numFmtId="0" fontId="2" fillId="0" borderId="6" xfId="33" applyFont="1" applyBorder="1" applyAlignment="1"/>
    <xf numFmtId="0" fontId="0" fillId="0" borderId="6" xfId="33" applyFont="1" applyBorder="1" applyAlignment="1"/>
    <xf numFmtId="0" fontId="0" fillId="0" borderId="6" xfId="33" applyFont="1" applyFill="1" applyBorder="1" applyAlignment="1"/>
    <xf numFmtId="0" fontId="2" fillId="0" borderId="1" xfId="33" applyFont="1" applyFill="1" applyBorder="1" applyAlignment="1">
      <alignment horizontal="center" vertical="center"/>
    </xf>
    <xf numFmtId="0" fontId="2" fillId="0" borderId="0" xfId="33" applyFont="1" applyBorder="1" applyAlignment="1">
      <alignment horizontal="center"/>
    </xf>
    <xf numFmtId="0" fontId="0" fillId="0" borderId="0" xfId="33" applyFont="1" applyFill="1" applyBorder="1" applyAlignment="1">
      <alignment horizontal="center"/>
    </xf>
    <xf numFmtId="0" fontId="19" fillId="0" borderId="0" xfId="33" applyFont="1" applyBorder="1" applyAlignment="1">
      <alignment horizontal="center" vertical="center"/>
    </xf>
    <xf numFmtId="0" fontId="111" fillId="0" borderId="4" xfId="36" applyFont="1" applyBorder="1" applyAlignment="1">
      <alignment horizontal="center" vertical="center"/>
    </xf>
    <xf numFmtId="0" fontId="3" fillId="0" borderId="3" xfId="36" applyFont="1" applyBorder="1" applyAlignment="1">
      <alignment vertical="center"/>
    </xf>
    <xf numFmtId="0" fontId="7" fillId="0" borderId="1" xfId="33" applyFont="1" applyFill="1" applyBorder="1" applyAlignment="1">
      <alignment horizontal="center" vertical="center"/>
    </xf>
    <xf numFmtId="0" fontId="2" fillId="0" borderId="93" xfId="33" applyFont="1" applyFill="1" applyBorder="1" applyAlignment="1">
      <alignment horizontal="center" vertical="center"/>
    </xf>
    <xf numFmtId="0" fontId="2" fillId="0" borderId="1" xfId="33" applyFont="1" applyFill="1" applyBorder="1" applyAlignment="1">
      <alignment horizontal="center" vertical="center"/>
    </xf>
    <xf numFmtId="0" fontId="2" fillId="0" borderId="0" xfId="33" applyFont="1" applyFill="1" applyBorder="1" applyAlignment="1">
      <alignment horizontal="center" vertical="center"/>
    </xf>
    <xf numFmtId="179" fontId="2" fillId="0" borderId="93" xfId="33" applyNumberFormat="1" applyFont="1" applyFill="1" applyBorder="1" applyAlignment="1">
      <alignment horizontal="center" vertical="center"/>
    </xf>
    <xf numFmtId="0" fontId="113" fillId="21" borderId="0" xfId="36" applyFont="1" applyFill="1"/>
    <xf numFmtId="177" fontId="7" fillId="0" borderId="109" xfId="38" applyNumberFormat="1" applyFont="1" applyBorder="1" applyAlignment="1">
      <alignment horizontal="center" vertical="center"/>
    </xf>
    <xf numFmtId="0" fontId="7" fillId="0" borderId="1" xfId="36" applyFont="1" applyFill="1" applyBorder="1" applyAlignment="1">
      <alignment horizontal="center"/>
    </xf>
    <xf numFmtId="0" fontId="3" fillId="0" borderId="1" xfId="36" applyFont="1" applyFill="1" applyBorder="1" applyAlignment="1">
      <alignment horizontal="center"/>
    </xf>
    <xf numFmtId="0" fontId="3" fillId="0" borderId="1" xfId="36" applyFont="1" applyBorder="1" applyAlignment="1">
      <alignment vertical="center" wrapText="1"/>
    </xf>
    <xf numFmtId="0" fontId="0" fillId="0" borderId="1" xfId="36" applyFont="1" applyBorder="1"/>
    <xf numFmtId="0" fontId="0" fillId="0" borderId="1" xfId="36" applyFont="1" applyFill="1" applyBorder="1"/>
    <xf numFmtId="0" fontId="113" fillId="0" borderId="1" xfId="36" applyFont="1" applyBorder="1"/>
    <xf numFmtId="0" fontId="3" fillId="0" borderId="3" xfId="38" applyFont="1" applyBorder="1" applyAlignment="1">
      <alignment vertical="center"/>
    </xf>
    <xf numFmtId="0" fontId="3" fillId="0" borderId="19" xfId="38" applyFont="1" applyBorder="1" applyAlignment="1">
      <alignment vertical="center"/>
    </xf>
    <xf numFmtId="0" fontId="9" fillId="0" borderId="3" xfId="38" applyFont="1" applyBorder="1" applyAlignment="1">
      <alignment vertical="center"/>
    </xf>
    <xf numFmtId="0" fontId="2" fillId="0" borderId="3" xfId="38" applyFont="1" applyBorder="1" applyAlignment="1">
      <alignment vertical="center"/>
    </xf>
    <xf numFmtId="0" fontId="7" fillId="0" borderId="3" xfId="38" applyFont="1" applyBorder="1" applyAlignment="1">
      <alignment vertical="center"/>
    </xf>
    <xf numFmtId="0" fontId="19" fillId="0" borderId="3" xfId="38" applyFont="1" applyBorder="1" applyAlignment="1">
      <alignment vertical="center"/>
    </xf>
    <xf numFmtId="0" fontId="19" fillId="0" borderId="19" xfId="38" applyFont="1" applyBorder="1" applyAlignment="1">
      <alignment vertical="center"/>
    </xf>
    <xf numFmtId="0" fontId="2" fillId="0" borderId="0" xfId="33" applyFont="1" applyBorder="1" applyAlignment="1"/>
    <xf numFmtId="0" fontId="0" fillId="0" borderId="0" xfId="33" applyFont="1" applyBorder="1" applyAlignment="1"/>
    <xf numFmtId="0" fontId="0" fillId="0" borderId="0" xfId="33" applyFont="1" applyFill="1" applyBorder="1" applyAlignment="1"/>
    <xf numFmtId="0" fontId="115" fillId="0" borderId="4" xfId="36" applyFont="1" applyBorder="1" applyAlignment="1">
      <alignment horizontal="center" vertical="center"/>
    </xf>
    <xf numFmtId="0" fontId="116" fillId="0" borderId="93" xfId="36" applyFont="1" applyBorder="1" applyAlignment="1">
      <alignment horizontal="center" vertical="center"/>
    </xf>
    <xf numFmtId="179" fontId="116" fillId="0" borderId="0" xfId="36" applyNumberFormat="1" applyFont="1" applyBorder="1" applyAlignment="1">
      <alignment horizontal="center"/>
    </xf>
    <xf numFmtId="0" fontId="116" fillId="0" borderId="4" xfId="36" applyFont="1" applyBorder="1" applyAlignment="1">
      <alignment horizontal="center"/>
    </xf>
    <xf numFmtId="0" fontId="7" fillId="0" borderId="1" xfId="33" applyFont="1" applyFill="1" applyBorder="1" applyAlignment="1">
      <alignment vertical="center" wrapText="1"/>
    </xf>
    <xf numFmtId="182" fontId="46" fillId="0" borderId="1" xfId="33" applyNumberFormat="1" applyFont="1" applyFill="1" applyBorder="1" applyAlignment="1">
      <alignment horizontal="center" vertical="center"/>
    </xf>
    <xf numFmtId="0" fontId="100" fillId="0" borderId="0" xfId="36" applyFont="1" applyFill="1" applyBorder="1" applyAlignment="1">
      <alignment horizontal="left" vertical="center"/>
    </xf>
    <xf numFmtId="0" fontId="0" fillId="0" borderId="1" xfId="36" applyFont="1" applyFill="1" applyBorder="1" applyAlignment="1">
      <alignment horizontal="center" vertical="center"/>
    </xf>
    <xf numFmtId="0" fontId="118" fillId="0" borderId="1" xfId="36" applyFont="1" applyBorder="1"/>
    <xf numFmtId="0" fontId="6" fillId="0" borderId="1" xfId="36" applyFont="1" applyBorder="1"/>
    <xf numFmtId="0" fontId="7" fillId="0" borderId="1" xfId="33" applyFont="1" applyFill="1" applyBorder="1" applyAlignment="1">
      <alignment horizontal="center" vertical="center"/>
    </xf>
    <xf numFmtId="0" fontId="7" fillId="0" borderId="1" xfId="33" applyNumberFormat="1" applyFont="1" applyBorder="1" applyAlignment="1">
      <alignment horizontal="center" vertical="center"/>
    </xf>
    <xf numFmtId="0" fontId="0" fillId="0" borderId="1" xfId="0" applyFont="1" applyBorder="1" applyAlignment="1">
      <alignment horizontal="center" vertical="center"/>
    </xf>
    <xf numFmtId="0" fontId="21" fillId="0" borderId="1" xfId="0" applyFont="1" applyBorder="1" applyAlignment="1">
      <alignment horizontal="center" vertical="center"/>
    </xf>
    <xf numFmtId="0" fontId="23" fillId="0" borderId="1" xfId="0" applyFont="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0" applyFont="1" applyBorder="1">
      <alignment vertical="center"/>
    </xf>
    <xf numFmtId="0" fontId="21" fillId="0" borderId="1" xfId="0" applyFont="1" applyFill="1" applyBorder="1" applyAlignment="1">
      <alignment horizontal="center" vertical="center"/>
    </xf>
    <xf numFmtId="0" fontId="120" fillId="0" borderId="1" xfId="0" applyFont="1" applyFill="1" applyBorder="1" applyAlignment="1">
      <alignment horizontal="center" vertical="center" wrapText="1"/>
    </xf>
    <xf numFmtId="0" fontId="9" fillId="0" borderId="1" xfId="43" applyFont="1" applyFill="1" applyBorder="1" applyAlignment="1">
      <alignment horizontal="center" vertical="center" wrapText="1"/>
    </xf>
    <xf numFmtId="0" fontId="43" fillId="0" borderId="0" xfId="0" applyFont="1" applyBorder="1" applyAlignment="1">
      <alignment horizontal="center" vertical="center"/>
    </xf>
    <xf numFmtId="0" fontId="121" fillId="0" borderId="0" xfId="0" applyFont="1" applyFill="1" applyBorder="1" applyAlignment="1">
      <alignment horizontal="center" vertical="center" wrapText="1"/>
    </xf>
    <xf numFmtId="0" fontId="43" fillId="0" borderId="0" xfId="0" applyFont="1" applyBorder="1">
      <alignment vertical="center"/>
    </xf>
    <xf numFmtId="0" fontId="121" fillId="0" borderId="0" xfId="0" applyFont="1" applyFill="1" applyBorder="1" applyAlignment="1">
      <alignment horizontal="center" wrapText="1"/>
    </xf>
    <xf numFmtId="0" fontId="3" fillId="0" borderId="0" xfId="43" applyFont="1" applyFill="1" applyBorder="1" applyAlignment="1">
      <alignment horizontal="center" vertical="center" wrapText="1"/>
    </xf>
    <xf numFmtId="0" fontId="43" fillId="0" borderId="0" xfId="0" applyFont="1" applyFill="1" applyBorder="1" applyAlignment="1">
      <alignment horizontal="center" vertical="center" wrapText="1"/>
    </xf>
    <xf numFmtId="0" fontId="43" fillId="0" borderId="0" xfId="0" applyNumberFormat="1" applyFont="1" applyBorder="1" applyAlignment="1">
      <alignment horizontal="center"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Alignment="1">
      <alignment horizontal="center" vertical="center"/>
    </xf>
    <xf numFmtId="0" fontId="52" fillId="0" borderId="19" xfId="38" applyFont="1" applyBorder="1" applyAlignment="1">
      <alignment horizontal="center"/>
    </xf>
    <xf numFmtId="179" fontId="7" fillId="2" borderId="19" xfId="38" applyNumberFormat="1" applyFont="1" applyFill="1" applyBorder="1" applyAlignment="1">
      <alignment horizontal="center"/>
    </xf>
    <xf numFmtId="178" fontId="21" fillId="0" borderId="1" xfId="0" applyNumberFormat="1" applyFont="1" applyBorder="1" applyAlignment="1">
      <alignment horizontal="center" vertical="center"/>
    </xf>
    <xf numFmtId="0" fontId="23" fillId="0" borderId="1" xfId="0" applyFont="1" applyBorder="1" applyAlignment="1">
      <alignment horizontal="center" vertical="center"/>
    </xf>
    <xf numFmtId="0" fontId="7" fillId="0" borderId="1" xfId="43" applyFont="1" applyFill="1" applyBorder="1" applyAlignment="1">
      <alignment horizontal="center" vertical="center" wrapText="1"/>
    </xf>
    <xf numFmtId="178" fontId="23" fillId="0" borderId="1" xfId="0" applyNumberFormat="1" applyFont="1" applyBorder="1" applyAlignment="1">
      <alignment horizontal="center" vertical="center"/>
    </xf>
    <xf numFmtId="176" fontId="23" fillId="0" borderId="1" xfId="0" applyNumberFormat="1" applyFont="1" applyBorder="1" applyAlignment="1">
      <alignment horizontal="center" vertical="center"/>
    </xf>
    <xf numFmtId="0" fontId="0" fillId="0" borderId="0" xfId="33" applyFont="1" applyBorder="1" applyAlignment="1">
      <alignment vertical="center" wrapText="1"/>
    </xf>
    <xf numFmtId="0" fontId="21" fillId="0" borderId="1" xfId="0" applyFont="1" applyBorder="1" applyAlignment="1">
      <alignment horizontal="center" vertical="center"/>
    </xf>
    <xf numFmtId="0" fontId="7" fillId="0" borderId="1" xfId="33" applyFont="1" applyFill="1" applyBorder="1" applyAlignment="1">
      <alignment horizontal="center" vertical="center"/>
    </xf>
    <xf numFmtId="0" fontId="113" fillId="0" borderId="0" xfId="36" applyFont="1" applyBorder="1"/>
    <xf numFmtId="0" fontId="7" fillId="0" borderId="1" xfId="33" applyFont="1" applyFill="1" applyBorder="1" applyAlignment="1">
      <alignment horizontal="center" vertical="center"/>
    </xf>
    <xf numFmtId="0" fontId="114" fillId="0" borderId="4" xfId="36" applyFont="1" applyBorder="1" applyAlignment="1">
      <alignment horizontal="center" wrapText="1"/>
    </xf>
    <xf numFmtId="0" fontId="124" fillId="0" borderId="4" xfId="36" applyFont="1" applyBorder="1" applyAlignment="1">
      <alignment horizontal="center" wrapText="1"/>
    </xf>
    <xf numFmtId="0" fontId="0" fillId="0" borderId="0" xfId="0" applyAlignment="1">
      <alignment vertical="center"/>
    </xf>
    <xf numFmtId="0" fontId="21" fillId="0" borderId="1" xfId="0" applyFont="1" applyBorder="1" applyAlignment="1">
      <alignment horizontal="center" vertical="center"/>
    </xf>
    <xf numFmtId="0" fontId="21" fillId="0" borderId="2" xfId="0" applyFont="1" applyFill="1" applyBorder="1" applyAlignment="1">
      <alignment horizontal="center" vertical="center" wrapText="1"/>
    </xf>
    <xf numFmtId="0" fontId="2" fillId="0" borderId="0" xfId="31" applyFont="1" applyAlignment="1">
      <alignment horizontal="center"/>
    </xf>
    <xf numFmtId="0" fontId="100" fillId="0" borderId="0" xfId="31" applyFont="1" applyAlignment="1">
      <alignment horizontal="center"/>
    </xf>
    <xf numFmtId="0" fontId="7" fillId="0" borderId="20" xfId="36" applyFont="1" applyBorder="1" applyAlignment="1">
      <alignment horizontal="center" wrapText="1"/>
    </xf>
    <xf numFmtId="0" fontId="7" fillId="0" borderId="0" xfId="36" applyFont="1" applyAlignment="1">
      <alignment wrapText="1"/>
    </xf>
    <xf numFmtId="0" fontId="2" fillId="0" borderId="0" xfId="38" applyFont="1" applyAlignment="1"/>
    <xf numFmtId="0" fontId="9" fillId="0" borderId="20" xfId="38" applyFont="1" applyBorder="1" applyAlignment="1">
      <alignment horizontal="center" wrapText="1"/>
    </xf>
    <xf numFmtId="0" fontId="2" fillId="0" borderId="20" xfId="38" applyFont="1" applyBorder="1" applyAlignment="1">
      <alignment horizontal="center" wrapText="1"/>
    </xf>
    <xf numFmtId="0" fontId="2" fillId="0" borderId="1" xfId="36" applyFont="1" applyBorder="1" applyAlignment="1">
      <alignment horizontal="center" vertical="center"/>
    </xf>
    <xf numFmtId="0" fontId="7" fillId="0" borderId="1" xfId="33" applyFont="1" applyFill="1" applyBorder="1" applyAlignment="1">
      <alignment horizontal="center" vertical="center"/>
    </xf>
    <xf numFmtId="0" fontId="7" fillId="0" borderId="1" xfId="33" applyFont="1" applyFill="1" applyBorder="1" applyAlignment="1">
      <alignment horizontal="center" vertical="center" wrapText="1"/>
    </xf>
    <xf numFmtId="0" fontId="118" fillId="0" borderId="0" xfId="36" applyFont="1" applyBorder="1"/>
    <xf numFmtId="0" fontId="0" fillId="0" borderId="1" xfId="36" applyFont="1" applyBorder="1" applyAlignment="1">
      <alignment horizontal="center" vertical="center"/>
    </xf>
    <xf numFmtId="0" fontId="2" fillId="0" borderId="1" xfId="36" applyFont="1" applyFill="1" applyBorder="1" applyAlignment="1">
      <alignment horizontal="center" vertical="center"/>
    </xf>
    <xf numFmtId="0" fontId="0" fillId="0" borderId="1" xfId="36" applyFont="1" applyBorder="1" applyAlignment="1">
      <alignment horizontal="center"/>
    </xf>
    <xf numFmtId="0" fontId="3" fillId="0" borderId="20" xfId="36" applyFont="1" applyBorder="1" applyAlignment="1">
      <alignment vertical="center"/>
    </xf>
    <xf numFmtId="0" fontId="0" fillId="0" borderId="1" xfId="36" applyFont="1" applyFill="1" applyBorder="1" applyAlignment="1">
      <alignment horizontal="right" vertical="center"/>
    </xf>
    <xf numFmtId="0" fontId="7" fillId="0" borderId="1" xfId="36" applyFont="1" applyBorder="1" applyAlignment="1">
      <alignment vertical="center" wrapText="1"/>
    </xf>
    <xf numFmtId="0" fontId="64" fillId="0" borderId="1" xfId="36" applyFont="1" applyFill="1" applyBorder="1" applyAlignment="1">
      <alignment horizontal="left" vertical="center"/>
    </xf>
    <xf numFmtId="0" fontId="7" fillId="0" borderId="1" xfId="33" applyFont="1" applyFill="1" applyBorder="1" applyAlignment="1">
      <alignment horizontal="center" vertical="center"/>
    </xf>
    <xf numFmtId="0" fontId="7" fillId="0" borderId="23" xfId="33" applyFont="1" applyFill="1" applyBorder="1" applyAlignment="1">
      <alignment horizontal="center" vertical="center"/>
    </xf>
    <xf numFmtId="0" fontId="7" fillId="0" borderId="16" xfId="33" applyFont="1" applyFill="1" applyBorder="1" applyAlignment="1">
      <alignment horizontal="center" vertical="center"/>
    </xf>
    <xf numFmtId="0" fontId="7" fillId="0" borderId="93" xfId="33" applyFont="1" applyFill="1" applyBorder="1" applyAlignment="1">
      <alignment horizontal="center" vertical="center"/>
    </xf>
    <xf numFmtId="0" fontId="2" fillId="0" borderId="1" xfId="33" applyFont="1" applyFill="1" applyBorder="1" applyAlignment="1">
      <alignment horizontal="center" vertical="center"/>
    </xf>
    <xf numFmtId="182" fontId="2" fillId="0" borderId="1" xfId="33" applyNumberFormat="1" applyFont="1" applyFill="1" applyBorder="1" applyAlignment="1">
      <alignment horizontal="center" vertical="center"/>
    </xf>
    <xf numFmtId="0" fontId="7" fillId="0" borderId="1" xfId="33" applyFont="1" applyFill="1" applyBorder="1" applyAlignment="1">
      <alignment horizontal="center" vertical="center"/>
    </xf>
    <xf numFmtId="0" fontId="7" fillId="0" borderId="1" xfId="33" applyFont="1" applyFill="1" applyBorder="1" applyAlignment="1">
      <alignment horizontal="center" vertical="center" wrapText="1"/>
    </xf>
    <xf numFmtId="0" fontId="7" fillId="0" borderId="16" xfId="33" applyFont="1" applyFill="1" applyBorder="1" applyAlignment="1">
      <alignment horizontal="center" vertical="center"/>
    </xf>
    <xf numFmtId="0" fontId="2" fillId="0" borderId="1" xfId="33" applyFont="1" applyFill="1" applyBorder="1" applyAlignment="1">
      <alignment horizontal="center" vertical="center" wrapText="1"/>
    </xf>
    <xf numFmtId="0" fontId="7" fillId="0" borderId="29" xfId="33" applyFont="1" applyFill="1" applyBorder="1" applyAlignment="1">
      <alignment horizontal="center" vertical="center"/>
    </xf>
    <xf numFmtId="177" fontId="7" fillId="0" borderId="0" xfId="33" applyNumberFormat="1" applyFont="1" applyFill="1" applyBorder="1" applyAlignment="1">
      <alignment horizontal="center" vertical="center"/>
    </xf>
    <xf numFmtId="179" fontId="7" fillId="0" borderId="93" xfId="33" applyNumberFormat="1" applyFont="1" applyFill="1" applyBorder="1" applyAlignment="1">
      <alignment horizontal="center" vertical="center"/>
    </xf>
    <xf numFmtId="182" fontId="7" fillId="0" borderId="1" xfId="33" applyNumberFormat="1" applyFont="1" applyFill="1" applyBorder="1" applyAlignment="1">
      <alignment horizontal="center" vertical="center"/>
    </xf>
    <xf numFmtId="179" fontId="7" fillId="0" borderId="1" xfId="33" applyNumberFormat="1" applyFont="1" applyFill="1" applyBorder="1" applyAlignment="1">
      <alignment horizontal="center" vertical="center"/>
    </xf>
    <xf numFmtId="0" fontId="7" fillId="0" borderId="102" xfId="33" applyFont="1" applyFill="1" applyBorder="1" applyAlignment="1">
      <alignment horizontal="center" vertical="center"/>
    </xf>
    <xf numFmtId="0" fontId="7" fillId="0" borderId="17" xfId="33" applyFont="1" applyFill="1" applyBorder="1" applyAlignment="1">
      <alignment horizontal="center" vertical="center" wrapText="1"/>
    </xf>
    <xf numFmtId="182" fontId="7" fillId="0" borderId="16" xfId="33" applyNumberFormat="1" applyFont="1" applyFill="1" applyBorder="1" applyAlignment="1">
      <alignment horizontal="center" vertical="center"/>
    </xf>
    <xf numFmtId="0" fontId="7" fillId="0" borderId="0" xfId="33" applyFont="1" applyFill="1" applyAlignment="1">
      <alignment horizontal="center" vertical="center"/>
    </xf>
    <xf numFmtId="182" fontId="7" fillId="0" borderId="0" xfId="33" applyNumberFormat="1" applyFont="1" applyFill="1"/>
    <xf numFmtId="0" fontId="7" fillId="0" borderId="0" xfId="33" applyFont="1" applyFill="1" applyBorder="1"/>
    <xf numFmtId="0" fontId="7" fillId="0" borderId="0" xfId="33" applyFont="1" applyFill="1" applyAlignment="1">
      <alignment vertical="center"/>
    </xf>
    <xf numFmtId="0" fontId="7" fillId="0" borderId="0" xfId="33" applyFont="1" applyFill="1" applyAlignment="1">
      <alignment horizontal="right" vertical="center"/>
    </xf>
    <xf numFmtId="0" fontId="7" fillId="0" borderId="17" xfId="33" applyFont="1" applyFill="1" applyBorder="1" applyAlignment="1">
      <alignment vertical="center"/>
    </xf>
    <xf numFmtId="0" fontId="7" fillId="0" borderId="1" xfId="33" applyFont="1" applyFill="1" applyBorder="1" applyAlignment="1">
      <alignment horizontal="center" vertical="center"/>
    </xf>
    <xf numFmtId="0" fontId="7" fillId="0" borderId="0" xfId="33" applyFont="1" applyFill="1" applyBorder="1" applyAlignment="1">
      <alignment horizontal="center" vertical="center"/>
    </xf>
    <xf numFmtId="0" fontId="2" fillId="0" borderId="0" xfId="33" applyFont="1" applyFill="1" applyBorder="1" applyAlignment="1">
      <alignment horizontal="center" vertical="center"/>
    </xf>
    <xf numFmtId="182" fontId="7" fillId="0" borderId="1" xfId="33" applyNumberFormat="1" applyFont="1" applyFill="1" applyBorder="1" applyAlignment="1">
      <alignment vertical="center" wrapText="1"/>
    </xf>
    <xf numFmtId="182" fontId="2" fillId="0" borderId="0" xfId="33" applyNumberFormat="1" applyFont="1" applyFill="1" applyBorder="1"/>
    <xf numFmtId="0" fontId="2" fillId="0" borderId="3" xfId="0" applyFont="1" applyBorder="1" applyAlignment="1">
      <alignment horizontal="center" vertical="center"/>
    </xf>
    <xf numFmtId="0" fontId="2" fillId="0" borderId="19" xfId="0" applyFont="1" applyBorder="1" applyAlignment="1">
      <alignment horizontal="center" vertical="center"/>
    </xf>
    <xf numFmtId="14" fontId="15" fillId="0" borderId="0" xfId="0" applyNumberFormat="1" applyFont="1" applyAlignment="1">
      <alignment horizontal="left" vertical="center"/>
    </xf>
    <xf numFmtId="0" fontId="15" fillId="0" borderId="0" xfId="0" applyFont="1" applyBorder="1" applyAlignment="1">
      <alignment horizontal="right" vertical="center"/>
    </xf>
    <xf numFmtId="14" fontId="16" fillId="0" borderId="3" xfId="0" applyNumberFormat="1" applyFont="1" applyBorder="1" applyAlignment="1">
      <alignment horizontal="center" vertical="center"/>
    </xf>
    <xf numFmtId="0" fontId="16" fillId="0" borderId="19" xfId="0" applyFont="1" applyBorder="1" applyAlignment="1">
      <alignment horizontal="center" vertical="center"/>
    </xf>
    <xf numFmtId="0" fontId="14" fillId="0" borderId="0" xfId="0" applyFont="1" applyFill="1" applyAlignment="1">
      <alignment horizontal="center" vertical="center"/>
    </xf>
    <xf numFmtId="0" fontId="15" fillId="0" borderId="4" xfId="0" applyFont="1" applyBorder="1" applyAlignment="1">
      <alignment horizontal="right" vertical="center"/>
    </xf>
    <xf numFmtId="0" fontId="15" fillId="0" borderId="4" xfId="0" applyFont="1" applyBorder="1" applyAlignment="1">
      <alignment horizontal="center" vertical="center"/>
    </xf>
    <xf numFmtId="0" fontId="16" fillId="0" borderId="3" xfId="0" applyFont="1" applyBorder="1" applyAlignment="1">
      <alignment horizontal="center" vertical="center"/>
    </xf>
    <xf numFmtId="177" fontId="21" fillId="0" borderId="52" xfId="2" applyNumberFormat="1" applyFill="1" applyBorder="1" applyAlignment="1">
      <alignment horizontal="center" vertical="center" wrapText="1"/>
    </xf>
    <xf numFmtId="177" fontId="21" fillId="0" borderId="11" xfId="2" applyNumberFormat="1" applyFill="1" applyBorder="1" applyAlignment="1">
      <alignment horizontal="center" vertical="center" wrapText="1"/>
    </xf>
    <xf numFmtId="177" fontId="21" fillId="0" borderId="54" xfId="2" applyNumberFormat="1" applyFill="1" applyBorder="1" applyAlignment="1">
      <alignment horizontal="center" vertical="center" wrapText="1"/>
    </xf>
    <xf numFmtId="0" fontId="28" fillId="0" borderId="35" xfId="3" applyFont="1" applyFill="1" applyBorder="1" applyAlignment="1">
      <alignment horizontal="center" vertical="center"/>
    </xf>
    <xf numFmtId="0" fontId="28" fillId="0" borderId="53" xfId="3" applyFont="1" applyFill="1" applyBorder="1" applyAlignment="1">
      <alignment horizontal="center" vertical="center"/>
    </xf>
    <xf numFmtId="0" fontId="23" fillId="0" borderId="52" xfId="2" applyFont="1" applyFill="1" applyBorder="1" applyAlignment="1">
      <alignment horizontal="center" vertical="center" wrapText="1"/>
    </xf>
    <xf numFmtId="0" fontId="23" fillId="0" borderId="11" xfId="2" applyFont="1" applyFill="1" applyBorder="1" applyAlignment="1">
      <alignment horizontal="center" vertical="center" wrapText="1"/>
    </xf>
    <xf numFmtId="0" fontId="23" fillId="0" borderId="54" xfId="2" applyFont="1" applyFill="1" applyBorder="1" applyAlignment="1">
      <alignment horizontal="center" vertical="center" wrapText="1"/>
    </xf>
    <xf numFmtId="0" fontId="28" fillId="0" borderId="48" xfId="3" applyFont="1" applyFill="1" applyBorder="1" applyAlignment="1">
      <alignment horizontal="center" vertical="center"/>
    </xf>
    <xf numFmtId="0" fontId="0" fillId="0" borderId="35" xfId="0" applyBorder="1">
      <alignment vertical="center"/>
    </xf>
    <xf numFmtId="0" fontId="0" fillId="0" borderId="53" xfId="0" applyBorder="1">
      <alignment vertical="center"/>
    </xf>
    <xf numFmtId="0" fontId="23" fillId="0" borderId="32" xfId="2" applyFont="1" applyFill="1" applyBorder="1" applyAlignment="1">
      <alignment horizontal="center" vertical="center"/>
    </xf>
    <xf numFmtId="0" fontId="23" fillId="0" borderId="5" xfId="2" applyFont="1" applyFill="1" applyBorder="1" applyAlignment="1">
      <alignment horizontal="center" vertical="center"/>
    </xf>
    <xf numFmtId="0" fontId="23" fillId="0" borderId="30" xfId="2" applyFont="1" applyFill="1" applyBorder="1" applyAlignment="1">
      <alignment horizontal="center" vertical="center"/>
    </xf>
    <xf numFmtId="0" fontId="7" fillId="0" borderId="31" xfId="3" applyFont="1" applyFill="1" applyBorder="1" applyAlignment="1">
      <alignment horizontal="center" vertical="center" wrapText="1"/>
    </xf>
    <xf numFmtId="0" fontId="7" fillId="0" borderId="6" xfId="3" applyFont="1" applyFill="1" applyBorder="1" applyAlignment="1">
      <alignment horizontal="center" vertical="center" wrapText="1"/>
    </xf>
    <xf numFmtId="0" fontId="7" fillId="0" borderId="13" xfId="3" applyFont="1" applyFill="1" applyBorder="1" applyAlignment="1">
      <alignment horizontal="center" vertical="center" wrapText="1"/>
    </xf>
    <xf numFmtId="0" fontId="25" fillId="0" borderId="41" xfId="2" applyFont="1" applyFill="1" applyBorder="1" applyAlignment="1">
      <alignment horizontal="center" vertical="center" wrapText="1"/>
    </xf>
    <xf numFmtId="0" fontId="25" fillId="0" borderId="46" xfId="2" applyFont="1" applyFill="1" applyBorder="1" applyAlignment="1">
      <alignment horizontal="center" vertical="center" wrapText="1"/>
    </xf>
    <xf numFmtId="0" fontId="25" fillId="0" borderId="42" xfId="2" applyFont="1" applyFill="1" applyBorder="1" applyAlignment="1">
      <alignment horizontal="center" vertical="center" wrapText="1"/>
    </xf>
    <xf numFmtId="0" fontId="25" fillId="0" borderId="47" xfId="2" applyFont="1" applyFill="1" applyBorder="1" applyAlignment="1">
      <alignment horizontal="center" vertical="center" wrapText="1"/>
    </xf>
    <xf numFmtId="0" fontId="23" fillId="0" borderId="0" xfId="2" applyFont="1" applyFill="1" applyAlignment="1">
      <alignment horizontal="center" vertical="center" wrapText="1"/>
    </xf>
    <xf numFmtId="0" fontId="23" fillId="0" borderId="10" xfId="2" applyFont="1" applyFill="1" applyBorder="1" applyAlignment="1">
      <alignment horizontal="center" vertical="center" wrapText="1"/>
    </xf>
    <xf numFmtId="0" fontId="25" fillId="0" borderId="38" xfId="2" applyFont="1" applyFill="1" applyBorder="1" applyAlignment="1">
      <alignment horizontal="center" vertical="center" wrapText="1"/>
    </xf>
    <xf numFmtId="0" fontId="25" fillId="0" borderId="39" xfId="2" applyFont="1" applyFill="1" applyBorder="1" applyAlignment="1">
      <alignment horizontal="center" vertical="center" wrapText="1"/>
    </xf>
    <xf numFmtId="0" fontId="25" fillId="0" borderId="9" xfId="2" applyFont="1" applyFill="1" applyBorder="1" applyAlignment="1">
      <alignment horizontal="center" vertical="center"/>
    </xf>
    <xf numFmtId="0" fontId="25" fillId="0" borderId="6" xfId="2" applyFont="1" applyFill="1" applyBorder="1" applyAlignment="1">
      <alignment horizontal="center" vertical="center"/>
    </xf>
    <xf numFmtId="0" fontId="25" fillId="0" borderId="40" xfId="2" applyFont="1" applyFill="1" applyBorder="1" applyAlignment="1">
      <alignment horizontal="center" vertical="center" wrapText="1"/>
    </xf>
    <xf numFmtId="0" fontId="25" fillId="0" borderId="45" xfId="2" applyFont="1" applyFill="1" applyBorder="1" applyAlignment="1">
      <alignment horizontal="center" vertical="center" wrapText="1"/>
    </xf>
    <xf numFmtId="0" fontId="25" fillId="0" borderId="31" xfId="2" applyFont="1" applyFill="1" applyBorder="1" applyAlignment="1">
      <alignment horizontal="center" vertical="center"/>
    </xf>
    <xf numFmtId="177" fontId="25" fillId="0" borderId="31" xfId="2" applyNumberFormat="1" applyFont="1" applyFill="1" applyBorder="1" applyAlignment="1">
      <alignment horizontal="center" vertical="center" wrapText="1"/>
    </xf>
    <xf numFmtId="177" fontId="25" fillId="0" borderId="13" xfId="2" applyNumberFormat="1" applyFont="1" applyFill="1" applyBorder="1" applyAlignment="1">
      <alignment horizontal="center" vertical="center" wrapText="1"/>
    </xf>
    <xf numFmtId="0" fontId="25" fillId="0" borderId="33" xfId="2" applyFont="1" applyFill="1" applyBorder="1" applyAlignment="1">
      <alignment horizontal="center" vertical="center"/>
    </xf>
    <xf numFmtId="0" fontId="23" fillId="0" borderId="48" xfId="0" applyFont="1" applyBorder="1" applyAlignment="1">
      <alignment horizontal="center" vertical="center"/>
    </xf>
    <xf numFmtId="0" fontId="23" fillId="0" borderId="35" xfId="0" applyFont="1" applyBorder="1" applyAlignment="1">
      <alignment horizontal="center" vertical="center"/>
    </xf>
    <xf numFmtId="0" fontId="22" fillId="0" borderId="0" xfId="2" applyFont="1" applyFill="1" applyBorder="1" applyAlignment="1">
      <alignment horizontal="center" vertical="center"/>
    </xf>
    <xf numFmtId="0" fontId="22" fillId="0" borderId="29" xfId="2" applyFont="1" applyFill="1" applyBorder="1" applyAlignment="1">
      <alignment horizontal="center" vertical="center"/>
    </xf>
    <xf numFmtId="0" fontId="21" fillId="0" borderId="48" xfId="2" applyFill="1" applyBorder="1" applyAlignment="1">
      <alignment horizontal="center" vertical="center"/>
    </xf>
    <xf numFmtId="0" fontId="21" fillId="0" borderId="35" xfId="2" applyFill="1" applyBorder="1" applyAlignment="1">
      <alignment horizontal="center" vertical="center"/>
    </xf>
    <xf numFmtId="0" fontId="21" fillId="0" borderId="53" xfId="2" applyFill="1" applyBorder="1" applyAlignment="1">
      <alignment horizontal="center" vertical="center"/>
    </xf>
    <xf numFmtId="0" fontId="25" fillId="0" borderId="32" xfId="2" applyFont="1" applyFill="1" applyBorder="1" applyAlignment="1">
      <alignment horizontal="center" vertical="center"/>
    </xf>
    <xf numFmtId="0" fontId="25" fillId="0" borderId="30" xfId="2" applyFont="1" applyFill="1" applyBorder="1" applyAlignment="1">
      <alignment horizontal="center" vertical="center"/>
    </xf>
    <xf numFmtId="0" fontId="25" fillId="0" borderId="31" xfId="2" applyFont="1" applyFill="1" applyBorder="1" applyAlignment="1">
      <alignment horizontal="center" vertical="center" wrapText="1"/>
    </xf>
    <xf numFmtId="0" fontId="25" fillId="0" borderId="13" xfId="2" applyFont="1" applyFill="1" applyBorder="1" applyAlignment="1">
      <alignment horizontal="center" vertical="center" wrapText="1"/>
    </xf>
    <xf numFmtId="0" fontId="28" fillId="0" borderId="32" xfId="3" applyFont="1" applyFill="1" applyBorder="1" applyAlignment="1">
      <alignment horizontal="center" vertical="center"/>
    </xf>
    <xf numFmtId="0" fontId="28" fillId="0" borderId="5" xfId="3" applyFont="1" applyFill="1" applyBorder="1" applyAlignment="1">
      <alignment horizontal="center" vertical="center"/>
    </xf>
    <xf numFmtId="0" fontId="28" fillId="0" borderId="30" xfId="3" applyFont="1" applyFill="1" applyBorder="1" applyAlignment="1">
      <alignment horizontal="center" vertical="center"/>
    </xf>
    <xf numFmtId="0" fontId="28" fillId="0" borderId="31" xfId="3" applyFont="1" applyFill="1" applyBorder="1" applyAlignment="1">
      <alignment horizontal="center" vertical="center" wrapText="1"/>
    </xf>
    <xf numFmtId="0" fontId="28" fillId="0" borderId="6" xfId="3" applyFont="1" applyFill="1" applyBorder="1" applyAlignment="1">
      <alignment horizontal="center" vertical="center" wrapText="1"/>
    </xf>
    <xf numFmtId="0" fontId="28" fillId="0" borderId="13" xfId="3" applyFont="1" applyFill="1" applyBorder="1" applyAlignment="1">
      <alignment horizontal="center" vertical="center" wrapText="1"/>
    </xf>
    <xf numFmtId="0" fontId="7" fillId="0" borderId="48" xfId="3" applyFont="1" applyFill="1" applyBorder="1" applyAlignment="1">
      <alignment horizontal="center" vertical="center" wrapText="1"/>
    </xf>
    <xf numFmtId="0" fontId="7" fillId="0" borderId="35" xfId="3" applyFont="1" applyFill="1" applyBorder="1" applyAlignment="1">
      <alignment horizontal="center" vertical="center" wrapText="1"/>
    </xf>
    <xf numFmtId="0" fontId="7" fillId="0" borderId="53" xfId="3" applyFont="1" applyFill="1" applyBorder="1" applyAlignment="1">
      <alignment horizontal="center" vertical="center" wrapText="1"/>
    </xf>
    <xf numFmtId="0" fontId="25" fillId="0" borderId="57" xfId="2" applyFont="1" applyFill="1" applyBorder="1" applyAlignment="1">
      <alignment horizontal="center" vertical="center"/>
    </xf>
    <xf numFmtId="0" fontId="25" fillId="0" borderId="12" xfId="2" applyFont="1" applyFill="1" applyBorder="1" applyAlignment="1">
      <alignment horizontal="center" vertical="center"/>
    </xf>
    <xf numFmtId="0" fontId="25" fillId="0" borderId="58" xfId="2" applyFont="1" applyFill="1" applyBorder="1" applyAlignment="1">
      <alignment horizontal="center" vertical="center"/>
    </xf>
    <xf numFmtId="0" fontId="28" fillId="0" borderId="48" xfId="3" applyFont="1" applyFill="1" applyBorder="1" applyAlignment="1">
      <alignment horizontal="center" vertical="center" wrapText="1"/>
    </xf>
    <xf numFmtId="0" fontId="28" fillId="0" borderId="35" xfId="3" applyFont="1" applyFill="1" applyBorder="1" applyAlignment="1">
      <alignment horizontal="center" vertical="center" wrapText="1"/>
    </xf>
    <xf numFmtId="0" fontId="28" fillId="0" borderId="53" xfId="3" applyFont="1" applyFill="1" applyBorder="1" applyAlignment="1">
      <alignment horizontal="center" vertical="center" wrapText="1"/>
    </xf>
    <xf numFmtId="0" fontId="28" fillId="0" borderId="57" xfId="3" applyFont="1" applyFill="1" applyBorder="1" applyAlignment="1">
      <alignment horizontal="center" vertical="center"/>
    </xf>
    <xf numFmtId="0" fontId="28" fillId="0" borderId="12" xfId="3" applyFont="1" applyFill="1" applyBorder="1" applyAlignment="1">
      <alignment horizontal="center" vertical="center"/>
    </xf>
    <xf numFmtId="0" fontId="28" fillId="0" borderId="58" xfId="3" applyFont="1" applyFill="1" applyBorder="1" applyAlignment="1">
      <alignment horizontal="center" vertical="center"/>
    </xf>
    <xf numFmtId="0" fontId="28" fillId="0" borderId="48" xfId="2" applyFont="1" applyFill="1" applyBorder="1" applyAlignment="1">
      <alignment horizontal="center" vertical="center"/>
    </xf>
    <xf numFmtId="0" fontId="28" fillId="0" borderId="35" xfId="2" applyFont="1" applyFill="1" applyBorder="1" applyAlignment="1">
      <alignment horizontal="center" vertical="center"/>
    </xf>
    <xf numFmtId="0" fontId="28" fillId="0" borderId="53" xfId="2" applyFont="1" applyFill="1" applyBorder="1" applyAlignment="1">
      <alignment horizontal="center" vertical="center"/>
    </xf>
    <xf numFmtId="0" fontId="23" fillId="0" borderId="57" xfId="2" applyFont="1" applyFill="1" applyBorder="1" applyAlignment="1">
      <alignment horizontal="center" vertical="center"/>
    </xf>
    <xf numFmtId="0" fontId="23" fillId="0" borderId="12" xfId="2" applyFont="1" applyFill="1" applyBorder="1" applyAlignment="1">
      <alignment horizontal="center" vertical="center"/>
    </xf>
    <xf numFmtId="0" fontId="23" fillId="0" borderId="58" xfId="2" applyFont="1" applyFill="1" applyBorder="1" applyAlignment="1">
      <alignment horizontal="center" vertical="center"/>
    </xf>
    <xf numFmtId="0" fontId="7" fillId="0" borderId="27" xfId="3" applyFont="1" applyFill="1" applyBorder="1" applyAlignment="1">
      <alignment horizontal="center" vertical="center" wrapText="1"/>
    </xf>
    <xf numFmtId="0" fontId="7" fillId="0" borderId="59" xfId="3" applyFont="1" applyFill="1" applyBorder="1" applyAlignment="1">
      <alignment horizontal="center" vertical="center" wrapText="1"/>
    </xf>
    <xf numFmtId="0" fontId="7" fillId="0" borderId="60" xfId="3" applyFont="1" applyFill="1" applyBorder="1" applyAlignment="1">
      <alignment horizontal="center" vertical="center" wrapText="1"/>
    </xf>
    <xf numFmtId="0" fontId="28" fillId="0" borderId="28" xfId="3" applyFont="1" applyFill="1" applyBorder="1" applyAlignment="1">
      <alignment horizontal="center" vertical="center"/>
    </xf>
    <xf numFmtId="0" fontId="28" fillId="0" borderId="0" xfId="3" applyFont="1" applyFill="1" applyBorder="1" applyAlignment="1">
      <alignment horizontal="center" vertical="center"/>
    </xf>
    <xf numFmtId="0" fontId="28" fillId="0" borderId="29" xfId="3" applyFont="1" applyFill="1" applyBorder="1" applyAlignment="1">
      <alignment horizontal="center" vertical="center"/>
    </xf>
    <xf numFmtId="0" fontId="6" fillId="0" borderId="0" xfId="36" applyFont="1" applyBorder="1" applyAlignment="1">
      <alignment horizontal="center"/>
    </xf>
    <xf numFmtId="0" fontId="2" fillId="0" borderId="0" xfId="36" applyFont="1" applyBorder="1" applyAlignment="1">
      <alignment horizontal="center"/>
    </xf>
    <xf numFmtId="179" fontId="3" fillId="0" borderId="0" xfId="36" applyNumberFormat="1" applyFont="1" applyBorder="1" applyAlignment="1">
      <alignment horizontal="center"/>
    </xf>
    <xf numFmtId="0" fontId="7" fillId="0" borderId="3" xfId="36" applyFont="1" applyBorder="1" applyAlignment="1">
      <alignment horizontal="center" vertical="center"/>
    </xf>
    <xf numFmtId="0" fontId="7" fillId="0" borderId="19" xfId="36" applyFont="1" applyBorder="1" applyAlignment="1">
      <alignment horizontal="center" vertical="center"/>
    </xf>
    <xf numFmtId="0" fontId="7" fillId="0" borderId="100" xfId="36" applyFont="1" applyBorder="1" applyAlignment="1">
      <alignment horizontal="right" vertical="center"/>
    </xf>
    <xf numFmtId="0" fontId="45" fillId="0" borderId="0" xfId="36" applyFont="1" applyBorder="1" applyAlignment="1">
      <alignment horizontal="center"/>
    </xf>
    <xf numFmtId="0" fontId="2" fillId="0" borderId="118" xfId="36" applyFont="1" applyBorder="1" applyAlignment="1">
      <alignment horizontal="left"/>
    </xf>
    <xf numFmtId="0" fontId="2" fillId="0" borderId="20" xfId="36" applyFont="1" applyBorder="1" applyAlignment="1">
      <alignment horizontal="left"/>
    </xf>
    <xf numFmtId="0" fontId="117" fillId="0" borderId="93" xfId="36" applyFont="1" applyBorder="1" applyAlignment="1">
      <alignment horizontal="center" vertical="center"/>
    </xf>
    <xf numFmtId="0" fontId="117" fillId="0" borderId="94" xfId="36" applyFont="1" applyBorder="1" applyAlignment="1">
      <alignment horizontal="center" vertical="center"/>
    </xf>
    <xf numFmtId="0" fontId="2" fillId="0" borderId="1" xfId="36" applyFont="1" applyBorder="1" applyAlignment="1">
      <alignment horizontal="center" vertical="center"/>
    </xf>
    <xf numFmtId="0" fontId="2" fillId="0" borderId="3" xfId="36" applyFont="1" applyBorder="1" applyAlignment="1">
      <alignment horizontal="center" vertical="center"/>
    </xf>
    <xf numFmtId="0" fontId="2" fillId="0" borderId="0" xfId="36" applyFont="1" applyAlignment="1">
      <alignment horizontal="center"/>
    </xf>
    <xf numFmtId="0" fontId="118" fillId="0" borderId="0" xfId="36" applyFont="1" applyAlignment="1">
      <alignment horizontal="center"/>
    </xf>
    <xf numFmtId="0" fontId="50" fillId="0" borderId="0" xfId="36" applyFont="1" applyAlignment="1">
      <alignment horizontal="right"/>
    </xf>
    <xf numFmtId="0" fontId="8" fillId="0" borderId="0" xfId="36" applyFont="1" applyAlignment="1">
      <alignment horizontal="center"/>
    </xf>
    <xf numFmtId="0" fontId="2" fillId="0" borderId="4" xfId="36" applyFont="1" applyBorder="1" applyAlignment="1">
      <alignment horizontal="center"/>
    </xf>
    <xf numFmtId="0" fontId="4" fillId="0" borderId="20" xfId="36" applyFont="1" applyBorder="1" applyAlignment="1">
      <alignment horizontal="center"/>
    </xf>
    <xf numFmtId="180" fontId="2" fillId="0" borderId="20" xfId="36" applyNumberFormat="1" applyFont="1" applyBorder="1" applyAlignment="1">
      <alignment horizontal="center"/>
    </xf>
    <xf numFmtId="0" fontId="123" fillId="0" borderId="4" xfId="36" applyFont="1" applyBorder="1" applyAlignment="1">
      <alignment horizontal="center" wrapText="1"/>
    </xf>
    <xf numFmtId="0" fontId="5" fillId="0" borderId="0" xfId="36" applyFont="1" applyBorder="1" applyAlignment="1">
      <alignment horizontal="center" vertical="center"/>
    </xf>
    <xf numFmtId="0" fontId="0" fillId="0" borderId="93" xfId="36" applyFont="1" applyBorder="1" applyAlignment="1">
      <alignment horizontal="center" vertical="center"/>
    </xf>
    <xf numFmtId="0" fontId="2" fillId="0" borderId="93" xfId="36" applyFont="1" applyBorder="1" applyAlignment="1">
      <alignment horizontal="center" vertical="center"/>
    </xf>
    <xf numFmtId="0" fontId="2" fillId="0" borderId="16" xfId="33" applyFont="1" applyFill="1" applyBorder="1" applyAlignment="1">
      <alignment horizontal="center" vertical="center" wrapText="1"/>
    </xf>
    <xf numFmtId="0" fontId="2" fillId="0" borderId="2" xfId="33" applyFont="1" applyFill="1" applyBorder="1" applyAlignment="1">
      <alignment horizontal="center" vertical="center" wrapText="1"/>
    </xf>
    <xf numFmtId="0" fontId="2" fillId="0" borderId="21" xfId="33" applyFont="1" applyFill="1" applyBorder="1" applyAlignment="1">
      <alignment horizontal="center" vertical="center" wrapText="1"/>
    </xf>
    <xf numFmtId="0" fontId="7" fillId="0" borderId="1" xfId="33" applyFont="1" applyFill="1" applyBorder="1" applyAlignment="1">
      <alignment horizontal="center" vertical="center"/>
    </xf>
    <xf numFmtId="179" fontId="7" fillId="0" borderId="4" xfId="33" applyNumberFormat="1" applyFont="1" applyFill="1" applyBorder="1" applyAlignment="1">
      <alignment horizontal="center" vertical="center"/>
    </xf>
    <xf numFmtId="0" fontId="7" fillId="0" borderId="4" xfId="33" applyFont="1" applyFill="1" applyBorder="1" applyAlignment="1">
      <alignment horizontal="center" vertical="center"/>
    </xf>
    <xf numFmtId="43" fontId="7" fillId="0" borderId="1" xfId="39" applyFont="1" applyFill="1" applyBorder="1" applyAlignment="1">
      <alignment horizontal="center" vertical="center" wrapText="1"/>
    </xf>
    <xf numFmtId="0" fontId="7" fillId="0" borderId="0" xfId="33" applyFont="1" applyFill="1" applyAlignment="1">
      <alignment horizontal="center" vertical="center"/>
    </xf>
    <xf numFmtId="0" fontId="7" fillId="0" borderId="0" xfId="33" applyFont="1" applyFill="1" applyBorder="1" applyAlignment="1">
      <alignment horizontal="center" vertical="center"/>
    </xf>
    <xf numFmtId="182" fontId="7" fillId="0" borderId="1" xfId="33" applyNumberFormat="1" applyFont="1" applyFill="1" applyBorder="1" applyAlignment="1">
      <alignment horizontal="center" vertical="center" wrapText="1"/>
    </xf>
    <xf numFmtId="182" fontId="7" fillId="0" borderId="1" xfId="33" applyNumberFormat="1" applyFont="1" applyFill="1" applyBorder="1" applyAlignment="1">
      <alignment horizontal="center" vertical="center"/>
    </xf>
    <xf numFmtId="43" fontId="7" fillId="0" borderId="20" xfId="39" applyFont="1" applyFill="1" applyBorder="1" applyAlignment="1">
      <alignment horizontal="center" vertical="center" wrapText="1"/>
    </xf>
    <xf numFmtId="0" fontId="7" fillId="0" borderId="3" xfId="33" applyFont="1" applyFill="1" applyBorder="1" applyAlignment="1">
      <alignment horizontal="center" vertical="center"/>
    </xf>
    <xf numFmtId="0" fontId="7" fillId="0" borderId="19" xfId="33" applyFont="1" applyFill="1" applyBorder="1" applyAlignment="1">
      <alignment horizontal="center" vertical="center"/>
    </xf>
    <xf numFmtId="0" fontId="7" fillId="0" borderId="20" xfId="33" applyFont="1" applyFill="1" applyBorder="1" applyAlignment="1">
      <alignment horizontal="center" vertical="center"/>
    </xf>
    <xf numFmtId="0" fontId="109" fillId="8" borderId="1" xfId="33" applyFont="1" applyFill="1" applyBorder="1" applyAlignment="1">
      <alignment horizontal="center" vertical="center"/>
    </xf>
    <xf numFmtId="0" fontId="7" fillId="0" borderId="96" xfId="33" applyFont="1" applyFill="1" applyBorder="1" applyAlignment="1">
      <alignment horizontal="center" vertical="center" wrapText="1"/>
    </xf>
    <xf numFmtId="0" fontId="7" fillId="0" borderId="97" xfId="33" applyFont="1" applyFill="1" applyBorder="1" applyAlignment="1">
      <alignment horizontal="center" vertical="center" wrapText="1"/>
    </xf>
    <xf numFmtId="0" fontId="7" fillId="0" borderId="104" xfId="33" applyFont="1" applyFill="1" applyBorder="1" applyAlignment="1">
      <alignment horizontal="center" vertical="center"/>
    </xf>
    <xf numFmtId="0" fontId="7" fillId="0" borderId="114" xfId="33" applyFont="1" applyFill="1" applyBorder="1" applyAlignment="1">
      <alignment horizontal="center" vertical="center"/>
    </xf>
    <xf numFmtId="0" fontId="7" fillId="0" borderId="115" xfId="33" applyFont="1" applyFill="1" applyBorder="1" applyAlignment="1">
      <alignment horizontal="center" vertical="center" wrapText="1"/>
    </xf>
    <xf numFmtId="0" fontId="7" fillId="0" borderId="15" xfId="33" applyFont="1" applyFill="1" applyBorder="1" applyAlignment="1">
      <alignment horizontal="center" vertical="center" wrapText="1"/>
    </xf>
    <xf numFmtId="0" fontId="2" fillId="0" borderId="3" xfId="33" applyFont="1" applyFill="1" applyBorder="1" applyAlignment="1">
      <alignment horizontal="center" vertical="center"/>
    </xf>
    <xf numFmtId="0" fontId="2" fillId="0" borderId="20" xfId="33" applyFont="1" applyFill="1" applyBorder="1" applyAlignment="1">
      <alignment horizontal="center" vertical="center"/>
    </xf>
    <xf numFmtId="0" fontId="2" fillId="0" borderId="19" xfId="33" applyFont="1" applyFill="1" applyBorder="1" applyAlignment="1">
      <alignment horizontal="center" vertical="center"/>
    </xf>
    <xf numFmtId="0" fontId="7" fillId="0" borderId="1" xfId="33" applyFont="1" applyFill="1" applyBorder="1" applyAlignment="1">
      <alignment horizontal="center" vertical="center" wrapText="1"/>
    </xf>
    <xf numFmtId="0" fontId="7" fillId="0" borderId="24" xfId="33" applyFont="1" applyFill="1" applyBorder="1" applyAlignment="1">
      <alignment horizontal="center" vertical="center" wrapText="1"/>
    </xf>
    <xf numFmtId="0" fontId="7" fillId="0" borderId="0" xfId="33" applyFont="1" applyAlignment="1">
      <alignment horizontal="center" vertical="center"/>
    </xf>
    <xf numFmtId="0" fontId="7" fillId="0" borderId="29" xfId="33" applyFont="1" applyFill="1" applyBorder="1" applyAlignment="1">
      <alignment horizontal="center" vertical="center"/>
    </xf>
    <xf numFmtId="0" fontId="7" fillId="0" borderId="93" xfId="33" applyFont="1" applyFill="1" applyBorder="1" applyAlignment="1">
      <alignment horizontal="center" vertical="center"/>
    </xf>
    <xf numFmtId="0" fontId="7" fillId="0" borderId="0" xfId="33" applyFont="1" applyAlignment="1">
      <alignment horizontal="center"/>
    </xf>
    <xf numFmtId="0" fontId="7" fillId="0" borderId="22" xfId="33" applyFont="1" applyFill="1" applyBorder="1" applyAlignment="1">
      <alignment horizontal="center" vertical="center"/>
    </xf>
    <xf numFmtId="0" fontId="7" fillId="0" borderId="23" xfId="33" applyFont="1" applyFill="1" applyBorder="1" applyAlignment="1">
      <alignment horizontal="center" vertical="center"/>
    </xf>
    <xf numFmtId="0" fontId="7" fillId="0" borderId="16" xfId="33" applyFont="1" applyFill="1" applyBorder="1" applyAlignment="1">
      <alignment horizontal="center" vertical="center"/>
    </xf>
    <xf numFmtId="0" fontId="7" fillId="0" borderId="96" xfId="33" applyFont="1" applyFill="1" applyBorder="1" applyAlignment="1">
      <alignment horizontal="center" vertical="center"/>
    </xf>
    <xf numFmtId="0" fontId="7" fillId="0" borderId="113" xfId="33" applyFont="1" applyFill="1" applyBorder="1" applyAlignment="1">
      <alignment horizontal="center" vertical="center"/>
    </xf>
    <xf numFmtId="0" fontId="7" fillId="0" borderId="21" xfId="33" applyFont="1" applyFill="1" applyBorder="1" applyAlignment="1">
      <alignment horizontal="center" vertical="center"/>
    </xf>
    <xf numFmtId="182" fontId="7" fillId="0" borderId="93" xfId="33" applyNumberFormat="1" applyFont="1" applyFill="1" applyBorder="1" applyAlignment="1">
      <alignment horizontal="center" vertical="center"/>
    </xf>
    <xf numFmtId="0" fontId="7" fillId="0" borderId="113" xfId="33" applyFont="1" applyFill="1" applyBorder="1" applyAlignment="1">
      <alignment horizontal="center" vertical="center" wrapText="1"/>
    </xf>
    <xf numFmtId="0" fontId="7" fillId="0" borderId="21" xfId="33" applyFont="1" applyFill="1" applyBorder="1" applyAlignment="1">
      <alignment horizontal="center" vertical="center" wrapText="1"/>
    </xf>
    <xf numFmtId="0" fontId="7" fillId="0" borderId="28" xfId="33" applyFont="1" applyFill="1" applyBorder="1" applyAlignment="1">
      <alignment horizontal="center" vertical="center"/>
    </xf>
    <xf numFmtId="0" fontId="7" fillId="0" borderId="87" xfId="33" applyFont="1" applyFill="1" applyBorder="1" applyAlignment="1">
      <alignment horizontal="center" vertical="center" wrapText="1"/>
    </xf>
    <xf numFmtId="0" fontId="7" fillId="0" borderId="116" xfId="33" applyFont="1" applyFill="1" applyBorder="1" applyAlignment="1">
      <alignment horizontal="center" vertical="center" wrapText="1"/>
    </xf>
    <xf numFmtId="0" fontId="7" fillId="0" borderId="3" xfId="33" applyFont="1" applyFill="1" applyBorder="1" applyAlignment="1">
      <alignment horizontal="center" vertical="center" wrapText="1"/>
    </xf>
    <xf numFmtId="0" fontId="7" fillId="0" borderId="19" xfId="33" applyFont="1" applyFill="1" applyBorder="1" applyAlignment="1">
      <alignment horizontal="center" vertical="center" wrapText="1"/>
    </xf>
    <xf numFmtId="0" fontId="23" fillId="0" borderId="16" xfId="0" applyFont="1" applyBorder="1" applyAlignment="1">
      <alignment horizontal="center" vertical="center" wrapText="1"/>
    </xf>
    <xf numFmtId="0" fontId="23" fillId="0" borderId="21" xfId="0" applyFont="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1" xfId="0" applyFont="1" applyBorder="1" applyAlignment="1">
      <alignment horizontal="center" vertical="center"/>
    </xf>
    <xf numFmtId="0" fontId="119" fillId="0" borderId="1" xfId="0" applyFont="1" applyBorder="1" applyAlignment="1">
      <alignment horizontal="center" vertical="center"/>
    </xf>
    <xf numFmtId="180" fontId="23" fillId="0" borderId="1" xfId="0" applyNumberFormat="1" applyFont="1" applyBorder="1" applyAlignment="1">
      <alignment horizontal="center" vertical="center"/>
    </xf>
    <xf numFmtId="0" fontId="23" fillId="0" borderId="1" xfId="0" applyFont="1" applyBorder="1" applyAlignment="1">
      <alignment horizontal="center" vertical="center" wrapText="1"/>
    </xf>
    <xf numFmtId="0" fontId="2" fillId="0" borderId="0" xfId="38" applyFont="1" applyBorder="1" applyAlignment="1">
      <alignment horizontal="center"/>
    </xf>
    <xf numFmtId="0" fontId="45" fillId="0" borderId="0" xfId="38" applyFont="1" applyBorder="1" applyAlignment="1">
      <alignment horizontal="center"/>
    </xf>
    <xf numFmtId="0" fontId="6" fillId="0" borderId="0" xfId="38" applyFont="1" applyBorder="1" applyAlignment="1">
      <alignment horizontal="center"/>
    </xf>
    <xf numFmtId="179" fontId="3" fillId="0" borderId="0" xfId="38" applyNumberFormat="1" applyFont="1" applyBorder="1" applyAlignment="1">
      <alignment horizontal="center"/>
    </xf>
    <xf numFmtId="0" fontId="7" fillId="0" borderId="1" xfId="38" applyFont="1" applyBorder="1" applyAlignment="1">
      <alignment horizontal="center" vertical="center"/>
    </xf>
    <xf numFmtId="0" fontId="7" fillId="0" borderId="100" xfId="38" applyFont="1" applyBorder="1" applyAlignment="1">
      <alignment horizontal="right" vertical="center"/>
    </xf>
    <xf numFmtId="0" fontId="2" fillId="0" borderId="117" xfId="36" applyFont="1" applyBorder="1" applyAlignment="1">
      <alignment horizontal="left"/>
    </xf>
    <xf numFmtId="0" fontId="5" fillId="0" borderId="0" xfId="38" applyFont="1" applyBorder="1" applyAlignment="1">
      <alignment horizontal="center" vertical="center"/>
    </xf>
    <xf numFmtId="0" fontId="0" fillId="0" borderId="93" xfId="38" applyFont="1" applyBorder="1" applyAlignment="1">
      <alignment horizontal="center" vertical="center"/>
    </xf>
    <xf numFmtId="0" fontId="2" fillId="0" borderId="93" xfId="38" applyFont="1" applyBorder="1" applyAlignment="1">
      <alignment horizontal="center" vertical="center"/>
    </xf>
    <xf numFmtId="0" fontId="54" fillId="0" borderId="93" xfId="38" applyFont="1" applyBorder="1" applyAlignment="1">
      <alignment horizontal="center" vertical="center"/>
    </xf>
    <xf numFmtId="0" fontId="54" fillId="0" borderId="94" xfId="38" applyFont="1" applyBorder="1" applyAlignment="1">
      <alignment horizontal="center" vertical="center"/>
    </xf>
    <xf numFmtId="0" fontId="2" fillId="0" borderId="1" xfId="38" applyFont="1" applyBorder="1" applyAlignment="1">
      <alignment horizontal="center" vertical="center"/>
    </xf>
    <xf numFmtId="0" fontId="2" fillId="0" borderId="98" xfId="36" applyFont="1" applyBorder="1" applyAlignment="1">
      <alignment horizontal="center" vertical="center"/>
    </xf>
    <xf numFmtId="0" fontId="2" fillId="0" borderId="0" xfId="38" applyFont="1" applyAlignment="1">
      <alignment horizontal="center"/>
    </xf>
    <xf numFmtId="0" fontId="50" fillId="0" borderId="0" xfId="38" applyFont="1" applyAlignment="1">
      <alignment horizontal="right"/>
    </xf>
    <xf numFmtId="0" fontId="8" fillId="0" borderId="0" xfId="38" applyFont="1" applyAlignment="1">
      <alignment horizontal="center"/>
    </xf>
    <xf numFmtId="0" fontId="2" fillId="0" borderId="4" xfId="38" applyFont="1" applyBorder="1" applyAlignment="1">
      <alignment horizontal="center"/>
    </xf>
    <xf numFmtId="0" fontId="2" fillId="0" borderId="3" xfId="38" applyFont="1" applyBorder="1" applyAlignment="1">
      <alignment horizontal="center"/>
    </xf>
    <xf numFmtId="0" fontId="2" fillId="0" borderId="19" xfId="38" applyFont="1" applyBorder="1" applyAlignment="1">
      <alignment horizontal="center"/>
    </xf>
    <xf numFmtId="0" fontId="4" fillId="0" borderId="20" xfId="38" applyFont="1" applyBorder="1" applyAlignment="1">
      <alignment horizontal="center"/>
    </xf>
    <xf numFmtId="180" fontId="2" fillId="0" borderId="3" xfId="38" applyNumberFormat="1" applyFont="1" applyBorder="1" applyAlignment="1">
      <alignment horizontal="center"/>
    </xf>
    <xf numFmtId="180" fontId="2" fillId="0" borderId="20" xfId="38" applyNumberFormat="1" applyFont="1" applyBorder="1" applyAlignment="1">
      <alignment horizontal="center"/>
    </xf>
    <xf numFmtId="0" fontId="124" fillId="0" borderId="4" xfId="36" applyFont="1" applyBorder="1" applyAlignment="1">
      <alignment horizontal="center" wrapText="1"/>
    </xf>
    <xf numFmtId="179" fontId="2" fillId="0" borderId="4" xfId="33" applyNumberFormat="1" applyFont="1" applyFill="1" applyBorder="1" applyAlignment="1">
      <alignment horizontal="center" vertical="center"/>
    </xf>
    <xf numFmtId="0" fontId="2" fillId="0" borderId="4" xfId="33" applyFont="1" applyFill="1" applyBorder="1" applyAlignment="1">
      <alignment horizontal="center" vertical="center"/>
    </xf>
    <xf numFmtId="0" fontId="9" fillId="0" borderId="0" xfId="33" applyFont="1" applyFill="1" applyAlignment="1">
      <alignment horizontal="center" vertical="center"/>
    </xf>
    <xf numFmtId="0" fontId="2" fillId="0" borderId="0" xfId="33" applyFont="1" applyFill="1" applyBorder="1" applyAlignment="1">
      <alignment horizontal="center" vertical="center"/>
    </xf>
    <xf numFmtId="0" fontId="0" fillId="0" borderId="0" xfId="33" applyFont="1" applyBorder="1" applyAlignment="1">
      <alignment horizontal="center" vertical="center" wrapText="1"/>
    </xf>
    <xf numFmtId="0" fontId="47" fillId="0" borderId="0" xfId="33" applyFont="1" applyAlignment="1">
      <alignment horizontal="center" vertical="center"/>
    </xf>
    <xf numFmtId="0" fontId="2" fillId="0" borderId="94" xfId="33" applyFont="1" applyFill="1" applyBorder="1" applyAlignment="1">
      <alignment horizontal="center" vertical="center"/>
    </xf>
    <xf numFmtId="0" fontId="2" fillId="0" borderId="98" xfId="33" applyFont="1" applyFill="1" applyBorder="1" applyAlignment="1">
      <alignment horizontal="center" vertical="center"/>
    </xf>
    <xf numFmtId="0" fontId="2" fillId="0" borderId="97" xfId="33" applyFont="1" applyBorder="1" applyAlignment="1">
      <alignment horizontal="center"/>
    </xf>
    <xf numFmtId="0" fontId="2" fillId="0" borderId="1" xfId="33" applyFont="1" applyBorder="1" applyAlignment="1">
      <alignment horizontal="center"/>
    </xf>
    <xf numFmtId="0" fontId="2" fillId="0" borderId="1" xfId="33" applyFont="1" applyFill="1" applyBorder="1" applyAlignment="1">
      <alignment horizontal="center" vertical="center"/>
    </xf>
    <xf numFmtId="0" fontId="2" fillId="0" borderId="96" xfId="33" applyFont="1" applyFill="1" applyBorder="1" applyAlignment="1">
      <alignment horizontal="center" vertical="center"/>
    </xf>
    <xf numFmtId="0" fontId="2" fillId="0" borderId="93" xfId="33" applyFont="1" applyFill="1" applyBorder="1" applyAlignment="1">
      <alignment horizontal="center" vertical="center"/>
    </xf>
    <xf numFmtId="182" fontId="2" fillId="0" borderId="93" xfId="33" applyNumberFormat="1" applyFont="1" applyFill="1" applyBorder="1" applyAlignment="1">
      <alignment horizontal="center" vertical="center"/>
    </xf>
    <xf numFmtId="182" fontId="2" fillId="0" borderId="1" xfId="33" applyNumberFormat="1" applyFont="1" applyFill="1" applyBorder="1" applyAlignment="1">
      <alignment horizontal="center" vertical="center"/>
    </xf>
    <xf numFmtId="0" fontId="2" fillId="0" borderId="93" xfId="33" applyFont="1" applyFill="1" applyBorder="1" applyAlignment="1">
      <alignment horizontal="center" vertical="center" wrapText="1"/>
    </xf>
    <xf numFmtId="0" fontId="2" fillId="0" borderId="1" xfId="33" applyFont="1" applyFill="1" applyBorder="1" applyAlignment="1">
      <alignment horizontal="center" vertical="center" wrapText="1"/>
    </xf>
    <xf numFmtId="0" fontId="112" fillId="0" borderId="1" xfId="33" applyFont="1" applyFill="1" applyBorder="1" applyAlignment="1">
      <alignment horizontal="center" vertical="center" wrapText="1"/>
    </xf>
    <xf numFmtId="0" fontId="112" fillId="0" borderId="1" xfId="33" applyFont="1" applyFill="1" applyBorder="1" applyAlignment="1">
      <alignment horizontal="center" vertical="center"/>
    </xf>
    <xf numFmtId="0" fontId="21" fillId="0" borderId="3" xfId="0" applyNumberFormat="1" applyFont="1" applyBorder="1" applyAlignment="1">
      <alignment horizontal="center" vertical="center"/>
    </xf>
    <xf numFmtId="0" fontId="21" fillId="0" borderId="20" xfId="0" applyNumberFormat="1" applyFont="1" applyBorder="1" applyAlignment="1">
      <alignment horizontal="center" vertical="center"/>
    </xf>
    <xf numFmtId="0" fontId="21" fillId="0" borderId="19" xfId="0" applyNumberFormat="1" applyFont="1" applyBorder="1" applyAlignment="1">
      <alignment horizontal="center" vertical="center"/>
    </xf>
    <xf numFmtId="0" fontId="34" fillId="0" borderId="1" xfId="3" applyFont="1" applyBorder="1" applyAlignment="1">
      <alignment horizontal="center" vertical="center"/>
    </xf>
    <xf numFmtId="0" fontId="34" fillId="2" borderId="1" xfId="5" applyFont="1" applyFill="1" applyBorder="1" applyAlignment="1">
      <alignment horizontal="center" vertical="center"/>
    </xf>
    <xf numFmtId="0" fontId="34" fillId="0" borderId="1" xfId="5" applyFont="1" applyFill="1" applyBorder="1" applyAlignment="1">
      <alignment horizontal="center" vertical="center"/>
    </xf>
    <xf numFmtId="0" fontId="34" fillId="0" borderId="1" xfId="5" applyFont="1" applyBorder="1" applyAlignment="1">
      <alignment horizontal="center" vertical="center"/>
    </xf>
    <xf numFmtId="14" fontId="34" fillId="0" borderId="1" xfId="5" applyNumberFormat="1" applyFont="1" applyBorder="1" applyAlignment="1">
      <alignment horizontal="center" vertical="center"/>
    </xf>
    <xf numFmtId="0" fontId="34" fillId="0" borderId="3" xfId="4" applyFont="1" applyBorder="1" applyAlignment="1">
      <alignment horizontal="center"/>
    </xf>
    <xf numFmtId="0" fontId="34" fillId="0" borderId="19" xfId="4" applyFont="1" applyBorder="1" applyAlignment="1">
      <alignment horizontal="center"/>
    </xf>
    <xf numFmtId="0" fontId="34" fillId="0" borderId="1" xfId="32" applyFont="1" applyBorder="1" applyAlignment="1">
      <alignment horizontal="center" vertical="center"/>
    </xf>
    <xf numFmtId="0" fontId="32" fillId="0" borderId="4" xfId="4" applyFont="1" applyFill="1" applyBorder="1" applyAlignment="1">
      <alignment horizontal="center" vertical="center"/>
    </xf>
    <xf numFmtId="0" fontId="107" fillId="2" borderId="1" xfId="5" applyFont="1" applyFill="1" applyBorder="1" applyAlignment="1">
      <alignment horizontal="center" vertical="center"/>
    </xf>
    <xf numFmtId="179" fontId="3" fillId="0" borderId="0" xfId="31" applyNumberFormat="1" applyFont="1" applyBorder="1" applyAlignment="1">
      <alignment horizontal="center"/>
    </xf>
    <xf numFmtId="0" fontId="2" fillId="0" borderId="8" xfId="31" applyFont="1" applyBorder="1" applyAlignment="1">
      <alignment horizontal="center" vertical="center"/>
    </xf>
    <xf numFmtId="0" fontId="2" fillId="0" borderId="9" xfId="31" applyFont="1" applyBorder="1" applyAlignment="1">
      <alignment horizontal="center" vertical="center"/>
    </xf>
    <xf numFmtId="0" fontId="2" fillId="0" borderId="80" xfId="31" applyFont="1" applyBorder="1" applyAlignment="1">
      <alignment horizontal="center" vertical="center"/>
    </xf>
    <xf numFmtId="0" fontId="2" fillId="0" borderId="79" xfId="31" applyFont="1" applyBorder="1" applyAlignment="1">
      <alignment horizontal="center" vertical="center"/>
    </xf>
    <xf numFmtId="0" fontId="2" fillId="0" borderId="83" xfId="31" applyFont="1" applyBorder="1" applyAlignment="1">
      <alignment horizontal="center" vertical="center"/>
    </xf>
    <xf numFmtId="0" fontId="2" fillId="0" borderId="82" xfId="31" applyFont="1" applyBorder="1" applyAlignment="1">
      <alignment horizontal="center" vertical="center"/>
    </xf>
    <xf numFmtId="0" fontId="45" fillId="0" borderId="0" xfId="31" applyFont="1" applyBorder="1" applyAlignment="1">
      <alignment horizontal="center"/>
    </xf>
    <xf numFmtId="0" fontId="2" fillId="0" borderId="0" xfId="31" applyFont="1" applyBorder="1" applyAlignment="1">
      <alignment horizontal="center"/>
    </xf>
    <xf numFmtId="0" fontId="6" fillId="0" borderId="0" xfId="31" applyFont="1" applyBorder="1" applyAlignment="1">
      <alignment horizontal="center"/>
    </xf>
    <xf numFmtId="0" fontId="2" fillId="8" borderId="0" xfId="31" applyFont="1" applyFill="1" applyBorder="1" applyAlignment="1">
      <alignment horizontal="center"/>
    </xf>
    <xf numFmtId="0" fontId="19" fillId="0" borderId="8" xfId="31" applyFont="1" applyBorder="1" applyAlignment="1">
      <alignment horizontal="center" vertical="center"/>
    </xf>
    <xf numFmtId="0" fontId="19" fillId="0" borderId="80" xfId="31" applyFont="1" applyBorder="1" applyAlignment="1">
      <alignment horizontal="center" vertical="center"/>
    </xf>
    <xf numFmtId="0" fontId="2" fillId="0" borderId="0" xfId="31" applyFont="1" applyAlignment="1">
      <alignment horizontal="center"/>
    </xf>
    <xf numFmtId="0" fontId="4" fillId="0" borderId="20" xfId="31" applyFont="1" applyBorder="1" applyAlignment="1">
      <alignment horizontal="center"/>
    </xf>
    <xf numFmtId="14" fontId="2" fillId="0" borderId="20" xfId="31" applyNumberFormat="1" applyFont="1" applyBorder="1" applyAlignment="1">
      <alignment horizontal="center"/>
    </xf>
    <xf numFmtId="0" fontId="2" fillId="0" borderId="20" xfId="31" applyFont="1" applyBorder="1" applyAlignment="1">
      <alignment horizontal="center"/>
    </xf>
    <xf numFmtId="0" fontId="72" fillId="0" borderId="4" xfId="31" applyFont="1" applyBorder="1" applyAlignment="1">
      <alignment horizontal="center"/>
    </xf>
    <xf numFmtId="0" fontId="0" fillId="0" borderId="31" xfId="31" applyFont="1" applyBorder="1" applyAlignment="1">
      <alignment horizontal="center" vertical="center"/>
    </xf>
    <xf numFmtId="0" fontId="2" fillId="0" borderId="31" xfId="31" applyFont="1" applyBorder="1" applyAlignment="1">
      <alignment horizontal="center" vertical="center"/>
    </xf>
    <xf numFmtId="0" fontId="71" fillId="0" borderId="85" xfId="31" applyFont="1" applyBorder="1" applyAlignment="1">
      <alignment horizontal="center" vertical="center"/>
    </xf>
    <xf numFmtId="0" fontId="71" fillId="0" borderId="86" xfId="31" applyFont="1" applyBorder="1" applyAlignment="1">
      <alignment horizontal="center" vertical="center"/>
    </xf>
    <xf numFmtId="0" fontId="71" fillId="0" borderId="92" xfId="31" applyFont="1" applyBorder="1" applyAlignment="1">
      <alignment horizontal="center" vertical="center"/>
    </xf>
    <xf numFmtId="0" fontId="70" fillId="0" borderId="0" xfId="31" applyFont="1" applyAlignment="1">
      <alignment horizontal="right"/>
    </xf>
    <xf numFmtId="0" fontId="8" fillId="0" borderId="0" xfId="31" applyFont="1" applyAlignment="1">
      <alignment horizontal="center"/>
    </xf>
    <xf numFmtId="0" fontId="2" fillId="0" borderId="4" xfId="31" applyFont="1" applyBorder="1" applyAlignment="1">
      <alignment horizontal="center"/>
    </xf>
    <xf numFmtId="0" fontId="2" fillId="0" borderId="0" xfId="29" applyFont="1" applyFill="1" applyAlignment="1">
      <alignment horizontal="center" vertical="center"/>
    </xf>
    <xf numFmtId="179" fontId="2" fillId="0" borderId="4" xfId="29" applyNumberFormat="1" applyFont="1" applyFill="1" applyBorder="1" applyAlignment="1">
      <alignment horizontal="center" vertical="center"/>
    </xf>
    <xf numFmtId="0" fontId="2" fillId="0" borderId="0" xfId="29" applyFont="1" applyFill="1" applyAlignment="1">
      <alignment horizontal="right" vertical="center"/>
    </xf>
    <xf numFmtId="0" fontId="2" fillId="0" borderId="4" xfId="29" applyFont="1" applyFill="1" applyBorder="1" applyAlignment="1">
      <alignment horizontal="center" vertical="center"/>
    </xf>
    <xf numFmtId="0" fontId="2" fillId="0" borderId="6" xfId="29" applyFont="1" applyFill="1" applyBorder="1" applyAlignment="1">
      <alignment horizontal="center" vertical="center"/>
    </xf>
    <xf numFmtId="0" fontId="2" fillId="0" borderId="6" xfId="29" applyFont="1" applyFill="1" applyBorder="1" applyAlignment="1">
      <alignment horizontal="center" vertical="center" wrapText="1"/>
    </xf>
    <xf numFmtId="0" fontId="71" fillId="0" borderId="6" xfId="29" applyFont="1" applyFill="1" applyBorder="1" applyAlignment="1">
      <alignment horizontal="center" vertical="center"/>
    </xf>
    <xf numFmtId="0" fontId="2" fillId="0" borderId="8" xfId="29" applyFont="1" applyFill="1" applyBorder="1" applyAlignment="1">
      <alignment horizontal="center" vertical="center"/>
    </xf>
    <xf numFmtId="0" fontId="2" fillId="0" borderId="18" xfId="29" applyFont="1" applyFill="1" applyBorder="1" applyAlignment="1">
      <alignment horizontal="center" vertical="center"/>
    </xf>
    <xf numFmtId="0" fontId="2" fillId="0" borderId="9" xfId="29" applyFont="1" applyFill="1" applyBorder="1" applyAlignment="1">
      <alignment horizontal="center" vertical="center"/>
    </xf>
    <xf numFmtId="0" fontId="2" fillId="0" borderId="34" xfId="29" applyFont="1" applyFill="1" applyBorder="1" applyAlignment="1">
      <alignment horizontal="center" vertical="center" wrapText="1"/>
    </xf>
    <xf numFmtId="0" fontId="2" fillId="0" borderId="35" xfId="29" applyFont="1" applyFill="1" applyBorder="1" applyAlignment="1">
      <alignment horizontal="center" vertical="center" wrapText="1"/>
    </xf>
    <xf numFmtId="0" fontId="2" fillId="0" borderId="36" xfId="29" applyFont="1" applyFill="1" applyBorder="1" applyAlignment="1">
      <alignment horizontal="center" vertical="center" wrapText="1"/>
    </xf>
    <xf numFmtId="0" fontId="71" fillId="0" borderId="6" xfId="29" applyFont="1" applyFill="1" applyBorder="1" applyAlignment="1">
      <alignment horizontal="center" vertical="center" wrapText="1"/>
    </xf>
    <xf numFmtId="176" fontId="2" fillId="0" borderId="6" xfId="29" applyNumberFormat="1" applyFont="1" applyFill="1" applyBorder="1" applyAlignment="1">
      <alignment horizontal="center" vertical="center"/>
    </xf>
    <xf numFmtId="178" fontId="2" fillId="0" borderId="6" xfId="29" applyNumberFormat="1" applyFont="1" applyFill="1" applyBorder="1" applyAlignment="1">
      <alignment horizontal="center" vertical="center"/>
    </xf>
    <xf numFmtId="0" fontId="2" fillId="0" borderId="0" xfId="29" applyFont="1" applyBorder="1" applyAlignment="1">
      <alignment horizontal="center"/>
    </xf>
    <xf numFmtId="0" fontId="7" fillId="0" borderId="6" xfId="29" applyFont="1" applyFill="1" applyBorder="1" applyAlignment="1">
      <alignment horizontal="center" vertical="center"/>
    </xf>
    <xf numFmtId="0" fontId="2" fillId="0" borderId="0" xfId="29" applyFont="1" applyAlignment="1">
      <alignment horizontal="center"/>
    </xf>
    <xf numFmtId="0" fontId="4" fillId="0" borderId="0" xfId="29" applyFont="1" applyBorder="1" applyAlignment="1">
      <alignment horizontal="center"/>
    </xf>
    <xf numFmtId="14" fontId="2" fillId="0" borderId="6" xfId="29" applyNumberFormat="1" applyFont="1" applyFill="1" applyBorder="1" applyAlignment="1">
      <alignment horizontal="center" vertical="center"/>
    </xf>
    <xf numFmtId="0" fontId="6" fillId="0" borderId="0" xfId="29" applyFont="1" applyAlignment="1">
      <alignment horizontal="center" vertical="center"/>
    </xf>
    <xf numFmtId="179" fontId="3" fillId="0" borderId="6" xfId="29" applyNumberFormat="1" applyFont="1" applyFill="1" applyBorder="1" applyAlignment="1">
      <alignment horizontal="left" vertical="center"/>
    </xf>
    <xf numFmtId="0" fontId="59" fillId="0" borderId="0" xfId="27" applyFont="1" applyBorder="1" applyAlignment="1">
      <alignment horizontal="center" vertical="center"/>
    </xf>
    <xf numFmtId="0" fontId="6" fillId="0" borderId="0" xfId="27" applyFont="1" applyBorder="1" applyAlignment="1">
      <alignment horizontal="center"/>
    </xf>
    <xf numFmtId="0" fontId="58" fillId="0" borderId="0" xfId="27" applyFont="1" applyBorder="1" applyAlignment="1">
      <alignment horizontal="center"/>
    </xf>
    <xf numFmtId="0" fontId="48" fillId="0" borderId="0" xfId="27" applyFont="1" applyBorder="1" applyAlignment="1">
      <alignment horizontal="center"/>
    </xf>
    <xf numFmtId="179" fontId="49" fillId="0" borderId="0" xfId="27" applyNumberFormat="1" applyFont="1" applyBorder="1" applyAlignment="1">
      <alignment horizontal="center"/>
    </xf>
    <xf numFmtId="0" fontId="53" fillId="0" borderId="8" xfId="27" applyFont="1" applyBorder="1" applyAlignment="1">
      <alignment horizontal="center" vertical="center"/>
    </xf>
    <xf numFmtId="0" fontId="53" fillId="0" borderId="9" xfId="27" applyFont="1" applyBorder="1" applyAlignment="1">
      <alignment horizontal="center" vertical="center"/>
    </xf>
    <xf numFmtId="0" fontId="48" fillId="0" borderId="8" xfId="27" applyFont="1" applyBorder="1" applyAlignment="1">
      <alignment horizontal="center" vertical="center"/>
    </xf>
    <xf numFmtId="0" fontId="48" fillId="0" borderId="80" xfId="27" applyFont="1" applyBorder="1" applyAlignment="1">
      <alignment horizontal="center" vertical="center"/>
    </xf>
    <xf numFmtId="0" fontId="53" fillId="0" borderId="79" xfId="27" applyFont="1" applyBorder="1" applyAlignment="1">
      <alignment horizontal="center" vertical="center"/>
    </xf>
    <xf numFmtId="0" fontId="53" fillId="0" borderId="83" xfId="27" applyFont="1" applyBorder="1" applyAlignment="1">
      <alignment horizontal="center" vertical="center"/>
    </xf>
    <xf numFmtId="0" fontId="48" fillId="0" borderId="79" xfId="27" applyFont="1" applyBorder="1" applyAlignment="1">
      <alignment horizontal="center" vertical="center"/>
    </xf>
    <xf numFmtId="0" fontId="48" fillId="0" borderId="82" xfId="27" applyFont="1" applyBorder="1" applyAlignment="1">
      <alignment horizontal="center" vertical="center"/>
    </xf>
    <xf numFmtId="0" fontId="57" fillId="0" borderId="0" xfId="27" applyFont="1" applyBorder="1" applyAlignment="1">
      <alignment horizontal="center" vertical="center"/>
    </xf>
    <xf numFmtId="0" fontId="48" fillId="0" borderId="0" xfId="27" applyFont="1" applyBorder="1" applyAlignment="1">
      <alignment horizontal="center" vertical="center"/>
    </xf>
    <xf numFmtId="176" fontId="0" fillId="0" borderId="37" xfId="27" applyNumberFormat="1" applyFont="1" applyBorder="1" applyAlignment="1">
      <alignment horizontal="center" vertical="center"/>
    </xf>
    <xf numFmtId="176" fontId="0" fillId="0" borderId="68" xfId="27" applyNumberFormat="1" applyFont="1" applyBorder="1" applyAlignment="1">
      <alignment horizontal="center" vertical="center"/>
    </xf>
    <xf numFmtId="0" fontId="4" fillId="0" borderId="34" xfId="27" applyFont="1" applyBorder="1" applyAlignment="1">
      <alignment horizontal="center" vertical="center"/>
    </xf>
    <xf numFmtId="0" fontId="4" fillId="0" borderId="36" xfId="27" applyFont="1" applyBorder="1" applyAlignment="1">
      <alignment horizontal="center" vertical="center"/>
    </xf>
    <xf numFmtId="0" fontId="48" fillId="0" borderId="34" xfId="27" applyFont="1" applyBorder="1" applyAlignment="1">
      <alignment horizontal="center" vertical="center"/>
    </xf>
    <xf numFmtId="0" fontId="48" fillId="0" borderId="36" xfId="27" applyFont="1" applyBorder="1" applyAlignment="1">
      <alignment horizontal="center" vertical="center"/>
    </xf>
    <xf numFmtId="0" fontId="56" fillId="0" borderId="8" xfId="27" applyFont="1" applyBorder="1" applyAlignment="1">
      <alignment horizontal="center" vertical="center"/>
    </xf>
    <xf numFmtId="0" fontId="56" fillId="0" borderId="9" xfId="27" applyFont="1" applyBorder="1" applyAlignment="1">
      <alignment horizontal="center" vertical="center"/>
    </xf>
    <xf numFmtId="0" fontId="48" fillId="11" borderId="8" xfId="27" applyFont="1" applyFill="1" applyBorder="1" applyAlignment="1">
      <alignment horizontal="center" vertical="center"/>
    </xf>
    <xf numFmtId="0" fontId="48" fillId="11" borderId="9" xfId="27" applyFont="1" applyFill="1" applyBorder="1" applyAlignment="1">
      <alignment horizontal="center" vertical="center"/>
    </xf>
    <xf numFmtId="0" fontId="48" fillId="11" borderId="80" xfId="27" applyFont="1" applyFill="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2" fillId="0" borderId="8" xfId="0" applyFont="1" applyBorder="1" applyAlignment="1">
      <alignment horizontal="center" vertical="center"/>
    </xf>
    <xf numFmtId="0" fontId="2" fillId="0" borderId="80" xfId="0" applyFont="1" applyBorder="1" applyAlignment="1">
      <alignment horizontal="center" vertical="center"/>
    </xf>
    <xf numFmtId="0" fontId="7" fillId="2" borderId="8" xfId="0" applyFont="1" applyFill="1" applyBorder="1" applyAlignment="1">
      <alignment horizontal="center" vertical="center"/>
    </xf>
    <xf numFmtId="0" fontId="0" fillId="0" borderId="18" xfId="0" applyBorder="1" applyAlignment="1"/>
    <xf numFmtId="0" fontId="0" fillId="0" borderId="80" xfId="0" applyBorder="1" applyAlignment="1"/>
    <xf numFmtId="0" fontId="48" fillId="0" borderId="18" xfId="27" applyFont="1" applyBorder="1" applyAlignment="1">
      <alignment horizontal="center" vertical="center"/>
    </xf>
    <xf numFmtId="0" fontId="48" fillId="0" borderId="0" xfId="27" applyFont="1" applyAlignment="1">
      <alignment horizontal="center" vertical="center"/>
    </xf>
    <xf numFmtId="0" fontId="4" fillId="0" borderId="20" xfId="27" applyFont="1" applyBorder="1" applyAlignment="1">
      <alignment horizontal="center" vertical="center"/>
    </xf>
    <xf numFmtId="0" fontId="0" fillId="0" borderId="0" xfId="27" applyFont="1" applyAlignment="1">
      <alignment horizontal="center" vertical="center"/>
    </xf>
    <xf numFmtId="0" fontId="48" fillId="0" borderId="20" xfId="27" applyFont="1" applyBorder="1" applyAlignment="1">
      <alignment horizontal="center" vertical="center"/>
    </xf>
    <xf numFmtId="0" fontId="0" fillId="2" borderId="4" xfId="27" applyFont="1" applyFill="1" applyBorder="1" applyAlignment="1">
      <alignment horizontal="center" vertical="center"/>
    </xf>
    <xf numFmtId="0" fontId="4" fillId="2" borderId="4" xfId="27" applyFont="1" applyFill="1" applyBorder="1" applyAlignment="1">
      <alignment horizontal="center" vertical="center"/>
    </xf>
    <xf numFmtId="0" fontId="50" fillId="0" borderId="0" xfId="27" applyFont="1" applyAlignment="1">
      <alignment horizontal="center" vertical="center"/>
    </xf>
    <xf numFmtId="0" fontId="51" fillId="0" borderId="0" xfId="27" applyFont="1" applyAlignment="1">
      <alignment horizontal="center" vertical="center"/>
    </xf>
    <xf numFmtId="0" fontId="0" fillId="0" borderId="4" xfId="27" applyFont="1" applyBorder="1" applyAlignment="1">
      <alignment horizontal="center" vertical="center"/>
    </xf>
    <xf numFmtId="0" fontId="48" fillId="0" borderId="4" xfId="27" applyFont="1" applyBorder="1" applyAlignment="1">
      <alignment horizontal="center" vertical="center"/>
    </xf>
    <xf numFmtId="0" fontId="48" fillId="2" borderId="0" xfId="27" applyFont="1" applyFill="1" applyAlignment="1">
      <alignment horizontal="center" vertical="center"/>
    </xf>
    <xf numFmtId="0" fontId="0" fillId="0" borderId="31" xfId="27" applyFont="1" applyBorder="1" applyAlignment="1">
      <alignment horizontal="center" vertical="center"/>
    </xf>
    <xf numFmtId="0" fontId="48" fillId="0" borderId="31" xfId="27" applyFont="1" applyBorder="1" applyAlignment="1">
      <alignment horizontal="center" vertical="center"/>
    </xf>
    <xf numFmtId="0" fontId="54" fillId="0" borderId="85" xfId="27" applyFont="1" applyFill="1" applyBorder="1" applyAlignment="1">
      <alignment horizontal="center" vertical="center"/>
    </xf>
    <xf numFmtId="0" fontId="54" fillId="0" borderId="86" xfId="27" applyFont="1" applyFill="1" applyBorder="1" applyAlignment="1">
      <alignment horizontal="center" vertical="center"/>
    </xf>
    <xf numFmtId="0" fontId="54" fillId="0" borderId="28" xfId="27" applyFont="1" applyFill="1" applyBorder="1" applyAlignment="1">
      <alignment horizontal="center" vertical="center"/>
    </xf>
    <xf numFmtId="0" fontId="54" fillId="0" borderId="87" xfId="27" applyFont="1" applyFill="1" applyBorder="1" applyAlignment="1">
      <alignment horizontal="center" vertical="center"/>
    </xf>
    <xf numFmtId="0" fontId="68" fillId="0" borderId="1" xfId="30" applyFont="1" applyBorder="1" applyAlignment="1">
      <alignment horizontal="center" vertical="center"/>
    </xf>
    <xf numFmtId="0" fontId="68" fillId="0" borderId="1" xfId="29" applyFont="1" applyBorder="1" applyAlignment="1">
      <alignment horizontal="center" vertical="center"/>
    </xf>
    <xf numFmtId="0" fontId="66" fillId="0" borderId="74" xfId="28" applyFont="1" applyFill="1" applyBorder="1" applyAlignment="1">
      <alignment horizontal="center" vertical="center" wrapText="1"/>
    </xf>
    <xf numFmtId="0" fontId="66" fillId="0" borderId="76" xfId="28" applyFont="1" applyFill="1" applyBorder="1" applyAlignment="1">
      <alignment horizontal="center" vertical="center" wrapText="1"/>
    </xf>
    <xf numFmtId="0" fontId="66" fillId="0" borderId="75" xfId="28" applyFont="1" applyFill="1" applyBorder="1" applyAlignment="1">
      <alignment horizontal="center" vertical="center" wrapText="1"/>
    </xf>
    <xf numFmtId="0" fontId="48" fillId="0" borderId="0" xfId="27" applyFont="1" applyFill="1" applyAlignment="1">
      <alignment horizontal="center" vertical="center"/>
    </xf>
    <xf numFmtId="179" fontId="48" fillId="0" borderId="4" xfId="27" applyNumberFormat="1" applyFont="1" applyFill="1" applyBorder="1" applyAlignment="1">
      <alignment horizontal="center" vertical="center"/>
    </xf>
    <xf numFmtId="0" fontId="48" fillId="0" borderId="0" xfId="27" applyFont="1" applyFill="1" applyAlignment="1">
      <alignment horizontal="right" vertical="center"/>
    </xf>
    <xf numFmtId="0" fontId="48" fillId="0" borderId="4" xfId="27" applyFont="1" applyFill="1" applyBorder="1" applyAlignment="1">
      <alignment horizontal="center" vertical="center"/>
    </xf>
    <xf numFmtId="0" fontId="67" fillId="2" borderId="0" xfId="27" applyFont="1" applyFill="1" applyBorder="1" applyAlignment="1">
      <alignment horizontal="center" vertical="center"/>
    </xf>
    <xf numFmtId="0" fontId="53" fillId="0" borderId="8" xfId="27" applyFont="1" applyFill="1" applyBorder="1" applyAlignment="1">
      <alignment horizontal="center" vertical="center" wrapText="1"/>
    </xf>
    <xf numFmtId="0" fontId="53" fillId="0" borderId="18" xfId="27" applyFont="1" applyFill="1" applyBorder="1" applyAlignment="1">
      <alignment horizontal="center" vertical="center" wrapText="1"/>
    </xf>
    <xf numFmtId="0" fontId="53" fillId="0" borderId="9" xfId="27" applyFont="1" applyFill="1" applyBorder="1" applyAlignment="1">
      <alignment horizontal="center" vertical="center" wrapText="1"/>
    </xf>
    <xf numFmtId="0" fontId="55" fillId="0" borderId="0" xfId="27" applyFont="1" applyFill="1" applyAlignment="1">
      <alignment horizontal="center" vertical="center"/>
    </xf>
    <xf numFmtId="0" fontId="2" fillId="0" borderId="4" xfId="27" applyFont="1" applyFill="1" applyBorder="1" applyAlignment="1">
      <alignment horizontal="center" vertical="center"/>
    </xf>
    <xf numFmtId="0" fontId="55" fillId="0" borderId="70" xfId="27" applyFont="1" applyFill="1" applyBorder="1" applyAlignment="1">
      <alignment horizontal="center" vertical="center" wrapText="1"/>
    </xf>
    <xf numFmtId="0" fontId="55" fillId="0" borderId="73" xfId="27" applyFont="1" applyFill="1" applyBorder="1" applyAlignment="1">
      <alignment horizontal="center" vertical="center" wrapText="1"/>
    </xf>
    <xf numFmtId="0" fontId="55" fillId="0" borderId="71" xfId="27" applyFont="1" applyFill="1" applyBorder="1" applyAlignment="1">
      <alignment horizontal="center" vertical="center" wrapText="1"/>
    </xf>
    <xf numFmtId="0" fontId="48" fillId="2" borderId="6" xfId="27" applyFont="1" applyFill="1" applyBorder="1" applyAlignment="1">
      <alignment horizontal="center" vertical="center"/>
    </xf>
    <xf numFmtId="0" fontId="52" fillId="0" borderId="6" xfId="27" applyFont="1" applyFill="1" applyBorder="1" applyAlignment="1">
      <alignment horizontal="center" vertical="center"/>
    </xf>
    <xf numFmtId="0" fontId="53" fillId="0" borderId="1" xfId="27" applyFont="1" applyFill="1" applyBorder="1" applyAlignment="1">
      <alignment horizontal="center" vertical="center" wrapText="1"/>
    </xf>
    <xf numFmtId="0" fontId="48" fillId="0" borderId="6" xfId="27" applyFont="1" applyFill="1" applyBorder="1" applyAlignment="1">
      <alignment horizontal="center" vertical="center"/>
    </xf>
    <xf numFmtId="0" fontId="53" fillId="0" borderId="6" xfId="27" applyFont="1" applyFill="1" applyBorder="1" applyAlignment="1">
      <alignment horizontal="center" vertical="center"/>
    </xf>
    <xf numFmtId="0" fontId="0" fillId="0" borderId="6" xfId="27" applyFont="1" applyFill="1" applyBorder="1" applyAlignment="1">
      <alignment horizontal="center" vertical="center"/>
    </xf>
    <xf numFmtId="0" fontId="0" fillId="0" borderId="8" xfId="27" applyFont="1" applyFill="1" applyBorder="1" applyAlignment="1">
      <alignment horizontal="center" vertical="center"/>
    </xf>
    <xf numFmtId="0" fontId="48" fillId="0" borderId="18" xfId="27" applyFont="1" applyFill="1" applyBorder="1" applyAlignment="1">
      <alignment horizontal="center" vertical="center"/>
    </xf>
    <xf numFmtId="0" fontId="48" fillId="0" borderId="9" xfId="27" applyFont="1" applyFill="1" applyBorder="1" applyAlignment="1">
      <alignment horizontal="center" vertical="center"/>
    </xf>
    <xf numFmtId="0" fontId="48" fillId="0" borderId="16" xfId="27" applyFont="1" applyFill="1" applyBorder="1" applyAlignment="1">
      <alignment horizontal="center" vertical="center" wrapText="1"/>
    </xf>
    <xf numFmtId="0" fontId="48" fillId="0" borderId="2" xfId="27" applyFont="1" applyFill="1" applyBorder="1" applyAlignment="1">
      <alignment horizontal="center" vertical="center" wrapText="1"/>
    </xf>
    <xf numFmtId="0" fontId="48" fillId="0" borderId="21" xfId="27" applyFont="1" applyFill="1" applyBorder="1" applyAlignment="1">
      <alignment horizontal="center" vertical="center" wrapText="1"/>
    </xf>
    <xf numFmtId="0" fontId="48" fillId="0" borderId="72" xfId="27" applyFont="1" applyFill="1" applyBorder="1" applyAlignment="1">
      <alignment horizontal="center" vertical="center"/>
    </xf>
    <xf numFmtId="0" fontId="49" fillId="0" borderId="72" xfId="27" applyFont="1" applyFill="1" applyBorder="1" applyAlignment="1">
      <alignment horizontal="center" vertical="center"/>
    </xf>
    <xf numFmtId="0" fontId="49" fillId="0" borderId="6" xfId="27" applyFont="1" applyFill="1" applyBorder="1" applyAlignment="1">
      <alignment horizontal="center" vertical="center"/>
    </xf>
    <xf numFmtId="0" fontId="64" fillId="0" borderId="1" xfId="27" applyFont="1" applyFill="1" applyBorder="1" applyAlignment="1">
      <alignment horizontal="center" vertical="center" wrapText="1"/>
    </xf>
    <xf numFmtId="0" fontId="48" fillId="0" borderId="8" xfId="27" applyFont="1" applyFill="1" applyBorder="1" applyAlignment="1">
      <alignment horizontal="center" vertical="center"/>
    </xf>
    <xf numFmtId="0" fontId="0" fillId="0" borderId="8" xfId="27" applyFont="1" applyBorder="1" applyAlignment="1">
      <alignment horizontal="center" vertical="center"/>
    </xf>
    <xf numFmtId="0" fontId="0" fillId="0" borderId="18" xfId="27" applyFont="1" applyBorder="1" applyAlignment="1">
      <alignment horizontal="center" vertical="center"/>
    </xf>
    <xf numFmtId="0" fontId="0" fillId="0" borderId="9" xfId="27" applyFont="1" applyBorder="1" applyAlignment="1">
      <alignment horizontal="center" vertical="center"/>
    </xf>
    <xf numFmtId="0" fontId="49" fillId="0" borderId="70" xfId="27" applyFont="1" applyFill="1" applyBorder="1" applyAlignment="1">
      <alignment horizontal="center" vertical="center" wrapText="1"/>
    </xf>
    <xf numFmtId="0" fontId="49" fillId="0" borderId="8" xfId="27" quotePrefix="1" applyFont="1" applyFill="1" applyBorder="1" applyAlignment="1">
      <alignment horizontal="center" vertical="center" wrapText="1"/>
    </xf>
    <xf numFmtId="0" fontId="49" fillId="0" borderId="9" xfId="27" applyFont="1" applyFill="1" applyBorder="1" applyAlignment="1">
      <alignment horizontal="center" vertical="center" wrapText="1"/>
    </xf>
    <xf numFmtId="0" fontId="48" fillId="0" borderId="89" xfId="27" applyFont="1" applyFill="1" applyBorder="1" applyAlignment="1">
      <alignment horizontal="center" vertical="center" wrapText="1"/>
    </xf>
    <xf numFmtId="0" fontId="48" fillId="0" borderId="90" xfId="27" applyFont="1" applyFill="1" applyBorder="1" applyAlignment="1">
      <alignment horizontal="center" vertical="center" wrapText="1"/>
    </xf>
    <xf numFmtId="0" fontId="48" fillId="0" borderId="91" xfId="27" applyFont="1" applyFill="1" applyBorder="1" applyAlignment="1">
      <alignment horizontal="center" vertical="center" wrapText="1"/>
    </xf>
    <xf numFmtId="0" fontId="53" fillId="0" borderId="18" xfId="27" applyFont="1" applyFill="1" applyBorder="1" applyAlignment="1">
      <alignment horizontal="center" vertical="center"/>
    </xf>
    <xf numFmtId="0" fontId="53" fillId="0" borderId="9" xfId="27" applyFont="1" applyFill="1" applyBorder="1" applyAlignment="1">
      <alignment horizontal="center" vertical="center"/>
    </xf>
    <xf numFmtId="0" fontId="48" fillId="0" borderId="10" xfId="27" applyFont="1" applyFill="1" applyBorder="1" applyAlignment="1">
      <alignment horizontal="center" vertical="center"/>
    </xf>
    <xf numFmtId="0" fontId="48" fillId="0" borderId="75" xfId="27" applyFont="1" applyFill="1" applyBorder="1" applyAlignment="1">
      <alignment horizontal="center" vertical="center"/>
    </xf>
    <xf numFmtId="179" fontId="49" fillId="0" borderId="69" xfId="27" applyNumberFormat="1" applyFont="1" applyFill="1" applyBorder="1" applyAlignment="1">
      <alignment horizontal="center" vertical="center"/>
    </xf>
    <xf numFmtId="0" fontId="48" fillId="0" borderId="69" xfId="27" applyFont="1" applyFill="1" applyBorder="1" applyAlignment="1">
      <alignment horizontal="center" vertical="center"/>
    </xf>
    <xf numFmtId="0" fontId="48" fillId="0" borderId="39" xfId="27" applyFont="1" applyFill="1" applyBorder="1" applyAlignment="1">
      <alignment horizontal="center" vertical="center"/>
    </xf>
    <xf numFmtId="0" fontId="48" fillId="0" borderId="49" xfId="27" applyFont="1" applyFill="1" applyBorder="1" applyAlignment="1">
      <alignment horizontal="center" vertical="center"/>
    </xf>
    <xf numFmtId="0" fontId="48" fillId="0" borderId="70" xfId="27" applyFont="1" applyFill="1" applyBorder="1" applyAlignment="1">
      <alignment horizontal="center" vertical="center"/>
    </xf>
    <xf numFmtId="179" fontId="49" fillId="0" borderId="6" xfId="27" applyNumberFormat="1" applyFont="1" applyFill="1" applyBorder="1" applyAlignment="1">
      <alignment horizontal="center" vertical="center"/>
    </xf>
    <xf numFmtId="0" fontId="48" fillId="0" borderId="50" xfId="27" applyFont="1" applyFill="1" applyBorder="1" applyAlignment="1">
      <alignment horizontal="center" vertical="center"/>
    </xf>
    <xf numFmtId="0" fontId="58" fillId="0" borderId="0" xfId="27" applyFont="1" applyAlignment="1">
      <alignment horizontal="center" vertical="center"/>
    </xf>
    <xf numFmtId="0" fontId="0" fillId="0" borderId="0" xfId="27" applyFont="1" applyBorder="1" applyAlignment="1">
      <alignment horizontal="center"/>
    </xf>
    <xf numFmtId="0" fontId="48" fillId="0" borderId="0" xfId="27" applyFont="1" applyFill="1" applyBorder="1" applyAlignment="1">
      <alignment horizontal="center" vertical="center"/>
    </xf>
    <xf numFmtId="179" fontId="49" fillId="0" borderId="0" xfId="27" applyNumberFormat="1" applyFont="1" applyFill="1" applyBorder="1" applyAlignment="1">
      <alignment horizontal="center" vertical="center"/>
    </xf>
    <xf numFmtId="0" fontId="2" fillId="0" borderId="6" xfId="0" applyFont="1" applyFill="1" applyBorder="1" applyAlignment="1">
      <alignment horizontal="center" vertical="center" wrapText="1"/>
    </xf>
    <xf numFmtId="0" fontId="3" fillId="0" borderId="8" xfId="0" quotePrefix="1" applyFont="1" applyFill="1" applyBorder="1" applyAlignment="1">
      <alignment horizontal="center" vertical="center" wrapText="1"/>
    </xf>
    <xf numFmtId="0" fontId="0" fillId="0" borderId="9" xfId="0" applyBorder="1" applyAlignment="1"/>
    <xf numFmtId="0" fontId="2" fillId="0" borderId="8"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9" xfId="0" applyFont="1" applyFill="1" applyBorder="1" applyAlignment="1">
      <alignment horizontal="center" vertical="center" wrapText="1"/>
    </xf>
    <xf numFmtId="177" fontId="2" fillId="0" borderId="34" xfId="0" applyNumberFormat="1" applyFont="1" applyFill="1" applyBorder="1" applyAlignment="1">
      <alignment horizontal="center" vertical="center" wrapText="1"/>
    </xf>
    <xf numFmtId="177" fontId="2" fillId="0" borderId="36" xfId="0" applyNumberFormat="1" applyFont="1" applyFill="1" applyBorder="1" applyAlignment="1">
      <alignment horizontal="center" vertical="center" wrapText="1"/>
    </xf>
    <xf numFmtId="0" fontId="2" fillId="0" borderId="84" xfId="0" applyFont="1" applyFill="1" applyBorder="1" applyAlignment="1">
      <alignment horizontal="center" vertical="center" wrapText="1"/>
    </xf>
    <xf numFmtId="0" fontId="2" fillId="0" borderId="56" xfId="0" applyFont="1" applyFill="1" applyBorder="1" applyAlignment="1">
      <alignment horizontal="center" vertical="center" wrapText="1"/>
    </xf>
    <xf numFmtId="0" fontId="7" fillId="0" borderId="8" xfId="0" applyFont="1" applyFill="1" applyBorder="1" applyAlignment="1">
      <alignment horizontal="center" vertical="center"/>
    </xf>
    <xf numFmtId="0" fontId="7" fillId="0" borderId="18"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111" xfId="0" applyFont="1" applyFill="1" applyBorder="1" applyAlignment="1">
      <alignment horizontal="center" vertical="center" wrapText="1"/>
    </xf>
    <xf numFmtId="0" fontId="7" fillId="0" borderId="112"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7" fillId="0" borderId="59"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6" xfId="0" applyFont="1" applyFill="1" applyBorder="1" applyAlignment="1">
      <alignment horizontal="center" vertical="center" wrapText="1"/>
    </xf>
    <xf numFmtId="0" fontId="7" fillId="0" borderId="75"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8" xfId="0" applyFill="1" applyBorder="1" applyAlignment="1">
      <alignment horizontal="center" vertical="center" wrapText="1"/>
    </xf>
    <xf numFmtId="0" fontId="0" fillId="0" borderId="9" xfId="0" applyFill="1" applyBorder="1" applyAlignment="1">
      <alignment horizontal="center" vertical="center" wrapText="1"/>
    </xf>
    <xf numFmtId="0" fontId="0" fillId="0" borderId="111"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74" xfId="0" applyFill="1" applyBorder="1" applyAlignment="1">
      <alignment horizontal="center" vertical="center" wrapText="1"/>
    </xf>
    <xf numFmtId="0" fontId="0" fillId="0" borderId="75" xfId="0" applyFill="1" applyBorder="1" applyAlignment="1">
      <alignment horizontal="center" vertical="center" wrapText="1"/>
    </xf>
    <xf numFmtId="0" fontId="32" fillId="0" borderId="0" xfId="35" applyFont="1" applyAlignment="1">
      <alignment horizontal="center"/>
    </xf>
    <xf numFmtId="0" fontId="94" fillId="0" borderId="0" xfId="35" applyFont="1" applyAlignment="1">
      <alignment horizontal="center"/>
    </xf>
    <xf numFmtId="0" fontId="95" fillId="0" borderId="1" xfId="34" applyFont="1" applyBorder="1" applyAlignment="1">
      <alignment horizontal="center" vertical="center"/>
    </xf>
    <xf numFmtId="14" fontId="95" fillId="0" borderId="1" xfId="34" applyNumberFormat="1" applyFont="1" applyBorder="1" applyAlignment="1">
      <alignment horizontal="center" vertical="center"/>
    </xf>
    <xf numFmtId="0" fontId="95" fillId="0" borderId="1" xfId="35" applyFont="1" applyBorder="1" applyAlignment="1">
      <alignment horizontal="center" vertical="center"/>
    </xf>
    <xf numFmtId="0" fontId="0" fillId="0" borderId="0" xfId="33" applyFont="1" applyAlignment="1">
      <alignment horizontal="center"/>
    </xf>
    <xf numFmtId="0" fontId="75" fillId="0" borderId="0" xfId="33" applyFont="1" applyAlignment="1">
      <alignment horizontal="center"/>
    </xf>
    <xf numFmtId="0" fontId="4" fillId="0" borderId="20" xfId="33" applyFont="1" applyBorder="1" applyAlignment="1">
      <alignment horizontal="center"/>
    </xf>
    <xf numFmtId="58" fontId="75" fillId="0" borderId="20" xfId="33" applyNumberFormat="1" applyFont="1" applyBorder="1" applyAlignment="1">
      <alignment horizontal="center"/>
    </xf>
    <xf numFmtId="0" fontId="75" fillId="0" borderId="20" xfId="33" applyFont="1" applyBorder="1" applyAlignment="1">
      <alignment horizontal="center"/>
    </xf>
    <xf numFmtId="0" fontId="0" fillId="0" borderId="20" xfId="33" applyFont="1" applyBorder="1" applyAlignment="1">
      <alignment horizontal="center"/>
    </xf>
    <xf numFmtId="0" fontId="81" fillId="0" borderId="4" xfId="33" applyFont="1" applyBorder="1" applyAlignment="1">
      <alignment horizontal="center"/>
    </xf>
    <xf numFmtId="0" fontId="77" fillId="0" borderId="0" xfId="33" applyFont="1" applyAlignment="1">
      <alignment horizontal="right"/>
    </xf>
    <xf numFmtId="0" fontId="78" fillId="0" borderId="0" xfId="33" applyFont="1" applyAlignment="1">
      <alignment horizontal="center"/>
    </xf>
    <xf numFmtId="0" fontId="75" fillId="0" borderId="0" xfId="33" applyFont="1" applyBorder="1" applyAlignment="1">
      <alignment horizontal="center"/>
    </xf>
    <xf numFmtId="0" fontId="0" fillId="0" borderId="4" xfId="33" applyFont="1" applyBorder="1" applyAlignment="1">
      <alignment horizontal="center"/>
    </xf>
    <xf numFmtId="0" fontId="75" fillId="0" borderId="4" xfId="33" applyFont="1" applyBorder="1" applyAlignment="1">
      <alignment horizontal="center"/>
    </xf>
    <xf numFmtId="177" fontId="75" fillId="2" borderId="95" xfId="33" applyNumberFormat="1" applyFont="1" applyFill="1" applyBorder="1" applyAlignment="1">
      <alignment horizontal="center" vertical="center"/>
    </xf>
    <xf numFmtId="177" fontId="75" fillId="2" borderId="0" xfId="33" applyNumberFormat="1" applyFont="1" applyFill="1" applyBorder="1" applyAlignment="1">
      <alignment horizontal="center" vertical="center"/>
    </xf>
    <xf numFmtId="177" fontId="75" fillId="2" borderId="0" xfId="33" applyNumberFormat="1" applyFont="1" applyFill="1" applyAlignment="1">
      <alignment horizontal="center" vertical="center"/>
    </xf>
    <xf numFmtId="177" fontId="80" fillId="0" borderId="8" xfId="33" applyNumberFormat="1" applyFont="1" applyBorder="1" applyAlignment="1">
      <alignment horizontal="center" vertical="center"/>
    </xf>
    <xf numFmtId="0" fontId="80" fillId="0" borderId="9" xfId="33" applyFont="1" applyBorder="1" applyAlignment="1">
      <alignment horizontal="center" vertical="center"/>
    </xf>
    <xf numFmtId="0" fontId="76" fillId="0" borderId="8" xfId="33" applyFont="1" applyBorder="1" applyAlignment="1">
      <alignment horizontal="center" vertical="center"/>
    </xf>
    <xf numFmtId="0" fontId="76" fillId="0" borderId="80" xfId="33" applyFont="1" applyBorder="1" applyAlignment="1">
      <alignment horizontal="center" vertical="center"/>
    </xf>
    <xf numFmtId="0" fontId="80" fillId="0" borderId="8" xfId="33" applyFont="1" applyBorder="1" applyAlignment="1">
      <alignment horizontal="center" vertical="center"/>
    </xf>
    <xf numFmtId="0" fontId="75" fillId="0" borderId="74" xfId="33" applyFont="1" applyBorder="1" applyAlignment="1">
      <alignment horizontal="center" vertical="center"/>
    </xf>
    <xf numFmtId="0" fontId="75" fillId="0" borderId="75" xfId="33" applyFont="1" applyBorder="1" applyAlignment="1">
      <alignment horizontal="center" vertical="center"/>
    </xf>
    <xf numFmtId="0" fontId="75" fillId="0" borderId="88" xfId="33" applyFont="1" applyBorder="1" applyAlignment="1">
      <alignment horizontal="center" vertical="center"/>
    </xf>
    <xf numFmtId="0" fontId="82" fillId="0" borderId="29" xfId="33" applyFont="1" applyBorder="1" applyAlignment="1">
      <alignment horizontal="center" vertical="center"/>
    </xf>
    <xf numFmtId="0" fontId="0" fillId="0" borderId="31" xfId="33" applyFont="1" applyBorder="1" applyAlignment="1">
      <alignment horizontal="center" vertical="center"/>
    </xf>
    <xf numFmtId="0" fontId="75" fillId="0" borderId="31" xfId="33" applyFont="1" applyBorder="1" applyAlignment="1">
      <alignment horizontal="center" vertical="center"/>
    </xf>
    <xf numFmtId="0" fontId="75" fillId="0" borderId="85" xfId="33" applyFont="1" applyBorder="1" applyAlignment="1">
      <alignment horizontal="center" vertical="center"/>
    </xf>
    <xf numFmtId="0" fontId="83" fillId="0" borderId="93" xfId="33" applyFont="1" applyBorder="1" applyAlignment="1">
      <alignment horizontal="center" vertical="center"/>
    </xf>
    <xf numFmtId="0" fontId="83" fillId="0" borderId="94" xfId="33" applyFont="1" applyBorder="1" applyAlignment="1">
      <alignment horizontal="center" vertical="center"/>
    </xf>
    <xf numFmtId="0" fontId="84" fillId="0" borderId="8" xfId="33" applyFont="1" applyBorder="1" applyAlignment="1">
      <alignment horizontal="center" vertical="center"/>
    </xf>
    <xf numFmtId="0" fontId="84" fillId="0" borderId="80" xfId="33" applyFont="1" applyBorder="1" applyAlignment="1">
      <alignment horizontal="center" vertical="center"/>
    </xf>
    <xf numFmtId="0" fontId="85" fillId="0" borderId="0" xfId="33" applyFont="1" applyBorder="1" applyAlignment="1">
      <alignment horizontal="center"/>
    </xf>
    <xf numFmtId="0" fontId="75" fillId="0" borderId="8" xfId="33" applyFont="1" applyBorder="1" applyAlignment="1">
      <alignment horizontal="center" vertical="center"/>
    </xf>
    <xf numFmtId="0" fontId="75" fillId="0" borderId="80" xfId="33" applyFont="1" applyBorder="1" applyAlignment="1">
      <alignment horizontal="center" vertical="center"/>
    </xf>
    <xf numFmtId="0" fontId="80" fillId="0" borderId="80" xfId="33" applyFont="1" applyBorder="1" applyAlignment="1">
      <alignment horizontal="center" vertical="center"/>
    </xf>
    <xf numFmtId="0" fontId="80" fillId="0" borderId="79" xfId="33" applyFont="1" applyBorder="1" applyAlignment="1">
      <alignment horizontal="right" vertical="center"/>
    </xf>
    <xf numFmtId="0" fontId="80" fillId="0" borderId="81" xfId="33" applyFont="1" applyBorder="1" applyAlignment="1">
      <alignment horizontal="right" vertical="center"/>
    </xf>
    <xf numFmtId="0" fontId="86" fillId="0" borderId="0" xfId="33" applyFont="1" applyBorder="1" applyAlignment="1">
      <alignment horizontal="center"/>
    </xf>
    <xf numFmtId="179" fontId="76" fillId="0" borderId="0" xfId="33" applyNumberFormat="1" applyFont="1" applyBorder="1" applyAlignment="1">
      <alignment horizontal="center"/>
    </xf>
    <xf numFmtId="0" fontId="88" fillId="0" borderId="0" xfId="33" applyFont="1" applyAlignment="1">
      <alignment horizontal="center" vertical="center"/>
    </xf>
    <xf numFmtId="0" fontId="75" fillId="0" borderId="0" xfId="33" applyFont="1" applyFill="1" applyBorder="1" applyAlignment="1">
      <alignment horizontal="center" vertical="center"/>
    </xf>
    <xf numFmtId="0" fontId="80" fillId="0" borderId="97" xfId="33" applyFont="1" applyFill="1" applyBorder="1" applyAlignment="1">
      <alignment horizontal="center" vertical="center" wrapText="1"/>
    </xf>
    <xf numFmtId="0" fontId="80" fillId="0" borderId="1" xfId="33" applyFont="1" applyFill="1" applyBorder="1" applyAlignment="1">
      <alignment horizontal="center" vertical="center"/>
    </xf>
    <xf numFmtId="0" fontId="92" fillId="0" borderId="1" xfId="33" applyFont="1" applyFill="1" applyBorder="1" applyAlignment="1">
      <alignment horizontal="center" vertical="center"/>
    </xf>
    <xf numFmtId="0" fontId="92" fillId="0" borderId="98" xfId="33" applyFont="1" applyFill="1" applyBorder="1" applyAlignment="1">
      <alignment horizontal="center" vertical="center"/>
    </xf>
    <xf numFmtId="0" fontId="80" fillId="0" borderId="1" xfId="33" applyFont="1" applyFill="1" applyBorder="1" applyAlignment="1">
      <alignment horizontal="center" vertical="center" wrapText="1"/>
    </xf>
    <xf numFmtId="0" fontId="75" fillId="0" borderId="94" xfId="33" applyFont="1" applyFill="1" applyBorder="1" applyAlignment="1">
      <alignment horizontal="center" vertical="center"/>
    </xf>
    <xf numFmtId="0" fontId="75" fillId="0" borderId="98" xfId="33" applyFont="1" applyFill="1" applyBorder="1" applyAlignment="1">
      <alignment horizontal="center" vertical="center"/>
    </xf>
    <xf numFmtId="0" fontId="90" fillId="13" borderId="93" xfId="34" applyFont="1" applyFill="1" applyBorder="1" applyAlignment="1">
      <alignment horizontal="center" vertical="center" wrapText="1"/>
    </xf>
    <xf numFmtId="0" fontId="90" fillId="13" borderId="94" xfId="34" applyFont="1" applyFill="1" applyBorder="1" applyAlignment="1">
      <alignment horizontal="center" vertical="center" wrapText="1"/>
    </xf>
    <xf numFmtId="0" fontId="75" fillId="0" borderId="97" xfId="33" applyFont="1" applyFill="1" applyBorder="1" applyAlignment="1">
      <alignment horizontal="center" vertical="center"/>
    </xf>
    <xf numFmtId="0" fontId="75" fillId="0" borderId="1" xfId="33" applyFont="1" applyFill="1" applyBorder="1" applyAlignment="1">
      <alignment horizontal="center" vertical="center"/>
    </xf>
    <xf numFmtId="0" fontId="75" fillId="0" borderId="96" xfId="33" applyFont="1" applyFill="1" applyBorder="1" applyAlignment="1">
      <alignment horizontal="center" vertical="center"/>
    </xf>
    <xf numFmtId="0" fontId="75" fillId="0" borderId="93" xfId="33" applyFont="1" applyFill="1" applyBorder="1" applyAlignment="1">
      <alignment horizontal="center" vertical="center"/>
    </xf>
    <xf numFmtId="182" fontId="75" fillId="0" borderId="93" xfId="33" applyNumberFormat="1" applyFont="1" applyFill="1" applyBorder="1" applyAlignment="1">
      <alignment horizontal="center" vertical="center"/>
    </xf>
    <xf numFmtId="182" fontId="75" fillId="0" borderId="1" xfId="33" applyNumberFormat="1" applyFont="1" applyFill="1" applyBorder="1" applyAlignment="1">
      <alignment horizontal="center" vertical="center"/>
    </xf>
    <xf numFmtId="0" fontId="7" fillId="0" borderId="1" xfId="26" applyFont="1" applyFill="1" applyBorder="1" applyAlignment="1">
      <alignment horizontal="center" vertical="center"/>
    </xf>
    <xf numFmtId="0" fontId="80" fillId="0" borderId="98" xfId="33" applyFont="1" applyFill="1" applyBorder="1" applyAlignment="1">
      <alignment horizontal="center" vertical="center"/>
    </xf>
    <xf numFmtId="0" fontId="84" fillId="0" borderId="97" xfId="33" applyFont="1" applyFill="1" applyBorder="1" applyAlignment="1">
      <alignment horizontal="center" vertical="center"/>
    </xf>
    <xf numFmtId="0" fontId="84" fillId="0" borderId="99" xfId="33" applyFont="1" applyFill="1" applyBorder="1" applyAlignment="1">
      <alignment horizontal="center" vertical="center"/>
    </xf>
    <xf numFmtId="0" fontId="84" fillId="0" borderId="1" xfId="33" applyFont="1" applyFill="1" applyBorder="1" applyAlignment="1">
      <alignment horizontal="center" vertical="center"/>
    </xf>
    <xf numFmtId="0" fontId="84" fillId="0" borderId="100" xfId="33" applyFont="1" applyFill="1" applyBorder="1" applyAlignment="1">
      <alignment horizontal="center" vertical="center"/>
    </xf>
    <xf numFmtId="0" fontId="84" fillId="0" borderId="0" xfId="33" applyFont="1" applyFill="1" applyAlignment="1">
      <alignment horizontal="center" vertical="center"/>
    </xf>
    <xf numFmtId="0" fontId="0" fillId="0" borderId="4" xfId="33" applyFont="1" applyFill="1" applyBorder="1" applyAlignment="1">
      <alignment horizontal="center" vertical="center"/>
    </xf>
    <xf numFmtId="0" fontId="75" fillId="0" borderId="4" xfId="33" applyFont="1" applyFill="1" applyBorder="1" applyAlignment="1">
      <alignment horizontal="center" vertical="center"/>
    </xf>
    <xf numFmtId="179" fontId="75" fillId="0" borderId="4" xfId="33" applyNumberFormat="1" applyFont="1" applyFill="1" applyBorder="1" applyAlignment="1">
      <alignment horizontal="center" vertical="center"/>
    </xf>
    <xf numFmtId="0" fontId="32" fillId="0" borderId="0" xfId="32" applyFont="1" applyAlignment="1">
      <alignment horizontal="center"/>
    </xf>
    <xf numFmtId="14" fontId="34" fillId="0" borderId="1" xfId="3" applyNumberFormat="1" applyFont="1" applyBorder="1" applyAlignment="1">
      <alignment horizontal="center" vertical="center"/>
    </xf>
    <xf numFmtId="0" fontId="2" fillId="0" borderId="8" xfId="36" applyFont="1" applyBorder="1" applyAlignment="1">
      <alignment horizontal="center" vertical="center"/>
    </xf>
    <xf numFmtId="0" fontId="2" fillId="0" borderId="9" xfId="36" applyFont="1" applyBorder="1" applyAlignment="1">
      <alignment horizontal="center" vertical="center"/>
    </xf>
    <xf numFmtId="0" fontId="2" fillId="0" borderId="80" xfId="36" applyFont="1" applyBorder="1" applyAlignment="1">
      <alignment horizontal="center" vertical="center"/>
    </xf>
    <xf numFmtId="0" fontId="2" fillId="0" borderId="79" xfId="36" applyFont="1" applyBorder="1" applyAlignment="1">
      <alignment horizontal="center" vertical="center"/>
    </xf>
    <xf numFmtId="0" fontId="2" fillId="0" borderId="83" xfId="36" applyFont="1" applyBorder="1" applyAlignment="1">
      <alignment horizontal="center" vertical="center"/>
    </xf>
    <xf numFmtId="0" fontId="2" fillId="0" borderId="82" xfId="36" applyFont="1" applyBorder="1" applyAlignment="1">
      <alignment horizontal="center" vertical="center"/>
    </xf>
    <xf numFmtId="0" fontId="2" fillId="0" borderId="0" xfId="36" applyFont="1" applyBorder="1" applyAlignment="1">
      <alignment horizontal="center" vertical="center"/>
    </xf>
    <xf numFmtId="0" fontId="7" fillId="0" borderId="8" xfId="36" applyFont="1" applyBorder="1" applyAlignment="1">
      <alignment horizontal="center" vertical="center"/>
    </xf>
    <xf numFmtId="0" fontId="7" fillId="0" borderId="9" xfId="36" applyFont="1" applyBorder="1" applyAlignment="1">
      <alignment horizontal="center" vertical="center"/>
    </xf>
    <xf numFmtId="0" fontId="3" fillId="0" borderId="8" xfId="36" applyFont="1" applyBorder="1" applyAlignment="1">
      <alignment horizontal="center" vertical="center"/>
    </xf>
    <xf numFmtId="0" fontId="3" fillId="0" borderId="80" xfId="36" applyFont="1" applyBorder="1" applyAlignment="1">
      <alignment horizontal="center" vertical="center"/>
    </xf>
    <xf numFmtId="0" fontId="0" fillId="0" borderId="8" xfId="36" applyFont="1" applyBorder="1" applyAlignment="1">
      <alignment horizontal="center" vertical="center"/>
    </xf>
    <xf numFmtId="0" fontId="0" fillId="0" borderId="0" xfId="36" applyFont="1" applyAlignment="1">
      <alignment horizontal="center"/>
    </xf>
    <xf numFmtId="14" fontId="2" fillId="0" borderId="20" xfId="36" applyNumberFormat="1" applyFont="1" applyBorder="1" applyAlignment="1">
      <alignment horizontal="center"/>
    </xf>
    <xf numFmtId="0" fontId="2" fillId="0" borderId="20" xfId="36" applyFont="1" applyBorder="1" applyAlignment="1">
      <alignment horizontal="center"/>
    </xf>
    <xf numFmtId="0" fontId="0" fillId="0" borderId="20" xfId="36" applyFont="1" applyBorder="1" applyAlignment="1">
      <alignment horizontal="center"/>
    </xf>
    <xf numFmtId="0" fontId="4" fillId="2" borderId="4" xfId="36" applyFont="1" applyFill="1" applyBorder="1" applyAlignment="1">
      <alignment horizontal="center"/>
    </xf>
    <xf numFmtId="0" fontId="97" fillId="0" borderId="29" xfId="36" applyFont="1" applyBorder="1" applyAlignment="1">
      <alignment horizontal="center"/>
    </xf>
    <xf numFmtId="0" fontId="2" fillId="0" borderId="31" xfId="36" applyFont="1" applyBorder="1" applyAlignment="1">
      <alignment horizontal="center" vertical="center"/>
    </xf>
    <xf numFmtId="0" fontId="52" fillId="0" borderId="85" xfId="36" applyFont="1" applyBorder="1" applyAlignment="1">
      <alignment horizontal="center" vertical="center"/>
    </xf>
    <xf numFmtId="0" fontId="52" fillId="0" borderId="86" xfId="36" applyFont="1" applyBorder="1" applyAlignment="1">
      <alignment horizontal="center" vertical="center"/>
    </xf>
    <xf numFmtId="0" fontId="52" fillId="0" borderId="92" xfId="36" applyFont="1" applyBorder="1" applyAlignment="1">
      <alignment horizontal="center" vertical="center"/>
    </xf>
    <xf numFmtId="0" fontId="97" fillId="0" borderId="0" xfId="36" applyFont="1" applyAlignment="1">
      <alignment horizontal="center"/>
    </xf>
    <xf numFmtId="0" fontId="2" fillId="0" borderId="0" xfId="33" applyFont="1" applyFill="1" applyAlignment="1">
      <alignment horizontal="center" vertical="center"/>
    </xf>
    <xf numFmtId="0" fontId="7" fillId="8" borderId="102" xfId="33" applyFont="1" applyFill="1" applyBorder="1" applyAlignment="1">
      <alignment horizontal="center" vertical="center" wrapText="1"/>
    </xf>
    <xf numFmtId="0" fontId="7" fillId="8" borderId="105" xfId="33" applyFont="1" applyFill="1" applyBorder="1" applyAlignment="1">
      <alignment horizontal="center" vertical="center" wrapText="1"/>
    </xf>
    <xf numFmtId="0" fontId="7" fillId="8" borderId="108" xfId="33" applyFont="1" applyFill="1" applyBorder="1" applyAlignment="1">
      <alignment horizontal="center" vertical="center" wrapText="1"/>
    </xf>
    <xf numFmtId="0" fontId="7" fillId="8" borderId="1" xfId="33" applyFont="1" applyFill="1" applyBorder="1" applyAlignment="1">
      <alignment horizontal="center" vertical="center" wrapText="1"/>
    </xf>
    <xf numFmtId="0" fontId="7" fillId="8" borderId="100" xfId="33" applyFont="1" applyFill="1" applyBorder="1" applyAlignment="1">
      <alignment horizontal="center" vertical="center" wrapText="1"/>
    </xf>
    <xf numFmtId="0" fontId="7" fillId="8" borderId="22" xfId="33" applyFont="1" applyFill="1" applyBorder="1" applyAlignment="1">
      <alignment horizontal="center" vertical="center" wrapText="1"/>
    </xf>
    <xf numFmtId="0" fontId="7" fillId="8" borderId="23" xfId="33" applyFont="1" applyFill="1" applyBorder="1" applyAlignment="1">
      <alignment horizontal="center" vertical="center" wrapText="1"/>
    </xf>
    <xf numFmtId="0" fontId="7" fillId="8" borderId="15" xfId="33" applyFont="1" applyFill="1" applyBorder="1" applyAlignment="1">
      <alignment horizontal="center" vertical="center" wrapText="1"/>
    </xf>
    <xf numFmtId="0" fontId="7" fillId="8" borderId="24" xfId="33" applyFont="1" applyFill="1" applyBorder="1" applyAlignment="1">
      <alignment horizontal="center" vertical="center" wrapText="1"/>
    </xf>
    <xf numFmtId="0" fontId="7" fillId="8" borderId="25" xfId="33" applyFont="1" applyFill="1" applyBorder="1" applyAlignment="1">
      <alignment horizontal="center" vertical="center" wrapText="1"/>
    </xf>
    <xf numFmtId="0" fontId="7" fillId="8" borderId="26" xfId="33" applyFont="1" applyFill="1" applyBorder="1" applyAlignment="1">
      <alignment horizontal="center" vertical="center" wrapText="1"/>
    </xf>
    <xf numFmtId="0" fontId="7" fillId="8" borderId="3" xfId="33" applyFont="1" applyFill="1" applyBorder="1" applyAlignment="1">
      <alignment horizontal="center" vertical="center"/>
    </xf>
    <xf numFmtId="0" fontId="7" fillId="8" borderId="19" xfId="33" applyFont="1" applyFill="1" applyBorder="1" applyAlignment="1">
      <alignment horizontal="center" vertical="center"/>
    </xf>
    <xf numFmtId="0" fontId="7" fillId="8" borderId="1" xfId="33" applyFont="1" applyFill="1" applyBorder="1" applyAlignment="1">
      <alignment horizontal="center" vertical="center"/>
    </xf>
    <xf numFmtId="0" fontId="7" fillId="8" borderId="20" xfId="33" applyFont="1" applyFill="1" applyBorder="1" applyAlignment="1">
      <alignment horizontal="center" vertical="center"/>
    </xf>
    <xf numFmtId="0" fontId="100" fillId="18" borderId="16" xfId="33" applyFont="1" applyFill="1" applyBorder="1" applyAlignment="1">
      <alignment horizontal="center" vertical="center" wrapText="1"/>
    </xf>
    <xf numFmtId="0" fontId="100" fillId="18" borderId="2" xfId="33" applyFont="1" applyFill="1" applyBorder="1" applyAlignment="1">
      <alignment horizontal="center" vertical="center" wrapText="1"/>
    </xf>
    <xf numFmtId="0" fontId="100" fillId="18" borderId="21" xfId="33" applyFont="1" applyFill="1" applyBorder="1" applyAlignment="1">
      <alignment horizontal="center" vertical="center" wrapText="1"/>
    </xf>
    <xf numFmtId="0" fontId="7" fillId="8" borderId="3" xfId="33" applyFont="1" applyFill="1" applyBorder="1" applyAlignment="1">
      <alignment horizontal="center" vertical="center" wrapText="1"/>
    </xf>
    <xf numFmtId="0" fontId="7" fillId="8" borderId="19" xfId="33" applyFont="1" applyFill="1" applyBorder="1" applyAlignment="1">
      <alignment horizontal="center" vertical="center" wrapText="1"/>
    </xf>
    <xf numFmtId="0" fontId="2" fillId="0" borderId="0" xfId="33" applyFont="1" applyFill="1" applyAlignment="1">
      <alignment horizontal="right" vertical="center"/>
    </xf>
    <xf numFmtId="0" fontId="7" fillId="8" borderId="109" xfId="33" applyFont="1" applyFill="1" applyBorder="1" applyAlignment="1">
      <alignment horizontal="center" vertical="center"/>
    </xf>
    <xf numFmtId="0" fontId="7" fillId="8" borderId="110" xfId="33" applyFont="1" applyFill="1" applyBorder="1" applyAlignment="1">
      <alignment horizontal="center" vertical="center"/>
    </xf>
    <xf numFmtId="0" fontId="7" fillId="8" borderId="100" xfId="33" applyFont="1" applyFill="1" applyBorder="1" applyAlignment="1">
      <alignment horizontal="center" vertical="center"/>
    </xf>
    <xf numFmtId="0" fontId="100" fillId="15" borderId="16" xfId="33" applyFont="1" applyFill="1" applyBorder="1" applyAlignment="1">
      <alignment horizontal="center" vertical="center" wrapText="1"/>
    </xf>
    <xf numFmtId="0" fontId="100" fillId="15" borderId="2" xfId="33" applyFont="1" applyFill="1" applyBorder="1" applyAlignment="1">
      <alignment horizontal="center" vertical="center" wrapText="1"/>
    </xf>
    <xf numFmtId="0" fontId="100" fillId="15" borderId="21" xfId="33" applyFont="1" applyFill="1" applyBorder="1" applyAlignment="1">
      <alignment horizontal="center" vertical="center" wrapText="1"/>
    </xf>
    <xf numFmtId="0" fontId="2" fillId="18" borderId="3" xfId="33" applyFont="1" applyFill="1" applyBorder="1" applyAlignment="1">
      <alignment horizontal="center" vertical="center"/>
    </xf>
    <xf numFmtId="0" fontId="2" fillId="18" borderId="20" xfId="33" applyFont="1" applyFill="1" applyBorder="1" applyAlignment="1">
      <alignment horizontal="center" vertical="center"/>
    </xf>
    <xf numFmtId="0" fontId="2" fillId="18" borderId="19" xfId="33" applyFont="1" applyFill="1" applyBorder="1" applyAlignment="1">
      <alignment horizontal="center" vertical="center"/>
    </xf>
    <xf numFmtId="0" fontId="7" fillId="0" borderId="15" xfId="33" applyFont="1" applyFill="1" applyBorder="1" applyAlignment="1">
      <alignment horizontal="center" vertical="center"/>
    </xf>
    <xf numFmtId="0" fontId="7" fillId="0" borderId="24" xfId="33" applyFont="1" applyFill="1" applyBorder="1" applyAlignment="1">
      <alignment horizontal="center" vertical="center"/>
    </xf>
    <xf numFmtId="0" fontId="7" fillId="0" borderId="25" xfId="33" applyFont="1" applyFill="1" applyBorder="1" applyAlignment="1">
      <alignment horizontal="center" vertical="center"/>
    </xf>
    <xf numFmtId="0" fontId="7" fillId="0" borderId="26" xfId="33" applyFont="1" applyFill="1" applyBorder="1" applyAlignment="1">
      <alignment horizontal="center" vertical="center"/>
    </xf>
    <xf numFmtId="0" fontId="101" fillId="8" borderId="22" xfId="33" applyFont="1" applyFill="1" applyBorder="1" applyAlignment="1">
      <alignment horizontal="center" vertical="center" wrapText="1"/>
    </xf>
    <xf numFmtId="0" fontId="101" fillId="8" borderId="17" xfId="33" applyFont="1" applyFill="1" applyBorder="1" applyAlignment="1">
      <alignment horizontal="center" vertical="center" wrapText="1"/>
    </xf>
    <xf numFmtId="0" fontId="101" fillId="8" borderId="23" xfId="33" applyFont="1" applyFill="1" applyBorder="1" applyAlignment="1">
      <alignment horizontal="center" vertical="center" wrapText="1"/>
    </xf>
    <xf numFmtId="0" fontId="101" fillId="8" borderId="15" xfId="33" applyFont="1" applyFill="1" applyBorder="1" applyAlignment="1">
      <alignment horizontal="center" vertical="center" wrapText="1"/>
    </xf>
    <xf numFmtId="0" fontId="101" fillId="8" borderId="0" xfId="33" applyFont="1" applyFill="1" applyBorder="1" applyAlignment="1">
      <alignment horizontal="center" vertical="center" wrapText="1"/>
    </xf>
    <xf numFmtId="0" fontId="101" fillId="8" borderId="24" xfId="33" applyFont="1" applyFill="1" applyBorder="1" applyAlignment="1">
      <alignment horizontal="center" vertical="center" wrapText="1"/>
    </xf>
    <xf numFmtId="0" fontId="101" fillId="8" borderId="25" xfId="33" applyFont="1" applyFill="1" applyBorder="1" applyAlignment="1">
      <alignment horizontal="center" vertical="center" wrapText="1"/>
    </xf>
    <xf numFmtId="0" fontId="101" fillId="8" borderId="4" xfId="33" applyFont="1" applyFill="1" applyBorder="1" applyAlignment="1">
      <alignment horizontal="center" vertical="center" wrapText="1"/>
    </xf>
    <xf numFmtId="0" fontId="101" fillId="8" borderId="26" xfId="33" applyFont="1" applyFill="1" applyBorder="1" applyAlignment="1">
      <alignment horizontal="center" vertical="center" wrapText="1"/>
    </xf>
    <xf numFmtId="0" fontId="7" fillId="8" borderId="97" xfId="33" applyFont="1" applyFill="1" applyBorder="1" applyAlignment="1">
      <alignment horizontal="center" vertical="center" wrapText="1"/>
    </xf>
    <xf numFmtId="0" fontId="7" fillId="8" borderId="106" xfId="33" applyFont="1" applyFill="1" applyBorder="1" applyAlignment="1">
      <alignment horizontal="center" vertical="center" wrapText="1"/>
    </xf>
    <xf numFmtId="0" fontId="0" fillId="0" borderId="0" xfId="33" applyFont="1" applyFill="1" applyBorder="1" applyAlignment="1">
      <alignment horizontal="center" vertical="center"/>
    </xf>
    <xf numFmtId="0" fontId="2" fillId="3" borderId="0" xfId="33" applyFont="1" applyFill="1" applyBorder="1" applyAlignment="1">
      <alignment horizontal="center" vertical="center"/>
    </xf>
    <xf numFmtId="179" fontId="2" fillId="3" borderId="0" xfId="33" applyNumberFormat="1" applyFont="1" applyFill="1" applyBorder="1" applyAlignment="1">
      <alignment horizontal="center" vertical="center"/>
    </xf>
    <xf numFmtId="179" fontId="2" fillId="0" borderId="93" xfId="33" applyNumberFormat="1" applyFont="1" applyFill="1" applyBorder="1" applyAlignment="1">
      <alignment horizontal="center" vertical="center"/>
    </xf>
    <xf numFmtId="0" fontId="2" fillId="0" borderId="16" xfId="33" applyFont="1" applyFill="1" applyBorder="1" applyAlignment="1">
      <alignment horizontal="center" vertical="center"/>
    </xf>
    <xf numFmtId="0" fontId="0" fillId="0" borderId="93" xfId="33" applyFont="1" applyFill="1" applyBorder="1" applyAlignment="1">
      <alignment horizontal="center" vertical="center"/>
    </xf>
    <xf numFmtId="0" fontId="2" fillId="0" borderId="103" xfId="33" applyFont="1" applyFill="1" applyBorder="1" applyAlignment="1">
      <alignment horizontal="center" vertical="center"/>
    </xf>
    <xf numFmtId="0" fontId="2" fillId="0" borderId="102" xfId="33" applyFont="1" applyFill="1" applyBorder="1" applyAlignment="1">
      <alignment horizontal="center" vertical="center"/>
    </xf>
    <xf numFmtId="179" fontId="2" fillId="0" borderId="16" xfId="33" applyNumberFormat="1" applyFont="1" applyFill="1" applyBorder="1" applyAlignment="1">
      <alignment horizontal="center" vertical="center"/>
    </xf>
    <xf numFmtId="0" fontId="104" fillId="19" borderId="17" xfId="38" applyNumberFormat="1" applyFont="1" applyFill="1" applyBorder="1" applyAlignment="1">
      <alignment horizontal="center"/>
    </xf>
    <xf numFmtId="0" fontId="0" fillId="19" borderId="17" xfId="38" applyNumberFormat="1" applyFont="1" applyFill="1" applyBorder="1" applyAlignment="1">
      <alignment horizontal="center"/>
    </xf>
    <xf numFmtId="0" fontId="0" fillId="19" borderId="0" xfId="38" applyNumberFormat="1" applyFont="1" applyFill="1" applyBorder="1" applyAlignment="1">
      <alignment horizontal="center"/>
    </xf>
    <xf numFmtId="0" fontId="85" fillId="0" borderId="0" xfId="38" applyFont="1" applyBorder="1" applyAlignment="1">
      <alignment horizontal="center"/>
    </xf>
    <xf numFmtId="0" fontId="86" fillId="0" borderId="0" xfId="38" applyFont="1" applyBorder="1" applyAlignment="1">
      <alignment horizontal="center"/>
    </xf>
    <xf numFmtId="0" fontId="75" fillId="0" borderId="0" xfId="38" applyFont="1" applyBorder="1" applyAlignment="1">
      <alignment horizontal="center"/>
    </xf>
    <xf numFmtId="14" fontId="80" fillId="0" borderId="0" xfId="38" applyNumberFormat="1" applyFont="1" applyBorder="1" applyAlignment="1">
      <alignment horizontal="center"/>
    </xf>
    <xf numFmtId="0" fontId="80" fillId="0" borderId="0" xfId="38" applyFont="1" applyBorder="1" applyAlignment="1">
      <alignment horizontal="center"/>
    </xf>
    <xf numFmtId="0" fontId="75" fillId="2" borderId="1" xfId="38" applyFont="1" applyFill="1" applyBorder="1" applyAlignment="1">
      <alignment horizontal="center"/>
    </xf>
    <xf numFmtId="0" fontId="75" fillId="0" borderId="1" xfId="38" applyFont="1" applyBorder="1" applyAlignment="1">
      <alignment horizontal="center"/>
    </xf>
    <xf numFmtId="0" fontId="75" fillId="3" borderId="1" xfId="38" applyFont="1" applyFill="1" applyBorder="1" applyAlignment="1">
      <alignment horizontal="center"/>
    </xf>
    <xf numFmtId="0" fontId="77" fillId="0" borderId="0" xfId="38" applyFont="1" applyAlignment="1">
      <alignment horizontal="center"/>
    </xf>
    <xf numFmtId="0" fontId="102" fillId="0" borderId="0" xfId="38" applyFont="1" applyAlignment="1">
      <alignment horizontal="center"/>
    </xf>
    <xf numFmtId="0" fontId="103" fillId="0" borderId="0" xfId="38" applyFont="1" applyAlignment="1">
      <alignment horizontal="center"/>
    </xf>
    <xf numFmtId="0" fontId="75" fillId="0" borderId="4" xfId="38" applyFont="1" applyBorder="1" applyAlignment="1">
      <alignment horizontal="center"/>
    </xf>
    <xf numFmtId="0" fontId="4" fillId="0" borderId="4" xfId="38" applyFont="1" applyBorder="1" applyAlignment="1">
      <alignment horizontal="center"/>
    </xf>
    <xf numFmtId="179" fontId="80" fillId="0" borderId="4" xfId="38" applyNumberFormat="1" applyFont="1" applyBorder="1" applyAlignment="1">
      <alignment horizontal="center"/>
    </xf>
    <xf numFmtId="0" fontId="75" fillId="0" borderId="20" xfId="38" applyFont="1" applyBorder="1" applyAlignment="1">
      <alignment horizontal="center"/>
    </xf>
    <xf numFmtId="0" fontId="0" fillId="0" borderId="20" xfId="38" applyFont="1" applyBorder="1" applyAlignment="1">
      <alignment horizontal="center"/>
    </xf>
    <xf numFmtId="0" fontId="0" fillId="0" borderId="3" xfId="33" applyFont="1" applyBorder="1" applyAlignment="1">
      <alignment horizontal="center"/>
    </xf>
    <xf numFmtId="0" fontId="75" fillId="0" borderId="19" xfId="33" applyFont="1" applyBorder="1" applyAlignment="1">
      <alignment horizontal="center"/>
    </xf>
    <xf numFmtId="0" fontId="0" fillId="20" borderId="3" xfId="33" applyFont="1" applyFill="1" applyBorder="1" applyAlignment="1">
      <alignment horizontal="center"/>
    </xf>
    <xf numFmtId="0" fontId="75" fillId="20" borderId="19" xfId="33" applyFont="1" applyFill="1" applyBorder="1" applyAlignment="1">
      <alignment horizontal="center"/>
    </xf>
    <xf numFmtId="0" fontId="75" fillId="20" borderId="3" xfId="33" applyFont="1" applyFill="1" applyBorder="1" applyAlignment="1">
      <alignment horizontal="center"/>
    </xf>
    <xf numFmtId="0" fontId="0" fillId="0" borderId="1" xfId="33" applyFont="1" applyBorder="1" applyAlignment="1">
      <alignment horizontal="center"/>
    </xf>
    <xf numFmtId="0" fontId="4" fillId="0" borderId="1" xfId="33" applyFont="1" applyBorder="1" applyAlignment="1">
      <alignment horizontal="center"/>
    </xf>
    <xf numFmtId="0" fontId="80" fillId="0" borderId="3" xfId="33" applyFont="1" applyBorder="1" applyAlignment="1">
      <alignment horizontal="center"/>
    </xf>
    <xf numFmtId="0" fontId="80" fillId="0" borderId="20" xfId="33" applyFont="1" applyBorder="1" applyAlignment="1">
      <alignment horizontal="center"/>
    </xf>
    <xf numFmtId="0" fontId="80" fillId="0" borderId="19" xfId="33" applyFont="1" applyBorder="1" applyAlignment="1">
      <alignment horizontal="center"/>
    </xf>
    <xf numFmtId="0" fontId="75" fillId="0" borderId="1" xfId="33" applyFont="1" applyBorder="1" applyAlignment="1">
      <alignment horizontal="center"/>
    </xf>
    <xf numFmtId="0" fontId="77" fillId="0" borderId="0" xfId="33" applyFont="1" applyAlignment="1">
      <alignment horizontal="center"/>
    </xf>
    <xf numFmtId="0" fontId="102" fillId="0" borderId="0" xfId="33" applyFont="1" applyAlignment="1">
      <alignment horizontal="center"/>
    </xf>
    <xf numFmtId="0" fontId="103" fillId="0" borderId="0" xfId="33" applyFont="1" applyAlignment="1">
      <alignment horizontal="center"/>
    </xf>
    <xf numFmtId="0" fontId="4" fillId="0" borderId="4" xfId="33" applyFont="1" applyBorder="1" applyAlignment="1">
      <alignment horizontal="center"/>
    </xf>
    <xf numFmtId="179" fontId="80" fillId="0" borderId="4" xfId="33" applyNumberFormat="1" applyFont="1" applyBorder="1" applyAlignment="1">
      <alignment horizontal="center"/>
    </xf>
    <xf numFmtId="0" fontId="23" fillId="0" borderId="1" xfId="0" applyFont="1" applyFill="1" applyBorder="1" applyAlignment="1">
      <alignment horizontal="center" vertical="center" wrapText="1"/>
    </xf>
    <xf numFmtId="0" fontId="42" fillId="7" borderId="20" xfId="0" applyFont="1" applyFill="1" applyBorder="1" applyAlignment="1">
      <alignment horizontal="left" vertical="center"/>
    </xf>
    <xf numFmtId="0" fontId="42" fillId="7" borderId="19" xfId="0" applyFont="1" applyFill="1" applyBorder="1" applyAlignment="1">
      <alignment horizontal="left" vertical="center"/>
    </xf>
    <xf numFmtId="0" fontId="23" fillId="0" borderId="22" xfId="0" applyFont="1" applyFill="1" applyBorder="1" applyAlignment="1">
      <alignment horizontal="center" vertical="center" wrapText="1"/>
    </xf>
    <xf numFmtId="0" fontId="23" fillId="0" borderId="23" xfId="0" applyFont="1" applyFill="1" applyBorder="1" applyAlignment="1">
      <alignment horizontal="center" vertical="center" wrapText="1"/>
    </xf>
    <xf numFmtId="0" fontId="23" fillId="0" borderId="15" xfId="0" applyFont="1" applyFill="1" applyBorder="1" applyAlignment="1">
      <alignment horizontal="center" vertical="center" wrapText="1"/>
    </xf>
    <xf numFmtId="0" fontId="23" fillId="0" borderId="24" xfId="0" applyFont="1" applyFill="1" applyBorder="1" applyAlignment="1">
      <alignment horizontal="center" vertical="center" wrapText="1"/>
    </xf>
    <xf numFmtId="0" fontId="23" fillId="0" borderId="2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41" fillId="0" borderId="16" xfId="0" applyFont="1" applyFill="1" applyBorder="1" applyAlignment="1">
      <alignment horizontal="center" vertical="center"/>
    </xf>
    <xf numFmtId="0" fontId="41" fillId="0" borderId="2" xfId="0" applyFont="1" applyFill="1" applyBorder="1" applyAlignment="1">
      <alignment horizontal="center" vertical="center"/>
    </xf>
    <xf numFmtId="0" fontId="23" fillId="0" borderId="61" xfId="0" applyFont="1" applyFill="1" applyBorder="1" applyAlignment="1">
      <alignment horizontal="center" vertical="center" wrapText="1"/>
    </xf>
    <xf numFmtId="0" fontId="23" fillId="0" borderId="62"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41" fillId="0" borderId="1" xfId="0" applyFont="1" applyFill="1" applyBorder="1" applyAlignment="1">
      <alignment horizontal="center" vertical="center"/>
    </xf>
    <xf numFmtId="0" fontId="41" fillId="6" borderId="1" xfId="0" applyFont="1" applyFill="1" applyBorder="1" applyAlignment="1">
      <alignment horizontal="center" vertical="center"/>
    </xf>
    <xf numFmtId="180" fontId="41" fillId="6" borderId="1" xfId="0" applyNumberFormat="1" applyFont="1" applyFill="1" applyBorder="1" applyAlignment="1">
      <alignment horizontal="center" vertical="center"/>
    </xf>
    <xf numFmtId="0" fontId="23" fillId="6" borderId="1" xfId="0" applyFont="1" applyFill="1" applyBorder="1" applyAlignment="1">
      <alignment horizontal="center" vertical="center" wrapText="1"/>
    </xf>
    <xf numFmtId="0" fontId="40" fillId="6" borderId="0" xfId="0" applyFont="1" applyFill="1" applyBorder="1" applyAlignment="1">
      <alignment horizontal="center" vertical="center"/>
    </xf>
    <xf numFmtId="0" fontId="41" fillId="6" borderId="0" xfId="0" applyFont="1" applyFill="1" applyBorder="1" applyAlignment="1">
      <alignment horizontal="center" vertical="center"/>
    </xf>
    <xf numFmtId="179" fontId="41" fillId="6" borderId="0" xfId="0" applyNumberFormat="1" applyFont="1" applyFill="1" applyBorder="1" applyAlignment="1">
      <alignment horizontal="center" vertical="center"/>
    </xf>
    <xf numFmtId="179" fontId="41" fillId="6" borderId="1" xfId="0" applyNumberFormat="1" applyFont="1" applyFill="1" applyBorder="1" applyAlignment="1">
      <alignment horizontal="center" vertical="center"/>
    </xf>
    <xf numFmtId="0" fontId="30" fillId="2" borderId="1"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17" xfId="0" applyFont="1" applyFill="1" applyBorder="1" applyAlignment="1">
      <alignment horizontal="center" vertical="center" wrapText="1"/>
    </xf>
    <xf numFmtId="0" fontId="23" fillId="0" borderId="4" xfId="0" applyFont="1" applyFill="1" applyBorder="1" applyAlignment="1">
      <alignment horizontal="center" vertical="center" wrapText="1"/>
    </xf>
    <xf numFmtId="0" fontId="42" fillId="0" borderId="1" xfId="0" applyFont="1" applyFill="1" applyBorder="1" applyAlignment="1">
      <alignment horizontal="center" vertical="center" wrapText="1"/>
    </xf>
    <xf numFmtId="58" fontId="42" fillId="0" borderId="1" xfId="0" applyNumberFormat="1" applyFont="1" applyFill="1" applyBorder="1" applyAlignment="1">
      <alignment horizontal="center" vertical="center" wrapText="1"/>
    </xf>
    <xf numFmtId="0" fontId="41" fillId="0" borderId="1" xfId="0" applyFont="1" applyFill="1" applyBorder="1" applyAlignment="1">
      <alignment horizontal="center" vertical="center" wrapText="1"/>
    </xf>
    <xf numFmtId="0" fontId="23" fillId="0" borderId="2" xfId="0" applyFont="1" applyFill="1" applyBorder="1" applyAlignment="1">
      <alignment horizontal="center" vertical="center" wrapText="1"/>
    </xf>
    <xf numFmtId="0" fontId="41" fillId="0" borderId="16" xfId="0" applyFont="1" applyFill="1" applyBorder="1" applyAlignment="1">
      <alignment horizontal="center" vertical="center" wrapText="1"/>
    </xf>
    <xf numFmtId="0" fontId="41" fillId="0" borderId="2" xfId="0" applyFont="1" applyFill="1" applyBorder="1" applyAlignment="1">
      <alignment horizontal="center" vertical="center" wrapText="1"/>
    </xf>
    <xf numFmtId="0" fontId="41" fillId="0" borderId="21" xfId="0" applyFont="1" applyFill="1" applyBorder="1" applyAlignment="1">
      <alignment horizontal="center" vertical="center" wrapText="1"/>
    </xf>
    <xf numFmtId="0" fontId="23" fillId="0" borderId="64" xfId="0" applyFont="1" applyFill="1" applyBorder="1" applyAlignment="1">
      <alignment horizontal="center" vertical="center" wrapText="1"/>
    </xf>
    <xf numFmtId="0" fontId="23" fillId="0" borderId="65" xfId="0" applyFont="1" applyFill="1" applyBorder="1" applyAlignment="1">
      <alignment horizontal="center" vertical="center" wrapText="1"/>
    </xf>
    <xf numFmtId="0" fontId="23" fillId="0" borderId="66" xfId="0" applyFont="1" applyFill="1" applyBorder="1" applyAlignment="1">
      <alignment horizontal="center" vertical="center" wrapText="1"/>
    </xf>
    <xf numFmtId="0" fontId="23" fillId="0" borderId="67" xfId="0" applyFont="1" applyFill="1" applyBorder="1" applyAlignment="1">
      <alignment horizontal="center" vertical="center" wrapText="1"/>
    </xf>
  </cellXfs>
  <cellStyles count="44">
    <cellStyle name="差_油漆领料单(NEW 2009-3-16)" xfId="6"/>
    <cellStyle name="常规" xfId="0" builtinId="0"/>
    <cellStyle name="常规 10" xfId="33"/>
    <cellStyle name="常规 11" xfId="36"/>
    <cellStyle name="常规 12" xfId="38"/>
    <cellStyle name="常规 2" xfId="2"/>
    <cellStyle name="常规 2 2" xfId="3"/>
    <cellStyle name="常规 2 2 2" xfId="7"/>
    <cellStyle name="常规 2 3" xfId="5"/>
    <cellStyle name="常规 2 3 2" xfId="8"/>
    <cellStyle name="常规 2 3 3" xfId="42"/>
    <cellStyle name="常规 2 4" xfId="9"/>
    <cellStyle name="常规 2 4 2" xfId="10"/>
    <cellStyle name="常规 2 4 3" xfId="29"/>
    <cellStyle name="常规 2 4 3 2" xfId="41"/>
    <cellStyle name="常规 2 4 4" xfId="32"/>
    <cellStyle name="常规 2 4 5" xfId="35"/>
    <cellStyle name="常规 2 5" xfId="30"/>
    <cellStyle name="常规 2 6" xfId="34"/>
    <cellStyle name="常规 3" xfId="4"/>
    <cellStyle name="常规 3 2" xfId="11"/>
    <cellStyle name="常规 3 3" xfId="40"/>
    <cellStyle name="常规 4" xfId="12"/>
    <cellStyle name="常规 4 2" xfId="13"/>
    <cellStyle name="常规 4 2 2" xfId="14"/>
    <cellStyle name="常规 4 2 2 2" xfId="15"/>
    <cellStyle name="常规 4 2 2 3" xfId="16"/>
    <cellStyle name="常规 4 2 2 3 2" xfId="17"/>
    <cellStyle name="常规 4 2 2 3 2 2" xfId="18"/>
    <cellStyle name="常规 4 2 2 3 3" xfId="19"/>
    <cellStyle name="常规 4 3" xfId="20"/>
    <cellStyle name="常规 4 4" xfId="21"/>
    <cellStyle name="常规 5" xfId="22"/>
    <cellStyle name="常规 6" xfId="23"/>
    <cellStyle name="常规 7" xfId="26"/>
    <cellStyle name="常规 7 2" xfId="28"/>
    <cellStyle name="常规 8" xfId="27"/>
    <cellStyle name="常规 9" xfId="31"/>
    <cellStyle name="常规_6月份不良统计分析_1" xfId="43"/>
    <cellStyle name="常规_norma1" xfId="1"/>
    <cellStyle name="常规_领料单试行标准5.21" xfId="37"/>
    <cellStyle name="好_半成品油漆领料单模板(NEW 2009-4-1)" xfId="24"/>
    <cellStyle name="好_油漆领料单(NEW 2009-3-16)" xfId="25"/>
    <cellStyle name="千位分隔 2" xfId="39"/>
  </cellStyles>
  <dxfs count="28">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F0F0F0"/>
      <color rgb="FF18E6E6"/>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8.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7.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externalLink" Target="externalLinks/externalLink10.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11</xdr:row>
      <xdr:rowOff>114300</xdr:rowOff>
    </xdr:from>
    <xdr:to>
      <xdr:col>0</xdr:col>
      <xdr:colOff>685800</xdr:colOff>
      <xdr:row>16</xdr:row>
      <xdr:rowOff>58881</xdr:rowOff>
    </xdr:to>
    <xdr:pic>
      <xdr:nvPicPr>
        <xdr:cNvPr id="2" name="图片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5725" y="1352550"/>
          <a:ext cx="800100" cy="90156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132789</xdr:colOff>
      <xdr:row>25</xdr:row>
      <xdr:rowOff>129988</xdr:rowOff>
    </xdr:from>
    <xdr:to>
      <xdr:col>0</xdr:col>
      <xdr:colOff>809064</xdr:colOff>
      <xdr:row>29</xdr:row>
      <xdr:rowOff>186629</xdr:rowOff>
    </xdr:to>
    <xdr:pic>
      <xdr:nvPicPr>
        <xdr:cNvPr id="3" name="图片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32789" y="3334870"/>
          <a:ext cx="676275" cy="81863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143435</xdr:colOff>
      <xdr:row>44</xdr:row>
      <xdr:rowOff>129428</xdr:rowOff>
    </xdr:from>
    <xdr:to>
      <xdr:col>0</xdr:col>
      <xdr:colOff>753035</xdr:colOff>
      <xdr:row>48</xdr:row>
      <xdr:rowOff>46821</xdr:rowOff>
    </xdr:to>
    <xdr:pic>
      <xdr:nvPicPr>
        <xdr:cNvPr id="4" name="图片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143435" y="5609104"/>
          <a:ext cx="609600" cy="679393"/>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175372</xdr:colOff>
      <xdr:row>51</xdr:row>
      <xdr:rowOff>114300</xdr:rowOff>
    </xdr:from>
    <xdr:to>
      <xdr:col>0</xdr:col>
      <xdr:colOff>775447</xdr:colOff>
      <xdr:row>54</xdr:row>
      <xdr:rowOff>164213</xdr:rowOff>
    </xdr:to>
    <xdr:pic>
      <xdr:nvPicPr>
        <xdr:cNvPr id="5" name="图片 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bwMode="auto">
        <a:xfrm>
          <a:off x="175372" y="6781800"/>
          <a:ext cx="600075" cy="621413"/>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152400</xdr:colOff>
      <xdr:row>69</xdr:row>
      <xdr:rowOff>0</xdr:rowOff>
    </xdr:from>
    <xdr:to>
      <xdr:col>0</xdr:col>
      <xdr:colOff>685800</xdr:colOff>
      <xdr:row>72</xdr:row>
      <xdr:rowOff>117419</xdr:rowOff>
    </xdr:to>
    <xdr:pic>
      <xdr:nvPicPr>
        <xdr:cNvPr id="6" name="图片 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rcRect/>
        <a:stretch>
          <a:fillRect/>
        </a:stretch>
      </xdr:blipFill>
      <xdr:spPr bwMode="auto">
        <a:xfrm>
          <a:off x="152400" y="11144250"/>
          <a:ext cx="638175" cy="90238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74543</xdr:colOff>
      <xdr:row>93</xdr:row>
      <xdr:rowOff>153642</xdr:rowOff>
    </xdr:from>
    <xdr:to>
      <xdr:col>0</xdr:col>
      <xdr:colOff>688592</xdr:colOff>
      <xdr:row>96</xdr:row>
      <xdr:rowOff>123628</xdr:rowOff>
    </xdr:to>
    <xdr:pic>
      <xdr:nvPicPr>
        <xdr:cNvPr id="7" name="图片 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rcRect/>
        <a:stretch>
          <a:fillRect/>
        </a:stretch>
      </xdr:blipFill>
      <xdr:spPr bwMode="auto">
        <a:xfrm>
          <a:off x="74543" y="13774392"/>
          <a:ext cx="880749" cy="754958"/>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159577</xdr:colOff>
      <xdr:row>39</xdr:row>
      <xdr:rowOff>67235</xdr:rowOff>
    </xdr:from>
    <xdr:to>
      <xdr:col>0</xdr:col>
      <xdr:colOff>741829</xdr:colOff>
      <xdr:row>42</xdr:row>
      <xdr:rowOff>82116</xdr:rowOff>
    </xdr:to>
    <xdr:pic>
      <xdr:nvPicPr>
        <xdr:cNvPr id="8" name="Picture 8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xmlns="" val="0"/>
            </a:ext>
          </a:extLst>
        </a:blip>
        <a:srcRect/>
        <a:stretch>
          <a:fillRect/>
        </a:stretch>
      </xdr:blipFill>
      <xdr:spPr bwMode="auto">
        <a:xfrm>
          <a:off x="159577" y="4863353"/>
          <a:ext cx="582252" cy="586383"/>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1">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57150</xdr:colOff>
      <xdr:row>33</xdr:row>
      <xdr:rowOff>152400</xdr:rowOff>
    </xdr:from>
    <xdr:to>
      <xdr:col>1</xdr:col>
      <xdr:colOff>2485</xdr:colOff>
      <xdr:row>38</xdr:row>
      <xdr:rowOff>95250</xdr:rowOff>
    </xdr:to>
    <xdr:pic>
      <xdr:nvPicPr>
        <xdr:cNvPr id="11" name="图片 1"/>
        <xdr:cNvPicPr>
          <a:picLocks noChangeAspect="1"/>
        </xdr:cNvPicPr>
      </xdr:nvPicPr>
      <xdr:blipFill>
        <a:blip xmlns:r="http://schemas.openxmlformats.org/officeDocument/2006/relationships" r:embed="rId8" cstate="print"/>
        <a:srcRect/>
        <a:stretch>
          <a:fillRect/>
        </a:stretch>
      </xdr:blipFill>
      <xdr:spPr bwMode="auto">
        <a:xfrm>
          <a:off x="57150" y="3076575"/>
          <a:ext cx="952500" cy="895350"/>
        </a:xfrm>
        <a:prstGeom prst="rect">
          <a:avLst/>
        </a:prstGeom>
        <a:noFill/>
        <a:ln w="9525">
          <a:noFill/>
          <a:miter lim="800000"/>
          <a:headEnd/>
          <a:tailEnd/>
        </a:ln>
      </xdr:spPr>
    </xdr:pic>
    <xdr:clientData/>
  </xdr:twoCellAnchor>
  <xdr:twoCellAnchor editAs="oneCell">
    <xdr:from>
      <xdr:col>0</xdr:col>
      <xdr:colOff>66675</xdr:colOff>
      <xdr:row>106</xdr:row>
      <xdr:rowOff>85725</xdr:rowOff>
    </xdr:from>
    <xdr:to>
      <xdr:col>1</xdr:col>
      <xdr:colOff>2485</xdr:colOff>
      <xdr:row>111</xdr:row>
      <xdr:rowOff>38100</xdr:rowOff>
    </xdr:to>
    <xdr:pic>
      <xdr:nvPicPr>
        <xdr:cNvPr id="12" name="Picture 98"/>
        <xdr:cNvPicPr>
          <a:picLocks noChangeAspect="1" noChangeArrowheads="1"/>
        </xdr:cNvPicPr>
      </xdr:nvPicPr>
      <xdr:blipFill>
        <a:blip xmlns:r="http://schemas.openxmlformats.org/officeDocument/2006/relationships" r:embed="rId9" cstate="print"/>
        <a:srcRect/>
        <a:stretch>
          <a:fillRect/>
        </a:stretch>
      </xdr:blipFill>
      <xdr:spPr bwMode="auto">
        <a:xfrm>
          <a:off x="66675" y="5105400"/>
          <a:ext cx="923925" cy="904875"/>
        </a:xfrm>
        <a:prstGeom prst="rect">
          <a:avLst/>
        </a:prstGeom>
        <a:noFill/>
        <a:ln w="1">
          <a:noFill/>
          <a:miter lim="800000"/>
          <a:headEnd/>
          <a:tailEnd/>
        </a:ln>
      </xdr:spPr>
    </xdr:pic>
    <xdr:clientData/>
  </xdr:twoCellAnchor>
  <xdr:twoCellAnchor editAs="oneCell">
    <xdr:from>
      <xdr:col>0</xdr:col>
      <xdr:colOff>152400</xdr:colOff>
      <xdr:row>83</xdr:row>
      <xdr:rowOff>0</xdr:rowOff>
    </xdr:from>
    <xdr:to>
      <xdr:col>0</xdr:col>
      <xdr:colOff>685800</xdr:colOff>
      <xdr:row>86</xdr:row>
      <xdr:rowOff>117419</xdr:rowOff>
    </xdr:to>
    <xdr:pic>
      <xdr:nvPicPr>
        <xdr:cNvPr id="14" name="图片 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rcRect/>
        <a:stretch>
          <a:fillRect/>
        </a:stretch>
      </xdr:blipFill>
      <xdr:spPr bwMode="auto">
        <a:xfrm>
          <a:off x="152400" y="13155706"/>
          <a:ext cx="533400" cy="68891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74543</xdr:colOff>
      <xdr:row>100</xdr:row>
      <xdr:rowOff>153642</xdr:rowOff>
    </xdr:from>
    <xdr:to>
      <xdr:col>0</xdr:col>
      <xdr:colOff>688592</xdr:colOff>
      <xdr:row>103</xdr:row>
      <xdr:rowOff>123628</xdr:rowOff>
    </xdr:to>
    <xdr:pic>
      <xdr:nvPicPr>
        <xdr:cNvPr id="15" name="图片 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rcRect/>
        <a:stretch>
          <a:fillRect/>
        </a:stretch>
      </xdr:blipFill>
      <xdr:spPr bwMode="auto">
        <a:xfrm>
          <a:off x="74543" y="17881348"/>
          <a:ext cx="614049" cy="541486"/>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7833;&#28422;&#27249;&#26588;&#27169;&#26495;2013-7-24/&#28151;&#27833;/&#33394;&#35825;&#65288;&#36890;&#29992;&#65289;/2009-11-22%20&#21152;&#21253;&#35013;&#26588;&#20307;&#20998;&#35299;&#27169;&#2649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12-1&#21253;&#35013;/6&#26376;14&#26085;&#25913;&#26368;&#26032;&#20559;&#24515;&#20214;&#32467;&#26500;-&#26262;&#30333;&#26588;&#2030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46.52\SharedDocs\My%20Videos\yahu\&#20813;&#28422;\2009-11-22%20&#21152;&#21253;&#35013;&#26588;&#20307;&#20998;&#35299;&#27169;&#26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7249;&#26588;&#27169;&#26495;14-12-16/&#33394;&#35825;&#65288;&#36890;&#29992;&#65289;/2009-11-22%20&#21152;&#21253;&#35013;&#26588;&#20307;&#20998;&#35299;&#27169;&#264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3454;&#26408;&#26408;&#30382;/&#26588;&#20307;&#21644;&#38376;&#26495;&#27169;&#26495;/&#27833;&#28422;&#26408;&#30382;&#38376;&#26495;&#26032;&#27169;&#29256;20100622/2009-11-22%20&#21152;&#21253;&#35013;&#26588;&#20307;&#20998;&#35299;&#27169;&#2649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009-11-22%20&#21152;&#21253;&#35013;&#26588;&#20307;&#20998;&#35299;&#27169;&#2649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4037;&#33402;&#35746;&#21333;&#30005;&#23376;&#29256;/&#34915;&#24125;&#38388;---&#24212;&#32654;&#22915;/&#20041;&#20044;%20%20&#34915;&#24125;&#38388;%20%20S400024316%20%20&#24212;&#32654;&#22915;.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6588;&#20307;.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gpxyh5356.DYRS-LF/Desktop/tm/M11&#26262;&#30333;&#26588;&#20307;.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014-2-28&#29616;&#23384;&#3732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本地包装领料单"/>
      <sheetName val="外地包装领料单 "/>
      <sheetName val="交接表"/>
      <sheetName val="半成品领料单"/>
      <sheetName val="橱柜交接表"/>
    </sheetNames>
    <sheetDataSet>
      <sheetData sheetId="0" refreshError="1"/>
      <sheetData sheetId="1" refreshError="1"/>
      <sheetData sheetId="2" refreshError="1">
        <row r="3">
          <cell r="M3">
            <v>40889</v>
          </cell>
        </row>
      </sheetData>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新领料单"/>
      <sheetName val="柜体交接表"/>
      <sheetName val="丛林印象油漆"/>
      <sheetName val="公式"/>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refreshError="1"/>
      <sheetData sheetId="1">
        <row r="4">
          <cell r="I4" t="str">
            <v>2017.2.20</v>
          </cell>
        </row>
      </sheetData>
      <sheetData sheetId="2">
        <row r="2">
          <cell r="C2" t="str">
            <v>黑丹丹</v>
          </cell>
          <cell r="H2" t="str">
            <v>S400332724</v>
          </cell>
          <cell r="N2" t="str">
            <v>161116-2.1</v>
          </cell>
          <cell r="S2" t="str">
            <v>郑州</v>
          </cell>
          <cell r="X2" t="str">
            <v>2017.2.20</v>
          </cell>
        </row>
      </sheetData>
      <sheetData sheetId="3">
        <row r="4">
          <cell r="M4" t="str">
            <v>材料名称、颜色</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交接表"/>
      <sheetName val="Sheet1"/>
      <sheetName val="橱柜交接表"/>
      <sheetName val="外地"/>
      <sheetName val="本地"/>
      <sheetName val="本地包装"/>
      <sheetName val="外阜包装"/>
    </sheetNames>
    <sheetDataSet>
      <sheetData sheetId="0"/>
      <sheetData sheetId="1">
        <row r="2">
          <cell r="M2" t="str">
            <v>版本型录号</v>
          </cell>
        </row>
      </sheetData>
      <sheetData sheetId="2">
        <row r="4">
          <cell r="M4">
            <v>0</v>
          </cell>
        </row>
      </sheetData>
      <sheetData sheetId="3"/>
      <sheetData sheetId="4"/>
      <sheetData sheetId="5"/>
      <sheetData sheetId="6"/>
      <sheetData sheetId="7"/>
      <sheetData sheetId="8"/>
      <sheetData sheetId="9"/>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2014-2-28现存量"/>
      <sheetName val="库位代码"/>
      <sheetName val="2-28日计划科查看--车间暂存内容"/>
      <sheetName val="2-26、2-27入库记录"/>
    </sheetNames>
    <sheetDataSet>
      <sheetData sheetId="0" refreshError="1">
        <row r="889">
          <cell r="C889" t="str">
            <v>尼龙胀塞8*60</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1"/>
  <dimension ref="A1:E128"/>
  <sheetViews>
    <sheetView showZeros="0" defaultGridColor="0" topLeftCell="F1" colorId="0" workbookViewId="0">
      <selection activeCell="D1" sqref="D1"/>
    </sheetView>
  </sheetViews>
  <sheetFormatPr defaultRowHeight="14.25"/>
  <cols>
    <col min="1" max="1" width="15.25" style="2" hidden="1" customWidth="1"/>
    <col min="2" max="2" width="3.5" style="2" hidden="1" customWidth="1"/>
    <col min="3" max="3" width="10.875" style="3" hidden="1" customWidth="1"/>
    <col min="4" max="4" width="12.75" style="2" hidden="1" customWidth="1"/>
    <col min="5" max="5" width="33.5" style="2" hidden="1" customWidth="1"/>
    <col min="6" max="6" width="8.875" style="2" customWidth="1"/>
    <col min="7" max="16384" width="9" style="2"/>
  </cols>
  <sheetData>
    <row r="1" spans="1:5">
      <c r="A1" s="4"/>
      <c r="B1" s="4"/>
      <c r="C1" s="5"/>
      <c r="D1" s="5"/>
      <c r="E1" s="5"/>
    </row>
    <row r="2" spans="1:5">
      <c r="A2" s="4"/>
      <c r="B2" s="4"/>
      <c r="C2" s="5"/>
      <c r="D2" s="5"/>
      <c r="E2" s="5"/>
    </row>
    <row r="3" spans="1:5">
      <c r="A3" s="4"/>
      <c r="B3" s="4"/>
      <c r="C3" s="5"/>
      <c r="D3" s="5"/>
      <c r="E3" s="5"/>
    </row>
    <row r="4" spans="1:5">
      <c r="A4" s="4"/>
      <c r="B4" s="4"/>
      <c r="C4" s="5"/>
      <c r="D4" s="5"/>
      <c r="E4" s="5"/>
    </row>
    <row r="5" spans="1:5">
      <c r="A5" s="4"/>
      <c r="B5" s="4"/>
      <c r="C5" s="5"/>
      <c r="D5" s="5"/>
      <c r="E5" s="5"/>
    </row>
    <row r="6" spans="1:5">
      <c r="A6" s="4"/>
      <c r="B6" s="4"/>
      <c r="C6" s="5"/>
      <c r="D6" s="5"/>
      <c r="E6" s="5"/>
    </row>
    <row r="7" spans="1:5">
      <c r="A7" s="4"/>
      <c r="B7" s="4"/>
      <c r="C7" s="5"/>
      <c r="D7" s="5"/>
      <c r="E7" s="5"/>
    </row>
    <row r="8" spans="1:5">
      <c r="A8" s="4"/>
      <c r="B8" s="4"/>
      <c r="C8" s="5"/>
      <c r="D8" s="5"/>
      <c r="E8" s="5"/>
    </row>
    <row r="9" spans="1:5">
      <c r="B9" s="4"/>
      <c r="C9" s="5"/>
      <c r="D9" s="5"/>
      <c r="E9" s="5"/>
    </row>
    <row r="10" spans="1:5">
      <c r="B10" s="4"/>
      <c r="C10" s="5"/>
      <c r="D10" s="5"/>
      <c r="E10" s="5"/>
    </row>
    <row r="11" spans="1:5">
      <c r="B11" s="4"/>
      <c r="C11" s="5"/>
      <c r="D11" s="5"/>
      <c r="E11" s="5"/>
    </row>
    <row r="12" spans="1:5">
      <c r="B12" s="4"/>
      <c r="C12" s="5"/>
      <c r="D12" s="5"/>
      <c r="E12" s="5"/>
    </row>
    <row r="13" spans="1:5">
      <c r="B13" s="4"/>
      <c r="C13" s="5"/>
      <c r="D13" s="5"/>
      <c r="E13" s="5"/>
    </row>
    <row r="14" spans="1:5">
      <c r="B14" s="4"/>
      <c r="C14" s="5"/>
      <c r="D14" s="5"/>
      <c r="E14" s="5"/>
    </row>
    <row r="15" spans="1:5">
      <c r="B15" s="4"/>
      <c r="C15" s="5"/>
      <c r="D15" s="5"/>
      <c r="E15" s="5"/>
    </row>
    <row r="16" spans="1:5">
      <c r="B16" s="4"/>
      <c r="C16" s="5"/>
      <c r="D16" s="5"/>
      <c r="E16" s="5"/>
    </row>
    <row r="17" spans="2:5">
      <c r="B17" s="4"/>
      <c r="C17" s="5"/>
      <c r="D17" s="5"/>
      <c r="E17" s="5"/>
    </row>
    <row r="18" spans="2:5">
      <c r="B18" s="4"/>
      <c r="C18" s="5"/>
      <c r="D18" s="5"/>
      <c r="E18" s="5"/>
    </row>
    <row r="19" spans="2:5">
      <c r="B19" s="4"/>
      <c r="C19" s="5"/>
      <c r="D19" s="5"/>
      <c r="E19" s="5"/>
    </row>
    <row r="20" spans="2:5">
      <c r="B20" s="4"/>
      <c r="C20" s="5"/>
      <c r="D20" s="5"/>
      <c r="E20" s="5"/>
    </row>
    <row r="21" spans="2:5">
      <c r="B21" s="4"/>
      <c r="C21" s="5"/>
      <c r="D21" s="5"/>
      <c r="E21" s="5"/>
    </row>
    <row r="22" spans="2:5">
      <c r="B22" s="4"/>
      <c r="C22" s="5"/>
      <c r="D22" s="5"/>
      <c r="E22" s="5"/>
    </row>
    <row r="23" spans="2:5">
      <c r="B23" s="4"/>
      <c r="C23" s="5"/>
      <c r="D23" s="5"/>
      <c r="E23" s="5"/>
    </row>
    <row r="24" spans="2:5">
      <c r="B24" s="4"/>
      <c r="C24" s="5"/>
      <c r="D24" s="5"/>
      <c r="E24" s="5"/>
    </row>
    <row r="25" spans="2:5">
      <c r="B25" s="4"/>
      <c r="C25" s="5"/>
      <c r="D25" s="5"/>
      <c r="E25" s="5"/>
    </row>
    <row r="26" spans="2:5">
      <c r="B26" s="4"/>
      <c r="C26" s="5"/>
      <c r="D26" s="5"/>
      <c r="E26" s="5"/>
    </row>
    <row r="27" spans="2:5">
      <c r="B27" s="4"/>
      <c r="C27" s="5"/>
      <c r="D27" s="5"/>
      <c r="E27" s="5"/>
    </row>
    <row r="28" spans="2:5">
      <c r="B28" s="4"/>
      <c r="C28" s="5"/>
      <c r="D28" s="5"/>
      <c r="E28" s="5"/>
    </row>
    <row r="29" spans="2:5">
      <c r="B29" s="4"/>
      <c r="C29" s="5"/>
      <c r="E29" s="5"/>
    </row>
    <row r="30" spans="2:5">
      <c r="B30" s="4"/>
      <c r="C30" s="5"/>
      <c r="E30" s="5"/>
    </row>
    <row r="31" spans="2:5">
      <c r="B31" s="4"/>
      <c r="C31" s="5"/>
      <c r="E31" s="5"/>
    </row>
    <row r="32" spans="2:5">
      <c r="B32" s="4"/>
      <c r="C32" s="5"/>
      <c r="E32" s="5"/>
    </row>
    <row r="33" spans="2:5">
      <c r="B33" s="4"/>
      <c r="C33" s="5"/>
      <c r="E33" s="5"/>
    </row>
    <row r="34" spans="2:5">
      <c r="B34" s="4"/>
      <c r="C34" s="5"/>
      <c r="E34" s="5"/>
    </row>
    <row r="35" spans="2:5">
      <c r="B35" s="4"/>
      <c r="C35" s="5"/>
      <c r="E35" s="5"/>
    </row>
    <row r="36" spans="2:5">
      <c r="B36" s="4"/>
      <c r="C36" s="5"/>
      <c r="E36" s="5"/>
    </row>
    <row r="37" spans="2:5">
      <c r="B37" s="4"/>
      <c r="C37" s="5"/>
      <c r="E37" s="5"/>
    </row>
    <row r="38" spans="2:5">
      <c r="B38" s="4"/>
      <c r="C38" s="5"/>
      <c r="E38" s="5"/>
    </row>
    <row r="39" spans="2:5">
      <c r="B39" s="4"/>
      <c r="C39" s="5"/>
      <c r="E39" s="5"/>
    </row>
    <row r="40" spans="2:5">
      <c r="B40" s="4"/>
      <c r="C40" s="5"/>
      <c r="E40" s="5"/>
    </row>
    <row r="41" spans="2:5">
      <c r="B41" s="4"/>
      <c r="C41" s="5"/>
      <c r="E41" s="5"/>
    </row>
    <row r="42" spans="2:5">
      <c r="B42" s="4"/>
      <c r="C42" s="5"/>
      <c r="E42" s="5"/>
    </row>
    <row r="43" spans="2:5">
      <c r="B43" s="4"/>
      <c r="C43" s="5"/>
      <c r="E43" s="5"/>
    </row>
    <row r="44" spans="2:5">
      <c r="B44" s="4"/>
      <c r="C44" s="5"/>
      <c r="E44" s="5"/>
    </row>
    <row r="45" spans="2:5">
      <c r="B45" s="4"/>
      <c r="C45" s="5"/>
      <c r="E45" s="5"/>
    </row>
    <row r="46" spans="2:5">
      <c r="B46" s="4"/>
      <c r="C46" s="5"/>
      <c r="E46" s="5"/>
    </row>
    <row r="47" spans="2:5">
      <c r="B47" s="4"/>
      <c r="C47" s="5"/>
      <c r="E47" s="5"/>
    </row>
    <row r="48" spans="2:5">
      <c r="B48" s="4"/>
      <c r="C48" s="5"/>
      <c r="E48" s="5"/>
    </row>
    <row r="49" spans="2:5">
      <c r="B49" s="4"/>
      <c r="C49" s="5"/>
      <c r="E49" s="5"/>
    </row>
    <row r="50" spans="2:5">
      <c r="B50" s="4"/>
      <c r="C50" s="5"/>
      <c r="E50" s="5"/>
    </row>
    <row r="51" spans="2:5">
      <c r="B51" s="4"/>
      <c r="C51" s="5"/>
      <c r="E51" s="5"/>
    </row>
    <row r="52" spans="2:5">
      <c r="B52" s="4"/>
      <c r="C52" s="5"/>
      <c r="E52" s="5"/>
    </row>
    <row r="53" spans="2:5">
      <c r="B53" s="4"/>
      <c r="C53" s="5"/>
      <c r="E53" s="5"/>
    </row>
    <row r="54" spans="2:5">
      <c r="B54" s="4"/>
      <c r="C54" s="5"/>
      <c r="E54" s="5"/>
    </row>
    <row r="55" spans="2:5">
      <c r="B55" s="4"/>
      <c r="C55" s="5"/>
    </row>
    <row r="56" spans="2:5">
      <c r="B56" s="4"/>
      <c r="C56" s="5"/>
    </row>
    <row r="57" spans="2:5">
      <c r="B57" s="4"/>
      <c r="C57" s="5"/>
    </row>
    <row r="58" spans="2:5">
      <c r="B58" s="4"/>
      <c r="C58" s="5"/>
    </row>
    <row r="59" spans="2:5">
      <c r="B59" s="4"/>
      <c r="C59" s="5"/>
    </row>
    <row r="60" spans="2:5">
      <c r="B60" s="4"/>
      <c r="C60" s="5"/>
    </row>
    <row r="61" spans="2:5">
      <c r="B61" s="4"/>
      <c r="C61" s="5"/>
    </row>
    <row r="62" spans="2:5">
      <c r="B62" s="4"/>
      <c r="C62" s="5"/>
    </row>
    <row r="63" spans="2:5">
      <c r="B63" s="4"/>
      <c r="C63" s="5"/>
    </row>
    <row r="64" spans="2:5">
      <c r="B64" s="4"/>
      <c r="C64" s="5"/>
    </row>
    <row r="65" spans="2:3">
      <c r="B65" s="4"/>
      <c r="C65" s="5"/>
    </row>
    <row r="66" spans="2:3">
      <c r="B66" s="4"/>
      <c r="C66" s="5"/>
    </row>
    <row r="67" spans="2:3">
      <c r="B67" s="4"/>
      <c r="C67" s="5"/>
    </row>
    <row r="68" spans="2:3">
      <c r="B68" s="4"/>
      <c r="C68" s="5"/>
    </row>
    <row r="69" spans="2:3">
      <c r="B69" s="4"/>
      <c r="C69" s="5"/>
    </row>
    <row r="70" spans="2:3">
      <c r="B70" s="4"/>
      <c r="C70" s="5"/>
    </row>
    <row r="71" spans="2:3">
      <c r="B71" s="4"/>
      <c r="C71" s="5"/>
    </row>
    <row r="72" spans="2:3">
      <c r="B72" s="4"/>
      <c r="C72" s="5"/>
    </row>
    <row r="73" spans="2:3">
      <c r="B73" s="4"/>
      <c r="C73" s="5"/>
    </row>
    <row r="74" spans="2:3">
      <c r="B74" s="4"/>
      <c r="C74" s="5"/>
    </row>
    <row r="75" spans="2:3">
      <c r="B75" s="4"/>
      <c r="C75" s="5"/>
    </row>
    <row r="76" spans="2:3">
      <c r="B76" s="4"/>
      <c r="C76" s="5"/>
    </row>
    <row r="77" spans="2:3">
      <c r="B77" s="4"/>
      <c r="C77" s="5"/>
    </row>
    <row r="78" spans="2:3">
      <c r="B78" s="4"/>
      <c r="C78" s="5"/>
    </row>
    <row r="79" spans="2:3">
      <c r="B79" s="4"/>
      <c r="C79" s="5"/>
    </row>
    <row r="80" spans="2:3">
      <c r="B80" s="4"/>
      <c r="C80" s="5"/>
    </row>
    <row r="81" spans="2:3">
      <c r="B81" s="4"/>
      <c r="C81" s="5"/>
    </row>
    <row r="82" spans="2:3">
      <c r="B82" s="4"/>
      <c r="C82" s="5"/>
    </row>
    <row r="83" spans="2:3">
      <c r="B83" s="4"/>
      <c r="C83" s="5"/>
    </row>
    <row r="84" spans="2:3">
      <c r="B84" s="3"/>
      <c r="C84" s="5"/>
    </row>
    <row r="85" spans="2:3">
      <c r="B85" s="3"/>
      <c r="C85" s="5"/>
    </row>
    <row r="86" spans="2:3">
      <c r="B86" s="3"/>
      <c r="C86" s="5"/>
    </row>
    <row r="87" spans="2:3">
      <c r="B87" s="3"/>
      <c r="C87" s="5"/>
    </row>
    <row r="88" spans="2:3">
      <c r="B88" s="3"/>
      <c r="C88" s="5"/>
    </row>
    <row r="89" spans="2:3">
      <c r="B89" s="3"/>
      <c r="C89" s="5"/>
    </row>
    <row r="90" spans="2:3">
      <c r="B90" s="3"/>
    </row>
    <row r="91" spans="2:3">
      <c r="B91" s="3"/>
    </row>
    <row r="92" spans="2:3">
      <c r="B92" s="3"/>
    </row>
    <row r="93" spans="2:3">
      <c r="B93" s="3"/>
    </row>
    <row r="94" spans="2:3">
      <c r="B94" s="3"/>
    </row>
    <row r="95" spans="2:3">
      <c r="B95" s="3"/>
    </row>
    <row r="96" spans="2:3">
      <c r="B96" s="3"/>
    </row>
    <row r="97" spans="2:2">
      <c r="B97" s="3"/>
    </row>
    <row r="98" spans="2:2">
      <c r="B98" s="3"/>
    </row>
    <row r="99" spans="2:2">
      <c r="B99" s="3"/>
    </row>
    <row r="100" spans="2:2">
      <c r="B100" s="3"/>
    </row>
    <row r="101" spans="2:2">
      <c r="B101" s="3"/>
    </row>
    <row r="102" spans="2:2">
      <c r="B102" s="3"/>
    </row>
    <row r="103" spans="2:2">
      <c r="B103" s="3"/>
    </row>
    <row r="104" spans="2:2">
      <c r="B104" s="3"/>
    </row>
    <row r="105" spans="2:2">
      <c r="B105" s="3"/>
    </row>
    <row r="106" spans="2:2">
      <c r="B106" s="3"/>
    </row>
    <row r="107" spans="2:2">
      <c r="B107" s="3"/>
    </row>
    <row r="108" spans="2:2">
      <c r="B108" s="3"/>
    </row>
    <row r="109" spans="2:2">
      <c r="B109" s="3"/>
    </row>
    <row r="110" spans="2:2">
      <c r="B110" s="3"/>
    </row>
    <row r="111" spans="2:2">
      <c r="B111" s="3"/>
    </row>
    <row r="112" spans="2:2">
      <c r="B112" s="3"/>
    </row>
    <row r="113" spans="2:2">
      <c r="B113" s="3"/>
    </row>
    <row r="114" spans="2:2">
      <c r="B114" s="3"/>
    </row>
    <row r="115" spans="2:2">
      <c r="B115" s="3"/>
    </row>
    <row r="116" spans="2:2">
      <c r="B116" s="3"/>
    </row>
    <row r="117" spans="2:2">
      <c r="B117" s="3"/>
    </row>
    <row r="118" spans="2:2">
      <c r="B118" s="3"/>
    </row>
    <row r="119" spans="2:2">
      <c r="B119" s="3"/>
    </row>
    <row r="120" spans="2:2">
      <c r="B120" s="3"/>
    </row>
    <row r="121" spans="2:2">
      <c r="B121" s="3"/>
    </row>
    <row r="122" spans="2:2">
      <c r="B122" s="3"/>
    </row>
    <row r="123" spans="2:2">
      <c r="B123" s="3"/>
    </row>
    <row r="124" spans="2:2">
      <c r="B124" s="3"/>
    </row>
    <row r="125" spans="2:2">
      <c r="B125" s="3"/>
    </row>
    <row r="126" spans="2:2">
      <c r="B126" s="3"/>
    </row>
    <row r="127" spans="2:2">
      <c r="B127" s="3"/>
    </row>
    <row r="128" spans="2:2">
      <c r="B128" s="3"/>
    </row>
  </sheetData>
  <phoneticPr fontId="3" type="noConversion"/>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sheetPr>
    <tabColor rgb="FFFF0000"/>
  </sheetPr>
  <dimension ref="A1:I47"/>
  <sheetViews>
    <sheetView view="pageBreakPreview" zoomScale="115" zoomScaleNormal="115" zoomScaleSheetLayoutView="115" workbookViewId="0">
      <selection activeCell="J3" sqref="J3:K3"/>
    </sheetView>
  </sheetViews>
  <sheetFormatPr defaultRowHeight="17.100000000000001" customHeight="1"/>
  <cols>
    <col min="1" max="1" width="9.625" style="286" customWidth="1"/>
    <col min="2" max="2" width="12.625" style="286" bestFit="1" customWidth="1"/>
    <col min="3" max="9" width="9.625" style="286" customWidth="1"/>
    <col min="10" max="16384" width="9" style="286"/>
  </cols>
  <sheetData>
    <row r="1" spans="1:9" ht="18" customHeight="1">
      <c r="A1" s="1060" t="s">
        <v>1280</v>
      </c>
      <c r="B1" s="1060"/>
      <c r="C1" s="1060"/>
      <c r="D1" s="1060"/>
      <c r="E1" s="1060"/>
      <c r="F1" s="1060"/>
      <c r="G1" s="1060"/>
      <c r="H1" s="1060"/>
      <c r="I1" s="622" t="e">
        <f>+#REF!</f>
        <v>#REF!</v>
      </c>
    </row>
    <row r="2" spans="1:9" ht="17.100000000000001" customHeight="1">
      <c r="A2" s="621" t="s">
        <v>1262</v>
      </c>
      <c r="B2" s="1061" t="e">
        <f>+#REF!</f>
        <v>#REF!</v>
      </c>
      <c r="C2" s="1061"/>
      <c r="D2" s="621" t="s">
        <v>1263</v>
      </c>
      <c r="E2" s="1061" t="e">
        <f>+#REF!</f>
        <v>#REF!</v>
      </c>
      <c r="F2" s="1061"/>
      <c r="G2" s="621"/>
      <c r="H2" s="624" t="s">
        <v>1264</v>
      </c>
      <c r="I2" s="623" t="e">
        <f>+#REF!</f>
        <v>#REF!</v>
      </c>
    </row>
    <row r="3" spans="1:9" ht="17.100000000000001" customHeight="1">
      <c r="A3" s="621" t="s">
        <v>1265</v>
      </c>
      <c r="B3" s="1055" t="e">
        <f>#REF!</f>
        <v>#REF!</v>
      </c>
      <c r="C3" s="1055"/>
      <c r="D3" s="621" t="s">
        <v>1266</v>
      </c>
      <c r="E3" s="1055" t="e">
        <f>#REF!</f>
        <v>#REF!</v>
      </c>
      <c r="F3" s="1055"/>
      <c r="G3" s="621" t="s">
        <v>1267</v>
      </c>
      <c r="H3" s="1056"/>
      <c r="I3" s="1055"/>
    </row>
    <row r="4" spans="1:9" ht="17.100000000000001" customHeight="1">
      <c r="A4" s="621" t="s">
        <v>1268</v>
      </c>
      <c r="B4" s="1053" t="e">
        <f>+#REF!</f>
        <v>#REF!</v>
      </c>
      <c r="C4" s="1053"/>
      <c r="D4" s="621" t="s">
        <v>1269</v>
      </c>
      <c r="E4" s="1054"/>
      <c r="F4" s="1054"/>
      <c r="G4" s="621" t="s">
        <v>1270</v>
      </c>
      <c r="H4" s="1055"/>
      <c r="I4" s="1055"/>
    </row>
    <row r="5" spans="1:9" ht="17.100000000000001" customHeight="1">
      <c r="A5" s="621" t="s">
        <v>1271</v>
      </c>
      <c r="B5" s="1055" t="e">
        <f>#REF!</f>
        <v>#REF!</v>
      </c>
      <c r="C5" s="1055"/>
      <c r="D5" s="621" t="str">
        <f>[8]下料单!M2</f>
        <v>版本型录号</v>
      </c>
      <c r="E5" s="1055" t="e">
        <f>#REF!</f>
        <v>#REF!</v>
      </c>
      <c r="F5" s="1055"/>
      <c r="G5" s="621" t="s">
        <v>1272</v>
      </c>
      <c r="H5" s="1056" t="e">
        <f>#REF!</f>
        <v>#REF!</v>
      </c>
      <c r="I5" s="1056"/>
    </row>
    <row r="6" spans="1:9" ht="17.100000000000001" customHeight="1">
      <c r="A6" s="621" t="s">
        <v>1273</v>
      </c>
      <c r="B6" s="621" t="s">
        <v>1274</v>
      </c>
      <c r="C6" s="621" t="s">
        <v>1275</v>
      </c>
      <c r="D6" s="621" t="s">
        <v>1276</v>
      </c>
      <c r="E6" s="621" t="s">
        <v>1277</v>
      </c>
      <c r="F6" s="621" t="s">
        <v>1278</v>
      </c>
      <c r="G6" s="621" t="s">
        <v>1279</v>
      </c>
      <c r="H6" s="1057"/>
      <c r="I6" s="1058"/>
    </row>
    <row r="7" spans="1:9" ht="17.100000000000001" customHeight="1">
      <c r="A7" s="289" t="s">
        <v>1</v>
      </c>
      <c r="B7" s="289" t="s">
        <v>50</v>
      </c>
      <c r="C7" s="289" t="s">
        <v>51</v>
      </c>
      <c r="D7" s="288" t="s">
        <v>726</v>
      </c>
      <c r="E7" s="288" t="s">
        <v>52</v>
      </c>
      <c r="F7" s="289" t="s">
        <v>54</v>
      </c>
      <c r="G7" s="289" t="s">
        <v>55</v>
      </c>
      <c r="H7" s="1059" t="s">
        <v>0</v>
      </c>
      <c r="I7" s="1059"/>
    </row>
    <row r="8" spans="1:9" ht="17.100000000000001" customHeight="1">
      <c r="A8" s="289">
        <v>1</v>
      </c>
      <c r="B8" s="289" t="s">
        <v>56</v>
      </c>
      <c r="C8" s="290" t="str">
        <f>'作(2)'!K4</f>
        <v>0块</v>
      </c>
      <c r="D8" s="289"/>
      <c r="E8" s="289"/>
      <c r="F8" s="289"/>
      <c r="G8" s="289"/>
      <c r="H8" s="1052"/>
      <c r="I8" s="1052"/>
    </row>
    <row r="9" spans="1:9" ht="17.100000000000001" customHeight="1">
      <c r="A9" s="289">
        <v>2</v>
      </c>
      <c r="B9" s="289" t="s">
        <v>727</v>
      </c>
      <c r="C9" s="290"/>
      <c r="D9" s="289"/>
      <c r="E9" s="289"/>
      <c r="F9" s="289"/>
      <c r="G9" s="289"/>
      <c r="H9" s="1052"/>
      <c r="I9" s="1052"/>
    </row>
    <row r="10" spans="1:9" ht="17.100000000000001" customHeight="1">
      <c r="A10" s="289">
        <v>3</v>
      </c>
      <c r="B10" s="289" t="s">
        <v>728</v>
      </c>
      <c r="C10" s="290"/>
      <c r="D10" s="289"/>
      <c r="E10" s="289"/>
      <c r="F10" s="289"/>
      <c r="G10" s="289"/>
      <c r="H10" s="1052"/>
      <c r="I10" s="1052"/>
    </row>
    <row r="11" spans="1:9" ht="17.100000000000001" customHeight="1">
      <c r="A11" s="289">
        <v>4</v>
      </c>
      <c r="B11" s="289" t="s">
        <v>729</v>
      </c>
      <c r="C11" s="290"/>
      <c r="D11" s="289"/>
      <c r="E11" s="289"/>
      <c r="F11" s="289"/>
      <c r="G11" s="289"/>
      <c r="H11" s="1052"/>
      <c r="I11" s="1052"/>
    </row>
    <row r="12" spans="1:9" ht="17.100000000000001" customHeight="1">
      <c r="A12" s="289">
        <v>5</v>
      </c>
      <c r="B12" s="289" t="s">
        <v>730</v>
      </c>
      <c r="C12" s="290"/>
      <c r="D12" s="289"/>
      <c r="E12" s="289"/>
      <c r="F12" s="289"/>
      <c r="G12" s="289"/>
      <c r="H12" s="1052"/>
      <c r="I12" s="1052"/>
    </row>
    <row r="13" spans="1:9" ht="17.100000000000001" customHeight="1">
      <c r="A13" s="289">
        <v>6</v>
      </c>
      <c r="B13" s="289" t="s">
        <v>731</v>
      </c>
      <c r="C13" s="290"/>
      <c r="D13" s="289"/>
      <c r="E13" s="289"/>
      <c r="F13" s="289"/>
      <c r="G13" s="289"/>
      <c r="H13" s="1052"/>
      <c r="I13" s="1052"/>
    </row>
    <row r="14" spans="1:9" ht="17.100000000000001" customHeight="1">
      <c r="A14" s="289">
        <v>7</v>
      </c>
      <c r="B14" s="289" t="s">
        <v>732</v>
      </c>
      <c r="C14" s="290"/>
      <c r="D14" s="289"/>
      <c r="E14" s="289"/>
      <c r="F14" s="289"/>
      <c r="G14" s="289"/>
      <c r="H14" s="1052"/>
      <c r="I14" s="1052"/>
    </row>
    <row r="15" spans="1:9" ht="17.100000000000001" customHeight="1">
      <c r="A15" s="289">
        <v>8</v>
      </c>
      <c r="B15" s="289" t="s">
        <v>733</v>
      </c>
      <c r="C15" s="290"/>
      <c r="D15" s="289"/>
      <c r="E15" s="289"/>
      <c r="F15" s="289"/>
      <c r="G15" s="289"/>
      <c r="H15" s="1052"/>
      <c r="I15" s="1052"/>
    </row>
    <row r="16" spans="1:9" ht="17.100000000000001" customHeight="1">
      <c r="A16" s="289">
        <v>9</v>
      </c>
      <c r="B16" s="289" t="s">
        <v>734</v>
      </c>
      <c r="C16" s="290"/>
      <c r="D16" s="289"/>
      <c r="E16" s="290"/>
      <c r="F16" s="289"/>
      <c r="G16" s="289"/>
      <c r="H16" s="1052"/>
      <c r="I16" s="1052"/>
    </row>
    <row r="17" spans="1:9" ht="17.100000000000001" customHeight="1">
      <c r="A17" s="289">
        <v>10</v>
      </c>
      <c r="B17" s="289" t="s">
        <v>735</v>
      </c>
      <c r="C17" s="290"/>
      <c r="D17" s="289"/>
      <c r="E17" s="289"/>
      <c r="F17" s="289"/>
      <c r="G17" s="289"/>
      <c r="H17" s="1052"/>
      <c r="I17" s="1052"/>
    </row>
    <row r="18" spans="1:9" ht="17.100000000000001" customHeight="1">
      <c r="A18" s="289">
        <v>11</v>
      </c>
      <c r="B18" s="289" t="s">
        <v>59</v>
      </c>
      <c r="C18" s="290"/>
      <c r="D18" s="289"/>
      <c r="E18" s="289"/>
      <c r="F18" s="289"/>
      <c r="G18" s="289"/>
      <c r="H18" s="1052"/>
      <c r="I18" s="1052"/>
    </row>
    <row r="19" spans="1:9" ht="17.100000000000001" customHeight="1">
      <c r="A19" s="289">
        <v>12</v>
      </c>
      <c r="B19" s="289" t="s">
        <v>29</v>
      </c>
      <c r="C19" s="290"/>
      <c r="D19" s="289"/>
      <c r="E19" s="289"/>
      <c r="F19" s="289"/>
      <c r="G19" s="289"/>
      <c r="H19" s="1052"/>
      <c r="I19" s="1052"/>
    </row>
    <row r="20" spans="1:9" ht="17.100000000000001" customHeight="1">
      <c r="A20" s="289">
        <v>13</v>
      </c>
      <c r="B20" s="289" t="s">
        <v>57</v>
      </c>
      <c r="C20" s="290" t="str">
        <f>C8</f>
        <v>0块</v>
      </c>
      <c r="D20" s="289"/>
      <c r="E20" s="289"/>
      <c r="F20" s="289"/>
      <c r="G20" s="289"/>
      <c r="H20" s="1052"/>
      <c r="I20" s="1052"/>
    </row>
    <row r="21" spans="1:9" ht="17.100000000000001" customHeight="1">
      <c r="A21" s="289">
        <v>14</v>
      </c>
      <c r="B21" s="289" t="s">
        <v>58</v>
      </c>
      <c r="C21" s="290"/>
      <c r="D21" s="289"/>
      <c r="E21" s="289"/>
      <c r="F21" s="289"/>
      <c r="G21" s="289"/>
      <c r="H21" s="1052"/>
      <c r="I21" s="1052"/>
    </row>
    <row r="22" spans="1:9" ht="17.100000000000001" customHeight="1">
      <c r="A22" s="289">
        <v>15</v>
      </c>
      <c r="B22" s="289" t="s">
        <v>736</v>
      </c>
      <c r="C22" s="290"/>
      <c r="D22" s="289"/>
      <c r="E22" s="289"/>
      <c r="F22" s="289"/>
      <c r="G22" s="289"/>
      <c r="H22" s="1052"/>
      <c r="I22" s="1052"/>
    </row>
    <row r="23" spans="1:9" ht="17.100000000000001" customHeight="1">
      <c r="A23" s="289">
        <v>16</v>
      </c>
      <c r="B23" s="289" t="s">
        <v>737</v>
      </c>
      <c r="C23" s="290"/>
      <c r="D23" s="289"/>
      <c r="E23" s="289"/>
      <c r="F23" s="289"/>
      <c r="G23" s="289"/>
      <c r="H23" s="1052"/>
      <c r="I23" s="1052"/>
    </row>
    <row r="24" spans="1:9" ht="17.100000000000001" customHeight="1">
      <c r="A24" s="289">
        <v>17</v>
      </c>
      <c r="B24" s="289" t="s">
        <v>738</v>
      </c>
      <c r="C24" s="290"/>
      <c r="D24" s="289"/>
      <c r="E24" s="289"/>
      <c r="F24" s="289"/>
      <c r="G24" s="289"/>
      <c r="H24" s="1052"/>
      <c r="I24" s="1052"/>
    </row>
    <row r="25" spans="1:9" ht="17.100000000000001" customHeight="1">
      <c r="A25" s="289">
        <v>18</v>
      </c>
      <c r="B25" s="289" t="s">
        <v>739</v>
      </c>
      <c r="C25" s="290"/>
      <c r="D25" s="289"/>
      <c r="E25" s="289"/>
      <c r="F25" s="289"/>
      <c r="G25" s="289"/>
      <c r="H25" s="1052"/>
      <c r="I25" s="1052"/>
    </row>
    <row r="26" spans="1:9" ht="17.100000000000001" customHeight="1">
      <c r="A26" s="289">
        <v>19</v>
      </c>
      <c r="B26" s="289" t="s">
        <v>740</v>
      </c>
      <c r="C26" s="290"/>
      <c r="D26" s="289"/>
      <c r="E26" s="289"/>
      <c r="F26" s="289"/>
      <c r="G26" s="289"/>
      <c r="H26" s="1052"/>
      <c r="I26" s="1052"/>
    </row>
    <row r="27" spans="1:9" ht="17.100000000000001" customHeight="1">
      <c r="A27" s="289">
        <v>20</v>
      </c>
      <c r="B27" s="289" t="s">
        <v>741</v>
      </c>
      <c r="C27" s="290"/>
      <c r="D27" s="289"/>
      <c r="E27" s="289"/>
      <c r="F27" s="289"/>
      <c r="G27" s="289"/>
      <c r="H27" s="1052"/>
      <c r="I27" s="1052"/>
    </row>
    <row r="28" spans="1:9" ht="17.100000000000001" customHeight="1">
      <c r="A28" s="289">
        <v>21</v>
      </c>
      <c r="B28" s="289" t="s">
        <v>742</v>
      </c>
      <c r="C28" s="290"/>
      <c r="D28" s="289"/>
      <c r="E28" s="289"/>
      <c r="F28" s="289"/>
      <c r="G28" s="289"/>
      <c r="H28" s="1052"/>
      <c r="I28" s="1052"/>
    </row>
    <row r="29" spans="1:9" ht="17.100000000000001" customHeight="1">
      <c r="A29" s="289">
        <v>22</v>
      </c>
      <c r="B29" s="289" t="s">
        <v>743</v>
      </c>
      <c r="C29" s="290"/>
      <c r="D29" s="289"/>
      <c r="E29" s="289"/>
      <c r="F29" s="289"/>
      <c r="G29" s="289"/>
      <c r="H29" s="1052"/>
      <c r="I29" s="1052"/>
    </row>
    <row r="30" spans="1:9" ht="17.100000000000001" customHeight="1">
      <c r="A30" s="289">
        <v>23</v>
      </c>
      <c r="B30" s="289" t="s">
        <v>744</v>
      </c>
      <c r="C30" s="290"/>
      <c r="D30" s="289"/>
      <c r="E30" s="289"/>
      <c r="F30" s="289"/>
      <c r="G30" s="289"/>
      <c r="H30" s="1052"/>
      <c r="I30" s="1052"/>
    </row>
    <row r="31" spans="1:9" ht="17.100000000000001" customHeight="1">
      <c r="A31" s="289">
        <v>24</v>
      </c>
      <c r="B31" s="289" t="s">
        <v>745</v>
      </c>
      <c r="C31" s="290"/>
      <c r="D31" s="289"/>
      <c r="E31" s="289"/>
      <c r="F31" s="289"/>
      <c r="G31" s="289"/>
      <c r="H31" s="1052"/>
      <c r="I31" s="1052"/>
    </row>
    <row r="32" spans="1:9" ht="17.100000000000001" customHeight="1">
      <c r="A32" s="289">
        <v>25</v>
      </c>
      <c r="B32" s="289" t="s">
        <v>746</v>
      </c>
      <c r="C32" s="290"/>
      <c r="D32" s="289"/>
      <c r="E32" s="289"/>
      <c r="F32" s="289"/>
      <c r="G32" s="289"/>
      <c r="H32" s="1052"/>
      <c r="I32" s="1052"/>
    </row>
    <row r="33" spans="1:9" ht="17.100000000000001" customHeight="1">
      <c r="A33" s="289">
        <v>26</v>
      </c>
      <c r="B33" s="289" t="s">
        <v>747</v>
      </c>
      <c r="C33" s="289"/>
      <c r="D33" s="289"/>
      <c r="E33" s="289"/>
      <c r="F33" s="289"/>
      <c r="G33" s="289"/>
      <c r="H33" s="1052"/>
      <c r="I33" s="1052"/>
    </row>
    <row r="34" spans="1:9" ht="17.100000000000001" customHeight="1">
      <c r="A34" s="289">
        <v>27</v>
      </c>
      <c r="B34" s="289" t="s">
        <v>748</v>
      </c>
      <c r="C34" s="289"/>
      <c r="D34" s="289"/>
      <c r="E34" s="289"/>
      <c r="F34" s="289"/>
      <c r="G34" s="289"/>
      <c r="H34" s="1052"/>
      <c r="I34" s="1052"/>
    </row>
    <row r="35" spans="1:9" ht="17.100000000000001" customHeight="1">
      <c r="A35" s="289">
        <v>28</v>
      </c>
      <c r="B35" s="289" t="s">
        <v>749</v>
      </c>
      <c r="C35" s="289"/>
      <c r="D35" s="289"/>
      <c r="E35" s="289"/>
      <c r="F35" s="289"/>
      <c r="G35" s="289"/>
      <c r="H35" s="1052"/>
      <c r="I35" s="1052"/>
    </row>
    <row r="36" spans="1:9" ht="17.100000000000001" customHeight="1">
      <c r="A36" s="289">
        <v>29</v>
      </c>
      <c r="B36" s="289" t="s">
        <v>750</v>
      </c>
      <c r="C36" s="289"/>
      <c r="D36" s="289"/>
      <c r="E36" s="289"/>
      <c r="F36" s="289"/>
      <c r="G36" s="289"/>
      <c r="H36" s="1052"/>
      <c r="I36" s="1052"/>
    </row>
    <row r="37" spans="1:9" ht="17.100000000000001" customHeight="1">
      <c r="A37" s="289">
        <v>30</v>
      </c>
      <c r="B37" s="289" t="s">
        <v>64</v>
      </c>
      <c r="C37" s="289"/>
      <c r="D37" s="289"/>
      <c r="E37" s="289"/>
      <c r="F37" s="289"/>
      <c r="G37" s="289"/>
      <c r="H37" s="1052"/>
      <c r="I37" s="1052"/>
    </row>
    <row r="38" spans="1:9" ht="17.100000000000001" customHeight="1">
      <c r="A38" s="289">
        <v>31</v>
      </c>
      <c r="B38" s="289" t="s">
        <v>751</v>
      </c>
      <c r="C38" s="289"/>
      <c r="D38" s="289"/>
      <c r="E38" s="289"/>
      <c r="F38" s="289"/>
      <c r="G38" s="289"/>
      <c r="H38" s="1052"/>
      <c r="I38" s="1052"/>
    </row>
    <row r="39" spans="1:9" ht="17.100000000000001" customHeight="1">
      <c r="A39" s="289">
        <v>32</v>
      </c>
      <c r="B39" s="289" t="s">
        <v>66</v>
      </c>
      <c r="C39" s="289"/>
      <c r="D39" s="289"/>
      <c r="E39" s="289"/>
      <c r="F39" s="289"/>
      <c r="G39" s="289"/>
      <c r="H39" s="1052"/>
      <c r="I39" s="1052"/>
    </row>
    <row r="40" spans="1:9" ht="17.100000000000001" customHeight="1">
      <c r="A40" s="289">
        <v>33</v>
      </c>
      <c r="B40" s="289" t="s">
        <v>67</v>
      </c>
      <c r="C40" s="289"/>
      <c r="D40" s="289"/>
      <c r="E40" s="289"/>
      <c r="F40" s="289"/>
      <c r="G40" s="289"/>
      <c r="H40" s="1052"/>
      <c r="I40" s="1052"/>
    </row>
    <row r="41" spans="1:9" ht="17.100000000000001" customHeight="1">
      <c r="A41" s="289">
        <v>34</v>
      </c>
      <c r="B41" s="289" t="s">
        <v>69</v>
      </c>
      <c r="C41" s="289"/>
      <c r="D41" s="289"/>
      <c r="E41" s="289"/>
      <c r="F41" s="289"/>
      <c r="G41" s="289"/>
      <c r="H41" s="1052"/>
      <c r="I41" s="1052"/>
    </row>
    <row r="42" spans="1:9" ht="17.100000000000001" customHeight="1">
      <c r="A42" s="289">
        <v>35</v>
      </c>
      <c r="B42" s="289" t="s">
        <v>71</v>
      </c>
      <c r="C42" s="289"/>
      <c r="D42" s="289"/>
      <c r="E42" s="289"/>
      <c r="F42" s="289"/>
      <c r="G42" s="289"/>
      <c r="H42" s="1052"/>
      <c r="I42" s="1052"/>
    </row>
    <row r="43" spans="1:9" ht="17.100000000000001" customHeight="1">
      <c r="A43" s="289">
        <v>36</v>
      </c>
      <c r="B43" s="289" t="s">
        <v>752</v>
      </c>
      <c r="C43" s="289"/>
      <c r="D43" s="289"/>
      <c r="E43" s="289"/>
      <c r="F43" s="289"/>
      <c r="G43" s="289"/>
      <c r="H43" s="1052"/>
      <c r="I43" s="1052"/>
    </row>
    <row r="44" spans="1:9" ht="17.100000000000001" customHeight="1">
      <c r="A44" s="289">
        <v>37</v>
      </c>
      <c r="B44" s="289" t="s">
        <v>75</v>
      </c>
      <c r="C44" s="289"/>
      <c r="D44" s="289"/>
      <c r="E44" s="289"/>
      <c r="F44" s="289"/>
      <c r="G44" s="289"/>
      <c r="H44" s="1052"/>
      <c r="I44" s="1052"/>
    </row>
    <row r="45" spans="1:9" ht="17.100000000000001" customHeight="1">
      <c r="A45" s="289">
        <v>38</v>
      </c>
      <c r="B45" s="289" t="s">
        <v>753</v>
      </c>
      <c r="C45" s="289"/>
      <c r="D45" s="289"/>
      <c r="E45" s="289"/>
      <c r="F45" s="289"/>
      <c r="G45" s="289"/>
      <c r="H45" s="1052"/>
      <c r="I45" s="1052"/>
    </row>
    <row r="46" spans="1:9" ht="17.100000000000001" customHeight="1">
      <c r="A46" s="289">
        <v>39</v>
      </c>
      <c r="B46" s="289" t="s">
        <v>76</v>
      </c>
      <c r="C46" s="289"/>
      <c r="D46" s="289"/>
      <c r="E46" s="289"/>
      <c r="F46" s="289"/>
      <c r="G46" s="289"/>
      <c r="H46" s="1052"/>
      <c r="I46" s="1052"/>
    </row>
    <row r="47" spans="1:9" ht="17.100000000000001" customHeight="1">
      <c r="A47" s="291"/>
      <c r="B47" s="287" t="s">
        <v>78</v>
      </c>
      <c r="C47" s="292" t="s">
        <v>1256</v>
      </c>
      <c r="D47" s="293"/>
      <c r="E47" s="292" t="s">
        <v>754</v>
      </c>
      <c r="F47" s="291"/>
      <c r="G47" s="291"/>
      <c r="H47" s="291"/>
    </row>
  </sheetData>
  <mergeCells count="53">
    <mergeCell ref="A1:H1"/>
    <mergeCell ref="B2:C2"/>
    <mergeCell ref="E2:F2"/>
    <mergeCell ref="B3:C3"/>
    <mergeCell ref="E3:F3"/>
    <mergeCell ref="H3:I3"/>
    <mergeCell ref="B4:C4"/>
    <mergeCell ref="E4:F4"/>
    <mergeCell ref="H4:I4"/>
    <mergeCell ref="H14:I14"/>
    <mergeCell ref="B5:C5"/>
    <mergeCell ref="E5:F5"/>
    <mergeCell ref="H5:I5"/>
    <mergeCell ref="H6:I6"/>
    <mergeCell ref="H7:I7"/>
    <mergeCell ref="H8:I8"/>
    <mergeCell ref="H9:I9"/>
    <mergeCell ref="H10:I10"/>
    <mergeCell ref="H11:I11"/>
    <mergeCell ref="H12:I12"/>
    <mergeCell ref="H13:I13"/>
    <mergeCell ref="H26:I26"/>
    <mergeCell ref="H15:I15"/>
    <mergeCell ref="H16:I16"/>
    <mergeCell ref="H17:I17"/>
    <mergeCell ref="H18:I18"/>
    <mergeCell ref="H19:I19"/>
    <mergeCell ref="H20:I20"/>
    <mergeCell ref="H21:I21"/>
    <mergeCell ref="H22:I22"/>
    <mergeCell ref="H23:I23"/>
    <mergeCell ref="H24:I24"/>
    <mergeCell ref="H25:I25"/>
    <mergeCell ref="H38:I38"/>
    <mergeCell ref="H27:I27"/>
    <mergeCell ref="H28:I28"/>
    <mergeCell ref="H29:I29"/>
    <mergeCell ref="H30:I30"/>
    <mergeCell ref="H31:I31"/>
    <mergeCell ref="H32:I32"/>
    <mergeCell ref="H33:I33"/>
    <mergeCell ref="H34:I34"/>
    <mergeCell ref="H35:I35"/>
    <mergeCell ref="H36:I36"/>
    <mergeCell ref="H37:I37"/>
    <mergeCell ref="H45:I45"/>
    <mergeCell ref="H46:I46"/>
    <mergeCell ref="H39:I39"/>
    <mergeCell ref="H40:I40"/>
    <mergeCell ref="H41:I41"/>
    <mergeCell ref="H42:I42"/>
    <mergeCell ref="H43:I43"/>
    <mergeCell ref="H44:I44"/>
  </mergeCells>
  <phoneticPr fontId="49"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xl/worksheets/sheet11.xml><?xml version="1.0" encoding="utf-8"?>
<worksheet xmlns="http://schemas.openxmlformats.org/spreadsheetml/2006/main" xmlns:r="http://schemas.openxmlformats.org/officeDocument/2006/relationships">
  <dimension ref="A1:Z755"/>
  <sheetViews>
    <sheetView workbookViewId="0">
      <selection activeCell="J3" sqref="J3:K3"/>
    </sheetView>
  </sheetViews>
  <sheetFormatPr defaultRowHeight="14.25"/>
  <cols>
    <col min="1" max="1" width="8.125" style="202" customWidth="1"/>
    <col min="2" max="2" width="6.25" style="202" customWidth="1"/>
    <col min="3" max="3" width="6.375" style="202" customWidth="1"/>
    <col min="4" max="4" width="5.375" style="202" customWidth="1"/>
    <col min="5" max="5" width="5.875" style="228" customWidth="1"/>
    <col min="6" max="6" width="5.75" style="262" customWidth="1"/>
    <col min="7" max="7" width="5.25" style="202" customWidth="1"/>
    <col min="8" max="8" width="5.625" style="202" customWidth="1"/>
    <col min="9" max="9" width="7.875" style="202" customWidth="1"/>
    <col min="10" max="10" width="9" style="202"/>
    <col min="11" max="11" width="12.25" style="202" customWidth="1"/>
    <col min="12" max="16" width="9" style="202"/>
    <col min="17" max="17" width="9" style="202" customWidth="1"/>
    <col min="18" max="18" width="15.5" style="202" customWidth="1"/>
    <col min="19" max="19" width="11.25" style="202" customWidth="1"/>
    <col min="20" max="21" width="9" style="202" customWidth="1"/>
    <col min="22" max="22" width="43" style="202" customWidth="1"/>
    <col min="23" max="23" width="36.125" style="202" customWidth="1"/>
    <col min="24" max="24" width="39.625" style="202" customWidth="1"/>
    <col min="25" max="25" width="23.375" style="202" customWidth="1"/>
    <col min="26" max="16384" width="9" style="202"/>
  </cols>
  <sheetData>
    <row r="1" spans="1:26" ht="12.95" customHeight="1">
      <c r="A1" s="199"/>
      <c r="B1" s="199"/>
      <c r="C1" s="199"/>
      <c r="D1" s="199"/>
      <c r="E1" s="200"/>
      <c r="F1" s="201"/>
    </row>
    <row r="2" spans="1:26" ht="12.95" customHeight="1">
      <c r="A2" s="203"/>
      <c r="B2" s="203"/>
      <c r="C2" s="203"/>
      <c r="D2" s="203"/>
      <c r="E2" s="200"/>
      <c r="F2" s="1085" t="s">
        <v>755</v>
      </c>
      <c r="G2" s="1085"/>
      <c r="H2" s="1085"/>
      <c r="I2" s="1085"/>
      <c r="J2" s="1085"/>
      <c r="K2" s="1085"/>
    </row>
    <row r="3" spans="1:26" ht="18.75">
      <c r="A3" s="1086" t="s">
        <v>628</v>
      </c>
      <c r="B3" s="1086"/>
      <c r="C3" s="1086"/>
      <c r="D3" s="1086"/>
      <c r="E3" s="1086"/>
      <c r="F3" s="1086"/>
      <c r="G3" s="1086"/>
      <c r="H3" s="1086"/>
      <c r="I3" s="1086"/>
      <c r="J3" s="1086"/>
      <c r="K3" s="1086"/>
      <c r="L3" s="202">
        <f>VLOOKUP(C6,V:Z,5,0)</f>
        <v>0</v>
      </c>
    </row>
    <row r="4" spans="1:26" ht="18" customHeight="1">
      <c r="A4" s="1070" t="s">
        <v>629</v>
      </c>
      <c r="B4" s="1070"/>
      <c r="C4" s="1087" t="e">
        <f>#REF!</f>
        <v>#REF!</v>
      </c>
      <c r="D4" s="1087"/>
      <c r="E4" s="1087"/>
      <c r="F4" s="1075" t="s">
        <v>448</v>
      </c>
      <c r="G4" s="1075"/>
      <c r="H4" s="1087" t="e">
        <f>#REF!</f>
        <v>#REF!</v>
      </c>
      <c r="I4" s="1087"/>
      <c r="J4" s="204" t="s">
        <v>630</v>
      </c>
      <c r="K4" s="205" t="str">
        <f>SUM(D10:D37)&amp;"块"</f>
        <v>0块</v>
      </c>
    </row>
    <row r="5" spans="1:26" ht="19.5" customHeight="1">
      <c r="A5" s="1075" t="s">
        <v>9</v>
      </c>
      <c r="B5" s="1075"/>
      <c r="C5" s="1076" t="e">
        <f>#REF!</f>
        <v>#REF!</v>
      </c>
      <c r="D5" s="1076"/>
      <c r="E5" s="1076"/>
      <c r="F5" s="1075" t="s">
        <v>7</v>
      </c>
      <c r="G5" s="1075"/>
      <c r="H5" s="1077"/>
      <c r="I5" s="1078"/>
      <c r="J5" s="204" t="s">
        <v>455</v>
      </c>
      <c r="K5" s="206" t="e">
        <f>#REF!</f>
        <v>#REF!</v>
      </c>
      <c r="R5" s="202" t="s">
        <v>631</v>
      </c>
      <c r="S5" s="202" t="s">
        <v>60</v>
      </c>
    </row>
    <row r="6" spans="1:26" ht="19.5" customHeight="1">
      <c r="A6" s="1075" t="s">
        <v>632</v>
      </c>
      <c r="B6" s="1075"/>
      <c r="C6" s="1079" t="s">
        <v>633</v>
      </c>
      <c r="D6" s="1079"/>
      <c r="E6" s="1079"/>
      <c r="F6" s="1079"/>
      <c r="G6" s="1079"/>
      <c r="H6" s="1079"/>
      <c r="I6" s="1079"/>
      <c r="J6" s="204" t="s">
        <v>456</v>
      </c>
      <c r="K6" s="207" t="e">
        <f>#REF!</f>
        <v>#REF!</v>
      </c>
      <c r="R6" s="202" t="s">
        <v>634</v>
      </c>
      <c r="S6" s="202" t="s">
        <v>635</v>
      </c>
      <c r="T6" s="202" t="s">
        <v>636</v>
      </c>
    </row>
    <row r="7" spans="1:26" ht="14.25" customHeight="1" thickBot="1">
      <c r="A7" s="208"/>
      <c r="B7" s="208"/>
      <c r="C7" s="209"/>
      <c r="D7" s="209"/>
      <c r="E7" s="210"/>
      <c r="F7" s="211"/>
      <c r="G7" s="208"/>
      <c r="H7" s="208"/>
      <c r="I7" s="212"/>
      <c r="J7" s="212"/>
      <c r="K7" s="213"/>
      <c r="R7" s="202" t="s">
        <v>637</v>
      </c>
      <c r="S7" s="202" t="s">
        <v>635</v>
      </c>
      <c r="T7" s="202">
        <v>3</v>
      </c>
    </row>
    <row r="8" spans="1:26" ht="18" customHeight="1">
      <c r="A8" s="214" t="s">
        <v>638</v>
      </c>
      <c r="B8" s="1080" t="s">
        <v>639</v>
      </c>
      <c r="C8" s="1080"/>
      <c r="D8" s="1080"/>
      <c r="E8" s="1081" t="s">
        <v>640</v>
      </c>
      <c r="F8" s="1081"/>
      <c r="G8" s="1081"/>
      <c r="H8" s="1082" t="s">
        <v>641</v>
      </c>
      <c r="I8" s="1083"/>
      <c r="J8" s="1083"/>
      <c r="K8" s="1084"/>
      <c r="R8" s="202" t="s">
        <v>642</v>
      </c>
      <c r="S8" s="202" t="s">
        <v>635</v>
      </c>
      <c r="T8" s="202">
        <v>1</v>
      </c>
      <c r="W8" s="212"/>
      <c r="X8" s="212"/>
      <c r="Y8" s="212"/>
    </row>
    <row r="9" spans="1:26" ht="22.5" customHeight="1">
      <c r="A9" s="215" t="s">
        <v>643</v>
      </c>
      <c r="B9" s="216" t="s">
        <v>491</v>
      </c>
      <c r="C9" s="216" t="s">
        <v>644</v>
      </c>
      <c r="D9" s="216" t="s">
        <v>6</v>
      </c>
      <c r="E9" s="217" t="s">
        <v>491</v>
      </c>
      <c r="F9" s="218" t="s">
        <v>644</v>
      </c>
      <c r="G9" s="216" t="s">
        <v>6</v>
      </c>
      <c r="H9" s="1063" t="s">
        <v>645</v>
      </c>
      <c r="I9" s="1064"/>
      <c r="J9" s="1063" t="s">
        <v>0</v>
      </c>
      <c r="K9" s="1065"/>
      <c r="L9" s="219" t="s">
        <v>2</v>
      </c>
      <c r="M9" s="219" t="s">
        <v>646</v>
      </c>
      <c r="N9" s="219" t="s">
        <v>647</v>
      </c>
      <c r="O9" s="220" t="s">
        <v>648</v>
      </c>
      <c r="R9" s="202" t="s">
        <v>649</v>
      </c>
      <c r="S9" s="202" t="s">
        <v>60</v>
      </c>
      <c r="V9" s="202" t="str">
        <f t="shared" ref="V9:V22" si="0">W9&amp;"+"&amp;Y9</f>
        <v>M01-01触感浅橡(横纹）+2.0*22浅橡PVC</v>
      </c>
      <c r="W9" s="212" t="s">
        <v>650</v>
      </c>
      <c r="X9" s="212" t="s">
        <v>651</v>
      </c>
      <c r="Y9" s="202" t="s">
        <v>652</v>
      </c>
      <c r="Z9" s="202">
        <v>2</v>
      </c>
    </row>
    <row r="10" spans="1:26" ht="17.100000000000001" customHeight="1">
      <c r="A10" s="221"/>
      <c r="B10" s="222"/>
      <c r="C10" s="222"/>
      <c r="D10" s="223"/>
      <c r="E10" s="224">
        <f>C10-3</f>
        <v>-3</v>
      </c>
      <c r="F10" s="225">
        <f>B10-3</f>
        <v>-3</v>
      </c>
      <c r="G10" s="223">
        <f>D10</f>
        <v>0</v>
      </c>
      <c r="H10" s="1063"/>
      <c r="I10" s="1064"/>
      <c r="J10" s="1073"/>
      <c r="K10" s="1074"/>
      <c r="L10" s="202">
        <f>(B10+C10+80)*2*G10/1000</f>
        <v>0</v>
      </c>
      <c r="M10" s="202">
        <f>(B10+C10)*D10*2/0.9/1000</f>
        <v>0</v>
      </c>
      <c r="N10" s="202">
        <f t="shared" ref="N10:N37" si="1">B10*C10*D10/1000000</f>
        <v>0</v>
      </c>
      <c r="O10" s="202">
        <f>B10*C10*D10/1000000/2.88/0.85</f>
        <v>0</v>
      </c>
      <c r="Q10" s="202">
        <f>B10*C10*D10/1000000/2.88</f>
        <v>0</v>
      </c>
      <c r="V10" s="202" t="str">
        <f t="shared" si="0"/>
        <v>M03-01触感红樱桃(横纹）+2.0*22红樱桃橡PVC</v>
      </c>
      <c r="W10" s="212" t="s">
        <v>653</v>
      </c>
      <c r="X10" s="212" t="s">
        <v>654</v>
      </c>
      <c r="Y10" s="202" t="s">
        <v>655</v>
      </c>
      <c r="Z10" s="202">
        <v>3</v>
      </c>
    </row>
    <row r="11" spans="1:26" ht="17.100000000000001" customHeight="1">
      <c r="A11" s="221"/>
      <c r="B11" s="222"/>
      <c r="C11" s="222"/>
      <c r="D11" s="223"/>
      <c r="E11" s="224">
        <f t="shared" ref="E11:E36" si="2">C11-3</f>
        <v>-3</v>
      </c>
      <c r="F11" s="225">
        <f t="shared" ref="F11:F36" si="3">B11-3</f>
        <v>-3</v>
      </c>
      <c r="G11" s="223">
        <f t="shared" ref="G11:G36" si="4">D11</f>
        <v>0</v>
      </c>
      <c r="H11" s="1063"/>
      <c r="I11" s="1064"/>
      <c r="J11" s="1073"/>
      <c r="K11" s="1074"/>
      <c r="L11" s="202">
        <f t="shared" ref="L11:L37" si="5">(B11+C11+80)*2*G11/1000</f>
        <v>0</v>
      </c>
      <c r="M11" s="202">
        <f t="shared" ref="M11:M37" si="6">(B11+C11)*D11*2/0.9/1000</f>
        <v>0</v>
      </c>
      <c r="N11" s="202">
        <f t="shared" si="1"/>
        <v>0</v>
      </c>
      <c r="O11" s="202">
        <f t="shared" ref="O11:O37" si="7">B11*C11*D11/1000000/2.88/0.85</f>
        <v>0</v>
      </c>
      <c r="Q11" s="202">
        <f t="shared" ref="Q11:Q36" si="8">B11*C11*D11/1000000/2.88</f>
        <v>0</v>
      </c>
      <c r="V11" s="202" t="str">
        <f t="shared" si="0"/>
        <v>M06-01触感深橡(横纹）+2.0*22深橡PVC</v>
      </c>
      <c r="W11" s="212" t="s">
        <v>656</v>
      </c>
      <c r="X11" s="212" t="s">
        <v>657</v>
      </c>
      <c r="Y11" s="202" t="s">
        <v>658</v>
      </c>
      <c r="Z11" s="202">
        <v>2</v>
      </c>
    </row>
    <row r="12" spans="1:26" ht="17.100000000000001" customHeight="1">
      <c r="A12" s="221"/>
      <c r="B12" s="222"/>
      <c r="C12" s="222"/>
      <c r="D12" s="223"/>
      <c r="E12" s="224">
        <f t="shared" si="2"/>
        <v>-3</v>
      </c>
      <c r="F12" s="225">
        <f t="shared" si="3"/>
        <v>-3</v>
      </c>
      <c r="G12" s="223">
        <f t="shared" si="4"/>
        <v>0</v>
      </c>
      <c r="H12" s="1063"/>
      <c r="I12" s="1064"/>
      <c r="J12" s="1073"/>
      <c r="K12" s="1074"/>
      <c r="L12" s="202">
        <f t="shared" si="5"/>
        <v>0</v>
      </c>
      <c r="M12" s="202">
        <f t="shared" si="6"/>
        <v>0</v>
      </c>
      <c r="N12" s="202">
        <f t="shared" si="1"/>
        <v>0</v>
      </c>
      <c r="O12" s="202">
        <f t="shared" si="7"/>
        <v>0</v>
      </c>
      <c r="Q12" s="202">
        <f t="shared" si="8"/>
        <v>0</v>
      </c>
      <c r="W12" s="212"/>
      <c r="X12" s="212"/>
    </row>
    <row r="13" spans="1:26" ht="17.100000000000001" customHeight="1">
      <c r="A13" s="221"/>
      <c r="B13" s="222"/>
      <c r="C13" s="222"/>
      <c r="D13" s="223"/>
      <c r="E13" s="224">
        <f t="shared" si="2"/>
        <v>-3</v>
      </c>
      <c r="F13" s="225">
        <f t="shared" si="3"/>
        <v>-3</v>
      </c>
      <c r="G13" s="223">
        <f t="shared" si="4"/>
        <v>0</v>
      </c>
      <c r="H13" s="1063"/>
      <c r="I13" s="1064"/>
      <c r="J13" s="1073"/>
      <c r="K13" s="1074"/>
      <c r="L13" s="202">
        <f t="shared" si="5"/>
        <v>0</v>
      </c>
      <c r="M13" s="202">
        <f t="shared" si="6"/>
        <v>0</v>
      </c>
      <c r="N13" s="202">
        <f t="shared" si="1"/>
        <v>0</v>
      </c>
      <c r="O13" s="202">
        <f t="shared" si="7"/>
        <v>0</v>
      </c>
      <c r="Q13" s="202">
        <f t="shared" si="8"/>
        <v>0</v>
      </c>
      <c r="W13" s="212"/>
      <c r="X13" s="212"/>
    </row>
    <row r="14" spans="1:26" ht="17.100000000000001" customHeight="1">
      <c r="A14" s="221"/>
      <c r="B14" s="222"/>
      <c r="C14" s="222"/>
      <c r="D14" s="223"/>
      <c r="E14" s="224">
        <f t="shared" si="2"/>
        <v>-3</v>
      </c>
      <c r="F14" s="225">
        <f t="shared" si="3"/>
        <v>-3</v>
      </c>
      <c r="G14" s="223">
        <f t="shared" si="4"/>
        <v>0</v>
      </c>
      <c r="H14" s="1063"/>
      <c r="I14" s="1064"/>
      <c r="J14" s="1073"/>
      <c r="K14" s="1074"/>
      <c r="L14" s="202">
        <f t="shared" si="5"/>
        <v>0</v>
      </c>
      <c r="M14" s="202">
        <f t="shared" si="6"/>
        <v>0</v>
      </c>
      <c r="N14" s="202">
        <f t="shared" si="1"/>
        <v>0</v>
      </c>
      <c r="O14" s="202">
        <f t="shared" si="7"/>
        <v>0</v>
      </c>
      <c r="Q14" s="202">
        <f t="shared" si="8"/>
        <v>0</v>
      </c>
      <c r="V14" s="202" t="str">
        <f t="shared" si="0"/>
        <v>M11暖白+2.0*22暖白PVC</v>
      </c>
      <c r="W14" s="212" t="s">
        <v>659</v>
      </c>
      <c r="X14" s="212" t="s">
        <v>660</v>
      </c>
      <c r="Y14" s="212" t="s">
        <v>661</v>
      </c>
    </row>
    <row r="15" spans="1:26" ht="17.100000000000001" customHeight="1">
      <c r="A15" s="221"/>
      <c r="B15" s="222"/>
      <c r="C15" s="222"/>
      <c r="D15" s="223"/>
      <c r="E15" s="224">
        <f t="shared" si="2"/>
        <v>-3</v>
      </c>
      <c r="F15" s="225">
        <f t="shared" si="3"/>
        <v>-3</v>
      </c>
      <c r="G15" s="223">
        <f t="shared" si="4"/>
        <v>0</v>
      </c>
      <c r="H15" s="1063"/>
      <c r="I15" s="1064"/>
      <c r="J15" s="1073"/>
      <c r="K15" s="1074"/>
      <c r="L15" s="202">
        <f t="shared" si="5"/>
        <v>0</v>
      </c>
      <c r="M15" s="202">
        <f t="shared" si="6"/>
        <v>0</v>
      </c>
      <c r="N15" s="202">
        <f t="shared" si="1"/>
        <v>0</v>
      </c>
      <c r="O15" s="202">
        <f t="shared" si="7"/>
        <v>0</v>
      </c>
      <c r="Q15" s="202">
        <f t="shared" si="8"/>
        <v>0</v>
      </c>
      <c r="S15" s="212"/>
      <c r="V15" s="202" t="str">
        <f t="shared" si="0"/>
        <v>M07艺术胡桃(横纹）+2.0*22艺术胡桃PVC</v>
      </c>
      <c r="W15" s="212" t="s">
        <v>662</v>
      </c>
      <c r="X15" s="226" t="s">
        <v>663</v>
      </c>
      <c r="Y15" s="212" t="s">
        <v>664</v>
      </c>
      <c r="Z15" s="202">
        <v>3</v>
      </c>
    </row>
    <row r="16" spans="1:26" ht="17.100000000000001" customHeight="1">
      <c r="A16" s="221"/>
      <c r="B16" s="222"/>
      <c r="C16" s="222"/>
      <c r="D16" s="223"/>
      <c r="E16" s="224">
        <f t="shared" si="2"/>
        <v>-3</v>
      </c>
      <c r="F16" s="225">
        <f t="shared" si="3"/>
        <v>-3</v>
      </c>
      <c r="G16" s="223">
        <f t="shared" si="4"/>
        <v>0</v>
      </c>
      <c r="H16" s="1063"/>
      <c r="I16" s="1064"/>
      <c r="J16" s="1073"/>
      <c r="K16" s="1074"/>
      <c r="L16" s="202">
        <f t="shared" si="5"/>
        <v>0</v>
      </c>
      <c r="M16" s="202">
        <f t="shared" si="6"/>
        <v>0</v>
      </c>
      <c r="N16" s="202">
        <f t="shared" si="1"/>
        <v>0</v>
      </c>
      <c r="O16" s="202">
        <f t="shared" si="7"/>
        <v>0</v>
      </c>
      <c r="Q16" s="202">
        <f t="shared" si="8"/>
        <v>0</v>
      </c>
      <c r="V16" s="202" t="str">
        <f t="shared" si="0"/>
        <v>M13荷花白+2.0*22荷花白PVC</v>
      </c>
      <c r="W16" s="202" t="s">
        <v>665</v>
      </c>
      <c r="X16" s="227" t="s">
        <v>666</v>
      </c>
      <c r="Y16" s="212" t="s">
        <v>667</v>
      </c>
      <c r="Z16" s="202">
        <v>1</v>
      </c>
    </row>
    <row r="17" spans="1:26" ht="17.100000000000001" customHeight="1">
      <c r="A17" s="221"/>
      <c r="B17" s="222"/>
      <c r="C17" s="222"/>
      <c r="D17" s="223"/>
      <c r="E17" s="224">
        <f t="shared" si="2"/>
        <v>-3</v>
      </c>
      <c r="F17" s="225">
        <f t="shared" si="3"/>
        <v>-3</v>
      </c>
      <c r="G17" s="223">
        <f t="shared" si="4"/>
        <v>0</v>
      </c>
      <c r="H17" s="1063"/>
      <c r="I17" s="1064"/>
      <c r="J17" s="1073"/>
      <c r="K17" s="1074"/>
      <c r="L17" s="202">
        <f t="shared" si="5"/>
        <v>0</v>
      </c>
      <c r="M17" s="202">
        <f t="shared" si="6"/>
        <v>0</v>
      </c>
      <c r="N17" s="228">
        <f t="shared" si="1"/>
        <v>0</v>
      </c>
      <c r="O17" s="202">
        <f t="shared" si="7"/>
        <v>0</v>
      </c>
      <c r="Q17" s="202">
        <f t="shared" si="8"/>
        <v>0</v>
      </c>
      <c r="V17" s="202" t="s">
        <v>668</v>
      </c>
      <c r="W17" s="202" t="s">
        <v>669</v>
      </c>
      <c r="X17" s="202" t="s">
        <v>670</v>
      </c>
      <c r="Y17" s="212" t="s">
        <v>671</v>
      </c>
      <c r="Z17" s="202">
        <v>1</v>
      </c>
    </row>
    <row r="18" spans="1:26" ht="17.100000000000001" customHeight="1">
      <c r="A18" s="221"/>
      <c r="B18" s="222"/>
      <c r="C18" s="222"/>
      <c r="D18" s="223"/>
      <c r="E18" s="224">
        <f t="shared" si="2"/>
        <v>-3</v>
      </c>
      <c r="F18" s="225">
        <f t="shared" si="3"/>
        <v>-3</v>
      </c>
      <c r="G18" s="223">
        <f t="shared" si="4"/>
        <v>0</v>
      </c>
      <c r="H18" s="1063"/>
      <c r="I18" s="1064"/>
      <c r="J18" s="1073"/>
      <c r="K18" s="1074"/>
      <c r="L18" s="202">
        <f t="shared" si="5"/>
        <v>0</v>
      </c>
      <c r="M18" s="202">
        <f t="shared" si="6"/>
        <v>0</v>
      </c>
      <c r="N18" s="228">
        <f t="shared" si="1"/>
        <v>0</v>
      </c>
      <c r="O18" s="202">
        <f t="shared" si="7"/>
        <v>0</v>
      </c>
      <c r="Q18" s="202">
        <f t="shared" si="8"/>
        <v>0</v>
      </c>
      <c r="V18" s="202" t="str">
        <f t="shared" si="0"/>
        <v>M17豆绿哑光+T型铝封边</v>
      </c>
      <c r="W18" s="202" t="s">
        <v>672</v>
      </c>
      <c r="X18" s="202" t="s">
        <v>673</v>
      </c>
      <c r="Y18" s="212" t="s">
        <v>60</v>
      </c>
      <c r="Z18" s="202">
        <v>1</v>
      </c>
    </row>
    <row r="19" spans="1:26" ht="17.100000000000001" customHeight="1">
      <c r="A19" s="221"/>
      <c r="B19" s="222"/>
      <c r="C19" s="222"/>
      <c r="D19" s="223"/>
      <c r="E19" s="224">
        <f t="shared" si="2"/>
        <v>-3</v>
      </c>
      <c r="F19" s="225">
        <f t="shared" si="3"/>
        <v>-3</v>
      </c>
      <c r="G19" s="223">
        <f t="shared" si="4"/>
        <v>0</v>
      </c>
      <c r="H19" s="1063"/>
      <c r="I19" s="1064"/>
      <c r="J19" s="1073"/>
      <c r="K19" s="1074"/>
      <c r="L19" s="202">
        <f t="shared" si="5"/>
        <v>0</v>
      </c>
      <c r="M19" s="202">
        <f t="shared" si="6"/>
        <v>0</v>
      </c>
      <c r="N19" s="228">
        <f t="shared" si="1"/>
        <v>0</v>
      </c>
      <c r="O19" s="202">
        <f t="shared" si="7"/>
        <v>0</v>
      </c>
      <c r="Q19" s="202">
        <f t="shared" si="8"/>
        <v>0</v>
      </c>
      <c r="V19" s="202" t="str">
        <f t="shared" si="0"/>
        <v>M28白蜡木(横纹）+2.0*22白蜡木PVC</v>
      </c>
      <c r="W19" s="212" t="s">
        <v>674</v>
      </c>
      <c r="X19" s="212" t="s">
        <v>675</v>
      </c>
      <c r="Y19" s="212" t="s">
        <v>676</v>
      </c>
      <c r="Z19" s="202">
        <v>3</v>
      </c>
    </row>
    <row r="20" spans="1:26" ht="17.100000000000001" customHeight="1">
      <c r="A20" s="221"/>
      <c r="B20" s="222"/>
      <c r="C20" s="222"/>
      <c r="D20" s="223"/>
      <c r="E20" s="224">
        <f t="shared" si="2"/>
        <v>-3</v>
      </c>
      <c r="F20" s="225">
        <f t="shared" si="3"/>
        <v>-3</v>
      </c>
      <c r="G20" s="223">
        <f t="shared" si="4"/>
        <v>0</v>
      </c>
      <c r="H20" s="1063"/>
      <c r="I20" s="1064"/>
      <c r="J20" s="1073"/>
      <c r="K20" s="1074"/>
      <c r="L20" s="202">
        <f t="shared" si="5"/>
        <v>0</v>
      </c>
      <c r="M20" s="202">
        <f t="shared" si="6"/>
        <v>0</v>
      </c>
      <c r="N20" s="228">
        <f t="shared" si="1"/>
        <v>0</v>
      </c>
      <c r="O20" s="202">
        <f t="shared" si="7"/>
        <v>0</v>
      </c>
      <c r="Q20" s="202">
        <f t="shared" si="8"/>
        <v>0</v>
      </c>
      <c r="V20" s="202" t="str">
        <f t="shared" si="0"/>
        <v>M01-2浮雕浅橡(横纹）+2.0*22浮雕浅橡PVC</v>
      </c>
      <c r="W20" s="212" t="s">
        <v>677</v>
      </c>
      <c r="X20" s="212" t="s">
        <v>678</v>
      </c>
      <c r="Y20" s="202" t="s">
        <v>679</v>
      </c>
      <c r="Z20" s="202">
        <v>2</v>
      </c>
    </row>
    <row r="21" spans="1:26" ht="17.100000000000001" customHeight="1">
      <c r="A21" s="221"/>
      <c r="B21" s="222"/>
      <c r="C21" s="222"/>
      <c r="D21" s="223"/>
      <c r="E21" s="224">
        <f t="shared" si="2"/>
        <v>-3</v>
      </c>
      <c r="F21" s="225">
        <f t="shared" si="3"/>
        <v>-3</v>
      </c>
      <c r="G21" s="223">
        <f t="shared" si="4"/>
        <v>0</v>
      </c>
      <c r="H21" s="1063"/>
      <c r="I21" s="1064"/>
      <c r="J21" s="1073"/>
      <c r="K21" s="1074"/>
      <c r="L21" s="202">
        <f t="shared" si="5"/>
        <v>0</v>
      </c>
      <c r="M21" s="202">
        <f t="shared" si="6"/>
        <v>0</v>
      </c>
      <c r="N21" s="228">
        <f t="shared" si="1"/>
        <v>0</v>
      </c>
      <c r="O21" s="202">
        <f t="shared" si="7"/>
        <v>0</v>
      </c>
      <c r="Q21" s="202">
        <f t="shared" si="8"/>
        <v>0</v>
      </c>
      <c r="V21" s="202" t="str">
        <f t="shared" si="0"/>
        <v>M29-深胡桃(横纹）+2.0*22深胡桃PVC</v>
      </c>
      <c r="W21" s="212" t="s">
        <v>680</v>
      </c>
      <c r="X21" s="212" t="s">
        <v>681</v>
      </c>
      <c r="Y21" s="202" t="s">
        <v>682</v>
      </c>
      <c r="Z21" s="202">
        <v>2</v>
      </c>
    </row>
    <row r="22" spans="1:26" ht="17.100000000000001" customHeight="1">
      <c r="A22" s="221"/>
      <c r="B22" s="222"/>
      <c r="C22" s="222"/>
      <c r="D22" s="223"/>
      <c r="E22" s="224">
        <f t="shared" si="2"/>
        <v>-3</v>
      </c>
      <c r="F22" s="225">
        <f t="shared" si="3"/>
        <v>-3</v>
      </c>
      <c r="G22" s="223">
        <f t="shared" si="4"/>
        <v>0</v>
      </c>
      <c r="H22" s="1063"/>
      <c r="I22" s="1064"/>
      <c r="J22" s="1073"/>
      <c r="K22" s="1074"/>
      <c r="L22" s="202">
        <f t="shared" si="5"/>
        <v>0</v>
      </c>
      <c r="M22" s="202">
        <f t="shared" si="6"/>
        <v>0</v>
      </c>
      <c r="N22" s="202">
        <f t="shared" si="1"/>
        <v>0</v>
      </c>
      <c r="O22" s="202">
        <f t="shared" si="7"/>
        <v>0</v>
      </c>
      <c r="Q22" s="202">
        <f t="shared" si="8"/>
        <v>0</v>
      </c>
      <c r="V22" s="202" t="str">
        <f t="shared" si="0"/>
        <v>M30柚木(横纹）+2.0*22柚木PVC</v>
      </c>
      <c r="W22" s="212" t="s">
        <v>683</v>
      </c>
      <c r="X22" s="212" t="s">
        <v>684</v>
      </c>
      <c r="Y22" s="212" t="s">
        <v>685</v>
      </c>
      <c r="Z22" s="202">
        <v>2</v>
      </c>
    </row>
    <row r="23" spans="1:26" ht="17.100000000000001" customHeight="1">
      <c r="A23" s="221"/>
      <c r="B23" s="222"/>
      <c r="C23" s="222"/>
      <c r="D23" s="223"/>
      <c r="E23" s="224">
        <f t="shared" si="2"/>
        <v>-3</v>
      </c>
      <c r="F23" s="225">
        <f t="shared" si="3"/>
        <v>-3</v>
      </c>
      <c r="G23" s="223">
        <f t="shared" si="4"/>
        <v>0</v>
      </c>
      <c r="H23" s="1063"/>
      <c r="I23" s="1064"/>
      <c r="J23" s="1063"/>
      <c r="K23" s="1065"/>
      <c r="L23" s="202">
        <f t="shared" si="5"/>
        <v>0</v>
      </c>
      <c r="M23" s="202">
        <f t="shared" si="6"/>
        <v>0</v>
      </c>
      <c r="N23" s="202">
        <f t="shared" si="1"/>
        <v>0</v>
      </c>
      <c r="O23" s="202">
        <f t="shared" si="7"/>
        <v>0</v>
      </c>
      <c r="Q23" s="202">
        <f t="shared" si="8"/>
        <v>0</v>
      </c>
      <c r="W23" s="212"/>
      <c r="X23" s="212"/>
      <c r="Y23" s="212"/>
    </row>
    <row r="24" spans="1:26" ht="17.100000000000001" customHeight="1">
      <c r="A24" s="229"/>
      <c r="B24" s="222"/>
      <c r="C24" s="222"/>
      <c r="D24" s="223"/>
      <c r="E24" s="224">
        <f t="shared" si="2"/>
        <v>-3</v>
      </c>
      <c r="F24" s="225">
        <f t="shared" si="3"/>
        <v>-3</v>
      </c>
      <c r="G24" s="223">
        <f t="shared" si="4"/>
        <v>0</v>
      </c>
      <c r="H24" s="1063"/>
      <c r="I24" s="1064"/>
      <c r="J24" s="1063"/>
      <c r="K24" s="1065"/>
      <c r="L24" s="202">
        <f t="shared" si="5"/>
        <v>0</v>
      </c>
      <c r="M24" s="202">
        <f t="shared" si="6"/>
        <v>0</v>
      </c>
      <c r="N24" s="202">
        <f t="shared" si="1"/>
        <v>0</v>
      </c>
      <c r="O24" s="202">
        <f t="shared" si="7"/>
        <v>0</v>
      </c>
      <c r="Q24" s="202">
        <f t="shared" si="8"/>
        <v>0</v>
      </c>
    </row>
    <row r="25" spans="1:26" ht="17.100000000000001" customHeight="1">
      <c r="A25" s="229"/>
      <c r="B25" s="222"/>
      <c r="C25" s="222"/>
      <c r="D25" s="223"/>
      <c r="E25" s="224">
        <f t="shared" si="2"/>
        <v>-3</v>
      </c>
      <c r="F25" s="225">
        <f t="shared" si="3"/>
        <v>-3</v>
      </c>
      <c r="G25" s="223">
        <f t="shared" si="4"/>
        <v>0</v>
      </c>
      <c r="H25" s="1063"/>
      <c r="I25" s="1064"/>
      <c r="J25" s="1063"/>
      <c r="K25" s="1065"/>
      <c r="L25" s="202">
        <f t="shared" si="5"/>
        <v>0</v>
      </c>
      <c r="M25" s="202">
        <f t="shared" si="6"/>
        <v>0</v>
      </c>
      <c r="N25" s="202">
        <f t="shared" si="1"/>
        <v>0</v>
      </c>
      <c r="O25" s="202">
        <f t="shared" si="7"/>
        <v>0</v>
      </c>
      <c r="Q25" s="202">
        <f t="shared" si="8"/>
        <v>0</v>
      </c>
      <c r="X25" s="226"/>
      <c r="Y25" s="212"/>
    </row>
    <row r="26" spans="1:26" ht="17.100000000000001" customHeight="1">
      <c r="A26" s="230"/>
      <c r="B26" s="222"/>
      <c r="C26" s="222"/>
      <c r="D26" s="223"/>
      <c r="E26" s="224">
        <f t="shared" si="2"/>
        <v>-3</v>
      </c>
      <c r="F26" s="225">
        <f t="shared" si="3"/>
        <v>-3</v>
      </c>
      <c r="G26" s="223">
        <f t="shared" si="4"/>
        <v>0</v>
      </c>
      <c r="H26" s="1063"/>
      <c r="I26" s="1064"/>
      <c r="J26" s="1063"/>
      <c r="K26" s="1065"/>
      <c r="L26" s="202">
        <f t="shared" si="5"/>
        <v>0</v>
      </c>
      <c r="M26" s="202">
        <f t="shared" si="6"/>
        <v>0</v>
      </c>
      <c r="N26" s="202">
        <f t="shared" si="1"/>
        <v>0</v>
      </c>
      <c r="O26" s="202">
        <f t="shared" si="7"/>
        <v>0</v>
      </c>
      <c r="Q26" s="202">
        <f t="shared" si="8"/>
        <v>0</v>
      </c>
      <c r="Y26" s="212"/>
    </row>
    <row r="27" spans="1:26" ht="17.100000000000001" customHeight="1">
      <c r="A27" s="221"/>
      <c r="B27" s="222"/>
      <c r="C27" s="222"/>
      <c r="D27" s="223"/>
      <c r="E27" s="224">
        <f t="shared" si="2"/>
        <v>-3</v>
      </c>
      <c r="F27" s="225">
        <f t="shared" si="3"/>
        <v>-3</v>
      </c>
      <c r="G27" s="223">
        <f t="shared" si="4"/>
        <v>0</v>
      </c>
      <c r="H27" s="1063"/>
      <c r="I27" s="1064"/>
      <c r="J27" s="1063"/>
      <c r="K27" s="1065"/>
      <c r="L27" s="202">
        <f t="shared" si="5"/>
        <v>0</v>
      </c>
      <c r="M27" s="202">
        <f t="shared" si="6"/>
        <v>0</v>
      </c>
      <c r="N27" s="202">
        <f t="shared" si="1"/>
        <v>0</v>
      </c>
      <c r="O27" s="202">
        <f t="shared" si="7"/>
        <v>0</v>
      </c>
      <c r="Q27" s="202">
        <f t="shared" si="8"/>
        <v>0</v>
      </c>
      <c r="W27" s="212"/>
      <c r="X27" s="212"/>
      <c r="Y27" s="212"/>
    </row>
    <row r="28" spans="1:26" ht="17.100000000000001" customHeight="1">
      <c r="A28" s="231"/>
      <c r="B28" s="222"/>
      <c r="C28" s="222"/>
      <c r="D28" s="223"/>
      <c r="E28" s="224">
        <f t="shared" si="2"/>
        <v>-3</v>
      </c>
      <c r="F28" s="225">
        <f t="shared" si="3"/>
        <v>-3</v>
      </c>
      <c r="G28" s="223">
        <f t="shared" si="4"/>
        <v>0</v>
      </c>
      <c r="H28" s="1063"/>
      <c r="I28" s="1064"/>
      <c r="J28" s="1063"/>
      <c r="K28" s="1065"/>
      <c r="L28" s="202">
        <f t="shared" si="5"/>
        <v>0</v>
      </c>
      <c r="M28" s="202">
        <f t="shared" si="6"/>
        <v>0</v>
      </c>
      <c r="N28" s="202">
        <f t="shared" si="1"/>
        <v>0</v>
      </c>
      <c r="O28" s="202">
        <f t="shared" si="7"/>
        <v>0</v>
      </c>
      <c r="Q28" s="202">
        <f t="shared" si="8"/>
        <v>0</v>
      </c>
      <c r="U28" s="202" t="s">
        <v>686</v>
      </c>
      <c r="V28" s="202" t="str">
        <f>W28&amp;"+"&amp;Y28</f>
        <v>M43奶油灰高+铝色PVC2.0*22</v>
      </c>
      <c r="W28" s="212" t="str">
        <f>U28&amp;MIDB(X28,1,8)</f>
        <v>M43奶油灰高</v>
      </c>
      <c r="X28" s="202" t="s">
        <v>687</v>
      </c>
      <c r="Y28" s="202" t="s">
        <v>688</v>
      </c>
    </row>
    <row r="29" spans="1:26" ht="17.100000000000001" customHeight="1">
      <c r="A29" s="230"/>
      <c r="B29" s="222"/>
      <c r="C29" s="222"/>
      <c r="D29" s="223"/>
      <c r="E29" s="224">
        <f t="shared" si="2"/>
        <v>-3</v>
      </c>
      <c r="F29" s="225">
        <f t="shared" si="3"/>
        <v>-3</v>
      </c>
      <c r="G29" s="223">
        <f t="shared" si="4"/>
        <v>0</v>
      </c>
      <c r="H29" s="1063"/>
      <c r="I29" s="1064"/>
      <c r="J29" s="1063"/>
      <c r="K29" s="1065"/>
      <c r="L29" s="202">
        <f t="shared" si="5"/>
        <v>0</v>
      </c>
      <c r="M29" s="202">
        <f t="shared" si="6"/>
        <v>0</v>
      </c>
      <c r="N29" s="202">
        <f t="shared" si="1"/>
        <v>0</v>
      </c>
      <c r="O29" s="202">
        <f t="shared" si="7"/>
        <v>0</v>
      </c>
      <c r="Q29" s="202">
        <f t="shared" si="8"/>
        <v>0</v>
      </c>
      <c r="U29" s="202" t="s">
        <v>689</v>
      </c>
      <c r="V29" s="202" t="str">
        <f t="shared" ref="V29:V33" si="9">W29&amp;"+"&amp;Y29</f>
        <v>M38酒红高光+铝色PVC2.0*22</v>
      </c>
      <c r="W29" s="212" t="str">
        <f t="shared" ref="W29:W33" si="10">U29&amp;MIDB(X29,1,8)</f>
        <v>M38酒红高光</v>
      </c>
      <c r="X29" s="212" t="s">
        <v>690</v>
      </c>
      <c r="Y29" s="202" t="s">
        <v>688</v>
      </c>
    </row>
    <row r="30" spans="1:26" ht="17.100000000000001" customHeight="1">
      <c r="A30" s="230"/>
      <c r="B30" s="222"/>
      <c r="C30" s="222"/>
      <c r="D30" s="223"/>
      <c r="E30" s="224">
        <f t="shared" si="2"/>
        <v>-3</v>
      </c>
      <c r="F30" s="225">
        <f t="shared" si="3"/>
        <v>-3</v>
      </c>
      <c r="G30" s="223">
        <f t="shared" si="4"/>
        <v>0</v>
      </c>
      <c r="H30" s="1063"/>
      <c r="I30" s="1064"/>
      <c r="J30" s="1063"/>
      <c r="K30" s="1065"/>
      <c r="L30" s="202">
        <f t="shared" si="5"/>
        <v>0</v>
      </c>
      <c r="M30" s="202">
        <f t="shared" si="6"/>
        <v>0</v>
      </c>
      <c r="N30" s="202">
        <f t="shared" si="1"/>
        <v>0</v>
      </c>
      <c r="O30" s="202">
        <f t="shared" si="7"/>
        <v>0</v>
      </c>
      <c r="Q30" s="202">
        <f t="shared" si="8"/>
        <v>0</v>
      </c>
      <c r="U30" s="202" t="s">
        <v>691</v>
      </c>
      <c r="V30" s="202" t="str">
        <f t="shared" si="9"/>
        <v>M39黑檀高光+铝色PVC2.0*22</v>
      </c>
      <c r="W30" s="212" t="str">
        <f t="shared" si="10"/>
        <v>M39黑檀高光</v>
      </c>
      <c r="X30" s="212" t="s">
        <v>692</v>
      </c>
      <c r="Y30" s="202" t="s">
        <v>688</v>
      </c>
    </row>
    <row r="31" spans="1:26" ht="17.100000000000001" customHeight="1">
      <c r="A31" s="230"/>
      <c r="B31" s="222"/>
      <c r="C31" s="222"/>
      <c r="D31" s="223"/>
      <c r="E31" s="224">
        <f t="shared" si="2"/>
        <v>-3</v>
      </c>
      <c r="F31" s="225">
        <f t="shared" si="3"/>
        <v>-3</v>
      </c>
      <c r="G31" s="223">
        <f t="shared" si="4"/>
        <v>0</v>
      </c>
      <c r="H31" s="1063"/>
      <c r="I31" s="1064"/>
      <c r="J31" s="1063"/>
      <c r="K31" s="1065"/>
      <c r="L31" s="202">
        <f t="shared" si="5"/>
        <v>0</v>
      </c>
      <c r="M31" s="202">
        <f t="shared" si="6"/>
        <v>0</v>
      </c>
      <c r="N31" s="202">
        <f t="shared" si="1"/>
        <v>0</v>
      </c>
      <c r="O31" s="202">
        <f t="shared" si="7"/>
        <v>0</v>
      </c>
      <c r="Q31" s="202">
        <f t="shared" si="8"/>
        <v>0</v>
      </c>
      <c r="U31" s="202" t="s">
        <v>693</v>
      </c>
      <c r="V31" s="202" t="str">
        <f t="shared" si="9"/>
        <v>M40香槟高光+铝色PVC2.0*22</v>
      </c>
      <c r="W31" s="212" t="str">
        <f t="shared" si="10"/>
        <v>M40香槟高光</v>
      </c>
      <c r="X31" s="212" t="s">
        <v>694</v>
      </c>
      <c r="Y31" s="202" t="s">
        <v>688</v>
      </c>
    </row>
    <row r="32" spans="1:26" ht="17.100000000000001" customHeight="1">
      <c r="A32" s="230"/>
      <c r="B32" s="222"/>
      <c r="C32" s="222"/>
      <c r="D32" s="223"/>
      <c r="E32" s="224">
        <f t="shared" si="2"/>
        <v>-3</v>
      </c>
      <c r="F32" s="225">
        <f t="shared" si="3"/>
        <v>-3</v>
      </c>
      <c r="G32" s="223">
        <f t="shared" si="4"/>
        <v>0</v>
      </c>
      <c r="H32" s="1063"/>
      <c r="I32" s="1064"/>
      <c r="J32" s="1063"/>
      <c r="K32" s="1065"/>
      <c r="L32" s="202">
        <f t="shared" si="5"/>
        <v>0</v>
      </c>
      <c r="M32" s="202">
        <f t="shared" si="6"/>
        <v>0</v>
      </c>
      <c r="N32" s="202">
        <f t="shared" si="1"/>
        <v>0</v>
      </c>
      <c r="O32" s="202">
        <f t="shared" si="7"/>
        <v>0</v>
      </c>
      <c r="Q32" s="202">
        <f t="shared" si="8"/>
        <v>0</v>
      </c>
      <c r="U32" s="202" t="s">
        <v>695</v>
      </c>
      <c r="V32" s="202" t="str">
        <f t="shared" si="9"/>
        <v>M41湛蓝高光+铝色PVC2.0*22</v>
      </c>
      <c r="W32" s="212" t="str">
        <f t="shared" si="10"/>
        <v>M41湛蓝高光</v>
      </c>
      <c r="X32" s="212" t="s">
        <v>696</v>
      </c>
      <c r="Y32" s="202" t="s">
        <v>688</v>
      </c>
    </row>
    <row r="33" spans="1:25" ht="17.100000000000001" customHeight="1">
      <c r="A33" s="230"/>
      <c r="B33" s="222"/>
      <c r="C33" s="222"/>
      <c r="D33" s="223"/>
      <c r="E33" s="224">
        <f t="shared" si="2"/>
        <v>-3</v>
      </c>
      <c r="F33" s="225">
        <f t="shared" si="3"/>
        <v>-3</v>
      </c>
      <c r="G33" s="223">
        <f t="shared" si="4"/>
        <v>0</v>
      </c>
      <c r="H33" s="1063"/>
      <c r="I33" s="1064"/>
      <c r="J33" s="1063"/>
      <c r="K33" s="1065"/>
      <c r="L33" s="202">
        <f t="shared" si="5"/>
        <v>0</v>
      </c>
      <c r="M33" s="202">
        <f t="shared" si="6"/>
        <v>0</v>
      </c>
      <c r="N33" s="202">
        <f t="shared" si="1"/>
        <v>0</v>
      </c>
      <c r="O33" s="202">
        <f t="shared" si="7"/>
        <v>0</v>
      </c>
      <c r="Q33" s="202">
        <f t="shared" si="8"/>
        <v>0</v>
      </c>
      <c r="U33" s="202" t="s">
        <v>697</v>
      </c>
      <c r="V33" s="202" t="str">
        <f t="shared" si="9"/>
        <v>M42纯白高光+铝色PVC2.0*22</v>
      </c>
      <c r="W33" s="212" t="str">
        <f t="shared" si="10"/>
        <v>M42纯白高光</v>
      </c>
      <c r="X33" s="212" t="s">
        <v>698</v>
      </c>
      <c r="Y33" s="202" t="s">
        <v>688</v>
      </c>
    </row>
    <row r="34" spans="1:25" ht="17.100000000000001" customHeight="1">
      <c r="A34" s="230"/>
      <c r="B34" s="222"/>
      <c r="C34" s="222"/>
      <c r="D34" s="223"/>
      <c r="E34" s="224">
        <f t="shared" si="2"/>
        <v>-3</v>
      </c>
      <c r="F34" s="225">
        <f t="shared" si="3"/>
        <v>-3</v>
      </c>
      <c r="G34" s="223">
        <f t="shared" si="4"/>
        <v>0</v>
      </c>
      <c r="H34" s="1063"/>
      <c r="I34" s="1064"/>
      <c r="J34" s="1063"/>
      <c r="K34" s="1065"/>
      <c r="L34" s="202">
        <f t="shared" si="5"/>
        <v>0</v>
      </c>
      <c r="M34" s="202">
        <f t="shared" si="6"/>
        <v>0</v>
      </c>
      <c r="N34" s="202">
        <f t="shared" si="1"/>
        <v>0</v>
      </c>
      <c r="O34" s="202">
        <f t="shared" si="7"/>
        <v>0</v>
      </c>
      <c r="Q34" s="202">
        <f t="shared" si="8"/>
        <v>0</v>
      </c>
    </row>
    <row r="35" spans="1:25" ht="17.100000000000001" customHeight="1">
      <c r="A35" s="230"/>
      <c r="B35" s="222"/>
      <c r="C35" s="222"/>
      <c r="D35" s="223"/>
      <c r="E35" s="224">
        <f t="shared" si="2"/>
        <v>-3</v>
      </c>
      <c r="F35" s="225">
        <f t="shared" si="3"/>
        <v>-3</v>
      </c>
      <c r="G35" s="223">
        <f t="shared" si="4"/>
        <v>0</v>
      </c>
      <c r="H35" s="1063"/>
      <c r="I35" s="1064"/>
      <c r="J35" s="1063"/>
      <c r="K35" s="1065"/>
      <c r="L35" s="202">
        <f t="shared" si="5"/>
        <v>0</v>
      </c>
      <c r="M35" s="202">
        <f t="shared" si="6"/>
        <v>0</v>
      </c>
      <c r="N35" s="202">
        <f t="shared" si="1"/>
        <v>0</v>
      </c>
      <c r="O35" s="202">
        <f t="shared" si="7"/>
        <v>0</v>
      </c>
      <c r="Q35" s="202">
        <f t="shared" si="8"/>
        <v>0</v>
      </c>
      <c r="V35" s="202" t="str">
        <f>W35&amp;"+"&amp;Y35</f>
        <v>M21银灰波浪(横纹）+2.0*22银灰波浪PVC</v>
      </c>
      <c r="W35" s="212" t="s">
        <v>699</v>
      </c>
      <c r="X35" s="212" t="s">
        <v>700</v>
      </c>
      <c r="Y35" s="212" t="s">
        <v>701</v>
      </c>
    </row>
    <row r="36" spans="1:25" ht="17.100000000000001" customHeight="1">
      <c r="A36" s="232"/>
      <c r="B36" s="233"/>
      <c r="C36" s="233"/>
      <c r="D36" s="234"/>
      <c r="E36" s="224">
        <f t="shared" si="2"/>
        <v>-3</v>
      </c>
      <c r="F36" s="225">
        <f t="shared" si="3"/>
        <v>-3</v>
      </c>
      <c r="G36" s="223">
        <f t="shared" si="4"/>
        <v>0</v>
      </c>
      <c r="H36" s="1063"/>
      <c r="I36" s="1064"/>
      <c r="J36" s="1063"/>
      <c r="K36" s="1065"/>
      <c r="L36" s="202">
        <f t="shared" si="5"/>
        <v>0</v>
      </c>
      <c r="M36" s="202">
        <f t="shared" si="6"/>
        <v>0</v>
      </c>
      <c r="N36" s="202">
        <f t="shared" si="1"/>
        <v>0</v>
      </c>
      <c r="O36" s="202">
        <f t="shared" si="7"/>
        <v>0</v>
      </c>
      <c r="Q36" s="202">
        <f t="shared" si="8"/>
        <v>0</v>
      </c>
      <c r="V36" s="202" t="str">
        <f>W36&amp;"+"&amp;Y36</f>
        <v>M21银灰波浪(横纹）+T型铝封边</v>
      </c>
      <c r="W36" s="212" t="s">
        <v>699</v>
      </c>
      <c r="X36" s="212" t="s">
        <v>700</v>
      </c>
      <c r="Y36" s="212" t="s">
        <v>60</v>
      </c>
    </row>
    <row r="37" spans="1:25" ht="17.100000000000001" customHeight="1" thickBot="1">
      <c r="A37" s="235"/>
      <c r="B37" s="236"/>
      <c r="C37" s="236"/>
      <c r="D37" s="237"/>
      <c r="E37" s="224"/>
      <c r="F37" s="225"/>
      <c r="G37" s="223"/>
      <c r="H37" s="1066"/>
      <c r="I37" s="1067"/>
      <c r="J37" s="1066"/>
      <c r="K37" s="1068"/>
      <c r="L37" s="202">
        <f t="shared" si="5"/>
        <v>0</v>
      </c>
      <c r="M37" s="202">
        <f t="shared" si="6"/>
        <v>0</v>
      </c>
      <c r="N37" s="202">
        <f t="shared" si="1"/>
        <v>0</v>
      </c>
      <c r="O37" s="202">
        <f t="shared" si="7"/>
        <v>0</v>
      </c>
      <c r="V37" s="202" t="str">
        <f>W37&amp;"+"&amp;Y37</f>
        <v>M24荷花白波浪(横纹）+T型铝封边</v>
      </c>
      <c r="W37" s="212" t="s">
        <v>702</v>
      </c>
      <c r="X37" s="212" t="s">
        <v>703</v>
      </c>
      <c r="Y37" s="212" t="s">
        <v>60</v>
      </c>
    </row>
    <row r="38" spans="1:25" ht="17.100000000000001" customHeight="1">
      <c r="A38" s="1069"/>
      <c r="B38" s="1069"/>
      <c r="C38" s="1069"/>
      <c r="D38" s="1069"/>
      <c r="E38" s="1069"/>
      <c r="F38" s="1069"/>
      <c r="G38" s="1069"/>
      <c r="H38" s="1069"/>
      <c r="I38" s="1069"/>
      <c r="J38" s="1069"/>
      <c r="K38" s="1069"/>
      <c r="L38" s="202">
        <f>SUM(L10:L37)</f>
        <v>0</v>
      </c>
      <c r="M38" s="202">
        <f>SUM(M10:M37)</f>
        <v>0</v>
      </c>
      <c r="N38" s="202">
        <f>SUM(N10:N37)</f>
        <v>0</v>
      </c>
      <c r="O38" s="202">
        <f>SUM(O10:O37)</f>
        <v>0</v>
      </c>
      <c r="P38" s="202" t="s">
        <v>704</v>
      </c>
      <c r="Q38" s="202">
        <f>SUM(Q10:Q37)</f>
        <v>0</v>
      </c>
      <c r="V38" s="202" t="str">
        <f>W38&amp;"+"&amp;Y38</f>
        <v>M25银灰+2.0*22银灰PVC</v>
      </c>
      <c r="W38" s="202" t="s">
        <v>705</v>
      </c>
      <c r="X38" s="202" t="s">
        <v>706</v>
      </c>
      <c r="Y38" s="212" t="s">
        <v>707</v>
      </c>
    </row>
    <row r="39" spans="1:25" s="240" customFormat="1" ht="20.100000000000001" customHeight="1">
      <c r="A39" s="238"/>
      <c r="B39" s="1070" t="s">
        <v>641</v>
      </c>
      <c r="C39" s="1070"/>
      <c r="D39" s="1070"/>
      <c r="E39" s="1070"/>
      <c r="F39" s="1070"/>
      <c r="G39" s="1070"/>
      <c r="H39" s="1070"/>
      <c r="I39" s="1070"/>
      <c r="J39" s="204"/>
      <c r="K39" s="239"/>
      <c r="V39" s="212" t="s">
        <v>708</v>
      </c>
      <c r="W39" s="202" t="s">
        <v>709</v>
      </c>
      <c r="X39" s="202" t="s">
        <v>710</v>
      </c>
      <c r="Y39" s="212" t="s">
        <v>60</v>
      </c>
    </row>
    <row r="40" spans="1:25" ht="21" customHeight="1">
      <c r="A40" s="1069" t="s">
        <v>711</v>
      </c>
      <c r="B40" s="1069"/>
      <c r="C40" s="1069"/>
      <c r="D40" s="1069"/>
      <c r="E40" s="1069"/>
      <c r="F40" s="1069"/>
      <c r="G40" s="1069"/>
      <c r="H40" s="1069"/>
      <c r="I40" s="1069"/>
      <c r="J40" s="1069"/>
      <c r="K40" s="1069"/>
    </row>
    <row r="41" spans="1:25" ht="13.5" customHeight="1">
      <c r="A41" s="241"/>
      <c r="B41" s="242"/>
      <c r="C41" s="240"/>
      <c r="D41" s="240"/>
      <c r="E41" s="243"/>
      <c r="F41" s="244"/>
      <c r="G41" s="245"/>
      <c r="H41" s="246"/>
      <c r="I41" s="239"/>
      <c r="J41" s="239"/>
      <c r="K41" s="247"/>
    </row>
    <row r="42" spans="1:25" ht="18" customHeight="1">
      <c r="A42" s="238" t="s">
        <v>712</v>
      </c>
      <c r="B42" s="1071" t="s">
        <v>1257</v>
      </c>
      <c r="C42" s="1071"/>
      <c r="D42" s="204"/>
      <c r="E42" s="248"/>
      <c r="F42" s="1072"/>
      <c r="G42" s="1072"/>
      <c r="H42" s="204"/>
      <c r="I42" s="239"/>
      <c r="J42" s="239"/>
      <c r="O42" s="249">
        <v>1</v>
      </c>
      <c r="P42" s="250" t="s">
        <v>713</v>
      </c>
      <c r="Q42" s="202">
        <f>+Q38/0.85</f>
        <v>0</v>
      </c>
    </row>
    <row r="43" spans="1:25" ht="21">
      <c r="A43" s="251"/>
      <c r="B43" s="1062"/>
      <c r="C43" s="1062"/>
      <c r="D43" s="252"/>
      <c r="E43" s="253"/>
      <c r="F43" s="254"/>
      <c r="G43" s="255"/>
      <c r="H43" s="252"/>
      <c r="I43" s="256"/>
      <c r="J43" s="256"/>
      <c r="K43" s="247"/>
      <c r="O43" s="249">
        <v>2</v>
      </c>
      <c r="P43" s="250" t="s">
        <v>714</v>
      </c>
      <c r="Q43" s="257">
        <f>+CEILING(Q38/0.6,0.5)</f>
        <v>0</v>
      </c>
    </row>
    <row r="44" spans="1:25" ht="20.25">
      <c r="A44" s="247"/>
      <c r="B44" s="247"/>
      <c r="C44" s="247"/>
      <c r="D44" s="247"/>
      <c r="E44" s="258"/>
      <c r="F44" s="259"/>
      <c r="G44" s="259"/>
      <c r="H44" s="247"/>
      <c r="I44" s="247"/>
      <c r="J44" s="247"/>
      <c r="K44" s="247"/>
      <c r="O44" s="249">
        <v>3</v>
      </c>
      <c r="P44" s="250" t="s">
        <v>715</v>
      </c>
      <c r="Q44" s="260">
        <f>+Q43</f>
        <v>0</v>
      </c>
    </row>
    <row r="45" spans="1:25" ht="20.25">
      <c r="A45" s="247"/>
      <c r="B45" s="247"/>
      <c r="C45" s="247"/>
      <c r="D45" s="247"/>
      <c r="E45" s="258"/>
      <c r="F45" s="259"/>
      <c r="G45" s="259"/>
      <c r="H45" s="247"/>
      <c r="I45" s="247"/>
      <c r="J45" s="247"/>
      <c r="K45" s="247"/>
    </row>
    <row r="46" spans="1:25" ht="20.25">
      <c r="A46" s="247"/>
      <c r="B46" s="247"/>
      <c r="C46" s="247"/>
      <c r="D46" s="247"/>
      <c r="E46" s="258"/>
      <c r="F46" s="259"/>
      <c r="G46" s="259"/>
      <c r="H46" s="247"/>
      <c r="I46" s="247"/>
      <c r="J46" s="247"/>
      <c r="K46" s="247"/>
    </row>
    <row r="47" spans="1:25" ht="20.25">
      <c r="A47" s="247"/>
      <c r="B47" s="247"/>
      <c r="C47" s="247"/>
      <c r="D47" s="247"/>
      <c r="E47" s="258"/>
      <c r="F47" s="259"/>
      <c r="G47" s="259"/>
      <c r="H47" s="247"/>
      <c r="I47" s="247"/>
      <c r="J47" s="247"/>
      <c r="K47" s="247"/>
    </row>
    <row r="48" spans="1:25" ht="20.25">
      <c r="A48" s="247"/>
      <c r="B48" s="247"/>
      <c r="C48" s="247"/>
      <c r="D48" s="247"/>
      <c r="E48" s="258"/>
      <c r="F48" s="259"/>
      <c r="G48" s="259"/>
      <c r="H48" s="247"/>
      <c r="I48" s="247"/>
      <c r="J48" s="247"/>
      <c r="K48" s="247"/>
    </row>
    <row r="49" spans="1:11" ht="20.25">
      <c r="A49" s="247"/>
      <c r="B49" s="247"/>
      <c r="C49" s="247"/>
      <c r="D49" s="247"/>
      <c r="E49" s="258"/>
      <c r="F49" s="259"/>
      <c r="G49" s="259"/>
      <c r="H49" s="247"/>
      <c r="I49" s="247"/>
      <c r="J49" s="247"/>
      <c r="K49" s="247"/>
    </row>
    <row r="50" spans="1:11" ht="20.25">
      <c r="A50" s="247"/>
      <c r="B50" s="247"/>
      <c r="C50" s="247"/>
      <c r="D50" s="247"/>
      <c r="E50" s="258"/>
      <c r="F50" s="259"/>
      <c r="G50" s="259"/>
      <c r="H50" s="247"/>
      <c r="I50" s="247"/>
      <c r="J50" s="247"/>
      <c r="K50" s="247"/>
    </row>
    <row r="51" spans="1:11" ht="20.25">
      <c r="A51" s="247"/>
      <c r="B51" s="247"/>
      <c r="C51" s="247"/>
      <c r="D51" s="247"/>
      <c r="E51" s="258"/>
      <c r="F51" s="259"/>
      <c r="G51" s="259"/>
      <c r="H51" s="247"/>
      <c r="I51" s="247"/>
      <c r="J51" s="247"/>
      <c r="K51" s="247"/>
    </row>
    <row r="52" spans="1:11" ht="20.25">
      <c r="A52" s="247"/>
      <c r="B52" s="247"/>
      <c r="C52" s="247"/>
      <c r="D52" s="247"/>
      <c r="E52" s="258"/>
      <c r="F52" s="259"/>
      <c r="G52" s="259"/>
      <c r="H52" s="247"/>
      <c r="I52" s="247"/>
      <c r="J52" s="247"/>
      <c r="K52" s="247"/>
    </row>
    <row r="53" spans="1:11" ht="20.25">
      <c r="A53" s="247"/>
      <c r="B53" s="247"/>
      <c r="C53" s="247"/>
      <c r="D53" s="247"/>
      <c r="E53" s="258"/>
      <c r="F53" s="259"/>
      <c r="G53" s="259"/>
      <c r="H53" s="247"/>
      <c r="I53" s="247"/>
      <c r="J53" s="247"/>
      <c r="K53" s="247"/>
    </row>
    <row r="54" spans="1:11" ht="20.25">
      <c r="A54" s="247"/>
      <c r="B54" s="247"/>
      <c r="C54" s="247"/>
      <c r="D54" s="247"/>
      <c r="E54" s="258"/>
      <c r="F54" s="259"/>
      <c r="G54" s="259"/>
      <c r="H54" s="247"/>
      <c r="I54" s="247"/>
      <c r="J54" s="247"/>
      <c r="K54" s="247"/>
    </row>
    <row r="55" spans="1:11" ht="20.25">
      <c r="A55" s="247"/>
      <c r="B55" s="247"/>
      <c r="C55" s="247"/>
      <c r="D55" s="247"/>
      <c r="E55" s="258"/>
      <c r="F55" s="259"/>
      <c r="G55" s="259"/>
      <c r="H55" s="247"/>
      <c r="I55" s="247"/>
      <c r="J55" s="247"/>
      <c r="K55" s="247"/>
    </row>
    <row r="56" spans="1:11" ht="20.25">
      <c r="A56" s="247"/>
      <c r="B56" s="247"/>
      <c r="C56" s="247"/>
      <c r="D56" s="247"/>
      <c r="E56" s="258"/>
      <c r="F56" s="259"/>
      <c r="G56" s="259"/>
      <c r="H56" s="247"/>
      <c r="I56" s="247"/>
      <c r="J56" s="247"/>
      <c r="K56" s="247"/>
    </row>
    <row r="57" spans="1:11" ht="20.25">
      <c r="A57" s="247"/>
      <c r="B57" s="247"/>
      <c r="C57" s="247"/>
      <c r="D57" s="247"/>
      <c r="E57" s="258"/>
      <c r="F57" s="259"/>
      <c r="G57" s="259"/>
      <c r="H57" s="247"/>
      <c r="I57" s="247"/>
      <c r="J57" s="247"/>
      <c r="K57" s="247"/>
    </row>
    <row r="58" spans="1:11" ht="20.25">
      <c r="A58" s="247"/>
      <c r="B58" s="247"/>
      <c r="C58" s="247"/>
      <c r="D58" s="247"/>
      <c r="E58" s="258"/>
      <c r="F58" s="259"/>
      <c r="G58" s="259"/>
      <c r="H58" s="247"/>
      <c r="I58" s="247"/>
      <c r="J58" s="247"/>
      <c r="K58" s="247"/>
    </row>
    <row r="59" spans="1:11" ht="20.25">
      <c r="A59" s="247"/>
      <c r="B59" s="247"/>
      <c r="C59" s="247"/>
      <c r="D59" s="247"/>
      <c r="E59" s="258"/>
      <c r="F59" s="259"/>
      <c r="G59" s="259"/>
      <c r="H59" s="247"/>
      <c r="I59" s="247"/>
      <c r="J59" s="247"/>
      <c r="K59" s="247"/>
    </row>
    <row r="60" spans="1:11" ht="20.25">
      <c r="A60" s="247"/>
      <c r="B60" s="247"/>
      <c r="C60" s="247"/>
      <c r="D60" s="247"/>
      <c r="E60" s="258"/>
      <c r="F60" s="259"/>
      <c r="G60" s="259"/>
      <c r="H60" s="247"/>
      <c r="I60" s="247"/>
      <c r="J60" s="247"/>
      <c r="K60" s="247"/>
    </row>
    <row r="61" spans="1:11" ht="20.25">
      <c r="A61" s="247"/>
      <c r="B61" s="247"/>
      <c r="C61" s="247"/>
      <c r="D61" s="247"/>
      <c r="E61" s="258"/>
      <c r="F61" s="259"/>
      <c r="G61" s="259"/>
      <c r="H61" s="247"/>
      <c r="I61" s="247"/>
      <c r="J61" s="247"/>
      <c r="K61" s="247"/>
    </row>
    <row r="62" spans="1:11" ht="20.25">
      <c r="A62" s="247"/>
      <c r="B62" s="247"/>
      <c r="C62" s="247"/>
      <c r="D62" s="247"/>
      <c r="E62" s="258"/>
      <c r="F62" s="259"/>
      <c r="G62" s="259"/>
      <c r="H62" s="247"/>
      <c r="I62" s="247"/>
      <c r="J62" s="247"/>
      <c r="K62" s="247"/>
    </row>
    <row r="63" spans="1:11" ht="20.25">
      <c r="A63" s="247"/>
      <c r="B63" s="247"/>
      <c r="C63" s="247"/>
      <c r="D63" s="247"/>
      <c r="E63" s="258"/>
      <c r="F63" s="259"/>
      <c r="G63" s="259"/>
      <c r="H63" s="247"/>
      <c r="I63" s="247"/>
      <c r="J63" s="247"/>
      <c r="K63" s="247"/>
    </row>
    <row r="64" spans="1:11" ht="20.25">
      <c r="A64" s="247"/>
      <c r="B64" s="247"/>
      <c r="C64" s="247"/>
      <c r="D64" s="247"/>
      <c r="E64" s="258"/>
      <c r="F64" s="259"/>
      <c r="G64" s="259"/>
      <c r="H64" s="247"/>
      <c r="I64" s="247"/>
      <c r="J64" s="247"/>
      <c r="K64" s="247"/>
    </row>
    <row r="65" spans="1:11" ht="20.25">
      <c r="A65" s="247"/>
      <c r="B65" s="247"/>
      <c r="C65" s="247"/>
      <c r="D65" s="247"/>
      <c r="E65" s="258"/>
      <c r="F65" s="259"/>
      <c r="G65" s="259"/>
      <c r="H65" s="247"/>
      <c r="I65" s="247"/>
      <c r="J65" s="247"/>
      <c r="K65" s="247"/>
    </row>
    <row r="66" spans="1:11" ht="20.25">
      <c r="A66" s="247"/>
      <c r="B66" s="247"/>
      <c r="C66" s="247"/>
      <c r="D66" s="247"/>
      <c r="E66" s="258"/>
      <c r="F66" s="259"/>
      <c r="G66" s="259"/>
      <c r="H66" s="247"/>
      <c r="I66" s="247"/>
      <c r="J66" s="247"/>
      <c r="K66" s="247"/>
    </row>
    <row r="67" spans="1:11" ht="20.25">
      <c r="A67" s="247"/>
      <c r="B67" s="247"/>
      <c r="C67" s="247"/>
      <c r="D67" s="247"/>
      <c r="E67" s="258"/>
      <c r="F67" s="259"/>
      <c r="G67" s="259"/>
      <c r="H67" s="247"/>
      <c r="I67" s="247"/>
      <c r="J67" s="247"/>
      <c r="K67" s="247"/>
    </row>
    <row r="68" spans="1:11" ht="20.25">
      <c r="A68" s="247"/>
      <c r="B68" s="247"/>
      <c r="C68" s="247"/>
      <c r="D68" s="247"/>
      <c r="E68" s="258"/>
      <c r="F68" s="259"/>
      <c r="G68" s="259"/>
      <c r="H68" s="247"/>
      <c r="I68" s="247"/>
      <c r="J68" s="247"/>
      <c r="K68" s="247"/>
    </row>
    <row r="69" spans="1:11" ht="20.25">
      <c r="A69" s="247"/>
      <c r="B69" s="247"/>
      <c r="C69" s="247"/>
      <c r="D69" s="247"/>
      <c r="E69" s="258"/>
      <c r="F69" s="259"/>
      <c r="G69" s="259"/>
      <c r="H69" s="247"/>
      <c r="I69" s="247"/>
      <c r="J69" s="247"/>
      <c r="K69" s="247"/>
    </row>
    <row r="70" spans="1:11" ht="20.25">
      <c r="A70" s="247"/>
      <c r="B70" s="247"/>
      <c r="C70" s="247"/>
      <c r="D70" s="247"/>
      <c r="E70" s="258"/>
      <c r="F70" s="259"/>
      <c r="G70" s="259"/>
      <c r="H70" s="247"/>
      <c r="I70" s="247"/>
      <c r="J70" s="247"/>
      <c r="K70" s="247"/>
    </row>
    <row r="71" spans="1:11" ht="20.25">
      <c r="A71" s="247"/>
      <c r="B71" s="247"/>
      <c r="C71" s="247"/>
      <c r="D71" s="247"/>
      <c r="E71" s="258"/>
      <c r="F71" s="259"/>
      <c r="G71" s="259"/>
      <c r="H71" s="247"/>
      <c r="I71" s="247"/>
      <c r="J71" s="247"/>
      <c r="K71" s="247"/>
    </row>
    <row r="72" spans="1:11" ht="20.25">
      <c r="A72" s="247"/>
      <c r="B72" s="247"/>
      <c r="C72" s="247"/>
      <c r="D72" s="247"/>
      <c r="E72" s="258"/>
      <c r="F72" s="259"/>
      <c r="G72" s="259"/>
      <c r="H72" s="247"/>
      <c r="I72" s="247"/>
      <c r="J72" s="247"/>
      <c r="K72" s="247"/>
    </row>
    <row r="73" spans="1:11" ht="20.25">
      <c r="A73" s="247"/>
      <c r="B73" s="247"/>
      <c r="C73" s="247"/>
      <c r="D73" s="247"/>
      <c r="E73" s="258"/>
      <c r="F73" s="259"/>
      <c r="G73" s="259"/>
      <c r="H73" s="247"/>
      <c r="I73" s="247"/>
      <c r="J73" s="247"/>
      <c r="K73" s="247"/>
    </row>
    <row r="74" spans="1:11" ht="20.25">
      <c r="A74" s="247"/>
      <c r="B74" s="247"/>
      <c r="C74" s="247"/>
      <c r="D74" s="247"/>
      <c r="E74" s="258"/>
      <c r="F74" s="259"/>
      <c r="G74" s="259"/>
      <c r="H74" s="247"/>
      <c r="I74" s="247"/>
      <c r="J74" s="247"/>
      <c r="K74" s="247"/>
    </row>
    <row r="75" spans="1:11" ht="20.25">
      <c r="A75" s="247"/>
      <c r="B75" s="247"/>
      <c r="C75" s="247"/>
      <c r="D75" s="247"/>
      <c r="E75" s="258"/>
      <c r="F75" s="259"/>
      <c r="G75" s="259"/>
      <c r="H75" s="247"/>
      <c r="I75" s="247"/>
      <c r="J75" s="247"/>
      <c r="K75" s="247"/>
    </row>
    <row r="76" spans="1:11" ht="20.25">
      <c r="A76" s="247"/>
      <c r="B76" s="247"/>
      <c r="C76" s="247"/>
      <c r="D76" s="247"/>
      <c r="E76" s="258"/>
      <c r="F76" s="259"/>
      <c r="G76" s="259"/>
      <c r="H76" s="247"/>
      <c r="I76" s="247"/>
      <c r="J76" s="247"/>
      <c r="K76" s="247"/>
    </row>
    <row r="77" spans="1:11" ht="20.25">
      <c r="A77" s="247"/>
      <c r="B77" s="247"/>
      <c r="C77" s="247"/>
      <c r="D77" s="247"/>
      <c r="E77" s="258"/>
      <c r="F77" s="259"/>
      <c r="G77" s="259"/>
      <c r="H77" s="247"/>
      <c r="I77" s="247"/>
      <c r="J77" s="247"/>
      <c r="K77" s="247"/>
    </row>
    <row r="78" spans="1:11" ht="20.25">
      <c r="A78" s="247"/>
      <c r="B78" s="247"/>
      <c r="C78" s="247"/>
      <c r="D78" s="247"/>
      <c r="E78" s="258"/>
      <c r="F78" s="259"/>
      <c r="G78" s="259"/>
      <c r="H78" s="247"/>
      <c r="I78" s="247"/>
      <c r="J78" s="247"/>
      <c r="K78" s="247"/>
    </row>
    <row r="79" spans="1:11" ht="20.25">
      <c r="A79" s="247"/>
      <c r="B79" s="247"/>
      <c r="C79" s="247"/>
      <c r="D79" s="247"/>
      <c r="E79" s="258"/>
      <c r="F79" s="259"/>
      <c r="G79" s="259"/>
      <c r="H79" s="247"/>
      <c r="I79" s="247"/>
      <c r="J79" s="247"/>
      <c r="K79" s="247"/>
    </row>
    <row r="80" spans="1:11" ht="20.25">
      <c r="A80" s="247"/>
      <c r="B80" s="247"/>
      <c r="C80" s="247"/>
      <c r="D80" s="247"/>
      <c r="E80" s="258"/>
      <c r="F80" s="259"/>
      <c r="G80" s="259"/>
      <c r="H80" s="247"/>
      <c r="I80" s="247"/>
      <c r="J80" s="247"/>
      <c r="K80" s="247"/>
    </row>
    <row r="81" spans="1:11" ht="20.25">
      <c r="A81" s="247"/>
      <c r="B81" s="247"/>
      <c r="C81" s="247"/>
      <c r="D81" s="247"/>
      <c r="E81" s="258"/>
      <c r="F81" s="259"/>
      <c r="G81" s="259"/>
      <c r="H81" s="247"/>
      <c r="I81" s="247"/>
      <c r="J81" s="247"/>
      <c r="K81" s="247"/>
    </row>
    <row r="82" spans="1:11" ht="20.25">
      <c r="A82" s="247"/>
      <c r="B82" s="247"/>
      <c r="C82" s="247"/>
      <c r="D82" s="247"/>
      <c r="E82" s="258"/>
      <c r="F82" s="259"/>
      <c r="G82" s="259"/>
      <c r="H82" s="247"/>
      <c r="I82" s="247"/>
      <c r="J82" s="247"/>
      <c r="K82" s="247"/>
    </row>
    <row r="83" spans="1:11" ht="20.25">
      <c r="A83" s="247"/>
      <c r="B83" s="247"/>
      <c r="C83" s="247"/>
      <c r="D83" s="247"/>
      <c r="E83" s="258"/>
      <c r="F83" s="259"/>
      <c r="G83" s="259"/>
      <c r="H83" s="247"/>
      <c r="I83" s="247"/>
      <c r="J83" s="247"/>
      <c r="K83" s="247"/>
    </row>
    <row r="84" spans="1:11" ht="20.25">
      <c r="A84" s="247"/>
      <c r="B84" s="247"/>
      <c r="C84" s="247"/>
      <c r="D84" s="247"/>
      <c r="E84" s="258"/>
      <c r="F84" s="259"/>
      <c r="G84" s="259"/>
      <c r="H84" s="247"/>
      <c r="I84" s="247"/>
      <c r="J84" s="247"/>
      <c r="K84" s="247"/>
    </row>
    <row r="85" spans="1:11" ht="20.25">
      <c r="A85" s="247"/>
      <c r="B85" s="247"/>
      <c r="C85" s="247"/>
      <c r="D85" s="247"/>
      <c r="E85" s="258"/>
      <c r="F85" s="259"/>
      <c r="G85" s="259"/>
      <c r="H85" s="247"/>
      <c r="I85" s="247"/>
      <c r="J85" s="247"/>
      <c r="K85" s="247"/>
    </row>
    <row r="86" spans="1:11" ht="20.25">
      <c r="A86" s="247"/>
      <c r="B86" s="247"/>
      <c r="C86" s="247"/>
      <c r="D86" s="247"/>
      <c r="E86" s="258"/>
      <c r="F86" s="259"/>
      <c r="G86" s="259"/>
      <c r="H86" s="247"/>
      <c r="I86" s="247"/>
      <c r="J86" s="247"/>
      <c r="K86" s="247"/>
    </row>
    <row r="87" spans="1:11" ht="20.25">
      <c r="A87" s="247"/>
      <c r="B87" s="247"/>
      <c r="C87" s="247"/>
      <c r="D87" s="247"/>
      <c r="E87" s="258"/>
      <c r="F87" s="259"/>
      <c r="G87" s="259"/>
      <c r="H87" s="247"/>
      <c r="I87" s="247"/>
      <c r="J87" s="247"/>
      <c r="K87" s="247"/>
    </row>
    <row r="88" spans="1:11" ht="20.25">
      <c r="A88" s="247"/>
      <c r="B88" s="247"/>
      <c r="C88" s="247"/>
      <c r="D88" s="247"/>
      <c r="E88" s="258"/>
      <c r="F88" s="259"/>
      <c r="G88" s="259"/>
      <c r="H88" s="247"/>
      <c r="I88" s="247"/>
      <c r="J88" s="247"/>
      <c r="K88" s="247"/>
    </row>
    <row r="89" spans="1:11" ht="20.25">
      <c r="A89" s="247"/>
      <c r="B89" s="247"/>
      <c r="C89" s="247"/>
      <c r="D89" s="247"/>
      <c r="E89" s="258"/>
      <c r="F89" s="259"/>
      <c r="G89" s="259"/>
      <c r="H89" s="247"/>
      <c r="I89" s="247"/>
      <c r="J89" s="247"/>
      <c r="K89" s="247"/>
    </row>
    <row r="90" spans="1:11" ht="20.25">
      <c r="A90" s="247"/>
      <c r="B90" s="247"/>
      <c r="C90" s="247"/>
      <c r="D90" s="247"/>
      <c r="E90" s="258"/>
      <c r="F90" s="259"/>
      <c r="G90" s="259"/>
      <c r="H90" s="247"/>
      <c r="I90" s="247"/>
      <c r="J90" s="247"/>
      <c r="K90" s="247"/>
    </row>
    <row r="91" spans="1:11" ht="20.25">
      <c r="A91" s="247"/>
      <c r="B91" s="247"/>
      <c r="C91" s="247"/>
      <c r="D91" s="247"/>
      <c r="E91" s="258"/>
      <c r="F91" s="259"/>
      <c r="G91" s="259"/>
      <c r="H91" s="247"/>
      <c r="I91" s="247"/>
      <c r="J91" s="247"/>
      <c r="K91" s="247"/>
    </row>
    <row r="92" spans="1:11" ht="20.25">
      <c r="A92" s="247"/>
      <c r="B92" s="247"/>
      <c r="C92" s="247"/>
      <c r="D92" s="247"/>
      <c r="E92" s="258"/>
      <c r="F92" s="259"/>
      <c r="G92" s="259"/>
      <c r="H92" s="247"/>
      <c r="I92" s="247"/>
      <c r="J92" s="247"/>
      <c r="K92" s="247"/>
    </row>
    <row r="93" spans="1:11" ht="20.25">
      <c r="A93" s="247"/>
      <c r="B93" s="247"/>
      <c r="C93" s="247"/>
      <c r="D93" s="247"/>
      <c r="E93" s="258"/>
      <c r="F93" s="259"/>
      <c r="G93" s="259"/>
      <c r="H93" s="247"/>
      <c r="I93" s="247"/>
      <c r="J93" s="247"/>
      <c r="K93" s="247"/>
    </row>
    <row r="94" spans="1:11" ht="20.25">
      <c r="A94" s="247"/>
      <c r="B94" s="247"/>
      <c r="C94" s="247"/>
      <c r="D94" s="247"/>
      <c r="E94" s="258"/>
      <c r="F94" s="259"/>
      <c r="G94" s="259"/>
      <c r="H94" s="247"/>
      <c r="I94" s="247"/>
      <c r="J94" s="247"/>
      <c r="K94" s="247"/>
    </row>
    <row r="95" spans="1:11" ht="20.25">
      <c r="A95" s="247"/>
      <c r="B95" s="247"/>
      <c r="C95" s="247"/>
      <c r="D95" s="247"/>
      <c r="E95" s="258"/>
      <c r="F95" s="259"/>
      <c r="G95" s="259"/>
      <c r="H95" s="247"/>
      <c r="I95" s="247"/>
      <c r="J95" s="247"/>
      <c r="K95" s="247"/>
    </row>
    <row r="96" spans="1:11" ht="20.25">
      <c r="A96" s="247"/>
      <c r="B96" s="247"/>
      <c r="C96" s="247"/>
      <c r="D96" s="247"/>
      <c r="E96" s="258"/>
      <c r="F96" s="259"/>
      <c r="G96" s="259"/>
      <c r="H96" s="247"/>
      <c r="I96" s="247"/>
      <c r="J96" s="247"/>
      <c r="K96" s="247"/>
    </row>
    <row r="97" spans="1:11" ht="20.25">
      <c r="A97" s="247"/>
      <c r="B97" s="247"/>
      <c r="C97" s="247"/>
      <c r="D97" s="247"/>
      <c r="E97" s="258"/>
      <c r="F97" s="259"/>
      <c r="G97" s="259"/>
      <c r="H97" s="247"/>
      <c r="I97" s="247"/>
      <c r="J97" s="247"/>
      <c r="K97" s="247"/>
    </row>
    <row r="98" spans="1:11" ht="20.25">
      <c r="A98" s="247"/>
      <c r="B98" s="247"/>
      <c r="C98" s="247"/>
      <c r="D98" s="247"/>
      <c r="E98" s="258"/>
      <c r="F98" s="259"/>
      <c r="G98" s="259"/>
      <c r="H98" s="247"/>
      <c r="I98" s="247"/>
      <c r="J98" s="247"/>
      <c r="K98" s="247"/>
    </row>
    <row r="99" spans="1:11" ht="20.25">
      <c r="A99" s="247"/>
      <c r="B99" s="247"/>
      <c r="C99" s="247"/>
      <c r="D99" s="247"/>
      <c r="E99" s="258"/>
      <c r="F99" s="259"/>
      <c r="G99" s="259"/>
      <c r="H99" s="247"/>
      <c r="I99" s="247"/>
      <c r="J99" s="247"/>
      <c r="K99" s="247"/>
    </row>
    <row r="100" spans="1:11" ht="20.25">
      <c r="A100" s="247"/>
      <c r="B100" s="247"/>
      <c r="C100" s="247"/>
      <c r="D100" s="247"/>
      <c r="E100" s="258"/>
      <c r="F100" s="259"/>
      <c r="G100" s="259"/>
      <c r="H100" s="247"/>
      <c r="I100" s="247"/>
      <c r="J100" s="247"/>
      <c r="K100" s="247"/>
    </row>
    <row r="101" spans="1:11" ht="20.25">
      <c r="A101" s="247"/>
      <c r="B101" s="247"/>
      <c r="C101" s="247"/>
      <c r="D101" s="247"/>
      <c r="E101" s="258"/>
      <c r="F101" s="259"/>
      <c r="G101" s="259"/>
      <c r="H101" s="247"/>
      <c r="I101" s="247"/>
      <c r="J101" s="247"/>
      <c r="K101" s="247"/>
    </row>
    <row r="102" spans="1:11" ht="20.25">
      <c r="A102" s="247"/>
      <c r="B102" s="247"/>
      <c r="C102" s="247"/>
      <c r="D102" s="247"/>
      <c r="E102" s="258"/>
      <c r="F102" s="261"/>
      <c r="G102" s="247"/>
      <c r="H102" s="247"/>
      <c r="I102" s="247"/>
      <c r="J102" s="247"/>
      <c r="K102" s="247"/>
    </row>
    <row r="103" spans="1:11" ht="20.25">
      <c r="A103" s="247"/>
      <c r="B103" s="247"/>
      <c r="C103" s="247"/>
      <c r="D103" s="247"/>
      <c r="E103" s="258"/>
      <c r="F103" s="261"/>
      <c r="G103" s="247"/>
      <c r="H103" s="247"/>
      <c r="I103" s="247"/>
      <c r="J103" s="247"/>
      <c r="K103" s="247"/>
    </row>
    <row r="104" spans="1:11" ht="20.25">
      <c r="A104" s="247"/>
      <c r="B104" s="247"/>
      <c r="C104" s="247"/>
      <c r="D104" s="247"/>
      <c r="E104" s="258"/>
      <c r="F104" s="261"/>
      <c r="G104" s="247"/>
      <c r="H104" s="247"/>
      <c r="I104" s="247"/>
      <c r="J104" s="247"/>
      <c r="K104" s="247"/>
    </row>
    <row r="105" spans="1:11" ht="20.25">
      <c r="A105" s="247"/>
      <c r="B105" s="247"/>
      <c r="C105" s="247"/>
      <c r="D105" s="247"/>
      <c r="E105" s="258"/>
      <c r="F105" s="261"/>
      <c r="G105" s="247"/>
      <c r="H105" s="247"/>
      <c r="I105" s="247"/>
      <c r="J105" s="247"/>
      <c r="K105" s="247"/>
    </row>
    <row r="106" spans="1:11" ht="20.25">
      <c r="A106" s="247"/>
      <c r="B106" s="247"/>
      <c r="C106" s="247"/>
      <c r="D106" s="247"/>
      <c r="E106" s="258"/>
      <c r="F106" s="261"/>
      <c r="G106" s="247"/>
      <c r="H106" s="247"/>
      <c r="I106" s="247"/>
      <c r="J106" s="247"/>
      <c r="K106" s="247"/>
    </row>
    <row r="107" spans="1:11" ht="20.25">
      <c r="A107" s="247"/>
      <c r="B107" s="247"/>
      <c r="C107" s="247"/>
      <c r="D107" s="247"/>
      <c r="E107" s="258"/>
      <c r="F107" s="261"/>
      <c r="G107" s="247"/>
      <c r="H107" s="247"/>
      <c r="I107" s="247"/>
      <c r="J107" s="247"/>
      <c r="K107" s="247"/>
    </row>
    <row r="108" spans="1:11" ht="20.25">
      <c r="A108" s="247"/>
      <c r="B108" s="247"/>
      <c r="C108" s="247"/>
      <c r="D108" s="247"/>
      <c r="E108" s="258"/>
      <c r="F108" s="261"/>
      <c r="G108" s="247"/>
      <c r="H108" s="247"/>
      <c r="I108" s="247"/>
      <c r="J108" s="247"/>
      <c r="K108" s="247"/>
    </row>
    <row r="109" spans="1:11" ht="20.25">
      <c r="A109" s="247"/>
      <c r="B109" s="247"/>
      <c r="C109" s="247"/>
      <c r="D109" s="247"/>
      <c r="E109" s="258"/>
      <c r="F109" s="261"/>
      <c r="G109" s="247"/>
      <c r="H109" s="247"/>
      <c r="I109" s="247"/>
      <c r="J109" s="247"/>
      <c r="K109" s="247"/>
    </row>
    <row r="110" spans="1:11" ht="20.25">
      <c r="A110" s="247"/>
      <c r="B110" s="247"/>
      <c r="C110" s="247"/>
      <c r="D110" s="247"/>
      <c r="E110" s="258"/>
      <c r="F110" s="261"/>
      <c r="G110" s="247"/>
      <c r="H110" s="247"/>
      <c r="I110" s="247"/>
      <c r="J110" s="247"/>
      <c r="K110" s="247"/>
    </row>
    <row r="111" spans="1:11" ht="20.25">
      <c r="A111" s="247"/>
      <c r="B111" s="247"/>
      <c r="C111" s="247"/>
      <c r="D111" s="247"/>
      <c r="E111" s="258"/>
      <c r="F111" s="261"/>
      <c r="G111" s="247"/>
      <c r="H111" s="247"/>
      <c r="I111" s="247"/>
      <c r="J111" s="247"/>
      <c r="K111" s="247"/>
    </row>
    <row r="112" spans="1:11" ht="20.25">
      <c r="A112" s="247"/>
      <c r="B112" s="247"/>
      <c r="C112" s="247"/>
      <c r="D112" s="247"/>
      <c r="E112" s="258"/>
      <c r="F112" s="261"/>
      <c r="G112" s="247"/>
      <c r="H112" s="247"/>
      <c r="I112" s="247"/>
      <c r="J112" s="247"/>
      <c r="K112" s="247"/>
    </row>
    <row r="113" spans="1:11" ht="20.25">
      <c r="A113" s="247"/>
      <c r="B113" s="247"/>
      <c r="C113" s="247"/>
      <c r="D113" s="247"/>
      <c r="E113" s="258"/>
      <c r="F113" s="261"/>
      <c r="G113" s="247"/>
      <c r="H113" s="247"/>
      <c r="I113" s="247"/>
      <c r="J113" s="247"/>
      <c r="K113" s="247"/>
    </row>
    <row r="114" spans="1:11" ht="20.25">
      <c r="A114" s="247"/>
      <c r="B114" s="247"/>
      <c r="C114" s="247"/>
      <c r="D114" s="247"/>
      <c r="E114" s="258"/>
      <c r="F114" s="261"/>
      <c r="G114" s="247"/>
      <c r="H114" s="247"/>
      <c r="I114" s="247"/>
      <c r="J114" s="247"/>
      <c r="K114" s="247"/>
    </row>
    <row r="115" spans="1:11" ht="20.25">
      <c r="A115" s="247"/>
      <c r="B115" s="247"/>
      <c r="C115" s="247"/>
      <c r="D115" s="247"/>
      <c r="E115" s="258"/>
      <c r="F115" s="261"/>
      <c r="G115" s="247"/>
      <c r="H115" s="247"/>
      <c r="I115" s="247"/>
      <c r="J115" s="247"/>
      <c r="K115" s="247"/>
    </row>
    <row r="116" spans="1:11" ht="20.25">
      <c r="A116" s="247"/>
      <c r="B116" s="247"/>
      <c r="C116" s="247"/>
      <c r="D116" s="247"/>
      <c r="E116" s="258"/>
      <c r="F116" s="261"/>
      <c r="G116" s="247"/>
      <c r="H116" s="247"/>
      <c r="I116" s="247"/>
      <c r="J116" s="247"/>
      <c r="K116" s="247"/>
    </row>
    <row r="117" spans="1:11" ht="20.25">
      <c r="A117" s="247"/>
      <c r="B117" s="247"/>
      <c r="C117" s="247"/>
      <c r="D117" s="247"/>
      <c r="E117" s="258"/>
      <c r="F117" s="261"/>
      <c r="G117" s="247"/>
      <c r="H117" s="247"/>
      <c r="I117" s="247"/>
      <c r="J117" s="247"/>
      <c r="K117" s="247"/>
    </row>
    <row r="118" spans="1:11" ht="20.25">
      <c r="A118" s="247"/>
      <c r="B118" s="247"/>
      <c r="C118" s="247"/>
      <c r="D118" s="247"/>
      <c r="E118" s="258"/>
      <c r="F118" s="261"/>
      <c r="G118" s="247"/>
      <c r="H118" s="247"/>
      <c r="I118" s="247"/>
      <c r="J118" s="247"/>
      <c r="K118" s="247"/>
    </row>
    <row r="119" spans="1:11" ht="20.25">
      <c r="A119" s="247"/>
      <c r="B119" s="247"/>
      <c r="C119" s="247"/>
      <c r="D119" s="247"/>
      <c r="E119" s="258"/>
      <c r="F119" s="261"/>
      <c r="G119" s="247"/>
      <c r="H119" s="247"/>
      <c r="I119" s="247"/>
      <c r="J119" s="247"/>
      <c r="K119" s="247"/>
    </row>
    <row r="120" spans="1:11" ht="20.25">
      <c r="A120" s="247"/>
      <c r="B120" s="247"/>
      <c r="C120" s="247"/>
      <c r="D120" s="247"/>
      <c r="E120" s="258"/>
      <c r="F120" s="261"/>
      <c r="G120" s="247"/>
      <c r="H120" s="247"/>
      <c r="I120" s="247"/>
      <c r="J120" s="247"/>
      <c r="K120" s="247"/>
    </row>
    <row r="121" spans="1:11" ht="20.25">
      <c r="A121" s="247"/>
      <c r="B121" s="247"/>
      <c r="C121" s="247"/>
      <c r="D121" s="247"/>
      <c r="E121" s="258"/>
      <c r="F121" s="261"/>
      <c r="G121" s="247"/>
      <c r="H121" s="247"/>
      <c r="I121" s="247"/>
      <c r="J121" s="247"/>
      <c r="K121" s="247"/>
    </row>
    <row r="122" spans="1:11" ht="20.25">
      <c r="A122" s="247"/>
      <c r="B122" s="247"/>
      <c r="C122" s="247"/>
      <c r="D122" s="247"/>
      <c r="E122" s="258"/>
      <c r="F122" s="261"/>
      <c r="G122" s="247"/>
      <c r="H122" s="247"/>
      <c r="I122" s="247"/>
      <c r="J122" s="247"/>
      <c r="K122" s="247"/>
    </row>
    <row r="123" spans="1:11" ht="20.25">
      <c r="A123" s="247"/>
      <c r="B123" s="247"/>
      <c r="C123" s="247"/>
      <c r="D123" s="247"/>
      <c r="E123" s="258"/>
      <c r="F123" s="261"/>
      <c r="G123" s="247"/>
      <c r="H123" s="247"/>
      <c r="I123" s="247"/>
      <c r="J123" s="247"/>
      <c r="K123" s="247"/>
    </row>
    <row r="124" spans="1:11" ht="20.25">
      <c r="A124" s="247"/>
      <c r="B124" s="247"/>
      <c r="C124" s="247"/>
      <c r="D124" s="247"/>
      <c r="E124" s="258"/>
      <c r="F124" s="261"/>
      <c r="G124" s="247"/>
      <c r="H124" s="247"/>
      <c r="I124" s="247"/>
      <c r="J124" s="247"/>
      <c r="K124" s="247"/>
    </row>
    <row r="125" spans="1:11" ht="20.25">
      <c r="A125" s="247"/>
      <c r="B125" s="247"/>
      <c r="C125" s="247"/>
      <c r="D125" s="247"/>
      <c r="E125" s="258"/>
      <c r="F125" s="261"/>
      <c r="G125" s="247"/>
      <c r="H125" s="247"/>
      <c r="I125" s="247"/>
      <c r="J125" s="247"/>
      <c r="K125" s="247"/>
    </row>
    <row r="126" spans="1:11" ht="20.25">
      <c r="A126" s="247"/>
      <c r="B126" s="247"/>
      <c r="C126" s="247"/>
      <c r="D126" s="247"/>
      <c r="E126" s="258"/>
      <c r="F126" s="261"/>
      <c r="G126" s="247"/>
      <c r="H126" s="247"/>
      <c r="I126" s="247"/>
      <c r="J126" s="247"/>
      <c r="K126" s="247"/>
    </row>
    <row r="127" spans="1:11" ht="20.25">
      <c r="A127" s="247"/>
      <c r="B127" s="247"/>
      <c r="C127" s="247"/>
      <c r="D127" s="247"/>
      <c r="E127" s="258"/>
      <c r="F127" s="261"/>
      <c r="G127" s="247"/>
      <c r="H127" s="247"/>
      <c r="I127" s="247"/>
      <c r="J127" s="247"/>
      <c r="K127" s="247"/>
    </row>
    <row r="128" spans="1:11" ht="20.25">
      <c r="A128" s="247"/>
      <c r="B128" s="247"/>
      <c r="C128" s="247"/>
      <c r="D128" s="247"/>
      <c r="E128" s="258"/>
      <c r="F128" s="261"/>
      <c r="G128" s="247"/>
      <c r="H128" s="247"/>
      <c r="I128" s="247"/>
      <c r="J128" s="247"/>
      <c r="K128" s="247"/>
    </row>
    <row r="129" spans="1:11" ht="20.25">
      <c r="A129" s="247"/>
      <c r="B129" s="247"/>
      <c r="C129" s="247"/>
      <c r="D129" s="247"/>
      <c r="E129" s="258"/>
      <c r="F129" s="261"/>
      <c r="G129" s="247"/>
      <c r="H129" s="247"/>
      <c r="I129" s="247"/>
      <c r="J129" s="247"/>
      <c r="K129" s="247"/>
    </row>
    <row r="130" spans="1:11" ht="20.25">
      <c r="A130" s="247"/>
      <c r="B130" s="247"/>
      <c r="C130" s="247"/>
      <c r="D130" s="247"/>
      <c r="E130" s="258"/>
      <c r="F130" s="261"/>
      <c r="G130" s="247"/>
      <c r="H130" s="247"/>
      <c r="I130" s="247"/>
      <c r="J130" s="247"/>
      <c r="K130" s="247"/>
    </row>
    <row r="131" spans="1:11" ht="20.25">
      <c r="A131" s="247"/>
      <c r="B131" s="247"/>
      <c r="C131" s="247"/>
      <c r="D131" s="247"/>
      <c r="E131" s="258"/>
      <c r="F131" s="261"/>
      <c r="G131" s="247"/>
      <c r="H131" s="247"/>
      <c r="I131" s="247"/>
      <c r="J131" s="247"/>
      <c r="K131" s="247"/>
    </row>
    <row r="132" spans="1:11" ht="20.25">
      <c r="A132" s="247"/>
      <c r="B132" s="247"/>
      <c r="C132" s="247"/>
      <c r="D132" s="247"/>
      <c r="E132" s="258"/>
      <c r="F132" s="261"/>
      <c r="G132" s="247"/>
      <c r="H132" s="247"/>
      <c r="I132" s="247"/>
      <c r="J132" s="247"/>
      <c r="K132" s="247"/>
    </row>
    <row r="133" spans="1:11" ht="20.25">
      <c r="A133" s="247"/>
      <c r="B133" s="247"/>
      <c r="C133" s="247"/>
      <c r="D133" s="247"/>
      <c r="E133" s="258"/>
      <c r="F133" s="261"/>
      <c r="G133" s="247"/>
      <c r="H133" s="247"/>
      <c r="I133" s="247"/>
      <c r="J133" s="247"/>
      <c r="K133" s="247"/>
    </row>
    <row r="134" spans="1:11" ht="20.25">
      <c r="A134" s="247"/>
      <c r="B134" s="247"/>
      <c r="C134" s="247"/>
      <c r="D134" s="247"/>
      <c r="E134" s="258"/>
      <c r="F134" s="261"/>
      <c r="G134" s="247"/>
      <c r="H134" s="247"/>
      <c r="I134" s="247"/>
      <c r="J134" s="247"/>
      <c r="K134" s="247"/>
    </row>
    <row r="135" spans="1:11" ht="20.25">
      <c r="A135" s="247"/>
      <c r="B135" s="247"/>
      <c r="C135" s="247"/>
      <c r="D135" s="247"/>
      <c r="E135" s="258"/>
      <c r="F135" s="261"/>
      <c r="G135" s="247"/>
      <c r="H135" s="247"/>
      <c r="I135" s="247"/>
      <c r="J135" s="247"/>
      <c r="K135" s="247"/>
    </row>
    <row r="136" spans="1:11" ht="20.25">
      <c r="A136" s="247"/>
      <c r="B136" s="247"/>
      <c r="C136" s="247"/>
      <c r="D136" s="247"/>
      <c r="E136" s="258"/>
      <c r="F136" s="261"/>
      <c r="G136" s="247"/>
      <c r="H136" s="247"/>
      <c r="I136" s="247"/>
      <c r="J136" s="247"/>
      <c r="K136" s="247"/>
    </row>
    <row r="137" spans="1:11" ht="20.25">
      <c r="A137" s="247"/>
      <c r="B137" s="247"/>
      <c r="C137" s="247"/>
      <c r="D137" s="247"/>
      <c r="E137" s="258"/>
      <c r="F137" s="261"/>
      <c r="G137" s="247"/>
      <c r="H137" s="247"/>
      <c r="I137" s="247"/>
      <c r="J137" s="247"/>
      <c r="K137" s="247"/>
    </row>
    <row r="138" spans="1:11" ht="20.25">
      <c r="A138" s="247"/>
      <c r="B138" s="247"/>
      <c r="C138" s="247"/>
      <c r="D138" s="247"/>
      <c r="E138" s="258"/>
      <c r="F138" s="261"/>
      <c r="G138" s="247"/>
      <c r="H138" s="247"/>
      <c r="I138" s="247"/>
      <c r="J138" s="247"/>
      <c r="K138" s="247"/>
    </row>
    <row r="139" spans="1:11" ht="20.25">
      <c r="A139" s="247"/>
      <c r="B139" s="247"/>
      <c r="C139" s="247"/>
      <c r="D139" s="247"/>
      <c r="E139" s="258"/>
      <c r="F139" s="261"/>
      <c r="G139" s="247"/>
      <c r="H139" s="247"/>
      <c r="I139" s="247"/>
      <c r="J139" s="247"/>
      <c r="K139" s="247"/>
    </row>
    <row r="140" spans="1:11" ht="20.25">
      <c r="A140" s="247"/>
      <c r="B140" s="247"/>
      <c r="C140" s="247"/>
      <c r="D140" s="247"/>
      <c r="E140" s="258"/>
      <c r="F140" s="261"/>
      <c r="G140" s="247"/>
      <c r="H140" s="247"/>
      <c r="I140" s="247"/>
      <c r="J140" s="247"/>
      <c r="K140" s="247"/>
    </row>
    <row r="141" spans="1:11" ht="20.25">
      <c r="A141" s="247"/>
      <c r="B141" s="247"/>
      <c r="C141" s="247"/>
      <c r="D141" s="247"/>
      <c r="E141" s="258"/>
      <c r="F141" s="261"/>
      <c r="G141" s="247"/>
      <c r="H141" s="247"/>
      <c r="I141" s="247"/>
      <c r="J141" s="247"/>
      <c r="K141" s="247"/>
    </row>
    <row r="142" spans="1:11" ht="20.25">
      <c r="A142" s="247"/>
      <c r="B142" s="247"/>
      <c r="C142" s="247"/>
      <c r="D142" s="247"/>
      <c r="E142" s="258"/>
      <c r="F142" s="261"/>
      <c r="G142" s="247"/>
      <c r="H142" s="247"/>
      <c r="I142" s="247"/>
      <c r="J142" s="247"/>
      <c r="K142" s="247"/>
    </row>
    <row r="143" spans="1:11" ht="20.25">
      <c r="A143" s="247"/>
      <c r="B143" s="247"/>
      <c r="C143" s="247"/>
      <c r="D143" s="247"/>
      <c r="E143" s="258"/>
      <c r="F143" s="261"/>
      <c r="G143" s="247"/>
      <c r="H143" s="247"/>
      <c r="I143" s="247"/>
      <c r="J143" s="247"/>
      <c r="K143" s="247"/>
    </row>
    <row r="144" spans="1:11" ht="20.25">
      <c r="A144" s="247"/>
      <c r="B144" s="247"/>
      <c r="C144" s="247"/>
      <c r="D144" s="247"/>
      <c r="E144" s="258"/>
      <c r="F144" s="261"/>
      <c r="G144" s="247"/>
      <c r="H144" s="247"/>
      <c r="I144" s="247"/>
      <c r="J144" s="247"/>
      <c r="K144" s="247"/>
    </row>
    <row r="145" spans="1:11" ht="20.25">
      <c r="A145" s="247"/>
      <c r="B145" s="247"/>
      <c r="C145" s="247"/>
      <c r="D145" s="247"/>
      <c r="E145" s="258"/>
      <c r="F145" s="261"/>
      <c r="G145" s="247"/>
      <c r="H145" s="247"/>
      <c r="I145" s="247"/>
      <c r="J145" s="247"/>
      <c r="K145" s="247"/>
    </row>
    <row r="146" spans="1:11" ht="20.25">
      <c r="A146" s="247"/>
      <c r="B146" s="247"/>
      <c r="C146" s="247"/>
      <c r="D146" s="247"/>
      <c r="E146" s="258"/>
      <c r="F146" s="261"/>
      <c r="G146" s="247"/>
      <c r="H146" s="247"/>
      <c r="I146" s="247"/>
      <c r="J146" s="247"/>
      <c r="K146" s="247"/>
    </row>
    <row r="147" spans="1:11" ht="20.25">
      <c r="A147" s="247"/>
      <c r="B147" s="247"/>
      <c r="C147" s="247"/>
      <c r="D147" s="247"/>
      <c r="E147" s="258"/>
      <c r="F147" s="261"/>
      <c r="G147" s="247"/>
      <c r="H147" s="247"/>
      <c r="I147" s="247"/>
      <c r="J147" s="247"/>
      <c r="K147" s="247"/>
    </row>
    <row r="148" spans="1:11" ht="20.25">
      <c r="A148" s="247"/>
      <c r="B148" s="247"/>
      <c r="C148" s="247"/>
      <c r="D148" s="247"/>
      <c r="E148" s="258"/>
      <c r="F148" s="261"/>
      <c r="G148" s="247"/>
      <c r="H148" s="247"/>
      <c r="I148" s="247"/>
      <c r="J148" s="247"/>
      <c r="K148" s="247"/>
    </row>
    <row r="149" spans="1:11" ht="20.25">
      <c r="A149" s="247"/>
      <c r="B149" s="247"/>
      <c r="C149" s="247"/>
      <c r="D149" s="247"/>
      <c r="E149" s="258"/>
      <c r="F149" s="261"/>
      <c r="G149" s="247"/>
      <c r="H149" s="247"/>
      <c r="I149" s="247"/>
      <c r="J149" s="247"/>
      <c r="K149" s="247"/>
    </row>
    <row r="150" spans="1:11" ht="20.25">
      <c r="A150" s="247"/>
      <c r="B150" s="247"/>
      <c r="C150" s="247"/>
      <c r="D150" s="247"/>
      <c r="E150" s="258"/>
      <c r="F150" s="261"/>
      <c r="G150" s="247"/>
      <c r="H150" s="247"/>
      <c r="I150" s="247"/>
      <c r="J150" s="247"/>
      <c r="K150" s="247"/>
    </row>
    <row r="151" spans="1:11" ht="20.25">
      <c r="A151" s="247"/>
      <c r="B151" s="247"/>
      <c r="C151" s="247"/>
      <c r="D151" s="247"/>
      <c r="E151" s="258"/>
      <c r="F151" s="261"/>
      <c r="G151" s="247"/>
      <c r="H151" s="247"/>
      <c r="I151" s="247"/>
      <c r="J151" s="247"/>
      <c r="K151" s="247"/>
    </row>
    <row r="152" spans="1:11" ht="20.25">
      <c r="A152" s="247"/>
      <c r="B152" s="247"/>
      <c r="C152" s="247"/>
      <c r="D152" s="247"/>
      <c r="E152" s="258"/>
      <c r="F152" s="261"/>
      <c r="G152" s="247"/>
      <c r="H152" s="247"/>
      <c r="I152" s="247"/>
      <c r="J152" s="247"/>
      <c r="K152" s="247"/>
    </row>
    <row r="153" spans="1:11" ht="20.25">
      <c r="A153" s="247"/>
      <c r="B153" s="247"/>
      <c r="C153" s="247"/>
      <c r="D153" s="247"/>
      <c r="E153" s="258"/>
      <c r="F153" s="261"/>
      <c r="G153" s="247"/>
      <c r="H153" s="247"/>
      <c r="I153" s="247"/>
      <c r="J153" s="247"/>
      <c r="K153" s="247"/>
    </row>
    <row r="154" spans="1:11" ht="20.25">
      <c r="A154" s="247"/>
      <c r="B154" s="247"/>
      <c r="C154" s="247"/>
      <c r="D154" s="247"/>
      <c r="E154" s="258"/>
      <c r="F154" s="261"/>
      <c r="G154" s="247"/>
      <c r="H154" s="247"/>
      <c r="I154" s="247"/>
      <c r="J154" s="247"/>
      <c r="K154" s="247"/>
    </row>
    <row r="155" spans="1:11" ht="20.25">
      <c r="A155" s="247"/>
      <c r="B155" s="247"/>
      <c r="C155" s="247"/>
      <c r="D155" s="247"/>
      <c r="E155" s="258"/>
      <c r="F155" s="261"/>
      <c r="G155" s="247"/>
      <c r="H155" s="247"/>
      <c r="I155" s="247"/>
      <c r="J155" s="247"/>
      <c r="K155" s="247"/>
    </row>
    <row r="156" spans="1:11" ht="20.25">
      <c r="A156" s="247"/>
      <c r="B156" s="247"/>
      <c r="C156" s="247"/>
      <c r="D156" s="247"/>
      <c r="E156" s="258"/>
      <c r="F156" s="261"/>
      <c r="G156" s="247"/>
      <c r="H156" s="247"/>
      <c r="I156" s="247"/>
      <c r="J156" s="247"/>
      <c r="K156" s="247"/>
    </row>
    <row r="157" spans="1:11" ht="20.25">
      <c r="A157" s="247"/>
      <c r="B157" s="247"/>
      <c r="C157" s="247"/>
      <c r="D157" s="247"/>
      <c r="E157" s="258"/>
      <c r="F157" s="261"/>
      <c r="G157" s="247"/>
      <c r="H157" s="247"/>
      <c r="I157" s="247"/>
      <c r="J157" s="247"/>
      <c r="K157" s="247"/>
    </row>
    <row r="158" spans="1:11" ht="20.25">
      <c r="A158" s="247"/>
      <c r="B158" s="247"/>
      <c r="C158" s="247"/>
      <c r="D158" s="247"/>
      <c r="E158" s="258"/>
      <c r="F158" s="261"/>
      <c r="G158" s="247"/>
      <c r="H158" s="247"/>
      <c r="I158" s="247"/>
      <c r="J158" s="247"/>
      <c r="K158" s="247"/>
    </row>
    <row r="159" spans="1:11" ht="20.25">
      <c r="A159" s="247"/>
      <c r="B159" s="247"/>
      <c r="C159" s="247"/>
      <c r="D159" s="247"/>
      <c r="E159" s="258"/>
      <c r="F159" s="261"/>
      <c r="G159" s="247"/>
      <c r="H159" s="247"/>
      <c r="I159" s="247"/>
      <c r="J159" s="247"/>
      <c r="K159" s="247"/>
    </row>
    <row r="160" spans="1:11" ht="20.25">
      <c r="A160" s="247"/>
      <c r="B160" s="247"/>
      <c r="C160" s="247"/>
      <c r="D160" s="247"/>
      <c r="E160" s="258"/>
      <c r="F160" s="261"/>
      <c r="G160" s="247"/>
      <c r="H160" s="247"/>
      <c r="I160" s="247"/>
      <c r="J160" s="247"/>
      <c r="K160" s="247"/>
    </row>
    <row r="161" spans="1:11" ht="20.25">
      <c r="A161" s="247"/>
      <c r="B161" s="247"/>
      <c r="C161" s="247"/>
      <c r="D161" s="247"/>
      <c r="E161" s="258"/>
      <c r="F161" s="261"/>
      <c r="G161" s="247"/>
      <c r="H161" s="247"/>
      <c r="I161" s="247"/>
      <c r="J161" s="247"/>
      <c r="K161" s="247"/>
    </row>
    <row r="162" spans="1:11" ht="20.25">
      <c r="A162" s="247"/>
      <c r="B162" s="247"/>
      <c r="C162" s="247"/>
      <c r="D162" s="247"/>
      <c r="E162" s="258"/>
      <c r="F162" s="261"/>
      <c r="G162" s="247"/>
      <c r="H162" s="247"/>
      <c r="I162" s="247"/>
      <c r="J162" s="247"/>
      <c r="K162" s="247"/>
    </row>
    <row r="163" spans="1:11" ht="20.25">
      <c r="A163" s="247"/>
      <c r="B163" s="247"/>
      <c r="C163" s="247"/>
      <c r="D163" s="247"/>
      <c r="E163" s="258"/>
      <c r="F163" s="261"/>
      <c r="G163" s="247"/>
      <c r="H163" s="247"/>
      <c r="I163" s="247"/>
      <c r="J163" s="247"/>
      <c r="K163" s="247"/>
    </row>
    <row r="164" spans="1:11" ht="20.25">
      <c r="A164" s="247"/>
      <c r="B164" s="247"/>
      <c r="C164" s="247"/>
      <c r="D164" s="247"/>
      <c r="E164" s="258"/>
      <c r="F164" s="261"/>
      <c r="G164" s="247"/>
      <c r="H164" s="247"/>
      <c r="I164" s="247"/>
      <c r="J164" s="247"/>
      <c r="K164" s="247"/>
    </row>
    <row r="165" spans="1:11" ht="20.25">
      <c r="A165" s="247"/>
      <c r="B165" s="247"/>
      <c r="C165" s="247"/>
      <c r="D165" s="247"/>
      <c r="E165" s="258"/>
      <c r="F165" s="261"/>
      <c r="G165" s="247"/>
      <c r="H165" s="247"/>
      <c r="I165" s="247"/>
      <c r="J165" s="247"/>
      <c r="K165" s="247"/>
    </row>
    <row r="166" spans="1:11" ht="20.25">
      <c r="A166" s="247"/>
      <c r="B166" s="247"/>
      <c r="C166" s="247"/>
      <c r="D166" s="247"/>
      <c r="E166" s="258"/>
      <c r="F166" s="261"/>
      <c r="G166" s="247"/>
      <c r="H166" s="247"/>
      <c r="I166" s="247"/>
      <c r="J166" s="247"/>
      <c r="K166" s="247"/>
    </row>
    <row r="167" spans="1:11" ht="20.25">
      <c r="A167" s="247"/>
      <c r="B167" s="247"/>
      <c r="C167" s="247"/>
      <c r="D167" s="247"/>
      <c r="E167" s="258"/>
      <c r="F167" s="261"/>
      <c r="G167" s="247"/>
      <c r="H167" s="247"/>
      <c r="I167" s="247"/>
      <c r="J167" s="247"/>
      <c r="K167" s="247"/>
    </row>
    <row r="168" spans="1:11" ht="20.25">
      <c r="A168" s="247"/>
      <c r="B168" s="247"/>
      <c r="C168" s="247"/>
      <c r="D168" s="247"/>
      <c r="E168" s="258"/>
      <c r="F168" s="261"/>
      <c r="G168" s="247"/>
      <c r="H168" s="247"/>
      <c r="I168" s="247"/>
      <c r="J168" s="247"/>
      <c r="K168" s="247"/>
    </row>
    <row r="169" spans="1:11" ht="20.25">
      <c r="A169" s="247"/>
      <c r="B169" s="247"/>
      <c r="C169" s="247"/>
      <c r="D169" s="247"/>
      <c r="E169" s="258"/>
      <c r="F169" s="261"/>
      <c r="G169" s="247"/>
      <c r="H169" s="247"/>
      <c r="I169" s="247"/>
      <c r="J169" s="247"/>
      <c r="K169" s="247"/>
    </row>
    <row r="170" spans="1:11" ht="20.25">
      <c r="A170" s="247"/>
      <c r="B170" s="247"/>
      <c r="C170" s="247"/>
      <c r="D170" s="247"/>
      <c r="E170" s="258"/>
      <c r="F170" s="261"/>
      <c r="G170" s="247"/>
      <c r="H170" s="247"/>
      <c r="I170" s="247"/>
      <c r="J170" s="247"/>
      <c r="K170" s="247"/>
    </row>
    <row r="171" spans="1:11" ht="20.25">
      <c r="A171" s="247"/>
      <c r="B171" s="247"/>
      <c r="C171" s="247"/>
      <c r="D171" s="247"/>
      <c r="E171" s="258"/>
      <c r="F171" s="261"/>
      <c r="G171" s="247"/>
      <c r="H171" s="247"/>
      <c r="I171" s="247"/>
      <c r="J171" s="247"/>
      <c r="K171" s="247"/>
    </row>
    <row r="172" spans="1:11" ht="20.25">
      <c r="A172" s="247"/>
      <c r="B172" s="247"/>
      <c r="C172" s="247"/>
      <c r="D172" s="247"/>
      <c r="E172" s="258"/>
      <c r="F172" s="261"/>
      <c r="G172" s="247"/>
      <c r="H172" s="247"/>
      <c r="I172" s="247"/>
      <c r="J172" s="247"/>
      <c r="K172" s="247"/>
    </row>
    <row r="173" spans="1:11" ht="20.25">
      <c r="A173" s="247"/>
      <c r="B173" s="247"/>
      <c r="C173" s="247"/>
      <c r="D173" s="247"/>
      <c r="E173" s="258"/>
      <c r="F173" s="261"/>
      <c r="G173" s="247"/>
      <c r="H173" s="247"/>
      <c r="I173" s="247"/>
      <c r="J173" s="247"/>
      <c r="K173" s="247"/>
    </row>
    <row r="174" spans="1:11" ht="20.25">
      <c r="A174" s="247"/>
      <c r="B174" s="247"/>
      <c r="C174" s="247"/>
      <c r="D174" s="247"/>
      <c r="E174" s="258"/>
      <c r="F174" s="261"/>
      <c r="G174" s="247"/>
      <c r="H174" s="247"/>
      <c r="I174" s="247"/>
      <c r="J174" s="247"/>
      <c r="K174" s="247"/>
    </row>
    <row r="175" spans="1:11" ht="20.25">
      <c r="A175" s="247"/>
      <c r="B175" s="247"/>
      <c r="C175" s="247"/>
      <c r="D175" s="247"/>
      <c r="E175" s="258"/>
      <c r="F175" s="261"/>
      <c r="G175" s="247"/>
      <c r="H175" s="247"/>
      <c r="I175" s="247"/>
      <c r="J175" s="247"/>
      <c r="K175" s="247"/>
    </row>
    <row r="176" spans="1:11" ht="20.25">
      <c r="A176" s="247"/>
      <c r="B176" s="247"/>
      <c r="C176" s="247"/>
      <c r="D176" s="247"/>
      <c r="E176" s="258"/>
      <c r="F176" s="261"/>
      <c r="G176" s="247"/>
      <c r="H176" s="247"/>
      <c r="I176" s="247"/>
      <c r="J176" s="247"/>
      <c r="K176" s="247"/>
    </row>
    <row r="177" spans="1:11" ht="20.25">
      <c r="A177" s="247"/>
      <c r="B177" s="247"/>
      <c r="C177" s="247"/>
      <c r="D177" s="247"/>
      <c r="E177" s="258"/>
      <c r="F177" s="261"/>
      <c r="G177" s="247"/>
      <c r="H177" s="247"/>
      <c r="I177" s="247"/>
      <c r="J177" s="247"/>
      <c r="K177" s="247"/>
    </row>
    <row r="178" spans="1:11" ht="20.25">
      <c r="A178" s="247"/>
      <c r="B178" s="247"/>
      <c r="C178" s="247"/>
      <c r="D178" s="247"/>
      <c r="E178" s="258"/>
      <c r="F178" s="261"/>
      <c r="G178" s="247"/>
      <c r="H178" s="247"/>
      <c r="I178" s="247"/>
      <c r="J178" s="247"/>
      <c r="K178" s="247"/>
    </row>
    <row r="179" spans="1:11" ht="20.25">
      <c r="A179" s="247"/>
      <c r="B179" s="247"/>
      <c r="C179" s="247"/>
      <c r="D179" s="247"/>
      <c r="E179" s="258"/>
      <c r="F179" s="261"/>
      <c r="G179" s="247"/>
      <c r="H179" s="247"/>
      <c r="I179" s="247"/>
      <c r="J179" s="247"/>
      <c r="K179" s="247"/>
    </row>
    <row r="180" spans="1:11" ht="20.25">
      <c r="A180" s="247"/>
      <c r="B180" s="247"/>
      <c r="C180" s="247"/>
      <c r="D180" s="247"/>
      <c r="E180" s="258"/>
      <c r="F180" s="261"/>
      <c r="G180" s="247"/>
      <c r="H180" s="247"/>
      <c r="I180" s="247"/>
      <c r="J180" s="247"/>
      <c r="K180" s="247"/>
    </row>
    <row r="181" spans="1:11" ht="20.25">
      <c r="A181" s="247"/>
      <c r="B181" s="247"/>
      <c r="C181" s="247"/>
      <c r="D181" s="247"/>
      <c r="E181" s="258"/>
      <c r="F181" s="261"/>
      <c r="G181" s="247"/>
      <c r="H181" s="247"/>
      <c r="I181" s="247"/>
      <c r="J181" s="247"/>
      <c r="K181" s="247"/>
    </row>
    <row r="182" spans="1:11" ht="20.25">
      <c r="A182" s="247"/>
      <c r="B182" s="247"/>
      <c r="C182" s="247"/>
      <c r="D182" s="247"/>
      <c r="E182" s="258"/>
      <c r="F182" s="261"/>
      <c r="G182" s="247"/>
      <c r="H182" s="247"/>
      <c r="I182" s="247"/>
      <c r="J182" s="247"/>
      <c r="K182" s="247"/>
    </row>
    <row r="183" spans="1:11" ht="20.25">
      <c r="A183" s="247"/>
      <c r="B183" s="247"/>
      <c r="C183" s="247"/>
      <c r="D183" s="247"/>
      <c r="E183" s="258"/>
      <c r="F183" s="261"/>
      <c r="G183" s="247"/>
      <c r="H183" s="247"/>
      <c r="I183" s="247"/>
      <c r="J183" s="247"/>
      <c r="K183" s="247"/>
    </row>
    <row r="184" spans="1:11" ht="20.25">
      <c r="A184" s="247"/>
      <c r="B184" s="247"/>
      <c r="C184" s="247"/>
      <c r="D184" s="247"/>
      <c r="E184" s="258"/>
      <c r="F184" s="261"/>
      <c r="G184" s="247"/>
      <c r="H184" s="247"/>
      <c r="I184" s="247"/>
      <c r="J184" s="247"/>
      <c r="K184" s="247"/>
    </row>
    <row r="185" spans="1:11" ht="20.25">
      <c r="A185" s="247"/>
      <c r="B185" s="247"/>
      <c r="C185" s="247"/>
      <c r="D185" s="247"/>
      <c r="E185" s="258"/>
      <c r="F185" s="261"/>
      <c r="G185" s="247"/>
      <c r="H185" s="247"/>
      <c r="I185" s="247"/>
      <c r="J185" s="247"/>
      <c r="K185" s="247"/>
    </row>
    <row r="186" spans="1:11" ht="20.25">
      <c r="A186" s="247"/>
      <c r="B186" s="247"/>
      <c r="C186" s="247"/>
      <c r="D186" s="247"/>
      <c r="E186" s="258"/>
      <c r="F186" s="261"/>
      <c r="G186" s="247"/>
      <c r="H186" s="247"/>
      <c r="I186" s="247"/>
      <c r="J186" s="247"/>
      <c r="K186" s="247"/>
    </row>
    <row r="187" spans="1:11" ht="20.25">
      <c r="A187" s="247"/>
      <c r="B187" s="247"/>
      <c r="C187" s="247"/>
      <c r="D187" s="247"/>
      <c r="E187" s="258"/>
      <c r="F187" s="261"/>
      <c r="G187" s="247"/>
      <c r="H187" s="247"/>
      <c r="I187" s="247"/>
      <c r="J187" s="247"/>
      <c r="K187" s="247"/>
    </row>
    <row r="188" spans="1:11" ht="20.25">
      <c r="A188" s="247"/>
      <c r="B188" s="247"/>
      <c r="C188" s="247"/>
      <c r="D188" s="247"/>
      <c r="E188" s="258"/>
      <c r="F188" s="261"/>
      <c r="G188" s="247"/>
      <c r="H188" s="247"/>
      <c r="I188" s="247"/>
      <c r="J188" s="247"/>
      <c r="K188" s="247"/>
    </row>
    <row r="189" spans="1:11" ht="20.25">
      <c r="A189" s="247"/>
      <c r="B189" s="247"/>
      <c r="C189" s="247"/>
      <c r="D189" s="247"/>
      <c r="E189" s="258"/>
      <c r="F189" s="261"/>
      <c r="G189" s="247"/>
      <c r="H189" s="247"/>
      <c r="I189" s="247"/>
      <c r="J189" s="247"/>
      <c r="K189" s="247"/>
    </row>
    <row r="190" spans="1:11" ht="20.25">
      <c r="A190" s="247"/>
      <c r="B190" s="247"/>
      <c r="C190" s="247"/>
      <c r="D190" s="247"/>
      <c r="E190" s="258"/>
      <c r="F190" s="261"/>
      <c r="G190" s="247"/>
      <c r="H190" s="247"/>
      <c r="I190" s="247"/>
      <c r="J190" s="247"/>
      <c r="K190" s="247"/>
    </row>
    <row r="191" spans="1:11" ht="20.25">
      <c r="A191" s="247"/>
      <c r="B191" s="247"/>
      <c r="C191" s="247"/>
      <c r="D191" s="247"/>
      <c r="E191" s="258"/>
      <c r="F191" s="261"/>
      <c r="G191" s="247"/>
      <c r="H191" s="247"/>
      <c r="I191" s="247"/>
      <c r="J191" s="247"/>
      <c r="K191" s="247"/>
    </row>
    <row r="192" spans="1:11" ht="20.25">
      <c r="A192" s="247"/>
      <c r="B192" s="247"/>
      <c r="C192" s="247"/>
      <c r="D192" s="247"/>
      <c r="E192" s="258"/>
      <c r="F192" s="261"/>
      <c r="G192" s="247"/>
      <c r="H192" s="247"/>
      <c r="I192" s="247"/>
      <c r="J192" s="247"/>
      <c r="K192" s="247"/>
    </row>
    <row r="193" spans="1:11" ht="20.25">
      <c r="A193" s="247"/>
      <c r="B193" s="247"/>
      <c r="C193" s="247"/>
      <c r="D193" s="247"/>
      <c r="E193" s="258"/>
      <c r="F193" s="261"/>
      <c r="G193" s="247"/>
      <c r="H193" s="247"/>
      <c r="I193" s="247"/>
      <c r="J193" s="247"/>
      <c r="K193" s="247"/>
    </row>
    <row r="194" spans="1:11" ht="20.25">
      <c r="A194" s="247"/>
      <c r="B194" s="247"/>
      <c r="C194" s="247"/>
      <c r="D194" s="247"/>
      <c r="E194" s="258"/>
      <c r="F194" s="261"/>
      <c r="G194" s="247"/>
      <c r="H194" s="247"/>
      <c r="I194" s="247"/>
      <c r="J194" s="247"/>
      <c r="K194" s="247"/>
    </row>
    <row r="195" spans="1:11" ht="20.25">
      <c r="A195" s="247"/>
      <c r="B195" s="247"/>
      <c r="C195" s="247"/>
      <c r="D195" s="247"/>
      <c r="E195" s="258"/>
      <c r="F195" s="261"/>
      <c r="G195" s="247"/>
      <c r="H195" s="247"/>
      <c r="I195" s="247"/>
      <c r="J195" s="247"/>
      <c r="K195" s="247"/>
    </row>
    <row r="196" spans="1:11" ht="20.25">
      <c r="A196" s="247"/>
      <c r="B196" s="247"/>
      <c r="C196" s="247"/>
      <c r="D196" s="247"/>
      <c r="E196" s="258"/>
      <c r="F196" s="261"/>
      <c r="G196" s="247"/>
      <c r="H196" s="247"/>
      <c r="I196" s="247"/>
      <c r="J196" s="247"/>
      <c r="K196" s="247"/>
    </row>
    <row r="197" spans="1:11" ht="20.25">
      <c r="A197" s="247"/>
      <c r="B197" s="247"/>
      <c r="C197" s="247"/>
      <c r="D197" s="247"/>
      <c r="E197" s="258"/>
      <c r="F197" s="261"/>
      <c r="G197" s="247"/>
      <c r="H197" s="247"/>
      <c r="I197" s="247"/>
      <c r="J197" s="247"/>
      <c r="K197" s="247"/>
    </row>
    <row r="198" spans="1:11" ht="20.25">
      <c r="A198" s="247"/>
      <c r="B198" s="247"/>
      <c r="C198" s="247"/>
      <c r="D198" s="247"/>
      <c r="E198" s="258"/>
      <c r="F198" s="261"/>
      <c r="G198" s="247"/>
      <c r="H198" s="247"/>
      <c r="I198" s="247"/>
      <c r="J198" s="247"/>
      <c r="K198" s="247"/>
    </row>
    <row r="199" spans="1:11" ht="20.25">
      <c r="A199" s="247"/>
      <c r="B199" s="247"/>
      <c r="C199" s="247"/>
      <c r="D199" s="247"/>
      <c r="E199" s="258"/>
      <c r="F199" s="261"/>
      <c r="G199" s="247"/>
      <c r="H199" s="247"/>
      <c r="I199" s="247"/>
      <c r="J199" s="247"/>
      <c r="K199" s="247"/>
    </row>
    <row r="200" spans="1:11" ht="20.25">
      <c r="A200" s="247"/>
      <c r="B200" s="247"/>
      <c r="C200" s="247"/>
      <c r="D200" s="247"/>
      <c r="E200" s="258"/>
      <c r="F200" s="261"/>
      <c r="G200" s="247"/>
      <c r="H200" s="247"/>
      <c r="I200" s="247"/>
      <c r="J200" s="247"/>
      <c r="K200" s="247"/>
    </row>
    <row r="201" spans="1:11" ht="20.25">
      <c r="A201" s="247"/>
      <c r="B201" s="247"/>
      <c r="C201" s="247"/>
      <c r="D201" s="247"/>
      <c r="E201" s="258"/>
      <c r="F201" s="261"/>
      <c r="G201" s="247"/>
      <c r="H201" s="247"/>
      <c r="I201" s="247"/>
      <c r="J201" s="247"/>
      <c r="K201" s="247"/>
    </row>
    <row r="202" spans="1:11" ht="20.25">
      <c r="A202" s="247"/>
      <c r="B202" s="247"/>
      <c r="C202" s="247"/>
      <c r="D202" s="247"/>
      <c r="E202" s="258"/>
      <c r="F202" s="261"/>
      <c r="G202" s="247"/>
      <c r="H202" s="247"/>
      <c r="I202" s="247"/>
      <c r="J202" s="247"/>
      <c r="K202" s="247"/>
    </row>
    <row r="203" spans="1:11" ht="20.25">
      <c r="A203" s="247"/>
      <c r="B203" s="247"/>
      <c r="C203" s="247"/>
      <c r="D203" s="247"/>
      <c r="E203" s="258"/>
      <c r="F203" s="261"/>
      <c r="G203" s="247"/>
      <c r="H203" s="247"/>
      <c r="I203" s="247"/>
      <c r="J203" s="247"/>
      <c r="K203" s="247"/>
    </row>
    <row r="204" spans="1:11" ht="20.25">
      <c r="A204" s="247"/>
      <c r="B204" s="247"/>
      <c r="C204" s="247"/>
      <c r="D204" s="247"/>
      <c r="E204" s="258"/>
      <c r="F204" s="261"/>
      <c r="G204" s="247"/>
      <c r="H204" s="247"/>
      <c r="I204" s="247"/>
      <c r="J204" s="247"/>
      <c r="K204" s="247"/>
    </row>
    <row r="205" spans="1:11" ht="20.25">
      <c r="A205" s="247"/>
      <c r="B205" s="247"/>
      <c r="C205" s="247"/>
      <c r="D205" s="247"/>
      <c r="E205" s="258"/>
      <c r="F205" s="261"/>
      <c r="G205" s="247"/>
      <c r="H205" s="247"/>
      <c r="I205" s="247"/>
      <c r="J205" s="247"/>
      <c r="K205" s="247"/>
    </row>
    <row r="206" spans="1:11" ht="20.25">
      <c r="A206" s="247"/>
      <c r="B206" s="247"/>
      <c r="C206" s="247"/>
      <c r="D206" s="247"/>
      <c r="E206" s="258"/>
      <c r="F206" s="261"/>
      <c r="G206" s="247"/>
      <c r="H206" s="247"/>
      <c r="I206" s="247"/>
      <c r="J206" s="247"/>
      <c r="K206" s="247"/>
    </row>
    <row r="207" spans="1:11" ht="20.25">
      <c r="A207" s="247"/>
      <c r="B207" s="247"/>
      <c r="C207" s="247"/>
      <c r="D207" s="247"/>
      <c r="E207" s="258"/>
      <c r="F207" s="261"/>
      <c r="G207" s="247"/>
      <c r="H207" s="247"/>
      <c r="I207" s="247"/>
      <c r="J207" s="247"/>
      <c r="K207" s="247"/>
    </row>
    <row r="208" spans="1:11" ht="20.25">
      <c r="A208" s="247"/>
      <c r="B208" s="247"/>
      <c r="C208" s="247"/>
      <c r="D208" s="247"/>
      <c r="E208" s="258"/>
      <c r="F208" s="261"/>
      <c r="G208" s="247"/>
      <c r="H208" s="247"/>
      <c r="I208" s="247"/>
      <c r="J208" s="247"/>
      <c r="K208" s="247"/>
    </row>
    <row r="209" spans="1:11" ht="20.25">
      <c r="A209" s="247"/>
      <c r="B209" s="247"/>
      <c r="C209" s="247"/>
      <c r="D209" s="247"/>
      <c r="E209" s="258"/>
      <c r="F209" s="261"/>
      <c r="G209" s="247"/>
      <c r="H209" s="247"/>
      <c r="I209" s="247"/>
      <c r="J209" s="247"/>
      <c r="K209" s="247"/>
    </row>
    <row r="210" spans="1:11" ht="20.25">
      <c r="A210" s="247"/>
      <c r="B210" s="247"/>
      <c r="C210" s="247"/>
      <c r="D210" s="247"/>
      <c r="E210" s="258"/>
      <c r="F210" s="261"/>
      <c r="G210" s="247"/>
      <c r="H210" s="247"/>
      <c r="I210" s="247"/>
      <c r="J210" s="247"/>
      <c r="K210" s="247"/>
    </row>
    <row r="211" spans="1:11" ht="20.25">
      <c r="A211" s="247"/>
      <c r="B211" s="247"/>
      <c r="C211" s="247"/>
      <c r="D211" s="247"/>
      <c r="E211" s="258"/>
      <c r="F211" s="261"/>
      <c r="G211" s="247"/>
      <c r="H211" s="247"/>
      <c r="I211" s="247"/>
      <c r="J211" s="247"/>
      <c r="K211" s="247"/>
    </row>
    <row r="212" spans="1:11" ht="20.25">
      <c r="A212" s="247"/>
      <c r="B212" s="247"/>
      <c r="C212" s="247"/>
      <c r="D212" s="247"/>
      <c r="E212" s="258"/>
      <c r="F212" s="261"/>
      <c r="G212" s="247"/>
      <c r="H212" s="247"/>
      <c r="I212" s="247"/>
      <c r="J212" s="247"/>
      <c r="K212" s="247"/>
    </row>
    <row r="213" spans="1:11" ht="20.25">
      <c r="A213" s="247"/>
      <c r="B213" s="247"/>
      <c r="C213" s="247"/>
      <c r="D213" s="247"/>
      <c r="E213" s="258"/>
      <c r="F213" s="261"/>
      <c r="G213" s="247"/>
      <c r="H213" s="247"/>
      <c r="I213" s="247"/>
      <c r="J213" s="247"/>
      <c r="K213" s="247"/>
    </row>
    <row r="214" spans="1:11" ht="20.25">
      <c r="A214" s="247"/>
      <c r="B214" s="247"/>
      <c r="C214" s="247"/>
      <c r="D214" s="247"/>
      <c r="E214" s="258"/>
      <c r="F214" s="261"/>
      <c r="G214" s="247"/>
      <c r="H214" s="247"/>
      <c r="I214" s="247"/>
      <c r="J214" s="247"/>
      <c r="K214" s="247"/>
    </row>
    <row r="215" spans="1:11" ht="20.25">
      <c r="A215" s="247"/>
      <c r="B215" s="247"/>
      <c r="C215" s="247"/>
      <c r="D215" s="247"/>
      <c r="E215" s="258"/>
      <c r="F215" s="261"/>
      <c r="G215" s="247"/>
      <c r="H215" s="247"/>
      <c r="I215" s="247"/>
      <c r="J215" s="247"/>
      <c r="K215" s="247"/>
    </row>
    <row r="216" spans="1:11" ht="20.25">
      <c r="A216" s="247"/>
      <c r="B216" s="247"/>
      <c r="C216" s="247"/>
      <c r="D216" s="247"/>
      <c r="E216" s="258"/>
      <c r="F216" s="261"/>
      <c r="G216" s="247"/>
      <c r="H216" s="247"/>
      <c r="I216" s="247"/>
      <c r="J216" s="247"/>
      <c r="K216" s="247"/>
    </row>
    <row r="217" spans="1:11" ht="20.25">
      <c r="A217" s="247"/>
      <c r="B217" s="247"/>
      <c r="C217" s="247"/>
      <c r="D217" s="247"/>
      <c r="E217" s="258"/>
      <c r="F217" s="261"/>
      <c r="G217" s="247"/>
      <c r="H217" s="247"/>
      <c r="I217" s="247"/>
      <c r="J217" s="247"/>
      <c r="K217" s="247"/>
    </row>
    <row r="218" spans="1:11" ht="20.25">
      <c r="A218" s="247"/>
      <c r="B218" s="247"/>
      <c r="C218" s="247"/>
      <c r="D218" s="247"/>
      <c r="E218" s="258"/>
      <c r="F218" s="261"/>
      <c r="G218" s="247"/>
      <c r="H218" s="247"/>
      <c r="I218" s="247"/>
      <c r="J218" s="247"/>
      <c r="K218" s="247"/>
    </row>
    <row r="219" spans="1:11" ht="20.25">
      <c r="A219" s="247"/>
      <c r="B219" s="247"/>
      <c r="C219" s="247"/>
      <c r="D219" s="247"/>
      <c r="E219" s="258"/>
      <c r="F219" s="261"/>
      <c r="G219" s="247"/>
      <c r="H219" s="247"/>
      <c r="I219" s="247"/>
      <c r="J219" s="247"/>
      <c r="K219" s="247"/>
    </row>
    <row r="220" spans="1:11" ht="20.25">
      <c r="A220" s="247"/>
      <c r="B220" s="247"/>
      <c r="C220" s="247"/>
      <c r="D220" s="247"/>
      <c r="E220" s="258"/>
      <c r="F220" s="261"/>
      <c r="G220" s="247"/>
      <c r="H220" s="247"/>
      <c r="I220" s="247"/>
      <c r="J220" s="247"/>
      <c r="K220" s="247"/>
    </row>
    <row r="221" spans="1:11" ht="20.25">
      <c r="A221" s="247"/>
      <c r="B221" s="247"/>
      <c r="C221" s="247"/>
      <c r="D221" s="247"/>
      <c r="E221" s="258"/>
      <c r="F221" s="261"/>
      <c r="G221" s="247"/>
      <c r="H221" s="247"/>
      <c r="I221" s="247"/>
      <c r="J221" s="247"/>
      <c r="K221" s="247"/>
    </row>
    <row r="222" spans="1:11" ht="20.25">
      <c r="A222" s="247"/>
      <c r="B222" s="247"/>
      <c r="C222" s="247"/>
      <c r="D222" s="247"/>
      <c r="E222" s="258"/>
      <c r="F222" s="261"/>
      <c r="G222" s="247"/>
      <c r="H222" s="247"/>
      <c r="I222" s="247"/>
      <c r="J222" s="247"/>
      <c r="K222" s="247"/>
    </row>
    <row r="223" spans="1:11" ht="20.25">
      <c r="A223" s="247"/>
      <c r="B223" s="247"/>
      <c r="C223" s="247"/>
      <c r="D223" s="247"/>
      <c r="E223" s="258"/>
      <c r="F223" s="261"/>
      <c r="G223" s="247"/>
      <c r="H223" s="247"/>
      <c r="I223" s="247"/>
      <c r="J223" s="247"/>
      <c r="K223" s="247"/>
    </row>
    <row r="224" spans="1:11" ht="20.25">
      <c r="A224" s="247"/>
      <c r="B224" s="247"/>
      <c r="C224" s="247"/>
      <c r="D224" s="247"/>
      <c r="E224" s="258"/>
      <c r="F224" s="261"/>
      <c r="G224" s="247"/>
      <c r="H224" s="247"/>
      <c r="I224" s="247"/>
      <c r="J224" s="247"/>
      <c r="K224" s="247"/>
    </row>
    <row r="225" spans="1:11" ht="20.25">
      <c r="A225" s="247"/>
      <c r="B225" s="247"/>
      <c r="C225" s="247"/>
      <c r="D225" s="247"/>
      <c r="E225" s="258"/>
      <c r="F225" s="261"/>
      <c r="G225" s="247"/>
      <c r="H225" s="247"/>
      <c r="I225" s="247"/>
      <c r="J225" s="247"/>
      <c r="K225" s="247"/>
    </row>
    <row r="226" spans="1:11" ht="20.25">
      <c r="A226" s="247"/>
      <c r="B226" s="247"/>
      <c r="C226" s="247"/>
      <c r="D226" s="247"/>
      <c r="E226" s="258"/>
      <c r="F226" s="261"/>
      <c r="G226" s="247"/>
      <c r="H226" s="247"/>
      <c r="I226" s="247"/>
      <c r="J226" s="247"/>
      <c r="K226" s="247"/>
    </row>
    <row r="227" spans="1:11" ht="20.25">
      <c r="A227" s="247"/>
      <c r="B227" s="247"/>
      <c r="C227" s="247"/>
      <c r="D227" s="247"/>
      <c r="E227" s="258"/>
      <c r="F227" s="261"/>
      <c r="G227" s="247"/>
      <c r="H227" s="247"/>
      <c r="I227" s="247"/>
      <c r="J227" s="247"/>
      <c r="K227" s="247"/>
    </row>
    <row r="228" spans="1:11" ht="20.25">
      <c r="A228" s="247"/>
      <c r="B228" s="247"/>
      <c r="C228" s="247"/>
      <c r="D228" s="247"/>
      <c r="E228" s="258"/>
      <c r="F228" s="261"/>
      <c r="G228" s="247"/>
      <c r="H228" s="247"/>
      <c r="I228" s="247"/>
      <c r="J228" s="247"/>
      <c r="K228" s="247"/>
    </row>
    <row r="229" spans="1:11" ht="20.25">
      <c r="A229" s="247"/>
      <c r="B229" s="247"/>
      <c r="C229" s="247"/>
      <c r="D229" s="247"/>
      <c r="E229" s="258"/>
      <c r="F229" s="261"/>
      <c r="G229" s="247"/>
      <c r="H229" s="247"/>
      <c r="I229" s="247"/>
      <c r="J229" s="247"/>
      <c r="K229" s="247"/>
    </row>
    <row r="230" spans="1:11" ht="20.25">
      <c r="A230" s="247"/>
      <c r="B230" s="247"/>
      <c r="C230" s="247"/>
      <c r="D230" s="247"/>
      <c r="E230" s="258"/>
      <c r="F230" s="261"/>
      <c r="G230" s="247"/>
      <c r="H230" s="247"/>
      <c r="I230" s="247"/>
      <c r="J230" s="247"/>
      <c r="K230" s="247"/>
    </row>
    <row r="231" spans="1:11" ht="20.25">
      <c r="A231" s="247"/>
      <c r="B231" s="247"/>
      <c r="C231" s="247"/>
      <c r="D231" s="247"/>
      <c r="E231" s="258"/>
      <c r="F231" s="261"/>
      <c r="G231" s="247"/>
      <c r="H231" s="247"/>
      <c r="I231" s="247"/>
      <c r="J231" s="247"/>
      <c r="K231" s="247"/>
    </row>
    <row r="232" spans="1:11" ht="20.25">
      <c r="A232" s="247"/>
      <c r="B232" s="247"/>
      <c r="C232" s="247"/>
      <c r="D232" s="247"/>
      <c r="E232" s="258"/>
      <c r="F232" s="261"/>
      <c r="G232" s="247"/>
      <c r="H232" s="247"/>
      <c r="I232" s="247"/>
      <c r="J232" s="247"/>
      <c r="K232" s="247"/>
    </row>
    <row r="233" spans="1:11" ht="20.25">
      <c r="A233" s="247"/>
      <c r="B233" s="247"/>
      <c r="C233" s="247"/>
      <c r="D233" s="247"/>
      <c r="E233" s="258"/>
      <c r="F233" s="261"/>
      <c r="G233" s="247"/>
      <c r="H233" s="247"/>
      <c r="I233" s="247"/>
      <c r="J233" s="247"/>
      <c r="K233" s="247"/>
    </row>
    <row r="234" spans="1:11" ht="20.25">
      <c r="A234" s="247"/>
      <c r="B234" s="247"/>
      <c r="C234" s="247"/>
      <c r="D234" s="247"/>
      <c r="E234" s="258"/>
      <c r="F234" s="261"/>
      <c r="G234" s="247"/>
      <c r="H234" s="247"/>
      <c r="I234" s="247"/>
      <c r="J234" s="247"/>
      <c r="K234" s="247"/>
    </row>
    <row r="235" spans="1:11" ht="20.25">
      <c r="A235" s="247"/>
      <c r="B235" s="247"/>
      <c r="C235" s="247"/>
      <c r="D235" s="247"/>
      <c r="E235" s="258"/>
      <c r="F235" s="261"/>
      <c r="G235" s="247"/>
      <c r="H235" s="247"/>
      <c r="I235" s="247"/>
      <c r="J235" s="247"/>
      <c r="K235" s="247"/>
    </row>
    <row r="236" spans="1:11" ht="20.25">
      <c r="A236" s="247"/>
      <c r="B236" s="247"/>
      <c r="C236" s="247"/>
      <c r="D236" s="247"/>
      <c r="E236" s="258"/>
      <c r="F236" s="261"/>
      <c r="G236" s="247"/>
      <c r="H236" s="247"/>
      <c r="I236" s="247"/>
      <c r="J236" s="247"/>
      <c r="K236" s="247"/>
    </row>
    <row r="237" spans="1:11" ht="20.25">
      <c r="A237" s="247"/>
      <c r="B237" s="247"/>
      <c r="C237" s="247"/>
      <c r="D237" s="247"/>
      <c r="E237" s="258"/>
      <c r="F237" s="261"/>
      <c r="G237" s="247"/>
      <c r="H237" s="247"/>
      <c r="I237" s="247"/>
      <c r="J237" s="247"/>
      <c r="K237" s="247"/>
    </row>
    <row r="238" spans="1:11" ht="20.25">
      <c r="A238" s="247"/>
      <c r="B238" s="247"/>
      <c r="C238" s="247"/>
      <c r="D238" s="247"/>
      <c r="E238" s="258"/>
      <c r="F238" s="261"/>
      <c r="G238" s="247"/>
      <c r="H238" s="247"/>
      <c r="I238" s="247"/>
      <c r="J238" s="247"/>
      <c r="K238" s="247"/>
    </row>
    <row r="239" spans="1:11" ht="20.25">
      <c r="A239" s="247"/>
      <c r="B239" s="247"/>
      <c r="C239" s="247"/>
      <c r="D239" s="247"/>
      <c r="E239" s="258"/>
      <c r="F239" s="261"/>
      <c r="G239" s="247"/>
      <c r="H239" s="247"/>
      <c r="I239" s="247"/>
      <c r="J239" s="247"/>
      <c r="K239" s="247"/>
    </row>
    <row r="240" spans="1:11" ht="20.25">
      <c r="A240" s="247"/>
      <c r="B240" s="247"/>
      <c r="C240" s="247"/>
      <c r="D240" s="247"/>
      <c r="E240" s="258"/>
      <c r="F240" s="261"/>
      <c r="G240" s="247"/>
      <c r="H240" s="247"/>
      <c r="I240" s="247"/>
      <c r="J240" s="247"/>
      <c r="K240" s="247"/>
    </row>
    <row r="241" spans="1:11" ht="20.25">
      <c r="A241" s="247"/>
      <c r="B241" s="247"/>
      <c r="C241" s="247"/>
      <c r="D241" s="247"/>
      <c r="E241" s="258"/>
      <c r="F241" s="261"/>
      <c r="G241" s="247"/>
      <c r="H241" s="247"/>
      <c r="I241" s="247"/>
      <c r="J241" s="247"/>
      <c r="K241" s="247"/>
    </row>
    <row r="242" spans="1:11" ht="20.25">
      <c r="A242" s="247"/>
      <c r="B242" s="247"/>
      <c r="C242" s="247"/>
      <c r="D242" s="247"/>
      <c r="E242" s="258"/>
      <c r="F242" s="261"/>
      <c r="G242" s="247"/>
      <c r="H242" s="247"/>
      <c r="I242" s="247"/>
      <c r="J242" s="247"/>
      <c r="K242" s="247"/>
    </row>
    <row r="243" spans="1:11" ht="20.25">
      <c r="A243" s="247"/>
      <c r="B243" s="247"/>
      <c r="C243" s="247"/>
      <c r="D243" s="247"/>
      <c r="E243" s="258"/>
      <c r="F243" s="261"/>
      <c r="G243" s="247"/>
      <c r="H243" s="247"/>
      <c r="I243" s="247"/>
      <c r="J243" s="247"/>
      <c r="K243" s="247"/>
    </row>
    <row r="244" spans="1:11" ht="20.25">
      <c r="A244" s="247"/>
      <c r="B244" s="247"/>
      <c r="C244" s="247"/>
      <c r="D244" s="247"/>
      <c r="E244" s="258"/>
      <c r="F244" s="261"/>
      <c r="G244" s="247"/>
      <c r="H244" s="247"/>
      <c r="I244" s="247"/>
      <c r="J244" s="247"/>
      <c r="K244" s="247"/>
    </row>
    <row r="245" spans="1:11" ht="20.25">
      <c r="A245" s="247"/>
      <c r="B245" s="247"/>
      <c r="C245" s="247"/>
      <c r="D245" s="247"/>
      <c r="E245" s="258"/>
      <c r="F245" s="261"/>
      <c r="G245" s="247"/>
      <c r="H245" s="247"/>
      <c r="I245" s="247"/>
      <c r="J245" s="247"/>
      <c r="K245" s="247"/>
    </row>
    <row r="246" spans="1:11" ht="20.25">
      <c r="A246" s="247"/>
      <c r="B246" s="247"/>
      <c r="C246" s="247"/>
      <c r="D246" s="247"/>
      <c r="E246" s="258"/>
      <c r="F246" s="261"/>
      <c r="G246" s="247"/>
      <c r="H246" s="247"/>
      <c r="I246" s="247"/>
      <c r="J246" s="247"/>
      <c r="K246" s="247"/>
    </row>
    <row r="247" spans="1:11" ht="20.25">
      <c r="A247" s="247"/>
      <c r="B247" s="247"/>
      <c r="C247" s="247"/>
      <c r="D247" s="247"/>
      <c r="E247" s="258"/>
      <c r="F247" s="261"/>
      <c r="G247" s="247"/>
      <c r="H247" s="247"/>
      <c r="I247" s="247"/>
      <c r="J247" s="247"/>
      <c r="K247" s="247"/>
    </row>
    <row r="248" spans="1:11" ht="20.25">
      <c r="A248" s="247"/>
      <c r="B248" s="247"/>
      <c r="C248" s="247"/>
      <c r="D248" s="247"/>
      <c r="E248" s="258"/>
      <c r="F248" s="261"/>
      <c r="G248" s="247"/>
      <c r="H248" s="247"/>
      <c r="I248" s="247"/>
      <c r="J248" s="247"/>
      <c r="K248" s="247"/>
    </row>
    <row r="249" spans="1:11" ht="20.25">
      <c r="A249" s="247"/>
      <c r="B249" s="247"/>
      <c r="C249" s="247"/>
      <c r="D249" s="247"/>
      <c r="E249" s="258"/>
      <c r="F249" s="261"/>
      <c r="G249" s="247"/>
      <c r="H249" s="247"/>
      <c r="I249" s="247"/>
      <c r="J249" s="247"/>
      <c r="K249" s="247"/>
    </row>
    <row r="250" spans="1:11" ht="20.25">
      <c r="A250" s="247"/>
      <c r="B250" s="247"/>
      <c r="C250" s="247"/>
      <c r="D250" s="247"/>
      <c r="E250" s="258"/>
      <c r="F250" s="261"/>
      <c r="G250" s="247"/>
      <c r="H250" s="247"/>
      <c r="I250" s="247"/>
      <c r="J250" s="247"/>
      <c r="K250" s="247"/>
    </row>
    <row r="251" spans="1:11" ht="20.25">
      <c r="A251" s="247"/>
      <c r="B251" s="247"/>
      <c r="C251" s="247"/>
      <c r="D251" s="247"/>
      <c r="E251" s="258"/>
      <c r="F251" s="261"/>
      <c r="G251" s="247"/>
      <c r="H251" s="247"/>
      <c r="I251" s="247"/>
      <c r="J251" s="247"/>
      <c r="K251" s="247"/>
    </row>
    <row r="252" spans="1:11" ht="20.25">
      <c r="A252" s="247"/>
      <c r="B252" s="247"/>
      <c r="C252" s="247"/>
      <c r="D252" s="247"/>
      <c r="E252" s="258"/>
      <c r="F252" s="261"/>
      <c r="G252" s="247"/>
      <c r="H252" s="247"/>
      <c r="I252" s="247"/>
      <c r="J252" s="247"/>
      <c r="K252" s="247"/>
    </row>
    <row r="253" spans="1:11" ht="20.25">
      <c r="A253" s="247"/>
      <c r="B253" s="247"/>
      <c r="C253" s="247"/>
      <c r="D253" s="247"/>
      <c r="E253" s="258"/>
      <c r="F253" s="261"/>
      <c r="G253" s="247"/>
      <c r="H253" s="247"/>
      <c r="I253" s="247"/>
      <c r="J253" s="247"/>
      <c r="K253" s="247"/>
    </row>
    <row r="254" spans="1:11" ht="20.25">
      <c r="A254" s="247"/>
      <c r="B254" s="247"/>
      <c r="C254" s="247"/>
      <c r="D254" s="247"/>
      <c r="E254" s="258"/>
      <c r="F254" s="261"/>
      <c r="G254" s="247"/>
      <c r="H254" s="247"/>
      <c r="I254" s="247"/>
      <c r="J254" s="247"/>
      <c r="K254" s="247"/>
    </row>
    <row r="255" spans="1:11" ht="20.25">
      <c r="A255" s="247"/>
      <c r="B255" s="247"/>
      <c r="C255" s="247"/>
      <c r="D255" s="247"/>
      <c r="E255" s="258"/>
      <c r="F255" s="261"/>
      <c r="G255" s="247"/>
      <c r="H255" s="247"/>
      <c r="I255" s="247"/>
      <c r="J255" s="247"/>
      <c r="K255" s="247"/>
    </row>
    <row r="256" spans="1:11" ht="20.25">
      <c r="A256" s="247"/>
      <c r="B256" s="247"/>
      <c r="C256" s="247"/>
      <c r="D256" s="247"/>
      <c r="E256" s="258"/>
      <c r="F256" s="261"/>
      <c r="G256" s="247"/>
      <c r="H256" s="247"/>
      <c r="I256" s="247"/>
      <c r="J256" s="247"/>
      <c r="K256" s="247"/>
    </row>
    <row r="257" spans="1:11" ht="20.25">
      <c r="A257" s="247"/>
      <c r="B257" s="247"/>
      <c r="C257" s="247"/>
      <c r="D257" s="247"/>
      <c r="E257" s="258"/>
      <c r="F257" s="261"/>
      <c r="G257" s="247"/>
      <c r="H257" s="247"/>
      <c r="I257" s="247"/>
      <c r="J257" s="247"/>
      <c r="K257" s="247"/>
    </row>
    <row r="258" spans="1:11" ht="20.25">
      <c r="A258" s="247"/>
      <c r="B258" s="247"/>
      <c r="C258" s="247"/>
      <c r="D258" s="247"/>
      <c r="E258" s="258"/>
      <c r="F258" s="261"/>
      <c r="G258" s="247"/>
      <c r="H258" s="247"/>
      <c r="I258" s="247"/>
      <c r="J258" s="247"/>
      <c r="K258" s="247"/>
    </row>
    <row r="259" spans="1:11" ht="20.25">
      <c r="A259" s="247"/>
      <c r="B259" s="247"/>
      <c r="C259" s="247"/>
      <c r="D259" s="247"/>
      <c r="E259" s="258"/>
      <c r="F259" s="261"/>
      <c r="G259" s="247"/>
      <c r="H259" s="247"/>
      <c r="I259" s="247"/>
      <c r="J259" s="247"/>
      <c r="K259" s="247"/>
    </row>
    <row r="260" spans="1:11" ht="20.25">
      <c r="A260" s="247"/>
      <c r="B260" s="247"/>
      <c r="C260" s="247"/>
      <c r="D260" s="247"/>
      <c r="E260" s="258"/>
      <c r="F260" s="261"/>
      <c r="G260" s="247"/>
      <c r="H260" s="247"/>
      <c r="I260" s="247"/>
      <c r="J260" s="247"/>
      <c r="K260" s="247"/>
    </row>
    <row r="261" spans="1:11" ht="20.25">
      <c r="A261" s="247"/>
      <c r="B261" s="247"/>
      <c r="C261" s="247"/>
      <c r="D261" s="247"/>
      <c r="E261" s="258"/>
      <c r="F261" s="261"/>
      <c r="G261" s="247"/>
      <c r="H261" s="247"/>
      <c r="I261" s="247"/>
      <c r="J261" s="247"/>
      <c r="K261" s="247"/>
    </row>
    <row r="262" spans="1:11" ht="20.25">
      <c r="A262" s="247"/>
      <c r="B262" s="247"/>
      <c r="C262" s="247"/>
      <c r="D262" s="247"/>
      <c r="E262" s="258"/>
      <c r="F262" s="261"/>
      <c r="G262" s="247"/>
      <c r="H262" s="247"/>
      <c r="I262" s="247"/>
      <c r="J262" s="247"/>
      <c r="K262" s="247"/>
    </row>
    <row r="263" spans="1:11" ht="20.25">
      <c r="A263" s="247"/>
      <c r="B263" s="247"/>
      <c r="C263" s="247"/>
      <c r="D263" s="247"/>
      <c r="E263" s="258"/>
      <c r="F263" s="261"/>
      <c r="G263" s="247"/>
      <c r="H263" s="247"/>
      <c r="I263" s="247"/>
      <c r="J263" s="247"/>
      <c r="K263" s="247"/>
    </row>
    <row r="264" spans="1:11" ht="20.25">
      <c r="A264" s="247"/>
      <c r="B264" s="247"/>
      <c r="C264" s="247"/>
      <c r="D264" s="247"/>
      <c r="E264" s="258"/>
      <c r="F264" s="261"/>
      <c r="G264" s="247"/>
      <c r="H264" s="247"/>
      <c r="I264" s="247"/>
      <c r="J264" s="247"/>
      <c r="K264" s="247"/>
    </row>
    <row r="265" spans="1:11" ht="20.25">
      <c r="A265" s="247"/>
      <c r="B265" s="247"/>
      <c r="C265" s="247"/>
      <c r="D265" s="247"/>
      <c r="E265" s="258"/>
      <c r="F265" s="261"/>
      <c r="G265" s="247"/>
      <c r="H265" s="247"/>
      <c r="I265" s="247"/>
      <c r="J265" s="247"/>
      <c r="K265" s="247"/>
    </row>
    <row r="266" spans="1:11" ht="20.25">
      <c r="A266" s="247"/>
      <c r="B266" s="247"/>
      <c r="C266" s="247"/>
      <c r="D266" s="247"/>
      <c r="E266" s="258"/>
      <c r="F266" s="261"/>
      <c r="G266" s="247"/>
      <c r="H266" s="247"/>
      <c r="I266" s="247"/>
      <c r="J266" s="247"/>
      <c r="K266" s="247"/>
    </row>
    <row r="267" spans="1:11" ht="20.25">
      <c r="A267" s="247"/>
      <c r="B267" s="247"/>
      <c r="C267" s="247"/>
      <c r="D267" s="247"/>
      <c r="E267" s="258"/>
      <c r="F267" s="261"/>
      <c r="G267" s="247"/>
      <c r="H267" s="247"/>
      <c r="I267" s="247"/>
      <c r="J267" s="247"/>
      <c r="K267" s="247"/>
    </row>
    <row r="268" spans="1:11" ht="20.25">
      <c r="A268" s="247"/>
      <c r="B268" s="247"/>
      <c r="C268" s="247"/>
      <c r="D268" s="247"/>
      <c r="E268" s="258"/>
      <c r="F268" s="261"/>
      <c r="G268" s="247"/>
      <c r="H268" s="247"/>
      <c r="I268" s="247"/>
      <c r="J268" s="247"/>
      <c r="K268" s="247"/>
    </row>
    <row r="269" spans="1:11" ht="20.25">
      <c r="A269" s="247"/>
      <c r="B269" s="247"/>
      <c r="C269" s="247"/>
      <c r="D269" s="247"/>
      <c r="E269" s="258"/>
      <c r="F269" s="261"/>
      <c r="G269" s="247"/>
      <c r="H269" s="247"/>
      <c r="I269" s="247"/>
      <c r="J269" s="247"/>
      <c r="K269" s="247"/>
    </row>
    <row r="270" spans="1:11" ht="20.25">
      <c r="A270" s="247"/>
      <c r="B270" s="247"/>
      <c r="C270" s="247"/>
      <c r="D270" s="247"/>
      <c r="E270" s="258"/>
      <c r="F270" s="261"/>
      <c r="G270" s="247"/>
      <c r="H270" s="247"/>
      <c r="I270" s="247"/>
      <c r="J270" s="247"/>
      <c r="K270" s="247"/>
    </row>
    <row r="271" spans="1:11" ht="20.25">
      <c r="A271" s="247"/>
      <c r="B271" s="247"/>
      <c r="C271" s="247"/>
      <c r="D271" s="247"/>
      <c r="E271" s="258"/>
      <c r="F271" s="261"/>
      <c r="G271" s="247"/>
      <c r="H271" s="247"/>
      <c r="I271" s="247"/>
      <c r="J271" s="247"/>
      <c r="K271" s="247"/>
    </row>
    <row r="272" spans="1:11" ht="20.25">
      <c r="A272" s="247"/>
      <c r="B272" s="247"/>
      <c r="C272" s="247"/>
      <c r="D272" s="247"/>
      <c r="E272" s="258"/>
      <c r="F272" s="261"/>
      <c r="G272" s="247"/>
      <c r="H272" s="247"/>
      <c r="I272" s="247"/>
      <c r="J272" s="247"/>
      <c r="K272" s="247"/>
    </row>
    <row r="273" spans="1:11" ht="20.25">
      <c r="A273" s="247"/>
      <c r="B273" s="247"/>
      <c r="C273" s="247"/>
      <c r="D273" s="247"/>
      <c r="E273" s="258"/>
      <c r="F273" s="261"/>
      <c r="G273" s="247"/>
      <c r="H273" s="247"/>
      <c r="I273" s="247"/>
      <c r="J273" s="247"/>
      <c r="K273" s="247"/>
    </row>
    <row r="274" spans="1:11" ht="20.25">
      <c r="A274" s="247"/>
      <c r="B274" s="247"/>
      <c r="C274" s="247"/>
      <c r="D274" s="247"/>
      <c r="E274" s="258"/>
      <c r="F274" s="261"/>
      <c r="G274" s="247"/>
      <c r="H274" s="247"/>
      <c r="I274" s="247"/>
      <c r="J274" s="247"/>
      <c r="K274" s="247"/>
    </row>
    <row r="275" spans="1:11" ht="20.25">
      <c r="A275" s="247"/>
      <c r="B275" s="247"/>
      <c r="C275" s="247"/>
      <c r="D275" s="247"/>
      <c r="E275" s="258"/>
      <c r="F275" s="261"/>
      <c r="G275" s="247"/>
      <c r="H275" s="247"/>
      <c r="I275" s="247"/>
      <c r="J275" s="247"/>
      <c r="K275" s="247"/>
    </row>
    <row r="276" spans="1:11" ht="20.25">
      <c r="A276" s="247"/>
      <c r="B276" s="247"/>
      <c r="C276" s="247"/>
      <c r="D276" s="247"/>
      <c r="E276" s="258"/>
      <c r="F276" s="261"/>
      <c r="G276" s="247"/>
      <c r="H276" s="247"/>
      <c r="I276" s="247"/>
      <c r="J276" s="247"/>
      <c r="K276" s="247"/>
    </row>
    <row r="277" spans="1:11" ht="20.25">
      <c r="A277" s="247"/>
      <c r="B277" s="247"/>
      <c r="C277" s="247"/>
      <c r="D277" s="247"/>
      <c r="E277" s="258"/>
      <c r="F277" s="261"/>
      <c r="G277" s="247"/>
      <c r="H277" s="247"/>
      <c r="I277" s="247"/>
      <c r="J277" s="247"/>
      <c r="K277" s="247"/>
    </row>
    <row r="278" spans="1:11" ht="20.25">
      <c r="A278" s="247"/>
      <c r="B278" s="247"/>
      <c r="C278" s="247"/>
      <c r="D278" s="247"/>
      <c r="E278" s="258"/>
      <c r="F278" s="261"/>
      <c r="G278" s="247"/>
      <c r="H278" s="247"/>
      <c r="I278" s="247"/>
      <c r="J278" s="247"/>
      <c r="K278" s="247"/>
    </row>
    <row r="279" spans="1:11" ht="20.25">
      <c r="A279" s="247"/>
      <c r="B279" s="247"/>
      <c r="C279" s="247"/>
      <c r="D279" s="247"/>
      <c r="E279" s="258"/>
      <c r="F279" s="261"/>
      <c r="G279" s="247"/>
      <c r="H279" s="247"/>
      <c r="I279" s="247"/>
      <c r="J279" s="247"/>
      <c r="K279" s="247"/>
    </row>
    <row r="280" spans="1:11" ht="20.25">
      <c r="A280" s="247"/>
      <c r="B280" s="247"/>
      <c r="C280" s="247"/>
      <c r="D280" s="247"/>
      <c r="E280" s="258"/>
      <c r="F280" s="261"/>
      <c r="G280" s="247"/>
      <c r="H280" s="247"/>
      <c r="I280" s="247"/>
      <c r="J280" s="247"/>
      <c r="K280" s="247"/>
    </row>
    <row r="281" spans="1:11" ht="20.25">
      <c r="A281" s="247"/>
      <c r="B281" s="247"/>
      <c r="C281" s="247"/>
      <c r="D281" s="247"/>
      <c r="E281" s="258"/>
      <c r="F281" s="261"/>
      <c r="G281" s="247"/>
      <c r="H281" s="247"/>
      <c r="I281" s="247"/>
      <c r="J281" s="247"/>
      <c r="K281" s="247"/>
    </row>
    <row r="282" spans="1:11" ht="20.25">
      <c r="A282" s="247"/>
      <c r="B282" s="247"/>
      <c r="C282" s="247"/>
      <c r="D282" s="247"/>
      <c r="E282" s="258"/>
      <c r="F282" s="261"/>
      <c r="G282" s="247"/>
      <c r="H282" s="247"/>
      <c r="I282" s="247"/>
      <c r="J282" s="247"/>
      <c r="K282" s="247"/>
    </row>
    <row r="283" spans="1:11" ht="20.25">
      <c r="A283" s="247"/>
      <c r="B283" s="247"/>
      <c r="C283" s="247"/>
      <c r="D283" s="247"/>
      <c r="E283" s="258"/>
      <c r="F283" s="261"/>
      <c r="G283" s="247"/>
      <c r="H283" s="247"/>
      <c r="I283" s="247"/>
      <c r="J283" s="247"/>
      <c r="K283" s="247"/>
    </row>
    <row r="284" spans="1:11" ht="20.25">
      <c r="A284" s="247"/>
      <c r="B284" s="247"/>
      <c r="C284" s="247"/>
      <c r="D284" s="247"/>
      <c r="E284" s="258"/>
      <c r="F284" s="261"/>
      <c r="G284" s="247"/>
      <c r="H284" s="247"/>
      <c r="I284" s="247"/>
      <c r="J284" s="247"/>
      <c r="K284" s="247"/>
    </row>
    <row r="285" spans="1:11" ht="20.25">
      <c r="A285" s="247"/>
      <c r="B285" s="247"/>
      <c r="C285" s="247"/>
      <c r="D285" s="247"/>
      <c r="E285" s="258"/>
      <c r="F285" s="261"/>
      <c r="G285" s="247"/>
      <c r="H285" s="247"/>
      <c r="I285" s="247"/>
      <c r="J285" s="247"/>
      <c r="K285" s="247"/>
    </row>
    <row r="286" spans="1:11" ht="20.25">
      <c r="A286" s="247"/>
      <c r="B286" s="247"/>
      <c r="C286" s="247"/>
      <c r="D286" s="247"/>
      <c r="E286" s="258"/>
      <c r="F286" s="261"/>
      <c r="G286" s="247"/>
      <c r="H286" s="247"/>
      <c r="I286" s="247"/>
      <c r="J286" s="247"/>
      <c r="K286" s="247"/>
    </row>
    <row r="287" spans="1:11" ht="20.25">
      <c r="A287" s="247"/>
      <c r="B287" s="247"/>
      <c r="C287" s="247"/>
      <c r="D287" s="247"/>
      <c r="E287" s="258"/>
      <c r="F287" s="261"/>
      <c r="G287" s="247"/>
      <c r="H287" s="247"/>
      <c r="I287" s="247"/>
      <c r="J287" s="247"/>
      <c r="K287" s="247"/>
    </row>
    <row r="288" spans="1:11" ht="20.25">
      <c r="A288" s="247"/>
      <c r="B288" s="247"/>
      <c r="C288" s="247"/>
      <c r="D288" s="247"/>
      <c r="E288" s="258"/>
      <c r="F288" s="261"/>
      <c r="G288" s="247"/>
      <c r="H288" s="247"/>
      <c r="I288" s="247"/>
      <c r="J288" s="247"/>
      <c r="K288" s="247"/>
    </row>
    <row r="289" spans="1:11" ht="20.25">
      <c r="A289" s="247"/>
      <c r="B289" s="247"/>
      <c r="C289" s="247"/>
      <c r="D289" s="247"/>
      <c r="E289" s="258"/>
      <c r="F289" s="261"/>
      <c r="G289" s="247"/>
      <c r="H289" s="247"/>
      <c r="I289" s="247"/>
      <c r="J289" s="247"/>
      <c r="K289" s="247"/>
    </row>
    <row r="290" spans="1:11" ht="20.25">
      <c r="A290" s="247"/>
      <c r="B290" s="247"/>
      <c r="C290" s="247"/>
      <c r="D290" s="247"/>
      <c r="E290" s="258"/>
      <c r="F290" s="261"/>
      <c r="G290" s="247"/>
      <c r="H290" s="247"/>
      <c r="I290" s="247"/>
      <c r="J290" s="247"/>
      <c r="K290" s="247"/>
    </row>
    <row r="291" spans="1:11" ht="20.25">
      <c r="A291" s="247"/>
      <c r="B291" s="247"/>
      <c r="C291" s="247"/>
      <c r="D291" s="247"/>
      <c r="E291" s="258"/>
      <c r="F291" s="261"/>
      <c r="G291" s="247"/>
      <c r="H291" s="247"/>
      <c r="I291" s="247"/>
      <c r="J291" s="247"/>
      <c r="K291" s="247"/>
    </row>
    <row r="292" spans="1:11" ht="20.25">
      <c r="A292" s="247"/>
      <c r="B292" s="247"/>
      <c r="C292" s="247"/>
      <c r="D292" s="247"/>
      <c r="E292" s="258"/>
      <c r="F292" s="261"/>
      <c r="G292" s="247"/>
      <c r="H292" s="247"/>
      <c r="I292" s="247"/>
      <c r="J292" s="247"/>
      <c r="K292" s="247"/>
    </row>
    <row r="293" spans="1:11" ht="20.25">
      <c r="A293" s="247"/>
      <c r="B293" s="247"/>
      <c r="C293" s="247"/>
      <c r="D293" s="247"/>
      <c r="E293" s="258"/>
      <c r="F293" s="261"/>
      <c r="G293" s="247"/>
      <c r="H293" s="247"/>
      <c r="I293" s="247"/>
      <c r="J293" s="247"/>
      <c r="K293" s="247"/>
    </row>
    <row r="294" spans="1:11" ht="20.25">
      <c r="A294" s="247"/>
      <c r="B294" s="247"/>
      <c r="C294" s="247"/>
      <c r="D294" s="247"/>
      <c r="E294" s="258"/>
      <c r="F294" s="261"/>
      <c r="G294" s="247"/>
      <c r="H294" s="247"/>
      <c r="I294" s="247"/>
      <c r="J294" s="247"/>
      <c r="K294" s="247"/>
    </row>
    <row r="295" spans="1:11" ht="20.25">
      <c r="A295" s="247"/>
      <c r="B295" s="247"/>
      <c r="C295" s="247"/>
      <c r="D295" s="247"/>
      <c r="E295" s="258"/>
      <c r="F295" s="261"/>
      <c r="G295" s="247"/>
      <c r="H295" s="247"/>
      <c r="I295" s="247"/>
      <c r="J295" s="247"/>
      <c r="K295" s="247"/>
    </row>
    <row r="296" spans="1:11" ht="20.25">
      <c r="A296" s="247"/>
      <c r="B296" s="247"/>
      <c r="C296" s="247"/>
      <c r="D296" s="247"/>
      <c r="E296" s="258"/>
      <c r="F296" s="261"/>
      <c r="G296" s="247"/>
      <c r="H296" s="247"/>
      <c r="I296" s="247"/>
      <c r="J296" s="247"/>
      <c r="K296" s="247"/>
    </row>
    <row r="297" spans="1:11" ht="20.25">
      <c r="A297" s="247"/>
      <c r="B297" s="247"/>
      <c r="C297" s="247"/>
      <c r="D297" s="247"/>
      <c r="E297" s="258"/>
      <c r="F297" s="261"/>
      <c r="G297" s="247"/>
      <c r="H297" s="247"/>
      <c r="I297" s="247"/>
      <c r="J297" s="247"/>
      <c r="K297" s="247"/>
    </row>
    <row r="298" spans="1:11" ht="20.25">
      <c r="A298" s="247"/>
      <c r="B298" s="247"/>
      <c r="C298" s="247"/>
      <c r="D298" s="247"/>
      <c r="E298" s="258"/>
      <c r="F298" s="261"/>
      <c r="G298" s="247"/>
      <c r="H298" s="247"/>
      <c r="I298" s="247"/>
      <c r="J298" s="247"/>
      <c r="K298" s="247"/>
    </row>
    <row r="299" spans="1:11" ht="20.25">
      <c r="A299" s="247"/>
      <c r="B299" s="247"/>
      <c r="C299" s="247"/>
      <c r="D299" s="247"/>
      <c r="E299" s="258"/>
      <c r="F299" s="261"/>
      <c r="G299" s="247"/>
      <c r="H299" s="247"/>
      <c r="I299" s="247"/>
      <c r="J299" s="247"/>
      <c r="K299" s="247"/>
    </row>
    <row r="300" spans="1:11" ht="20.25">
      <c r="A300" s="247"/>
      <c r="B300" s="247"/>
      <c r="C300" s="247"/>
      <c r="D300" s="247"/>
      <c r="E300" s="258"/>
      <c r="F300" s="261"/>
      <c r="G300" s="247"/>
      <c r="H300" s="247"/>
      <c r="I300" s="247"/>
      <c r="J300" s="247"/>
      <c r="K300" s="247"/>
    </row>
    <row r="301" spans="1:11" ht="20.25">
      <c r="A301" s="247"/>
      <c r="B301" s="247"/>
      <c r="C301" s="247"/>
      <c r="D301" s="247"/>
      <c r="E301" s="258"/>
      <c r="F301" s="261"/>
      <c r="G301" s="247"/>
      <c r="H301" s="247"/>
      <c r="I301" s="247"/>
      <c r="J301" s="247"/>
      <c r="K301" s="247"/>
    </row>
    <row r="302" spans="1:11" ht="20.25">
      <c r="A302" s="247"/>
      <c r="B302" s="247"/>
      <c r="C302" s="247"/>
      <c r="D302" s="247"/>
      <c r="E302" s="258"/>
      <c r="F302" s="261"/>
      <c r="G302" s="247"/>
      <c r="H302" s="247"/>
      <c r="I302" s="247"/>
      <c r="J302" s="247"/>
      <c r="K302" s="247"/>
    </row>
    <row r="303" spans="1:11" ht="20.25">
      <c r="A303" s="247"/>
      <c r="B303" s="247"/>
      <c r="C303" s="247"/>
      <c r="D303" s="247"/>
      <c r="E303" s="258"/>
      <c r="F303" s="261"/>
      <c r="G303" s="247"/>
      <c r="H303" s="247"/>
      <c r="I303" s="247"/>
      <c r="J303" s="247"/>
      <c r="K303" s="247"/>
    </row>
    <row r="304" spans="1:11" ht="20.25">
      <c r="A304" s="247"/>
      <c r="B304" s="247"/>
      <c r="C304" s="247"/>
      <c r="D304" s="247"/>
      <c r="E304" s="258"/>
      <c r="F304" s="261"/>
      <c r="G304" s="247"/>
      <c r="H304" s="247"/>
      <c r="I304" s="247"/>
      <c r="J304" s="247"/>
      <c r="K304" s="247"/>
    </row>
    <row r="305" spans="1:11" ht="20.25">
      <c r="A305" s="247"/>
      <c r="B305" s="247"/>
      <c r="C305" s="247"/>
      <c r="D305" s="247"/>
      <c r="E305" s="258"/>
      <c r="F305" s="261"/>
      <c r="G305" s="247"/>
      <c r="H305" s="247"/>
      <c r="I305" s="247"/>
      <c r="J305" s="247"/>
      <c r="K305" s="247"/>
    </row>
    <row r="306" spans="1:11" ht="20.25">
      <c r="A306" s="247"/>
      <c r="B306" s="247"/>
      <c r="C306" s="247"/>
      <c r="D306" s="247"/>
      <c r="E306" s="258"/>
      <c r="F306" s="261"/>
      <c r="G306" s="247"/>
      <c r="H306" s="247"/>
      <c r="I306" s="247"/>
      <c r="J306" s="247"/>
      <c r="K306" s="247"/>
    </row>
    <row r="307" spans="1:11" ht="20.25">
      <c r="A307" s="247"/>
      <c r="B307" s="247"/>
      <c r="C307" s="247"/>
      <c r="D307" s="247"/>
      <c r="E307" s="258"/>
      <c r="F307" s="261"/>
      <c r="G307" s="247"/>
      <c r="H307" s="247"/>
      <c r="I307" s="247"/>
      <c r="J307" s="247"/>
      <c r="K307" s="247"/>
    </row>
    <row r="308" spans="1:11" ht="20.25">
      <c r="A308" s="247"/>
      <c r="B308" s="247"/>
      <c r="C308" s="247"/>
      <c r="D308" s="247"/>
      <c r="E308" s="258"/>
      <c r="F308" s="261"/>
      <c r="G308" s="247"/>
      <c r="H308" s="247"/>
      <c r="I308" s="247"/>
      <c r="J308" s="247"/>
      <c r="K308" s="247"/>
    </row>
    <row r="309" spans="1:11" ht="20.25">
      <c r="A309" s="247"/>
      <c r="B309" s="247"/>
      <c r="C309" s="247"/>
      <c r="D309" s="247"/>
      <c r="E309" s="258"/>
      <c r="F309" s="261"/>
      <c r="G309" s="247"/>
      <c r="H309" s="247"/>
      <c r="I309" s="247"/>
      <c r="J309" s="247"/>
      <c r="K309" s="247"/>
    </row>
    <row r="310" spans="1:11" ht="20.25">
      <c r="A310" s="247"/>
      <c r="B310" s="247"/>
      <c r="C310" s="247"/>
      <c r="D310" s="247"/>
      <c r="E310" s="258"/>
      <c r="F310" s="261"/>
      <c r="G310" s="247"/>
      <c r="H310" s="247"/>
      <c r="I310" s="247"/>
      <c r="J310" s="247"/>
      <c r="K310" s="247"/>
    </row>
    <row r="311" spans="1:11" ht="20.25">
      <c r="A311" s="247"/>
      <c r="B311" s="247"/>
      <c r="C311" s="247"/>
      <c r="D311" s="247"/>
      <c r="E311" s="258"/>
      <c r="F311" s="261"/>
      <c r="G311" s="247"/>
      <c r="H311" s="247"/>
      <c r="I311" s="247"/>
      <c r="J311" s="247"/>
      <c r="K311" s="247"/>
    </row>
    <row r="312" spans="1:11" ht="20.25">
      <c r="A312" s="247"/>
      <c r="B312" s="247"/>
      <c r="C312" s="247"/>
      <c r="D312" s="247"/>
      <c r="E312" s="258"/>
      <c r="F312" s="261"/>
      <c r="G312" s="247"/>
      <c r="H312" s="247"/>
      <c r="I312" s="247"/>
      <c r="J312" s="247"/>
      <c r="K312" s="247"/>
    </row>
    <row r="313" spans="1:11" ht="20.25">
      <c r="A313" s="247"/>
      <c r="B313" s="247"/>
      <c r="C313" s="247"/>
      <c r="D313" s="247"/>
      <c r="E313" s="258"/>
      <c r="F313" s="261"/>
      <c r="G313" s="247"/>
      <c r="H313" s="247"/>
      <c r="I313" s="247"/>
      <c r="J313" s="247"/>
      <c r="K313" s="247"/>
    </row>
    <row r="314" spans="1:11" ht="20.25">
      <c r="A314" s="247"/>
      <c r="B314" s="247"/>
      <c r="C314" s="247"/>
      <c r="D314" s="247"/>
      <c r="E314" s="258"/>
      <c r="F314" s="261"/>
      <c r="G314" s="247"/>
      <c r="H314" s="247"/>
      <c r="I314" s="247"/>
      <c r="J314" s="247"/>
      <c r="K314" s="247"/>
    </row>
    <row r="315" spans="1:11" ht="20.25">
      <c r="A315" s="247"/>
      <c r="B315" s="247"/>
      <c r="C315" s="247"/>
      <c r="D315" s="247"/>
      <c r="E315" s="258"/>
      <c r="F315" s="261"/>
      <c r="G315" s="247"/>
      <c r="H315" s="247"/>
      <c r="I315" s="247"/>
      <c r="J315" s="247"/>
      <c r="K315" s="247"/>
    </row>
    <row r="316" spans="1:11" ht="20.25">
      <c r="A316" s="247"/>
      <c r="B316" s="247"/>
      <c r="C316" s="247"/>
      <c r="D316" s="247"/>
      <c r="E316" s="258"/>
      <c r="F316" s="261"/>
      <c r="G316" s="247"/>
      <c r="H316" s="247"/>
      <c r="I316" s="247"/>
      <c r="J316" s="247"/>
      <c r="K316" s="247"/>
    </row>
    <row r="317" spans="1:11" ht="20.25">
      <c r="A317" s="247"/>
      <c r="B317" s="247"/>
      <c r="C317" s="247"/>
      <c r="D317" s="247"/>
      <c r="E317" s="258"/>
      <c r="F317" s="261"/>
      <c r="G317" s="247"/>
      <c r="H317" s="247"/>
      <c r="I317" s="247"/>
      <c r="J317" s="247"/>
      <c r="K317" s="247"/>
    </row>
    <row r="318" spans="1:11" ht="20.25">
      <c r="A318" s="247"/>
      <c r="B318" s="247"/>
      <c r="C318" s="247"/>
      <c r="D318" s="247"/>
      <c r="E318" s="258"/>
      <c r="F318" s="261"/>
      <c r="G318" s="247"/>
      <c r="H318" s="247"/>
      <c r="I318" s="247"/>
      <c r="J318" s="247"/>
      <c r="K318" s="247"/>
    </row>
    <row r="319" spans="1:11" ht="20.25">
      <c r="A319" s="247"/>
      <c r="B319" s="247"/>
      <c r="C319" s="247"/>
      <c r="D319" s="247"/>
      <c r="E319" s="258"/>
      <c r="F319" s="261"/>
      <c r="G319" s="247"/>
      <c r="H319" s="247"/>
      <c r="I319" s="247"/>
      <c r="J319" s="247"/>
      <c r="K319" s="247"/>
    </row>
    <row r="320" spans="1:11" ht="20.25">
      <c r="A320" s="247"/>
      <c r="B320" s="247"/>
      <c r="C320" s="247"/>
      <c r="D320" s="247"/>
      <c r="E320" s="258"/>
      <c r="F320" s="261"/>
      <c r="G320" s="247"/>
      <c r="H320" s="247"/>
      <c r="I320" s="247"/>
      <c r="J320" s="247"/>
      <c r="K320" s="247"/>
    </row>
    <row r="321" spans="1:11" ht="20.25">
      <c r="A321" s="247"/>
      <c r="B321" s="247"/>
      <c r="C321" s="247"/>
      <c r="D321" s="247"/>
      <c r="E321" s="258"/>
      <c r="F321" s="261"/>
      <c r="G321" s="247"/>
      <c r="H321" s="247"/>
      <c r="I321" s="247"/>
      <c r="J321" s="247"/>
      <c r="K321" s="247"/>
    </row>
    <row r="322" spans="1:11" ht="20.25">
      <c r="A322" s="247"/>
      <c r="B322" s="247"/>
      <c r="C322" s="247"/>
      <c r="D322" s="247"/>
      <c r="E322" s="258"/>
      <c r="F322" s="261"/>
      <c r="G322" s="247"/>
      <c r="H322" s="247"/>
      <c r="I322" s="247"/>
      <c r="J322" s="247"/>
      <c r="K322" s="247"/>
    </row>
    <row r="323" spans="1:11" ht="20.25">
      <c r="A323" s="247"/>
      <c r="B323" s="247"/>
      <c r="C323" s="247"/>
      <c r="D323" s="247"/>
      <c r="E323" s="258"/>
      <c r="F323" s="261"/>
      <c r="G323" s="247"/>
      <c r="H323" s="247"/>
      <c r="I323" s="247"/>
      <c r="J323" s="247"/>
      <c r="K323" s="247"/>
    </row>
    <row r="324" spans="1:11" ht="20.25">
      <c r="A324" s="247"/>
      <c r="B324" s="247"/>
      <c r="C324" s="247"/>
      <c r="D324" s="247"/>
      <c r="E324" s="258"/>
      <c r="F324" s="261"/>
      <c r="G324" s="247"/>
      <c r="H324" s="247"/>
      <c r="I324" s="247"/>
      <c r="J324" s="247"/>
      <c r="K324" s="247"/>
    </row>
    <row r="325" spans="1:11" ht="20.25">
      <c r="A325" s="247"/>
      <c r="B325" s="247"/>
      <c r="C325" s="247"/>
      <c r="D325" s="247"/>
      <c r="E325" s="258"/>
      <c r="F325" s="261"/>
      <c r="G325" s="247"/>
      <c r="H325" s="247"/>
      <c r="I325" s="247"/>
      <c r="J325" s="247"/>
      <c r="K325" s="247"/>
    </row>
    <row r="326" spans="1:11" ht="20.25">
      <c r="A326" s="247"/>
      <c r="B326" s="247"/>
      <c r="C326" s="247"/>
      <c r="D326" s="247"/>
      <c r="E326" s="258"/>
      <c r="F326" s="261"/>
      <c r="G326" s="247"/>
      <c r="H326" s="247"/>
      <c r="I326" s="247"/>
      <c r="J326" s="247"/>
      <c r="K326" s="247"/>
    </row>
    <row r="327" spans="1:11" ht="20.25">
      <c r="A327" s="247"/>
      <c r="B327" s="247"/>
      <c r="C327" s="247"/>
      <c r="D327" s="247"/>
      <c r="E327" s="258"/>
      <c r="F327" s="261"/>
      <c r="G327" s="247"/>
      <c r="H327" s="247"/>
      <c r="I327" s="247"/>
      <c r="J327" s="247"/>
      <c r="K327" s="247"/>
    </row>
    <row r="328" spans="1:11" ht="20.25">
      <c r="A328" s="247"/>
      <c r="B328" s="247"/>
      <c r="C328" s="247"/>
      <c r="D328" s="247"/>
      <c r="E328" s="258"/>
      <c r="F328" s="261"/>
      <c r="G328" s="247"/>
      <c r="H328" s="247"/>
      <c r="I328" s="247"/>
      <c r="J328" s="247"/>
      <c r="K328" s="247"/>
    </row>
    <row r="329" spans="1:11" ht="20.25">
      <c r="A329" s="247"/>
      <c r="B329" s="247"/>
      <c r="C329" s="247"/>
      <c r="D329" s="247"/>
      <c r="E329" s="258"/>
      <c r="F329" s="261"/>
      <c r="G329" s="247"/>
      <c r="H329" s="247"/>
      <c r="I329" s="247"/>
      <c r="J329" s="247"/>
      <c r="K329" s="247"/>
    </row>
    <row r="330" spans="1:11" ht="20.25">
      <c r="A330" s="247"/>
      <c r="B330" s="247"/>
      <c r="C330" s="247"/>
      <c r="D330" s="247"/>
      <c r="E330" s="258"/>
      <c r="F330" s="261"/>
      <c r="G330" s="247"/>
      <c r="H330" s="247"/>
      <c r="I330" s="247"/>
      <c r="J330" s="247"/>
      <c r="K330" s="247"/>
    </row>
    <row r="331" spans="1:11" ht="20.25">
      <c r="A331" s="247"/>
      <c r="B331" s="247"/>
      <c r="C331" s="247"/>
      <c r="D331" s="247"/>
      <c r="E331" s="258"/>
      <c r="F331" s="261"/>
      <c r="G331" s="247"/>
      <c r="H331" s="247"/>
      <c r="I331" s="247"/>
      <c r="J331" s="247"/>
      <c r="K331" s="247"/>
    </row>
    <row r="332" spans="1:11" ht="20.25">
      <c r="A332" s="247"/>
      <c r="B332" s="247"/>
      <c r="C332" s="247"/>
      <c r="D332" s="247"/>
      <c r="E332" s="258"/>
      <c r="F332" s="261"/>
      <c r="G332" s="247"/>
      <c r="H332" s="247"/>
      <c r="I332" s="247"/>
      <c r="J332" s="247"/>
      <c r="K332" s="247"/>
    </row>
    <row r="333" spans="1:11" ht="20.25">
      <c r="A333" s="247"/>
      <c r="B333" s="247"/>
      <c r="C333" s="247"/>
      <c r="D333" s="247"/>
      <c r="E333" s="258"/>
      <c r="F333" s="261"/>
      <c r="G333" s="247"/>
      <c r="H333" s="247"/>
      <c r="I333" s="247"/>
      <c r="J333" s="247"/>
      <c r="K333" s="247"/>
    </row>
    <row r="334" spans="1:11" ht="20.25">
      <c r="A334" s="247"/>
      <c r="B334" s="247"/>
      <c r="C334" s="247"/>
      <c r="D334" s="247"/>
      <c r="E334" s="258"/>
      <c r="F334" s="261"/>
      <c r="G334" s="247"/>
      <c r="H334" s="247"/>
      <c r="I334" s="247"/>
      <c r="J334" s="247"/>
      <c r="K334" s="247"/>
    </row>
    <row r="335" spans="1:11" ht="20.25">
      <c r="A335" s="247"/>
      <c r="B335" s="247"/>
      <c r="C335" s="247"/>
      <c r="D335" s="247"/>
      <c r="E335" s="258"/>
      <c r="F335" s="261"/>
      <c r="G335" s="247"/>
      <c r="H335" s="247"/>
      <c r="I335" s="247"/>
      <c r="J335" s="247"/>
      <c r="K335" s="247"/>
    </row>
    <row r="336" spans="1:11" ht="20.25">
      <c r="A336" s="247"/>
      <c r="B336" s="247"/>
      <c r="C336" s="247"/>
      <c r="D336" s="247"/>
      <c r="E336" s="258"/>
      <c r="F336" s="261"/>
      <c r="G336" s="247"/>
      <c r="H336" s="247"/>
      <c r="I336" s="247"/>
      <c r="J336" s="247"/>
      <c r="K336" s="247"/>
    </row>
    <row r="337" spans="1:11" ht="20.25">
      <c r="A337" s="247"/>
      <c r="B337" s="247"/>
      <c r="C337" s="247"/>
      <c r="D337" s="247"/>
      <c r="E337" s="258"/>
      <c r="F337" s="261"/>
      <c r="G337" s="247"/>
      <c r="H337" s="247"/>
      <c r="I337" s="247"/>
      <c r="J337" s="247"/>
      <c r="K337" s="247"/>
    </row>
    <row r="338" spans="1:11" ht="20.25">
      <c r="A338" s="247"/>
      <c r="B338" s="247"/>
      <c r="C338" s="247"/>
      <c r="D338" s="247"/>
      <c r="E338" s="258"/>
      <c r="F338" s="261"/>
      <c r="G338" s="247"/>
      <c r="H338" s="247"/>
      <c r="I338" s="247"/>
      <c r="J338" s="247"/>
      <c r="K338" s="247"/>
    </row>
    <row r="339" spans="1:11" ht="20.25">
      <c r="A339" s="247"/>
      <c r="B339" s="247"/>
      <c r="C339" s="247"/>
      <c r="D339" s="247"/>
      <c r="E339" s="258"/>
      <c r="F339" s="261"/>
      <c r="G339" s="247"/>
      <c r="H339" s="247"/>
      <c r="I339" s="247"/>
      <c r="J339" s="247"/>
      <c r="K339" s="247"/>
    </row>
    <row r="340" spans="1:11" ht="20.25">
      <c r="A340" s="247"/>
      <c r="B340" s="247"/>
      <c r="C340" s="247"/>
      <c r="D340" s="247"/>
      <c r="E340" s="258"/>
      <c r="F340" s="261"/>
      <c r="G340" s="247"/>
      <c r="H340" s="247"/>
      <c r="I340" s="247"/>
      <c r="J340" s="247"/>
      <c r="K340" s="247"/>
    </row>
    <row r="341" spans="1:11" ht="20.25">
      <c r="A341" s="247"/>
      <c r="B341" s="247"/>
      <c r="C341" s="247"/>
      <c r="D341" s="247"/>
      <c r="E341" s="258"/>
      <c r="F341" s="261"/>
      <c r="G341" s="247"/>
      <c r="H341" s="247"/>
      <c r="I341" s="247"/>
      <c r="J341" s="247"/>
      <c r="K341" s="247"/>
    </row>
    <row r="342" spans="1:11" ht="20.25">
      <c r="A342" s="247"/>
      <c r="B342" s="247"/>
      <c r="C342" s="247"/>
      <c r="D342" s="247"/>
      <c r="E342" s="258"/>
      <c r="F342" s="261"/>
      <c r="G342" s="247"/>
      <c r="H342" s="247"/>
      <c r="I342" s="247"/>
      <c r="J342" s="247"/>
      <c r="K342" s="247"/>
    </row>
    <row r="343" spans="1:11" ht="20.25">
      <c r="A343" s="247"/>
      <c r="B343" s="247"/>
      <c r="C343" s="247"/>
      <c r="D343" s="247"/>
      <c r="E343" s="258"/>
      <c r="F343" s="261"/>
      <c r="G343" s="247"/>
      <c r="H343" s="247"/>
      <c r="I343" s="247"/>
      <c r="J343" s="247"/>
      <c r="K343" s="247"/>
    </row>
    <row r="344" spans="1:11" ht="20.25">
      <c r="A344" s="247"/>
      <c r="B344" s="247"/>
      <c r="C344" s="247"/>
      <c r="D344" s="247"/>
      <c r="E344" s="258"/>
      <c r="F344" s="261"/>
      <c r="G344" s="247"/>
      <c r="H344" s="247"/>
      <c r="I344" s="247"/>
      <c r="J344" s="247"/>
      <c r="K344" s="247"/>
    </row>
    <row r="345" spans="1:11" ht="20.25">
      <c r="A345" s="247"/>
      <c r="B345" s="247"/>
      <c r="C345" s="247"/>
      <c r="D345" s="247"/>
      <c r="E345" s="258"/>
      <c r="F345" s="261"/>
      <c r="G345" s="247"/>
      <c r="H345" s="247"/>
      <c r="I345" s="247"/>
      <c r="J345" s="247"/>
      <c r="K345" s="247"/>
    </row>
    <row r="346" spans="1:11" ht="20.25">
      <c r="A346" s="247"/>
      <c r="B346" s="247"/>
      <c r="C346" s="247"/>
      <c r="D346" s="247"/>
      <c r="E346" s="258"/>
      <c r="F346" s="261"/>
      <c r="G346" s="247"/>
      <c r="H346" s="247"/>
      <c r="I346" s="247"/>
      <c r="J346" s="247"/>
      <c r="K346" s="247"/>
    </row>
    <row r="347" spans="1:11" ht="20.25">
      <c r="A347" s="247"/>
      <c r="B347" s="247"/>
      <c r="C347" s="247"/>
      <c r="D347" s="247"/>
      <c r="E347" s="258"/>
      <c r="F347" s="261"/>
      <c r="G347" s="247"/>
      <c r="H347" s="247"/>
      <c r="I347" s="247"/>
      <c r="J347" s="247"/>
      <c r="K347" s="247"/>
    </row>
    <row r="348" spans="1:11" ht="20.25">
      <c r="A348" s="247"/>
      <c r="B348" s="247"/>
      <c r="C348" s="247"/>
      <c r="D348" s="247"/>
      <c r="E348" s="258"/>
      <c r="F348" s="261"/>
      <c r="G348" s="247"/>
      <c r="H348" s="247"/>
      <c r="I348" s="247"/>
      <c r="J348" s="247"/>
      <c r="K348" s="247"/>
    </row>
    <row r="349" spans="1:11" ht="20.25">
      <c r="A349" s="247"/>
      <c r="B349" s="247"/>
      <c r="C349" s="247"/>
      <c r="D349" s="247"/>
      <c r="E349" s="258"/>
      <c r="F349" s="261"/>
      <c r="G349" s="247"/>
      <c r="H349" s="247"/>
      <c r="I349" s="247"/>
      <c r="J349" s="247"/>
      <c r="K349" s="247"/>
    </row>
    <row r="350" spans="1:11" ht="20.25">
      <c r="A350" s="247"/>
      <c r="B350" s="247"/>
      <c r="C350" s="247"/>
      <c r="D350" s="247"/>
      <c r="E350" s="258"/>
      <c r="F350" s="261"/>
      <c r="G350" s="247"/>
      <c r="H350" s="247"/>
      <c r="I350" s="247"/>
      <c r="J350" s="247"/>
      <c r="K350" s="247"/>
    </row>
    <row r="351" spans="1:11" ht="20.25">
      <c r="A351" s="247"/>
      <c r="B351" s="247"/>
      <c r="C351" s="247"/>
      <c r="D351" s="247"/>
      <c r="E351" s="258"/>
      <c r="F351" s="261"/>
      <c r="G351" s="247"/>
      <c r="H351" s="247"/>
      <c r="I351" s="247"/>
      <c r="J351" s="247"/>
      <c r="K351" s="247"/>
    </row>
    <row r="352" spans="1:11" ht="20.25">
      <c r="A352" s="247"/>
      <c r="B352" s="247"/>
      <c r="C352" s="247"/>
      <c r="D352" s="247"/>
      <c r="E352" s="258"/>
      <c r="F352" s="261"/>
      <c r="G352" s="247"/>
      <c r="H352" s="247"/>
      <c r="I352" s="247"/>
      <c r="J352" s="247"/>
      <c r="K352" s="247"/>
    </row>
    <row r="353" spans="1:11" ht="20.25">
      <c r="A353" s="247"/>
      <c r="B353" s="247"/>
      <c r="C353" s="247"/>
      <c r="D353" s="247"/>
      <c r="E353" s="258"/>
      <c r="F353" s="261"/>
      <c r="G353" s="247"/>
      <c r="H353" s="247"/>
      <c r="I353" s="247"/>
      <c r="J353" s="247"/>
      <c r="K353" s="247"/>
    </row>
    <row r="354" spans="1:11" ht="20.25">
      <c r="A354" s="247"/>
      <c r="B354" s="247"/>
      <c r="C354" s="247"/>
      <c r="D354" s="247"/>
      <c r="E354" s="258"/>
      <c r="F354" s="261"/>
      <c r="G354" s="247"/>
      <c r="H354" s="247"/>
      <c r="I354" s="247"/>
      <c r="J354" s="247"/>
      <c r="K354" s="247"/>
    </row>
    <row r="355" spans="1:11" ht="20.25">
      <c r="A355" s="247"/>
      <c r="B355" s="247"/>
      <c r="C355" s="247"/>
      <c r="D355" s="247"/>
      <c r="E355" s="258"/>
      <c r="F355" s="261"/>
      <c r="G355" s="247"/>
      <c r="H355" s="247"/>
      <c r="I355" s="247"/>
      <c r="J355" s="247"/>
      <c r="K355" s="247"/>
    </row>
    <row r="356" spans="1:11" ht="20.25">
      <c r="A356" s="247"/>
      <c r="B356" s="247"/>
      <c r="C356" s="247"/>
      <c r="D356" s="247"/>
      <c r="E356" s="258"/>
      <c r="F356" s="261"/>
      <c r="G356" s="247"/>
      <c r="H356" s="247"/>
      <c r="I356" s="247"/>
      <c r="J356" s="247"/>
      <c r="K356" s="247"/>
    </row>
    <row r="357" spans="1:11" ht="20.25">
      <c r="A357" s="247"/>
      <c r="B357" s="247"/>
      <c r="C357" s="247"/>
      <c r="D357" s="247"/>
      <c r="E357" s="258"/>
      <c r="F357" s="261"/>
      <c r="G357" s="247"/>
      <c r="H357" s="247"/>
      <c r="I357" s="247"/>
      <c r="J357" s="247"/>
      <c r="K357" s="247"/>
    </row>
    <row r="358" spans="1:11" ht="20.25">
      <c r="A358" s="247"/>
      <c r="B358" s="247"/>
      <c r="C358" s="247"/>
      <c r="D358" s="247"/>
      <c r="E358" s="258"/>
      <c r="F358" s="261"/>
      <c r="G358" s="247"/>
      <c r="H358" s="247"/>
      <c r="I358" s="247"/>
      <c r="J358" s="247"/>
      <c r="K358" s="247"/>
    </row>
    <row r="359" spans="1:11" ht="20.25">
      <c r="A359" s="247"/>
      <c r="B359" s="247"/>
      <c r="C359" s="247"/>
      <c r="D359" s="247"/>
      <c r="E359" s="258"/>
      <c r="F359" s="261"/>
      <c r="G359" s="247"/>
      <c r="H359" s="247"/>
      <c r="I359" s="247"/>
      <c r="J359" s="247"/>
      <c r="K359" s="247"/>
    </row>
    <row r="360" spans="1:11" ht="20.25">
      <c r="A360" s="247"/>
      <c r="B360" s="247"/>
      <c r="C360" s="247"/>
      <c r="D360" s="247"/>
      <c r="E360" s="258"/>
      <c r="F360" s="261"/>
      <c r="G360" s="247"/>
      <c r="H360" s="247"/>
      <c r="I360" s="247"/>
      <c r="J360" s="247"/>
      <c r="K360" s="247"/>
    </row>
    <row r="361" spans="1:11" ht="20.25">
      <c r="A361" s="247"/>
      <c r="B361" s="247"/>
      <c r="C361" s="247"/>
      <c r="D361" s="247"/>
      <c r="E361" s="258"/>
      <c r="F361" s="261"/>
      <c r="G361" s="247"/>
      <c r="H361" s="247"/>
      <c r="I361" s="247"/>
      <c r="J361" s="247"/>
      <c r="K361" s="247"/>
    </row>
    <row r="362" spans="1:11" ht="20.25">
      <c r="A362" s="247"/>
      <c r="B362" s="247"/>
      <c r="C362" s="247"/>
      <c r="D362" s="247"/>
      <c r="E362" s="258"/>
      <c r="F362" s="261"/>
      <c r="G362" s="247"/>
      <c r="H362" s="247"/>
      <c r="I362" s="247"/>
      <c r="J362" s="247"/>
      <c r="K362" s="247"/>
    </row>
    <row r="363" spans="1:11" ht="20.25">
      <c r="A363" s="247"/>
      <c r="B363" s="247"/>
      <c r="C363" s="247"/>
      <c r="D363" s="247"/>
      <c r="E363" s="258"/>
      <c r="F363" s="261"/>
      <c r="G363" s="247"/>
      <c r="H363" s="247"/>
      <c r="I363" s="247"/>
      <c r="J363" s="247"/>
      <c r="K363" s="247"/>
    </row>
    <row r="364" spans="1:11" ht="20.25">
      <c r="A364" s="247"/>
      <c r="B364" s="247"/>
      <c r="C364" s="247"/>
      <c r="D364" s="247"/>
      <c r="E364" s="258"/>
      <c r="F364" s="261"/>
      <c r="G364" s="247"/>
      <c r="H364" s="247"/>
      <c r="I364" s="247"/>
      <c r="J364" s="247"/>
      <c r="K364" s="247"/>
    </row>
    <row r="365" spans="1:11" ht="20.25">
      <c r="A365" s="247"/>
      <c r="B365" s="247"/>
      <c r="C365" s="247"/>
      <c r="D365" s="247"/>
      <c r="E365" s="258"/>
      <c r="F365" s="261"/>
      <c r="G365" s="247"/>
      <c r="H365" s="247"/>
      <c r="I365" s="247"/>
      <c r="J365" s="247"/>
      <c r="K365" s="247"/>
    </row>
    <row r="366" spans="1:11" ht="20.25">
      <c r="A366" s="247"/>
      <c r="B366" s="247"/>
      <c r="C366" s="247"/>
      <c r="D366" s="247"/>
      <c r="E366" s="258"/>
      <c r="F366" s="261"/>
      <c r="G366" s="247"/>
      <c r="H366" s="247"/>
      <c r="I366" s="247"/>
      <c r="J366" s="247"/>
      <c r="K366" s="247"/>
    </row>
    <row r="367" spans="1:11" ht="20.25">
      <c r="A367" s="247"/>
      <c r="B367" s="247"/>
      <c r="C367" s="247"/>
      <c r="D367" s="247"/>
      <c r="E367" s="258"/>
      <c r="F367" s="261"/>
      <c r="G367" s="247"/>
      <c r="H367" s="247"/>
      <c r="I367" s="247"/>
      <c r="J367" s="247"/>
      <c r="K367" s="247"/>
    </row>
    <row r="368" spans="1:11" ht="20.25">
      <c r="A368" s="247"/>
      <c r="B368" s="247"/>
      <c r="C368" s="247"/>
      <c r="D368" s="247"/>
      <c r="E368" s="258"/>
      <c r="F368" s="261"/>
      <c r="G368" s="247"/>
      <c r="H368" s="247"/>
      <c r="I368" s="247"/>
      <c r="J368" s="247"/>
      <c r="K368" s="247"/>
    </row>
    <row r="369" spans="1:11" ht="20.25">
      <c r="A369" s="247"/>
      <c r="B369" s="247"/>
      <c r="C369" s="247"/>
      <c r="D369" s="247"/>
      <c r="E369" s="258"/>
      <c r="F369" s="261"/>
      <c r="G369" s="247"/>
      <c r="H369" s="247"/>
      <c r="I369" s="247"/>
      <c r="J369" s="247"/>
      <c r="K369" s="247"/>
    </row>
    <row r="370" spans="1:11" ht="20.25">
      <c r="A370" s="247"/>
      <c r="B370" s="247"/>
      <c r="C370" s="247"/>
      <c r="D370" s="247"/>
      <c r="E370" s="258"/>
      <c r="F370" s="261"/>
      <c r="G370" s="247"/>
      <c r="H370" s="247"/>
      <c r="I370" s="247"/>
      <c r="J370" s="247"/>
      <c r="K370" s="247"/>
    </row>
    <row r="371" spans="1:11" ht="20.25">
      <c r="A371" s="247"/>
      <c r="B371" s="247"/>
      <c r="C371" s="247"/>
      <c r="D371" s="247"/>
      <c r="E371" s="258"/>
      <c r="F371" s="261"/>
      <c r="G371" s="247"/>
      <c r="H371" s="247"/>
      <c r="I371" s="247"/>
      <c r="J371" s="247"/>
      <c r="K371" s="247"/>
    </row>
    <row r="372" spans="1:11" ht="20.25">
      <c r="A372" s="247"/>
      <c r="B372" s="247"/>
      <c r="C372" s="247"/>
      <c r="D372" s="247"/>
      <c r="E372" s="258"/>
      <c r="F372" s="261"/>
      <c r="G372" s="247"/>
      <c r="H372" s="247"/>
      <c r="I372" s="247"/>
      <c r="J372" s="247"/>
      <c r="K372" s="247"/>
    </row>
    <row r="373" spans="1:11" ht="20.25">
      <c r="A373" s="247"/>
      <c r="B373" s="247"/>
      <c r="C373" s="247"/>
      <c r="D373" s="247"/>
      <c r="E373" s="258"/>
      <c r="F373" s="261"/>
      <c r="G373" s="247"/>
      <c r="H373" s="247"/>
      <c r="I373" s="247"/>
      <c r="J373" s="247"/>
      <c r="K373" s="247"/>
    </row>
    <row r="374" spans="1:11" ht="20.25">
      <c r="A374" s="247"/>
      <c r="B374" s="247"/>
      <c r="C374" s="247"/>
      <c r="D374" s="247"/>
      <c r="E374" s="258"/>
      <c r="F374" s="261"/>
      <c r="G374" s="247"/>
      <c r="H374" s="247"/>
      <c r="I374" s="247"/>
      <c r="J374" s="247"/>
      <c r="K374" s="247"/>
    </row>
    <row r="375" spans="1:11" ht="20.25">
      <c r="A375" s="247"/>
      <c r="B375" s="247"/>
      <c r="C375" s="247"/>
      <c r="D375" s="247"/>
      <c r="E375" s="258"/>
      <c r="F375" s="261"/>
      <c r="G375" s="247"/>
      <c r="H375" s="247"/>
      <c r="I375" s="247"/>
      <c r="J375" s="247"/>
      <c r="K375" s="247"/>
    </row>
    <row r="376" spans="1:11" ht="20.25">
      <c r="A376" s="247"/>
      <c r="B376" s="247"/>
      <c r="C376" s="247"/>
      <c r="D376" s="247"/>
      <c r="E376" s="258"/>
      <c r="F376" s="261"/>
      <c r="G376" s="247"/>
      <c r="H376" s="247"/>
      <c r="I376" s="247"/>
      <c r="J376" s="247"/>
      <c r="K376" s="247"/>
    </row>
    <row r="377" spans="1:11" ht="20.25">
      <c r="A377" s="247"/>
      <c r="B377" s="247"/>
      <c r="C377" s="247"/>
      <c r="D377" s="247"/>
      <c r="E377" s="258"/>
      <c r="F377" s="261"/>
      <c r="G377" s="247"/>
      <c r="H377" s="247"/>
      <c r="I377" s="247"/>
      <c r="J377" s="247"/>
      <c r="K377" s="247"/>
    </row>
    <row r="378" spans="1:11" ht="20.25">
      <c r="A378" s="247"/>
      <c r="B378" s="247"/>
      <c r="C378" s="247"/>
      <c r="D378" s="247"/>
      <c r="E378" s="258"/>
      <c r="F378" s="261"/>
      <c r="G378" s="247"/>
      <c r="H378" s="247"/>
      <c r="I378" s="247"/>
      <c r="J378" s="247"/>
      <c r="K378" s="247"/>
    </row>
    <row r="379" spans="1:11" ht="20.25">
      <c r="A379" s="247"/>
      <c r="B379" s="247"/>
      <c r="C379" s="247"/>
      <c r="D379" s="247"/>
      <c r="E379" s="258"/>
      <c r="F379" s="261"/>
      <c r="G379" s="247"/>
      <c r="H379" s="247"/>
      <c r="I379" s="247"/>
      <c r="J379" s="247"/>
      <c r="K379" s="247"/>
    </row>
    <row r="380" spans="1:11" ht="20.25">
      <c r="A380" s="247"/>
      <c r="B380" s="247"/>
      <c r="C380" s="247"/>
      <c r="D380" s="247"/>
      <c r="E380" s="258"/>
      <c r="F380" s="261"/>
      <c r="G380" s="247"/>
      <c r="H380" s="247"/>
      <c r="I380" s="247"/>
      <c r="J380" s="247"/>
      <c r="K380" s="247"/>
    </row>
    <row r="381" spans="1:11" ht="20.25">
      <c r="A381" s="247"/>
      <c r="B381" s="247"/>
      <c r="C381" s="247"/>
      <c r="D381" s="247"/>
      <c r="E381" s="258"/>
      <c r="F381" s="261"/>
      <c r="G381" s="247"/>
      <c r="H381" s="247"/>
      <c r="I381" s="247"/>
      <c r="J381" s="247"/>
      <c r="K381" s="247"/>
    </row>
    <row r="382" spans="1:11" ht="20.25">
      <c r="A382" s="247"/>
      <c r="B382" s="247"/>
      <c r="C382" s="247"/>
      <c r="D382" s="247"/>
      <c r="E382" s="258"/>
      <c r="F382" s="261"/>
      <c r="G382" s="247"/>
      <c r="H382" s="247"/>
      <c r="I382" s="247"/>
      <c r="J382" s="247"/>
      <c r="K382" s="247"/>
    </row>
    <row r="383" spans="1:11" ht="20.25">
      <c r="A383" s="247"/>
      <c r="B383" s="247"/>
      <c r="C383" s="247"/>
      <c r="D383" s="247"/>
      <c r="E383" s="258"/>
      <c r="F383" s="261"/>
      <c r="G383" s="247"/>
      <c r="H383" s="247"/>
      <c r="I383" s="247"/>
      <c r="J383" s="247"/>
      <c r="K383" s="247"/>
    </row>
    <row r="384" spans="1:11" ht="20.25">
      <c r="A384" s="247"/>
      <c r="B384" s="247"/>
      <c r="C384" s="247"/>
      <c r="D384" s="247"/>
      <c r="E384" s="258"/>
      <c r="F384" s="261"/>
      <c r="G384" s="247"/>
      <c r="H384" s="247"/>
      <c r="I384" s="247"/>
      <c r="J384" s="247"/>
      <c r="K384" s="247"/>
    </row>
    <row r="385" spans="1:11" ht="20.25">
      <c r="A385" s="247"/>
      <c r="B385" s="247"/>
      <c r="C385" s="247"/>
      <c r="D385" s="247"/>
      <c r="E385" s="258"/>
      <c r="F385" s="261"/>
      <c r="G385" s="247"/>
      <c r="H385" s="247"/>
      <c r="I385" s="247"/>
      <c r="J385" s="247"/>
      <c r="K385" s="247"/>
    </row>
    <row r="386" spans="1:11" ht="20.25">
      <c r="A386" s="247"/>
      <c r="B386" s="247"/>
      <c r="C386" s="247"/>
      <c r="D386" s="247"/>
      <c r="E386" s="258"/>
      <c r="F386" s="261"/>
      <c r="G386" s="247"/>
      <c r="H386" s="247"/>
      <c r="I386" s="247"/>
      <c r="J386" s="247"/>
      <c r="K386" s="247"/>
    </row>
    <row r="387" spans="1:11" ht="20.25">
      <c r="A387" s="247"/>
      <c r="B387" s="247"/>
      <c r="C387" s="247"/>
      <c r="D387" s="247"/>
      <c r="E387" s="258"/>
      <c r="F387" s="261"/>
      <c r="G387" s="247"/>
      <c r="H387" s="247"/>
      <c r="I387" s="247"/>
      <c r="J387" s="247"/>
      <c r="K387" s="247"/>
    </row>
    <row r="388" spans="1:11" ht="20.25">
      <c r="A388" s="247"/>
      <c r="B388" s="247"/>
      <c r="C388" s="247"/>
      <c r="D388" s="247"/>
      <c r="E388" s="258"/>
      <c r="F388" s="261"/>
      <c r="G388" s="247"/>
      <c r="H388" s="247"/>
      <c r="I388" s="247"/>
      <c r="J388" s="247"/>
      <c r="K388" s="247"/>
    </row>
    <row r="389" spans="1:11" ht="20.25">
      <c r="A389" s="247"/>
      <c r="B389" s="247"/>
      <c r="C389" s="247"/>
      <c r="D389" s="247"/>
      <c r="E389" s="258"/>
      <c r="F389" s="261"/>
      <c r="G389" s="247"/>
      <c r="H389" s="247"/>
      <c r="I389" s="247"/>
      <c r="J389" s="247"/>
      <c r="K389" s="247"/>
    </row>
    <row r="390" spans="1:11" ht="20.25">
      <c r="A390" s="247"/>
      <c r="B390" s="247"/>
      <c r="C390" s="247"/>
      <c r="D390" s="247"/>
      <c r="E390" s="258"/>
      <c r="F390" s="261"/>
      <c r="G390" s="247"/>
      <c r="H390" s="247"/>
      <c r="I390" s="247"/>
      <c r="J390" s="247"/>
      <c r="K390" s="247"/>
    </row>
    <row r="391" spans="1:11" ht="20.25">
      <c r="A391" s="247"/>
      <c r="B391" s="247"/>
      <c r="C391" s="247"/>
      <c r="D391" s="247"/>
      <c r="E391" s="258"/>
      <c r="F391" s="261"/>
      <c r="G391" s="247"/>
      <c r="H391" s="247"/>
      <c r="I391" s="247"/>
      <c r="J391" s="247"/>
      <c r="K391" s="247"/>
    </row>
    <row r="392" spans="1:11" ht="20.25">
      <c r="A392" s="247"/>
      <c r="B392" s="247"/>
      <c r="C392" s="247"/>
      <c r="D392" s="247"/>
      <c r="E392" s="258"/>
      <c r="F392" s="261"/>
      <c r="G392" s="247"/>
      <c r="H392" s="247"/>
      <c r="I392" s="247"/>
      <c r="J392" s="247"/>
      <c r="K392" s="247"/>
    </row>
    <row r="393" spans="1:11" ht="20.25">
      <c r="A393" s="247"/>
      <c r="B393" s="247"/>
      <c r="C393" s="247"/>
      <c r="D393" s="247"/>
      <c r="E393" s="258"/>
      <c r="F393" s="261"/>
      <c r="G393" s="247"/>
      <c r="H393" s="247"/>
      <c r="I393" s="247"/>
      <c r="J393" s="247"/>
      <c r="K393" s="247"/>
    </row>
    <row r="394" spans="1:11" ht="20.25">
      <c r="A394" s="247"/>
      <c r="B394" s="247"/>
      <c r="C394" s="247"/>
      <c r="D394" s="247"/>
      <c r="E394" s="258"/>
      <c r="F394" s="261"/>
      <c r="G394" s="247"/>
      <c r="H394" s="247"/>
      <c r="I394" s="247"/>
      <c r="J394" s="247"/>
      <c r="K394" s="247"/>
    </row>
    <row r="395" spans="1:11" ht="20.25">
      <c r="A395" s="247"/>
      <c r="B395" s="247"/>
      <c r="C395" s="247"/>
      <c r="D395" s="247"/>
      <c r="E395" s="258"/>
      <c r="F395" s="261"/>
      <c r="G395" s="247"/>
      <c r="H395" s="247"/>
      <c r="I395" s="247"/>
      <c r="J395" s="247"/>
      <c r="K395" s="247"/>
    </row>
    <row r="396" spans="1:11" ht="20.25">
      <c r="A396" s="247"/>
      <c r="B396" s="247"/>
      <c r="C396" s="247"/>
      <c r="D396" s="247"/>
      <c r="E396" s="258"/>
      <c r="F396" s="261"/>
      <c r="G396" s="247"/>
      <c r="H396" s="247"/>
      <c r="I396" s="247"/>
      <c r="J396" s="247"/>
      <c r="K396" s="247"/>
    </row>
    <row r="397" spans="1:11" ht="20.25">
      <c r="A397" s="247"/>
      <c r="B397" s="247"/>
      <c r="C397" s="247"/>
      <c r="D397" s="247"/>
      <c r="E397" s="258"/>
      <c r="F397" s="261"/>
      <c r="G397" s="247"/>
      <c r="H397" s="247"/>
      <c r="I397" s="247"/>
      <c r="J397" s="247"/>
      <c r="K397" s="247"/>
    </row>
    <row r="398" spans="1:11" ht="20.25">
      <c r="A398" s="247"/>
      <c r="B398" s="247"/>
      <c r="C398" s="247"/>
      <c r="D398" s="247"/>
      <c r="E398" s="258"/>
      <c r="F398" s="261"/>
      <c r="G398" s="247"/>
      <c r="H398" s="247"/>
      <c r="I398" s="247"/>
      <c r="J398" s="247"/>
      <c r="K398" s="247"/>
    </row>
    <row r="399" spans="1:11" ht="20.25">
      <c r="A399" s="247"/>
      <c r="B399" s="247"/>
      <c r="C399" s="247"/>
      <c r="D399" s="247"/>
      <c r="E399" s="258"/>
      <c r="F399" s="261"/>
      <c r="G399" s="247"/>
      <c r="H399" s="247"/>
      <c r="I399" s="247"/>
      <c r="J399" s="247"/>
      <c r="K399" s="247"/>
    </row>
    <row r="400" spans="1:11" ht="20.25">
      <c r="A400" s="247"/>
      <c r="B400" s="247"/>
      <c r="C400" s="247"/>
      <c r="D400" s="247"/>
      <c r="E400" s="258"/>
      <c r="F400" s="261"/>
      <c r="G400" s="247"/>
      <c r="H400" s="247"/>
      <c r="I400" s="247"/>
      <c r="J400" s="247"/>
      <c r="K400" s="247"/>
    </row>
    <row r="401" spans="1:11" ht="20.25">
      <c r="A401" s="247"/>
      <c r="B401" s="247"/>
      <c r="C401" s="247"/>
      <c r="D401" s="247"/>
      <c r="E401" s="258"/>
      <c r="F401" s="261"/>
      <c r="G401" s="247"/>
      <c r="H401" s="247"/>
      <c r="I401" s="247"/>
      <c r="J401" s="247"/>
      <c r="K401" s="247"/>
    </row>
    <row r="402" spans="1:11" ht="20.25">
      <c r="A402" s="247"/>
      <c r="B402" s="247"/>
      <c r="C402" s="247"/>
      <c r="D402" s="247"/>
      <c r="E402" s="258"/>
      <c r="F402" s="261"/>
      <c r="G402" s="247"/>
      <c r="H402" s="247"/>
      <c r="I402" s="247"/>
      <c r="J402" s="247"/>
      <c r="K402" s="247"/>
    </row>
    <row r="403" spans="1:11" ht="20.25">
      <c r="A403" s="247"/>
      <c r="B403" s="247"/>
      <c r="C403" s="247"/>
      <c r="D403" s="247"/>
      <c r="E403" s="258"/>
      <c r="F403" s="261"/>
      <c r="G403" s="247"/>
      <c r="H403" s="247"/>
      <c r="I403" s="247"/>
      <c r="J403" s="247"/>
      <c r="K403" s="247"/>
    </row>
    <row r="404" spans="1:11" ht="20.25">
      <c r="A404" s="247"/>
      <c r="B404" s="247"/>
      <c r="C404" s="247"/>
      <c r="D404" s="247"/>
      <c r="E404" s="258"/>
      <c r="F404" s="261"/>
      <c r="G404" s="247"/>
      <c r="H404" s="247"/>
      <c r="I404" s="247"/>
      <c r="J404" s="247"/>
      <c r="K404" s="247"/>
    </row>
    <row r="405" spans="1:11" ht="20.25">
      <c r="A405" s="247"/>
      <c r="B405" s="247"/>
      <c r="C405" s="247"/>
      <c r="D405" s="247"/>
      <c r="E405" s="258"/>
      <c r="F405" s="261"/>
      <c r="G405" s="247"/>
      <c r="H405" s="247"/>
      <c r="I405" s="247"/>
      <c r="J405" s="247"/>
      <c r="K405" s="247"/>
    </row>
    <row r="406" spans="1:11" ht="20.25">
      <c r="A406" s="247"/>
      <c r="B406" s="247"/>
      <c r="C406" s="247"/>
      <c r="D406" s="247"/>
      <c r="E406" s="258"/>
      <c r="F406" s="261"/>
      <c r="G406" s="247"/>
      <c r="H406" s="247"/>
      <c r="I406" s="247"/>
      <c r="J406" s="247"/>
      <c r="K406" s="247"/>
    </row>
    <row r="407" spans="1:11" ht="20.25">
      <c r="A407" s="247"/>
      <c r="B407" s="247"/>
      <c r="C407" s="247"/>
      <c r="D407" s="247"/>
      <c r="E407" s="258"/>
      <c r="F407" s="261"/>
      <c r="G407" s="247"/>
      <c r="H407" s="247"/>
      <c r="I407" s="247"/>
      <c r="J407" s="247"/>
      <c r="K407" s="247"/>
    </row>
    <row r="408" spans="1:11" ht="20.25">
      <c r="A408" s="247"/>
      <c r="B408" s="247"/>
      <c r="C408" s="247"/>
      <c r="D408" s="247"/>
      <c r="E408" s="258"/>
      <c r="F408" s="261"/>
      <c r="G408" s="247"/>
      <c r="H408" s="247"/>
      <c r="I408" s="247"/>
      <c r="J408" s="247"/>
      <c r="K408" s="247"/>
    </row>
    <row r="409" spans="1:11" ht="20.25">
      <c r="A409" s="247"/>
      <c r="B409" s="247"/>
      <c r="C409" s="247"/>
      <c r="D409" s="247"/>
      <c r="E409" s="258"/>
      <c r="F409" s="261"/>
      <c r="G409" s="247"/>
      <c r="H409" s="247"/>
      <c r="I409" s="247"/>
      <c r="J409" s="247"/>
      <c r="K409" s="247"/>
    </row>
    <row r="410" spans="1:11" ht="20.25">
      <c r="A410" s="247"/>
      <c r="B410" s="247"/>
      <c r="C410" s="247"/>
      <c r="D410" s="247"/>
      <c r="E410" s="258"/>
      <c r="F410" s="261"/>
      <c r="G410" s="247"/>
      <c r="H410" s="247"/>
      <c r="I410" s="247"/>
      <c r="J410" s="247"/>
      <c r="K410" s="247"/>
    </row>
    <row r="411" spans="1:11" ht="20.25">
      <c r="A411" s="247"/>
      <c r="B411" s="247"/>
      <c r="C411" s="247"/>
      <c r="D411" s="247"/>
      <c r="E411" s="258"/>
      <c r="F411" s="261"/>
      <c r="G411" s="247"/>
      <c r="H411" s="247"/>
      <c r="I411" s="247"/>
      <c r="J411" s="247"/>
      <c r="K411" s="247"/>
    </row>
    <row r="412" spans="1:11" ht="20.25">
      <c r="A412" s="247"/>
      <c r="B412" s="247"/>
      <c r="C412" s="247"/>
      <c r="D412" s="247"/>
      <c r="E412" s="258"/>
      <c r="F412" s="261"/>
      <c r="G412" s="247"/>
      <c r="H412" s="247"/>
      <c r="I412" s="247"/>
      <c r="J412" s="247"/>
      <c r="K412" s="247"/>
    </row>
    <row r="413" spans="1:11" ht="20.25">
      <c r="A413" s="247"/>
      <c r="B413" s="247"/>
      <c r="C413" s="247"/>
      <c r="D413" s="247"/>
      <c r="E413" s="258"/>
      <c r="F413" s="261"/>
      <c r="G413" s="247"/>
      <c r="H413" s="247"/>
      <c r="I413" s="247"/>
      <c r="J413" s="247"/>
      <c r="K413" s="247"/>
    </row>
    <row r="414" spans="1:11" ht="20.25">
      <c r="A414" s="247"/>
      <c r="B414" s="247"/>
      <c r="C414" s="247"/>
      <c r="D414" s="247"/>
      <c r="E414" s="258"/>
      <c r="F414" s="261"/>
      <c r="G414" s="247"/>
      <c r="H414" s="247"/>
      <c r="I414" s="247"/>
      <c r="J414" s="247"/>
      <c r="K414" s="247"/>
    </row>
    <row r="415" spans="1:11" ht="20.25">
      <c r="A415" s="247"/>
      <c r="B415" s="247"/>
      <c r="C415" s="247"/>
      <c r="D415" s="247"/>
      <c r="E415" s="258"/>
      <c r="F415" s="261"/>
      <c r="G415" s="247"/>
      <c r="H415" s="247"/>
      <c r="I415" s="247"/>
      <c r="J415" s="247"/>
      <c r="K415" s="247"/>
    </row>
    <row r="416" spans="1:11" ht="20.25">
      <c r="A416" s="247"/>
      <c r="B416" s="247"/>
      <c r="C416" s="247"/>
      <c r="D416" s="247"/>
      <c r="E416" s="258"/>
      <c r="F416" s="261"/>
      <c r="G416" s="247"/>
      <c r="H416" s="247"/>
      <c r="I416" s="247"/>
      <c r="J416" s="247"/>
      <c r="K416" s="247"/>
    </row>
    <row r="417" spans="1:11" ht="20.25">
      <c r="A417" s="247"/>
      <c r="B417" s="247"/>
      <c r="C417" s="247"/>
      <c r="D417" s="247"/>
      <c r="E417" s="258"/>
      <c r="F417" s="261"/>
      <c r="G417" s="247"/>
      <c r="H417" s="247"/>
      <c r="I417" s="247"/>
      <c r="J417" s="247"/>
      <c r="K417" s="247"/>
    </row>
    <row r="418" spans="1:11" ht="20.25">
      <c r="A418" s="247"/>
      <c r="B418" s="247"/>
      <c r="C418" s="247"/>
      <c r="D418" s="247"/>
      <c r="E418" s="258"/>
      <c r="F418" s="261"/>
      <c r="G418" s="247"/>
      <c r="H418" s="247"/>
      <c r="I418" s="247"/>
      <c r="J418" s="247"/>
      <c r="K418" s="247"/>
    </row>
    <row r="419" spans="1:11" ht="20.25">
      <c r="A419" s="247"/>
      <c r="B419" s="247"/>
      <c r="C419" s="247"/>
      <c r="D419" s="247"/>
      <c r="E419" s="258"/>
      <c r="F419" s="261"/>
      <c r="G419" s="247"/>
      <c r="H419" s="247"/>
      <c r="I419" s="247"/>
      <c r="J419" s="247"/>
      <c r="K419" s="247"/>
    </row>
    <row r="420" spans="1:11" ht="20.25">
      <c r="A420" s="247"/>
      <c r="B420" s="247"/>
      <c r="C420" s="247"/>
      <c r="D420" s="247"/>
      <c r="E420" s="258"/>
      <c r="F420" s="261"/>
      <c r="G420" s="247"/>
      <c r="H420" s="247"/>
      <c r="I420" s="247"/>
      <c r="J420" s="247"/>
      <c r="K420" s="247"/>
    </row>
    <row r="421" spans="1:11" ht="20.25">
      <c r="A421" s="247"/>
      <c r="B421" s="247"/>
      <c r="C421" s="247"/>
      <c r="D421" s="247"/>
      <c r="E421" s="258"/>
      <c r="F421" s="261"/>
      <c r="G421" s="247"/>
      <c r="H421" s="247"/>
      <c r="I421" s="247"/>
      <c r="J421" s="247"/>
      <c r="K421" s="247"/>
    </row>
    <row r="422" spans="1:11" ht="20.25">
      <c r="A422" s="247"/>
      <c r="B422" s="247"/>
      <c r="C422" s="247"/>
      <c r="D422" s="247"/>
      <c r="E422" s="258"/>
      <c r="F422" s="261"/>
      <c r="G422" s="247"/>
      <c r="H422" s="247"/>
      <c r="I422" s="247"/>
      <c r="J422" s="247"/>
      <c r="K422" s="247"/>
    </row>
    <row r="423" spans="1:11" ht="20.25">
      <c r="A423" s="247"/>
      <c r="B423" s="247"/>
      <c r="C423" s="247"/>
      <c r="D423" s="247"/>
      <c r="E423" s="258"/>
      <c r="F423" s="261"/>
      <c r="G423" s="247"/>
      <c r="H423" s="247"/>
      <c r="I423" s="247"/>
      <c r="J423" s="247"/>
      <c r="K423" s="247"/>
    </row>
    <row r="424" spans="1:11" ht="20.25">
      <c r="A424" s="247"/>
      <c r="B424" s="247"/>
      <c r="C424" s="247"/>
      <c r="D424" s="247"/>
      <c r="E424" s="258"/>
      <c r="F424" s="261"/>
      <c r="G424" s="247"/>
      <c r="H424" s="247"/>
      <c r="I424" s="247"/>
      <c r="J424" s="247"/>
      <c r="K424" s="247"/>
    </row>
    <row r="425" spans="1:11" ht="20.25">
      <c r="A425" s="247"/>
      <c r="B425" s="247"/>
      <c r="C425" s="247"/>
      <c r="D425" s="247"/>
      <c r="E425" s="258"/>
      <c r="F425" s="261"/>
      <c r="G425" s="247"/>
      <c r="H425" s="247"/>
      <c r="I425" s="247"/>
      <c r="J425" s="247"/>
      <c r="K425" s="247"/>
    </row>
    <row r="426" spans="1:11" ht="20.25">
      <c r="A426" s="247"/>
      <c r="B426" s="247"/>
      <c r="C426" s="247"/>
      <c r="D426" s="247"/>
      <c r="E426" s="258"/>
      <c r="F426" s="261"/>
      <c r="G426" s="247"/>
      <c r="H426" s="247"/>
      <c r="I426" s="247"/>
      <c r="J426" s="247"/>
      <c r="K426" s="247"/>
    </row>
    <row r="427" spans="1:11" ht="20.25">
      <c r="A427" s="247"/>
      <c r="B427" s="247"/>
      <c r="C427" s="247"/>
      <c r="D427" s="247"/>
      <c r="E427" s="258"/>
      <c r="F427" s="261"/>
      <c r="G427" s="247"/>
      <c r="H427" s="247"/>
      <c r="I427" s="247"/>
      <c r="J427" s="247"/>
      <c r="K427" s="247"/>
    </row>
    <row r="428" spans="1:11" ht="20.25">
      <c r="A428" s="247"/>
      <c r="B428" s="247"/>
      <c r="C428" s="247"/>
      <c r="D428" s="247"/>
      <c r="E428" s="258"/>
      <c r="F428" s="261"/>
      <c r="G428" s="247"/>
      <c r="H428" s="247"/>
      <c r="I428" s="247"/>
      <c r="J428" s="247"/>
      <c r="K428" s="247"/>
    </row>
    <row r="429" spans="1:11" ht="20.25">
      <c r="A429" s="247"/>
      <c r="B429" s="247"/>
      <c r="C429" s="247"/>
      <c r="D429" s="247"/>
      <c r="E429" s="258"/>
      <c r="F429" s="261"/>
      <c r="G429" s="247"/>
      <c r="H429" s="247"/>
      <c r="I429" s="247"/>
      <c r="J429" s="247"/>
      <c r="K429" s="247"/>
    </row>
    <row r="430" spans="1:11" ht="20.25">
      <c r="A430" s="247"/>
      <c r="B430" s="247"/>
      <c r="C430" s="247"/>
      <c r="D430" s="247"/>
      <c r="E430" s="258"/>
      <c r="F430" s="261"/>
      <c r="G430" s="247"/>
      <c r="H430" s="247"/>
      <c r="I430" s="247"/>
      <c r="J430" s="247"/>
      <c r="K430" s="247"/>
    </row>
    <row r="431" spans="1:11" ht="20.25">
      <c r="A431" s="247"/>
      <c r="B431" s="247"/>
      <c r="C431" s="247"/>
      <c r="D431" s="247"/>
      <c r="E431" s="258"/>
      <c r="F431" s="261"/>
      <c r="G431" s="247"/>
      <c r="H431" s="247"/>
      <c r="I431" s="247"/>
      <c r="J431" s="247"/>
      <c r="K431" s="247"/>
    </row>
    <row r="432" spans="1:11" ht="20.25">
      <c r="A432" s="247"/>
      <c r="B432" s="247"/>
      <c r="C432" s="247"/>
      <c r="D432" s="247"/>
      <c r="E432" s="258"/>
      <c r="F432" s="261"/>
      <c r="G432" s="247"/>
      <c r="H432" s="247"/>
      <c r="I432" s="247"/>
      <c r="J432" s="247"/>
      <c r="K432" s="247"/>
    </row>
    <row r="433" spans="1:11" ht="20.25">
      <c r="A433" s="247"/>
      <c r="B433" s="247"/>
      <c r="C433" s="247"/>
      <c r="D433" s="247"/>
      <c r="E433" s="258"/>
      <c r="F433" s="261"/>
      <c r="G433" s="247"/>
      <c r="H433" s="247"/>
      <c r="I433" s="247"/>
      <c r="J433" s="247"/>
      <c r="K433" s="247"/>
    </row>
    <row r="434" spans="1:11" ht="20.25">
      <c r="A434" s="247"/>
      <c r="B434" s="247"/>
      <c r="C434" s="247"/>
      <c r="D434" s="247"/>
      <c r="E434" s="258"/>
      <c r="F434" s="261"/>
      <c r="G434" s="247"/>
      <c r="H434" s="247"/>
      <c r="I434" s="247"/>
      <c r="J434" s="247"/>
      <c r="K434" s="247"/>
    </row>
    <row r="435" spans="1:11" ht="20.25">
      <c r="A435" s="247"/>
      <c r="B435" s="247"/>
      <c r="C435" s="247"/>
      <c r="D435" s="247"/>
      <c r="E435" s="258"/>
      <c r="F435" s="261"/>
      <c r="G435" s="247"/>
      <c r="H435" s="247"/>
      <c r="I435" s="247"/>
      <c r="J435" s="247"/>
      <c r="K435" s="247"/>
    </row>
    <row r="436" spans="1:11" ht="20.25">
      <c r="A436" s="247"/>
      <c r="B436" s="247"/>
      <c r="C436" s="247"/>
      <c r="D436" s="247"/>
      <c r="E436" s="258"/>
      <c r="F436" s="261"/>
      <c r="G436" s="247"/>
      <c r="H436" s="247"/>
      <c r="I436" s="247"/>
      <c r="J436" s="247"/>
      <c r="K436" s="247"/>
    </row>
    <row r="437" spans="1:11" ht="20.25">
      <c r="A437" s="247"/>
      <c r="B437" s="247"/>
      <c r="C437" s="247"/>
      <c r="D437" s="247"/>
      <c r="E437" s="258"/>
      <c r="F437" s="261"/>
      <c r="G437" s="247"/>
      <c r="H437" s="247"/>
      <c r="I437" s="247"/>
      <c r="J437" s="247"/>
      <c r="K437" s="247"/>
    </row>
    <row r="438" spans="1:11" ht="20.25">
      <c r="A438" s="247"/>
      <c r="B438" s="247"/>
      <c r="C438" s="247"/>
      <c r="D438" s="247"/>
      <c r="E438" s="258"/>
      <c r="F438" s="261"/>
      <c r="G438" s="247"/>
      <c r="H438" s="247"/>
      <c r="I438" s="247"/>
      <c r="J438" s="247"/>
      <c r="K438" s="247"/>
    </row>
    <row r="439" spans="1:11" ht="20.25">
      <c r="A439" s="247"/>
      <c r="B439" s="247"/>
      <c r="C439" s="247"/>
      <c r="D439" s="247"/>
      <c r="E439" s="258"/>
      <c r="F439" s="261"/>
      <c r="G439" s="247"/>
      <c r="H439" s="247"/>
      <c r="I439" s="247"/>
      <c r="J439" s="247"/>
      <c r="K439" s="247"/>
    </row>
    <row r="440" spans="1:11" ht="20.25">
      <c r="A440" s="247"/>
      <c r="B440" s="247"/>
      <c r="C440" s="247"/>
      <c r="D440" s="247"/>
      <c r="E440" s="258"/>
      <c r="F440" s="261"/>
      <c r="G440" s="247"/>
      <c r="H440" s="247"/>
      <c r="I440" s="247"/>
      <c r="J440" s="247"/>
      <c r="K440" s="247"/>
    </row>
    <row r="441" spans="1:11" ht="20.25">
      <c r="A441" s="247"/>
      <c r="B441" s="247"/>
      <c r="C441" s="247"/>
      <c r="D441" s="247"/>
      <c r="E441" s="258"/>
      <c r="F441" s="261"/>
      <c r="G441" s="247"/>
      <c r="H441" s="247"/>
      <c r="I441" s="247"/>
      <c r="J441" s="247"/>
      <c r="K441" s="247"/>
    </row>
    <row r="442" spans="1:11" ht="20.25">
      <c r="A442" s="247"/>
      <c r="B442" s="247"/>
      <c r="C442" s="247"/>
      <c r="D442" s="247"/>
      <c r="E442" s="258"/>
      <c r="F442" s="261"/>
      <c r="G442" s="247"/>
      <c r="H442" s="247"/>
      <c r="I442" s="247"/>
      <c r="J442" s="247"/>
      <c r="K442" s="247"/>
    </row>
    <row r="443" spans="1:11" ht="20.25">
      <c r="A443" s="247"/>
      <c r="B443" s="247"/>
      <c r="C443" s="247"/>
      <c r="D443" s="247"/>
      <c r="E443" s="258"/>
      <c r="F443" s="261"/>
      <c r="G443" s="247"/>
      <c r="H443" s="247"/>
      <c r="I443" s="247"/>
      <c r="J443" s="247"/>
      <c r="K443" s="247"/>
    </row>
    <row r="444" spans="1:11" ht="20.25">
      <c r="A444" s="247"/>
      <c r="B444" s="247"/>
      <c r="C444" s="247"/>
      <c r="D444" s="247"/>
      <c r="E444" s="258"/>
      <c r="F444" s="261"/>
      <c r="G444" s="247"/>
      <c r="H444" s="247"/>
      <c r="I444" s="247"/>
      <c r="J444" s="247"/>
      <c r="K444" s="247"/>
    </row>
    <row r="445" spans="1:11" ht="20.25">
      <c r="A445" s="247"/>
      <c r="B445" s="247"/>
      <c r="C445" s="247"/>
      <c r="D445" s="247"/>
      <c r="E445" s="258"/>
      <c r="F445" s="261"/>
      <c r="G445" s="247"/>
      <c r="H445" s="247"/>
      <c r="I445" s="247"/>
      <c r="J445" s="247"/>
      <c r="K445" s="247"/>
    </row>
    <row r="446" spans="1:11" ht="20.25">
      <c r="A446" s="247"/>
      <c r="B446" s="247"/>
      <c r="C446" s="247"/>
      <c r="D446" s="247"/>
      <c r="E446" s="258"/>
      <c r="F446" s="261"/>
      <c r="G446" s="247"/>
      <c r="H446" s="247"/>
      <c r="I446" s="247"/>
      <c r="J446" s="247"/>
      <c r="K446" s="247"/>
    </row>
    <row r="447" spans="1:11" ht="20.25">
      <c r="A447" s="247"/>
      <c r="B447" s="247"/>
      <c r="C447" s="247"/>
      <c r="D447" s="247"/>
      <c r="E447" s="258"/>
      <c r="F447" s="261"/>
      <c r="G447" s="247"/>
      <c r="H447" s="247"/>
      <c r="I447" s="247"/>
      <c r="J447" s="247"/>
      <c r="K447" s="247"/>
    </row>
    <row r="448" spans="1:11" ht="20.25">
      <c r="A448" s="247"/>
      <c r="B448" s="247"/>
      <c r="C448" s="247"/>
      <c r="D448" s="247"/>
      <c r="E448" s="258"/>
      <c r="F448" s="261"/>
      <c r="G448" s="247"/>
      <c r="H448" s="247"/>
      <c r="I448" s="247"/>
      <c r="J448" s="247"/>
      <c r="K448" s="247"/>
    </row>
    <row r="449" spans="1:11" ht="20.25">
      <c r="A449" s="247"/>
      <c r="B449" s="247"/>
      <c r="C449" s="247"/>
      <c r="D449" s="247"/>
      <c r="E449" s="258"/>
      <c r="F449" s="261"/>
      <c r="G449" s="247"/>
      <c r="H449" s="247"/>
      <c r="I449" s="247"/>
      <c r="J449" s="247"/>
      <c r="K449" s="247"/>
    </row>
    <row r="450" spans="1:11" ht="20.25">
      <c r="A450" s="247"/>
      <c r="B450" s="247"/>
      <c r="C450" s="247"/>
      <c r="D450" s="247"/>
      <c r="E450" s="258"/>
      <c r="F450" s="261"/>
      <c r="G450" s="247"/>
      <c r="H450" s="247"/>
      <c r="I450" s="247"/>
      <c r="J450" s="247"/>
      <c r="K450" s="247"/>
    </row>
    <row r="451" spans="1:11" ht="20.25">
      <c r="A451" s="247"/>
      <c r="B451" s="247"/>
      <c r="C451" s="247"/>
      <c r="D451" s="247"/>
      <c r="E451" s="258"/>
      <c r="F451" s="261"/>
      <c r="G451" s="247"/>
      <c r="H451" s="247"/>
      <c r="I451" s="247"/>
      <c r="J451" s="247"/>
      <c r="K451" s="247"/>
    </row>
    <row r="452" spans="1:11" ht="20.25">
      <c r="A452" s="247"/>
      <c r="B452" s="247"/>
      <c r="C452" s="247"/>
      <c r="D452" s="247"/>
      <c r="E452" s="258"/>
      <c r="F452" s="261"/>
      <c r="G452" s="247"/>
      <c r="H452" s="247"/>
      <c r="I452" s="247"/>
      <c r="J452" s="247"/>
      <c r="K452" s="247"/>
    </row>
    <row r="453" spans="1:11" ht="20.25">
      <c r="A453" s="247"/>
      <c r="B453" s="247"/>
      <c r="C453" s="247"/>
      <c r="D453" s="247"/>
      <c r="E453" s="258"/>
      <c r="F453" s="261"/>
      <c r="G453" s="247"/>
      <c r="H453" s="247"/>
      <c r="I453" s="247"/>
      <c r="J453" s="247"/>
      <c r="K453" s="247"/>
    </row>
    <row r="454" spans="1:11" ht="20.25">
      <c r="A454" s="247"/>
      <c r="B454" s="247"/>
      <c r="C454" s="247"/>
      <c r="D454" s="247"/>
      <c r="E454" s="258"/>
      <c r="F454" s="261"/>
      <c r="G454" s="247"/>
      <c r="H454" s="247"/>
      <c r="I454" s="247"/>
      <c r="J454" s="247"/>
      <c r="K454" s="247"/>
    </row>
    <row r="455" spans="1:11" ht="20.25">
      <c r="A455" s="247"/>
      <c r="B455" s="247"/>
      <c r="C455" s="247"/>
      <c r="D455" s="247"/>
      <c r="E455" s="258"/>
      <c r="F455" s="261"/>
      <c r="G455" s="247"/>
      <c r="H455" s="247"/>
      <c r="I455" s="247"/>
      <c r="J455" s="247"/>
      <c r="K455" s="247"/>
    </row>
    <row r="456" spans="1:11" ht="20.25">
      <c r="A456" s="247"/>
      <c r="B456" s="247"/>
      <c r="C456" s="247"/>
      <c r="D456" s="247"/>
      <c r="E456" s="258"/>
      <c r="F456" s="261"/>
      <c r="G456" s="247"/>
      <c r="H456" s="247"/>
      <c r="I456" s="247"/>
      <c r="J456" s="247"/>
      <c r="K456" s="247"/>
    </row>
    <row r="457" spans="1:11" ht="20.25">
      <c r="A457" s="247"/>
      <c r="B457" s="247"/>
      <c r="C457" s="247"/>
      <c r="D457" s="247"/>
      <c r="E457" s="258"/>
      <c r="F457" s="261"/>
      <c r="G457" s="247"/>
      <c r="H457" s="247"/>
      <c r="I457" s="247"/>
      <c r="J457" s="247"/>
      <c r="K457" s="247"/>
    </row>
    <row r="458" spans="1:11" ht="20.25">
      <c r="A458" s="247"/>
      <c r="B458" s="247"/>
      <c r="C458" s="247"/>
      <c r="D458" s="247"/>
      <c r="E458" s="258"/>
      <c r="F458" s="261"/>
      <c r="G458" s="247"/>
      <c r="H458" s="247"/>
      <c r="I458" s="247"/>
      <c r="J458" s="247"/>
      <c r="K458" s="247"/>
    </row>
    <row r="459" spans="1:11" ht="20.25">
      <c r="A459" s="247"/>
      <c r="B459" s="247"/>
      <c r="C459" s="247"/>
      <c r="D459" s="247"/>
      <c r="E459" s="258"/>
      <c r="F459" s="261"/>
      <c r="G459" s="247"/>
      <c r="H459" s="247"/>
      <c r="I459" s="247"/>
      <c r="J459" s="247"/>
      <c r="K459" s="247"/>
    </row>
    <row r="460" spans="1:11" ht="20.25">
      <c r="A460" s="247"/>
      <c r="B460" s="247"/>
      <c r="C460" s="247"/>
      <c r="D460" s="247"/>
      <c r="E460" s="258"/>
      <c r="F460" s="261"/>
      <c r="G460" s="247"/>
      <c r="H460" s="247"/>
      <c r="I460" s="247"/>
      <c r="J460" s="247"/>
      <c r="K460" s="247"/>
    </row>
    <row r="461" spans="1:11" ht="20.25">
      <c r="A461" s="247"/>
      <c r="B461" s="247"/>
      <c r="C461" s="247"/>
      <c r="D461" s="247"/>
      <c r="E461" s="258"/>
      <c r="F461" s="261"/>
      <c r="G461" s="247"/>
      <c r="H461" s="247"/>
      <c r="I461" s="247"/>
      <c r="J461" s="247"/>
      <c r="K461" s="247"/>
    </row>
    <row r="462" spans="1:11" ht="20.25">
      <c r="A462" s="247"/>
      <c r="B462" s="247"/>
      <c r="C462" s="247"/>
      <c r="D462" s="247"/>
      <c r="E462" s="258"/>
      <c r="F462" s="261"/>
      <c r="G462" s="247"/>
      <c r="H462" s="247"/>
      <c r="I462" s="247"/>
      <c r="J462" s="247"/>
      <c r="K462" s="247"/>
    </row>
    <row r="463" spans="1:11" ht="20.25">
      <c r="A463" s="247"/>
      <c r="B463" s="247"/>
      <c r="C463" s="247"/>
      <c r="D463" s="247"/>
      <c r="E463" s="258"/>
      <c r="F463" s="261"/>
      <c r="G463" s="247"/>
      <c r="H463" s="247"/>
      <c r="I463" s="247"/>
      <c r="J463" s="247"/>
      <c r="K463" s="247"/>
    </row>
    <row r="464" spans="1:11" ht="20.25">
      <c r="A464" s="247"/>
      <c r="B464" s="247"/>
      <c r="C464" s="247"/>
      <c r="D464" s="247"/>
      <c r="E464" s="258"/>
      <c r="F464" s="261"/>
      <c r="G464" s="247"/>
      <c r="H464" s="247"/>
      <c r="I464" s="247"/>
      <c r="J464" s="247"/>
      <c r="K464" s="247"/>
    </row>
    <row r="465" spans="1:11" ht="20.25">
      <c r="A465" s="247"/>
      <c r="B465" s="247"/>
      <c r="C465" s="247"/>
      <c r="D465" s="247"/>
      <c r="E465" s="258"/>
      <c r="F465" s="261"/>
      <c r="G465" s="247"/>
      <c r="H465" s="247"/>
      <c r="I465" s="247"/>
      <c r="J465" s="247"/>
      <c r="K465" s="247"/>
    </row>
    <row r="466" spans="1:11" ht="20.25">
      <c r="A466" s="247"/>
      <c r="B466" s="247"/>
      <c r="C466" s="247"/>
      <c r="D466" s="247"/>
      <c r="E466" s="258"/>
      <c r="F466" s="261"/>
      <c r="G466" s="247"/>
      <c r="H466" s="247"/>
      <c r="I466" s="247"/>
      <c r="J466" s="247"/>
      <c r="K466" s="247"/>
    </row>
    <row r="467" spans="1:11" ht="20.25">
      <c r="A467" s="247"/>
      <c r="B467" s="247"/>
      <c r="C467" s="247"/>
      <c r="D467" s="247"/>
      <c r="E467" s="258"/>
      <c r="F467" s="261"/>
      <c r="G467" s="247"/>
      <c r="H467" s="247"/>
      <c r="I467" s="247"/>
      <c r="J467" s="247"/>
      <c r="K467" s="247"/>
    </row>
    <row r="468" spans="1:11" ht="20.25">
      <c r="A468" s="247"/>
      <c r="B468" s="247"/>
      <c r="C468" s="247"/>
      <c r="D468" s="247"/>
      <c r="E468" s="258"/>
      <c r="F468" s="261"/>
      <c r="G468" s="247"/>
      <c r="H468" s="247"/>
      <c r="I468" s="247"/>
      <c r="J468" s="247"/>
      <c r="K468" s="247"/>
    </row>
    <row r="469" spans="1:11" ht="20.25">
      <c r="A469" s="247"/>
      <c r="B469" s="247"/>
      <c r="C469" s="247"/>
      <c r="D469" s="247"/>
      <c r="E469" s="258"/>
      <c r="F469" s="261"/>
      <c r="G469" s="247"/>
      <c r="H469" s="247"/>
      <c r="I469" s="247"/>
      <c r="J469" s="247"/>
      <c r="K469" s="247"/>
    </row>
    <row r="470" spans="1:11" ht="20.25">
      <c r="A470" s="247"/>
      <c r="B470" s="247"/>
      <c r="C470" s="247"/>
      <c r="D470" s="247"/>
      <c r="E470" s="258"/>
      <c r="F470" s="261"/>
      <c r="G470" s="247"/>
      <c r="H470" s="247"/>
      <c r="I470" s="247"/>
      <c r="J470" s="247"/>
      <c r="K470" s="247"/>
    </row>
    <row r="471" spans="1:11" ht="20.25">
      <c r="A471" s="247"/>
      <c r="B471" s="247"/>
      <c r="C471" s="247"/>
      <c r="D471" s="247"/>
      <c r="E471" s="258"/>
      <c r="F471" s="261"/>
      <c r="G471" s="247"/>
      <c r="H471" s="247"/>
      <c r="I471" s="247"/>
      <c r="J471" s="247"/>
      <c r="K471" s="247"/>
    </row>
    <row r="472" spans="1:11" ht="20.25">
      <c r="A472" s="247"/>
      <c r="B472" s="247"/>
      <c r="C472" s="247"/>
      <c r="D472" s="247"/>
      <c r="E472" s="258"/>
      <c r="F472" s="261"/>
      <c r="G472" s="247"/>
      <c r="H472" s="247"/>
      <c r="I472" s="247"/>
      <c r="J472" s="247"/>
      <c r="K472" s="247"/>
    </row>
    <row r="473" spans="1:11" ht="20.25">
      <c r="A473" s="247"/>
      <c r="B473" s="247"/>
      <c r="C473" s="247"/>
      <c r="D473" s="247"/>
      <c r="E473" s="258"/>
      <c r="F473" s="261"/>
      <c r="G473" s="247"/>
      <c r="H473" s="247"/>
      <c r="I473" s="247"/>
      <c r="J473" s="247"/>
      <c r="K473" s="247"/>
    </row>
    <row r="474" spans="1:11" ht="20.25">
      <c r="A474" s="247"/>
      <c r="B474" s="247"/>
      <c r="C474" s="247"/>
      <c r="D474" s="247"/>
      <c r="E474" s="258"/>
      <c r="F474" s="261"/>
      <c r="G474" s="247"/>
      <c r="H474" s="247"/>
      <c r="I474" s="247"/>
      <c r="J474" s="247"/>
      <c r="K474" s="247"/>
    </row>
    <row r="475" spans="1:11" ht="20.25">
      <c r="A475" s="247"/>
      <c r="B475" s="247"/>
      <c r="C475" s="247"/>
      <c r="D475" s="247"/>
      <c r="E475" s="258"/>
      <c r="F475" s="261"/>
      <c r="G475" s="247"/>
      <c r="H475" s="247"/>
      <c r="I475" s="247"/>
      <c r="J475" s="247"/>
      <c r="K475" s="247"/>
    </row>
    <row r="476" spans="1:11" ht="20.25">
      <c r="A476" s="247"/>
      <c r="B476" s="247"/>
      <c r="C476" s="247"/>
      <c r="D476" s="247"/>
      <c r="E476" s="258"/>
      <c r="F476" s="261"/>
      <c r="G476" s="247"/>
      <c r="H476" s="247"/>
      <c r="I476" s="247"/>
      <c r="J476" s="247"/>
      <c r="K476" s="247"/>
    </row>
    <row r="477" spans="1:11" ht="20.25">
      <c r="A477" s="247"/>
      <c r="B477" s="247"/>
      <c r="C477" s="247"/>
      <c r="D477" s="247"/>
      <c r="E477" s="258"/>
      <c r="F477" s="261"/>
      <c r="G477" s="247"/>
      <c r="H477" s="247"/>
      <c r="I477" s="247"/>
      <c r="J477" s="247"/>
      <c r="K477" s="247"/>
    </row>
    <row r="478" spans="1:11" ht="20.25">
      <c r="A478" s="247"/>
      <c r="B478" s="247"/>
      <c r="C478" s="247"/>
      <c r="D478" s="247"/>
      <c r="E478" s="258"/>
      <c r="F478" s="261"/>
      <c r="G478" s="247"/>
      <c r="H478" s="247"/>
      <c r="I478" s="247"/>
      <c r="J478" s="247"/>
      <c r="K478" s="247"/>
    </row>
    <row r="479" spans="1:11" ht="20.25">
      <c r="A479" s="247"/>
      <c r="B479" s="247"/>
      <c r="C479" s="247"/>
      <c r="D479" s="247"/>
      <c r="E479" s="258"/>
      <c r="F479" s="261"/>
      <c r="G479" s="247"/>
      <c r="H479" s="247"/>
      <c r="I479" s="247"/>
      <c r="J479" s="247"/>
      <c r="K479" s="247"/>
    </row>
    <row r="480" spans="1:11" ht="20.25">
      <c r="A480" s="247"/>
      <c r="B480" s="247"/>
      <c r="C480" s="247"/>
      <c r="D480" s="247"/>
      <c r="E480" s="258"/>
      <c r="F480" s="261"/>
      <c r="G480" s="247"/>
      <c r="H480" s="247"/>
      <c r="I480" s="247"/>
      <c r="J480" s="247"/>
      <c r="K480" s="247"/>
    </row>
    <row r="481" spans="1:11" ht="20.25">
      <c r="A481" s="247"/>
      <c r="B481" s="247"/>
      <c r="C481" s="247"/>
      <c r="D481" s="247"/>
      <c r="E481" s="258"/>
      <c r="F481" s="261"/>
      <c r="G481" s="247"/>
      <c r="H481" s="247"/>
      <c r="I481" s="247"/>
      <c r="J481" s="247"/>
      <c r="K481" s="247"/>
    </row>
    <row r="482" spans="1:11" ht="20.25">
      <c r="A482" s="247"/>
      <c r="B482" s="247"/>
      <c r="C482" s="247"/>
      <c r="D482" s="247"/>
      <c r="E482" s="258"/>
      <c r="F482" s="261"/>
      <c r="G482" s="247"/>
      <c r="H482" s="247"/>
      <c r="I482" s="247"/>
      <c r="J482" s="247"/>
      <c r="K482" s="247"/>
    </row>
    <row r="483" spans="1:11" ht="20.25">
      <c r="A483" s="247"/>
      <c r="B483" s="247"/>
      <c r="C483" s="247"/>
      <c r="D483" s="247"/>
      <c r="E483" s="258"/>
      <c r="F483" s="261"/>
      <c r="G483" s="247"/>
      <c r="H483" s="247"/>
      <c r="I483" s="247"/>
      <c r="J483" s="247"/>
      <c r="K483" s="247"/>
    </row>
    <row r="484" spans="1:11" ht="20.25">
      <c r="A484" s="247"/>
      <c r="B484" s="247"/>
      <c r="C484" s="247"/>
      <c r="D484" s="247"/>
      <c r="E484" s="258"/>
      <c r="F484" s="261"/>
      <c r="G484" s="247"/>
      <c r="H484" s="247"/>
      <c r="I484" s="247"/>
      <c r="J484" s="247"/>
      <c r="K484" s="247"/>
    </row>
    <row r="485" spans="1:11" ht="20.25">
      <c r="A485" s="247"/>
      <c r="B485" s="247"/>
      <c r="C485" s="247"/>
      <c r="D485" s="247"/>
      <c r="E485" s="258"/>
      <c r="F485" s="261"/>
      <c r="G485" s="247"/>
      <c r="H485" s="247"/>
      <c r="I485" s="247"/>
      <c r="J485" s="247"/>
      <c r="K485" s="247"/>
    </row>
    <row r="486" spans="1:11" ht="20.25">
      <c r="A486" s="247"/>
      <c r="B486" s="247"/>
      <c r="C486" s="247"/>
      <c r="D486" s="247"/>
      <c r="E486" s="258"/>
      <c r="F486" s="261"/>
      <c r="G486" s="247"/>
      <c r="H486" s="247"/>
      <c r="I486" s="247"/>
      <c r="J486" s="247"/>
      <c r="K486" s="247"/>
    </row>
    <row r="487" spans="1:11" ht="20.25">
      <c r="A487" s="247"/>
      <c r="B487" s="247"/>
      <c r="C487" s="247"/>
      <c r="D487" s="247"/>
      <c r="E487" s="258"/>
      <c r="F487" s="261"/>
      <c r="G487" s="247"/>
      <c r="H487" s="247"/>
      <c r="I487" s="247"/>
      <c r="J487" s="247"/>
      <c r="K487" s="247"/>
    </row>
    <row r="488" spans="1:11" ht="20.25">
      <c r="A488" s="247"/>
      <c r="B488" s="247"/>
      <c r="C488" s="247"/>
      <c r="D488" s="247"/>
      <c r="E488" s="258"/>
      <c r="F488" s="261"/>
      <c r="G488" s="247"/>
      <c r="H488" s="247"/>
      <c r="I488" s="247"/>
      <c r="J488" s="247"/>
      <c r="K488" s="247"/>
    </row>
    <row r="489" spans="1:11" ht="20.25">
      <c r="A489" s="247"/>
      <c r="B489" s="247"/>
      <c r="C489" s="247"/>
      <c r="D489" s="247"/>
      <c r="E489" s="258"/>
      <c r="F489" s="261"/>
      <c r="G489" s="247"/>
      <c r="H489" s="247"/>
      <c r="I489" s="247"/>
      <c r="J489" s="247"/>
      <c r="K489" s="247"/>
    </row>
    <row r="490" spans="1:11" ht="20.25">
      <c r="A490" s="247"/>
      <c r="B490" s="247"/>
      <c r="C490" s="247"/>
      <c r="D490" s="247"/>
      <c r="E490" s="258"/>
      <c r="F490" s="261"/>
      <c r="G490" s="247"/>
      <c r="H490" s="247"/>
      <c r="I490" s="247"/>
      <c r="J490" s="247"/>
      <c r="K490" s="247"/>
    </row>
    <row r="491" spans="1:11" ht="20.25">
      <c r="A491" s="247"/>
      <c r="B491" s="247"/>
      <c r="C491" s="247"/>
      <c r="D491" s="247"/>
      <c r="E491" s="258"/>
      <c r="F491" s="261"/>
      <c r="G491" s="247"/>
      <c r="H491" s="247"/>
      <c r="I491" s="247"/>
      <c r="J491" s="247"/>
      <c r="K491" s="247"/>
    </row>
    <row r="492" spans="1:11" ht="20.25">
      <c r="A492" s="247"/>
      <c r="B492" s="247"/>
      <c r="C492" s="247"/>
      <c r="D492" s="247"/>
      <c r="E492" s="258"/>
      <c r="F492" s="261"/>
      <c r="G492" s="247"/>
      <c r="H492" s="247"/>
      <c r="I492" s="247"/>
      <c r="J492" s="247"/>
      <c r="K492" s="247"/>
    </row>
    <row r="493" spans="1:11" ht="20.25">
      <c r="A493" s="247"/>
      <c r="B493" s="247"/>
      <c r="C493" s="247"/>
      <c r="D493" s="247"/>
      <c r="E493" s="258"/>
      <c r="F493" s="261"/>
      <c r="G493" s="247"/>
      <c r="H493" s="247"/>
      <c r="I493" s="247"/>
      <c r="J493" s="247"/>
      <c r="K493" s="247"/>
    </row>
    <row r="494" spans="1:11" ht="20.25">
      <c r="A494" s="247"/>
      <c r="B494" s="247"/>
      <c r="C494" s="247"/>
      <c r="D494" s="247"/>
      <c r="E494" s="258"/>
      <c r="F494" s="261"/>
      <c r="G494" s="247"/>
      <c r="H494" s="247"/>
      <c r="I494" s="247"/>
      <c r="J494" s="247"/>
      <c r="K494" s="247"/>
    </row>
    <row r="495" spans="1:11" ht="20.25">
      <c r="A495" s="247"/>
      <c r="B495" s="247"/>
      <c r="C495" s="247"/>
      <c r="D495" s="247"/>
      <c r="E495" s="258"/>
      <c r="F495" s="261"/>
      <c r="G495" s="247"/>
      <c r="H495" s="247"/>
      <c r="I495" s="247"/>
      <c r="J495" s="247"/>
      <c r="K495" s="247"/>
    </row>
    <row r="496" spans="1:11" ht="20.25">
      <c r="A496" s="247"/>
      <c r="B496" s="247"/>
      <c r="C496" s="247"/>
      <c r="D496" s="247"/>
      <c r="E496" s="258"/>
      <c r="F496" s="261"/>
      <c r="G496" s="247"/>
      <c r="H496" s="247"/>
      <c r="I496" s="247"/>
      <c r="J496" s="247"/>
      <c r="K496" s="247"/>
    </row>
    <row r="497" spans="1:11" ht="20.25">
      <c r="A497" s="247"/>
      <c r="B497" s="247"/>
      <c r="C497" s="247"/>
      <c r="D497" s="247"/>
      <c r="E497" s="258"/>
      <c r="F497" s="261"/>
      <c r="G497" s="247"/>
      <c r="H497" s="247"/>
      <c r="I497" s="247"/>
      <c r="J497" s="247"/>
      <c r="K497" s="247"/>
    </row>
    <row r="498" spans="1:11" ht="20.25">
      <c r="A498" s="247"/>
      <c r="B498" s="247"/>
      <c r="C498" s="247"/>
      <c r="D498" s="247"/>
      <c r="E498" s="258"/>
      <c r="F498" s="261"/>
      <c r="G498" s="247"/>
      <c r="H498" s="247"/>
      <c r="I498" s="247"/>
      <c r="J498" s="247"/>
      <c r="K498" s="247"/>
    </row>
    <row r="499" spans="1:11" ht="20.25">
      <c r="A499" s="247"/>
      <c r="B499" s="247"/>
      <c r="C499" s="247"/>
      <c r="D499" s="247"/>
      <c r="E499" s="258"/>
      <c r="F499" s="261"/>
      <c r="G499" s="247"/>
      <c r="H499" s="247"/>
      <c r="I499" s="247"/>
      <c r="J499" s="247"/>
      <c r="K499" s="247"/>
    </row>
    <row r="500" spans="1:11" ht="20.25">
      <c r="A500" s="247"/>
      <c r="B500" s="247"/>
      <c r="C500" s="247"/>
      <c r="D500" s="247"/>
      <c r="E500" s="258"/>
      <c r="F500" s="261"/>
      <c r="G500" s="247"/>
      <c r="H500" s="247"/>
      <c r="I500" s="247"/>
      <c r="J500" s="247"/>
      <c r="K500" s="247"/>
    </row>
    <row r="501" spans="1:11" ht="20.25">
      <c r="A501" s="247"/>
      <c r="B501" s="247"/>
      <c r="C501" s="247"/>
      <c r="D501" s="247"/>
      <c r="E501" s="258"/>
      <c r="F501" s="261"/>
      <c r="G501" s="247"/>
      <c r="H501" s="247"/>
      <c r="I501" s="247"/>
      <c r="J501" s="247"/>
      <c r="K501" s="247"/>
    </row>
    <row r="502" spans="1:11" ht="20.25">
      <c r="A502" s="247"/>
      <c r="B502" s="247"/>
      <c r="C502" s="247"/>
      <c r="D502" s="247"/>
      <c r="E502" s="258"/>
      <c r="F502" s="261"/>
      <c r="G502" s="247"/>
      <c r="H502" s="247"/>
      <c r="I502" s="247"/>
      <c r="J502" s="247"/>
      <c r="K502" s="247"/>
    </row>
    <row r="503" spans="1:11" ht="20.25">
      <c r="A503" s="247"/>
      <c r="B503" s="247"/>
      <c r="C503" s="247"/>
      <c r="D503" s="247"/>
      <c r="E503" s="258"/>
      <c r="F503" s="261"/>
      <c r="G503" s="247"/>
      <c r="H503" s="247"/>
      <c r="I503" s="247"/>
      <c r="J503" s="247"/>
      <c r="K503" s="247"/>
    </row>
    <row r="504" spans="1:11" ht="20.25">
      <c r="A504" s="247"/>
      <c r="B504" s="247"/>
      <c r="C504" s="247"/>
      <c r="D504" s="247"/>
      <c r="E504" s="258"/>
      <c r="F504" s="261"/>
      <c r="G504" s="247"/>
      <c r="H504" s="247"/>
      <c r="I504" s="247"/>
      <c r="J504" s="247"/>
      <c r="K504" s="247"/>
    </row>
    <row r="505" spans="1:11" ht="20.25">
      <c r="A505" s="247"/>
      <c r="B505" s="247"/>
      <c r="C505" s="247"/>
      <c r="D505" s="247"/>
      <c r="E505" s="258"/>
      <c r="F505" s="261"/>
      <c r="G505" s="247"/>
      <c r="H505" s="247"/>
      <c r="I505" s="247"/>
      <c r="J505" s="247"/>
      <c r="K505" s="247"/>
    </row>
    <row r="506" spans="1:11" ht="20.25">
      <c r="A506" s="247"/>
      <c r="B506" s="247"/>
      <c r="C506" s="247"/>
      <c r="D506" s="247"/>
      <c r="E506" s="258"/>
      <c r="F506" s="261"/>
      <c r="G506" s="247"/>
      <c r="H506" s="247"/>
      <c r="I506" s="247"/>
      <c r="J506" s="247"/>
      <c r="K506" s="247"/>
    </row>
    <row r="507" spans="1:11" ht="20.25">
      <c r="A507" s="247"/>
      <c r="B507" s="247"/>
      <c r="C507" s="247"/>
      <c r="D507" s="247"/>
      <c r="E507" s="258"/>
      <c r="F507" s="261"/>
      <c r="G507" s="247"/>
      <c r="H507" s="247"/>
      <c r="I507" s="247"/>
      <c r="J507" s="247"/>
      <c r="K507" s="247"/>
    </row>
    <row r="508" spans="1:11" ht="20.25">
      <c r="A508" s="247"/>
      <c r="B508" s="247"/>
      <c r="C508" s="247"/>
      <c r="D508" s="247"/>
      <c r="E508" s="258"/>
      <c r="F508" s="261"/>
      <c r="G508" s="247"/>
      <c r="H508" s="247"/>
      <c r="I508" s="247"/>
      <c r="J508" s="247"/>
      <c r="K508" s="247"/>
    </row>
    <row r="509" spans="1:11" ht="20.25">
      <c r="A509" s="247"/>
      <c r="B509" s="247"/>
      <c r="C509" s="247"/>
      <c r="D509" s="247"/>
      <c r="E509" s="258"/>
      <c r="F509" s="261"/>
      <c r="G509" s="247"/>
      <c r="H509" s="247"/>
      <c r="I509" s="247"/>
      <c r="J509" s="247"/>
      <c r="K509" s="247"/>
    </row>
    <row r="510" spans="1:11" ht="20.25">
      <c r="A510" s="247"/>
      <c r="B510" s="247"/>
      <c r="C510" s="247"/>
      <c r="D510" s="247"/>
      <c r="E510" s="258"/>
      <c r="F510" s="261"/>
      <c r="G510" s="247"/>
      <c r="H510" s="247"/>
      <c r="I510" s="247"/>
      <c r="J510" s="247"/>
      <c r="K510" s="247"/>
    </row>
    <row r="511" spans="1:11" ht="20.25">
      <c r="A511" s="247"/>
      <c r="B511" s="247"/>
      <c r="C511" s="247"/>
      <c r="D511" s="247"/>
      <c r="E511" s="258"/>
      <c r="F511" s="261"/>
      <c r="G511" s="247"/>
      <c r="H511" s="247"/>
      <c r="I511" s="247"/>
      <c r="J511" s="247"/>
      <c r="K511" s="247"/>
    </row>
    <row r="512" spans="1:11" ht="20.25">
      <c r="A512" s="247"/>
      <c r="B512" s="247"/>
      <c r="C512" s="247"/>
      <c r="D512" s="247"/>
      <c r="E512" s="258"/>
      <c r="F512" s="261"/>
      <c r="G512" s="247"/>
      <c r="H512" s="247"/>
      <c r="I512" s="247"/>
      <c r="J512" s="247"/>
      <c r="K512" s="247"/>
    </row>
    <row r="513" spans="1:11" ht="20.25">
      <c r="A513" s="247"/>
      <c r="B513" s="247"/>
      <c r="C513" s="247"/>
      <c r="D513" s="247"/>
      <c r="E513" s="258"/>
      <c r="F513" s="261"/>
      <c r="G513" s="247"/>
      <c r="H513" s="247"/>
      <c r="I513" s="247"/>
      <c r="J513" s="247"/>
      <c r="K513" s="247"/>
    </row>
    <row r="514" spans="1:11" ht="20.25">
      <c r="A514" s="247"/>
      <c r="B514" s="247"/>
      <c r="C514" s="247"/>
      <c r="D514" s="247"/>
      <c r="E514" s="258"/>
      <c r="F514" s="261"/>
      <c r="G514" s="247"/>
      <c r="H514" s="247"/>
      <c r="I514" s="247"/>
      <c r="J514" s="247"/>
      <c r="K514" s="247"/>
    </row>
    <row r="515" spans="1:11" ht="20.25">
      <c r="A515" s="247"/>
      <c r="B515" s="247"/>
      <c r="C515" s="247"/>
      <c r="D515" s="247"/>
      <c r="E515" s="258"/>
      <c r="F515" s="261"/>
      <c r="G515" s="247"/>
      <c r="H515" s="247"/>
      <c r="I515" s="247"/>
      <c r="J515" s="247"/>
      <c r="K515" s="247"/>
    </row>
    <row r="516" spans="1:11" ht="20.25">
      <c r="A516" s="247"/>
      <c r="B516" s="247"/>
      <c r="C516" s="247"/>
      <c r="D516" s="247"/>
      <c r="E516" s="258"/>
      <c r="F516" s="261"/>
      <c r="G516" s="247"/>
      <c r="H516" s="247"/>
      <c r="I516" s="247"/>
      <c r="J516" s="247"/>
      <c r="K516" s="247"/>
    </row>
    <row r="517" spans="1:11" ht="20.25">
      <c r="A517" s="247"/>
      <c r="B517" s="247"/>
      <c r="C517" s="247"/>
      <c r="D517" s="247"/>
      <c r="E517" s="258"/>
      <c r="F517" s="261"/>
      <c r="G517" s="247"/>
      <c r="H517" s="247"/>
      <c r="I517" s="247"/>
      <c r="J517" s="247"/>
      <c r="K517" s="247"/>
    </row>
    <row r="518" spans="1:11" ht="20.25">
      <c r="A518" s="247"/>
      <c r="B518" s="247"/>
      <c r="C518" s="247"/>
      <c r="D518" s="247"/>
      <c r="E518" s="258"/>
      <c r="F518" s="261"/>
      <c r="G518" s="247"/>
      <c r="H518" s="247"/>
      <c r="I518" s="247"/>
      <c r="J518" s="247"/>
      <c r="K518" s="247"/>
    </row>
    <row r="519" spans="1:11" ht="20.25">
      <c r="A519" s="247"/>
      <c r="B519" s="247"/>
      <c r="C519" s="247"/>
      <c r="D519" s="247"/>
      <c r="E519" s="258"/>
      <c r="F519" s="261"/>
      <c r="G519" s="247"/>
      <c r="H519" s="247"/>
      <c r="I519" s="247"/>
      <c r="J519" s="247"/>
      <c r="K519" s="247"/>
    </row>
    <row r="520" spans="1:11" ht="20.25">
      <c r="A520" s="247"/>
      <c r="B520" s="247"/>
      <c r="C520" s="247"/>
      <c r="D520" s="247"/>
      <c r="E520" s="258"/>
      <c r="F520" s="261"/>
      <c r="G520" s="247"/>
      <c r="H520" s="247"/>
      <c r="I520" s="247"/>
      <c r="J520" s="247"/>
      <c r="K520" s="247"/>
    </row>
    <row r="521" spans="1:11" ht="20.25">
      <c r="A521" s="247"/>
      <c r="B521" s="247"/>
      <c r="C521" s="247"/>
      <c r="D521" s="247"/>
      <c r="E521" s="258"/>
      <c r="F521" s="261"/>
      <c r="G521" s="247"/>
      <c r="H521" s="247"/>
      <c r="I521" s="247"/>
      <c r="J521" s="247"/>
      <c r="K521" s="247"/>
    </row>
    <row r="522" spans="1:11" ht="20.25">
      <c r="A522" s="247"/>
      <c r="B522" s="247"/>
      <c r="C522" s="247"/>
      <c r="D522" s="247"/>
      <c r="E522" s="258"/>
      <c r="F522" s="261"/>
      <c r="G522" s="247"/>
      <c r="H522" s="247"/>
      <c r="I522" s="247"/>
      <c r="J522" s="247"/>
      <c r="K522" s="247"/>
    </row>
    <row r="523" spans="1:11" ht="20.25">
      <c r="A523" s="247"/>
      <c r="B523" s="247"/>
      <c r="C523" s="247"/>
      <c r="D523" s="247"/>
      <c r="E523" s="258"/>
      <c r="F523" s="261"/>
      <c r="G523" s="247"/>
      <c r="H523" s="247"/>
      <c r="I523" s="247"/>
      <c r="J523" s="247"/>
      <c r="K523" s="247"/>
    </row>
    <row r="524" spans="1:11" ht="20.25">
      <c r="A524" s="247"/>
      <c r="B524" s="247"/>
      <c r="C524" s="247"/>
      <c r="D524" s="247"/>
      <c r="E524" s="258"/>
      <c r="F524" s="261"/>
      <c r="G524" s="247"/>
      <c r="H524" s="247"/>
      <c r="I524" s="247"/>
      <c r="J524" s="247"/>
      <c r="K524" s="247"/>
    </row>
    <row r="525" spans="1:11" ht="20.25">
      <c r="A525" s="247"/>
      <c r="B525" s="247"/>
      <c r="C525" s="247"/>
      <c r="D525" s="247"/>
      <c r="E525" s="258"/>
      <c r="F525" s="261"/>
      <c r="G525" s="247"/>
      <c r="H525" s="247"/>
      <c r="I525" s="247"/>
      <c r="J525" s="247"/>
      <c r="K525" s="247"/>
    </row>
    <row r="526" spans="1:11" ht="20.25">
      <c r="A526" s="247"/>
      <c r="B526" s="247"/>
      <c r="C526" s="247"/>
      <c r="D526" s="247"/>
      <c r="E526" s="258"/>
      <c r="F526" s="261"/>
      <c r="G526" s="247"/>
      <c r="H526" s="247"/>
      <c r="I526" s="247"/>
      <c r="J526" s="247"/>
      <c r="K526" s="247"/>
    </row>
    <row r="527" spans="1:11" ht="20.25">
      <c r="A527" s="247"/>
      <c r="B527" s="247"/>
      <c r="C527" s="247"/>
      <c r="D527" s="247"/>
      <c r="E527" s="258"/>
      <c r="F527" s="261"/>
      <c r="G527" s="247"/>
      <c r="H527" s="247"/>
      <c r="I527" s="247"/>
      <c r="J527" s="247"/>
      <c r="K527" s="247"/>
    </row>
    <row r="528" spans="1:11" ht="20.25">
      <c r="A528" s="247"/>
      <c r="B528" s="247"/>
      <c r="C528" s="247"/>
      <c r="D528" s="247"/>
      <c r="E528" s="258"/>
      <c r="F528" s="261"/>
      <c r="G528" s="247"/>
      <c r="H528" s="247"/>
      <c r="I528" s="247"/>
      <c r="J528" s="247"/>
      <c r="K528" s="247"/>
    </row>
    <row r="529" spans="1:11" ht="20.25">
      <c r="A529" s="247"/>
      <c r="B529" s="247"/>
      <c r="C529" s="247"/>
      <c r="D529" s="247"/>
      <c r="E529" s="258"/>
      <c r="F529" s="261"/>
      <c r="G529" s="247"/>
      <c r="H529" s="247"/>
      <c r="I529" s="247"/>
      <c r="J529" s="247"/>
      <c r="K529" s="247"/>
    </row>
    <row r="530" spans="1:11" ht="20.25">
      <c r="A530" s="247"/>
      <c r="B530" s="247"/>
      <c r="C530" s="247"/>
      <c r="D530" s="247"/>
      <c r="E530" s="258"/>
      <c r="F530" s="261"/>
      <c r="G530" s="247"/>
      <c r="H530" s="247"/>
      <c r="I530" s="247"/>
      <c r="J530" s="247"/>
      <c r="K530" s="247"/>
    </row>
    <row r="531" spans="1:11" ht="20.25">
      <c r="A531" s="247"/>
      <c r="B531" s="247"/>
      <c r="C531" s="247"/>
      <c r="D531" s="247"/>
      <c r="E531" s="258"/>
      <c r="F531" s="261"/>
      <c r="G531" s="247"/>
      <c r="H531" s="247"/>
      <c r="I531" s="247"/>
      <c r="J531" s="247"/>
      <c r="K531" s="247"/>
    </row>
    <row r="532" spans="1:11" ht="20.25">
      <c r="A532" s="247"/>
      <c r="B532" s="247"/>
      <c r="C532" s="247"/>
      <c r="D532" s="247"/>
      <c r="E532" s="258"/>
      <c r="F532" s="261"/>
      <c r="G532" s="247"/>
      <c r="H532" s="247"/>
      <c r="I532" s="247"/>
      <c r="J532" s="247"/>
      <c r="K532" s="247"/>
    </row>
    <row r="533" spans="1:11" ht="20.25">
      <c r="A533" s="247"/>
      <c r="B533" s="247"/>
      <c r="C533" s="247"/>
      <c r="D533" s="247"/>
      <c r="E533" s="258"/>
      <c r="F533" s="261"/>
      <c r="G533" s="247"/>
      <c r="H533" s="247"/>
      <c r="I533" s="247"/>
      <c r="J533" s="247"/>
      <c r="K533" s="247"/>
    </row>
    <row r="534" spans="1:11" ht="20.25">
      <c r="A534" s="247"/>
      <c r="B534" s="247"/>
      <c r="C534" s="247"/>
      <c r="D534" s="247"/>
      <c r="E534" s="258"/>
      <c r="F534" s="261"/>
      <c r="G534" s="247"/>
      <c r="H534" s="247"/>
      <c r="I534" s="247"/>
      <c r="J534" s="247"/>
      <c r="K534" s="247"/>
    </row>
    <row r="535" spans="1:11" ht="20.25">
      <c r="A535" s="247"/>
      <c r="B535" s="247"/>
      <c r="C535" s="247"/>
      <c r="D535" s="247"/>
      <c r="E535" s="258"/>
      <c r="F535" s="261"/>
      <c r="G535" s="247"/>
      <c r="H535" s="247"/>
      <c r="I535" s="247"/>
      <c r="J535" s="247"/>
      <c r="K535" s="247"/>
    </row>
    <row r="536" spans="1:11" ht="20.25">
      <c r="A536" s="247"/>
      <c r="B536" s="247"/>
      <c r="C536" s="247"/>
      <c r="D536" s="247"/>
      <c r="E536" s="258"/>
      <c r="F536" s="261"/>
      <c r="G536" s="247"/>
      <c r="H536" s="247"/>
      <c r="I536" s="247"/>
      <c r="J536" s="247"/>
      <c r="K536" s="247"/>
    </row>
    <row r="537" spans="1:11" ht="20.25">
      <c r="A537" s="247"/>
      <c r="B537" s="247"/>
      <c r="C537" s="247"/>
      <c r="D537" s="247"/>
      <c r="E537" s="258"/>
      <c r="F537" s="261"/>
      <c r="G537" s="247"/>
      <c r="H537" s="247"/>
      <c r="I537" s="247"/>
      <c r="J537" s="247"/>
      <c r="K537" s="247"/>
    </row>
    <row r="538" spans="1:11" ht="20.25">
      <c r="A538" s="247"/>
      <c r="B538" s="247"/>
      <c r="C538" s="247"/>
      <c r="D538" s="247"/>
      <c r="E538" s="258"/>
      <c r="F538" s="261"/>
      <c r="G538" s="247"/>
      <c r="H538" s="247"/>
      <c r="I538" s="247"/>
      <c r="J538" s="247"/>
      <c r="K538" s="247"/>
    </row>
    <row r="539" spans="1:11" ht="20.25">
      <c r="A539" s="247"/>
      <c r="B539" s="247"/>
      <c r="C539" s="247"/>
      <c r="D539" s="247"/>
      <c r="E539" s="258"/>
      <c r="F539" s="261"/>
      <c r="G539" s="247"/>
      <c r="H539" s="247"/>
      <c r="I539" s="247"/>
      <c r="J539" s="247"/>
      <c r="K539" s="247"/>
    </row>
    <row r="540" spans="1:11" ht="20.25">
      <c r="A540" s="247"/>
      <c r="B540" s="247"/>
      <c r="C540" s="247"/>
      <c r="D540" s="247"/>
      <c r="E540" s="258"/>
      <c r="F540" s="261"/>
      <c r="G540" s="247"/>
      <c r="H540" s="247"/>
      <c r="I540" s="247"/>
      <c r="J540" s="247"/>
      <c r="K540" s="247"/>
    </row>
    <row r="541" spans="1:11" ht="20.25">
      <c r="A541" s="247"/>
      <c r="B541" s="247"/>
      <c r="C541" s="247"/>
      <c r="D541" s="247"/>
      <c r="E541" s="258"/>
      <c r="F541" s="261"/>
      <c r="G541" s="247"/>
      <c r="H541" s="247"/>
      <c r="I541" s="247"/>
      <c r="J541" s="247"/>
      <c r="K541" s="247"/>
    </row>
    <row r="542" spans="1:11" ht="20.25">
      <c r="A542" s="247"/>
      <c r="B542" s="247"/>
      <c r="C542" s="247"/>
      <c r="D542" s="247"/>
      <c r="E542" s="258"/>
      <c r="F542" s="261"/>
      <c r="G542" s="247"/>
      <c r="H542" s="247"/>
      <c r="I542" s="247"/>
      <c r="J542" s="247"/>
      <c r="K542" s="247"/>
    </row>
    <row r="543" spans="1:11" ht="20.25">
      <c r="A543" s="247"/>
      <c r="B543" s="247"/>
      <c r="C543" s="247"/>
      <c r="D543" s="247"/>
      <c r="E543" s="258"/>
      <c r="F543" s="261"/>
      <c r="G543" s="247"/>
      <c r="H543" s="247"/>
      <c r="I543" s="247"/>
      <c r="J543" s="247"/>
      <c r="K543" s="247"/>
    </row>
    <row r="544" spans="1:11" ht="20.25">
      <c r="A544" s="247"/>
      <c r="B544" s="247"/>
      <c r="C544" s="247"/>
      <c r="D544" s="247"/>
      <c r="E544" s="258"/>
      <c r="F544" s="261"/>
      <c r="G544" s="247"/>
      <c r="H544" s="247"/>
      <c r="I544" s="247"/>
      <c r="J544" s="247"/>
      <c r="K544" s="247"/>
    </row>
    <row r="545" spans="1:11" ht="20.25">
      <c r="A545" s="247"/>
      <c r="B545" s="247"/>
      <c r="C545" s="247"/>
      <c r="D545" s="247"/>
      <c r="E545" s="258"/>
      <c r="F545" s="261"/>
      <c r="G545" s="247"/>
      <c r="H545" s="247"/>
      <c r="I545" s="247"/>
      <c r="J545" s="247"/>
      <c r="K545" s="247"/>
    </row>
    <row r="546" spans="1:11" ht="20.25">
      <c r="A546" s="247"/>
      <c r="B546" s="247"/>
      <c r="C546" s="247"/>
      <c r="D546" s="247"/>
      <c r="E546" s="258"/>
      <c r="F546" s="261"/>
      <c r="G546" s="247"/>
      <c r="H546" s="247"/>
      <c r="I546" s="247"/>
      <c r="J546" s="247"/>
      <c r="K546" s="247"/>
    </row>
    <row r="547" spans="1:11" ht="20.25">
      <c r="A547" s="247"/>
      <c r="B547" s="247"/>
      <c r="C547" s="247"/>
      <c r="D547" s="247"/>
      <c r="E547" s="258"/>
      <c r="F547" s="261"/>
      <c r="G547" s="247"/>
      <c r="H547" s="247"/>
      <c r="I547" s="247"/>
      <c r="J547" s="247"/>
      <c r="K547" s="247"/>
    </row>
    <row r="548" spans="1:11" ht="20.25">
      <c r="A548" s="247"/>
      <c r="B548" s="247"/>
      <c r="C548" s="247"/>
      <c r="D548" s="247"/>
      <c r="E548" s="258"/>
      <c r="F548" s="261"/>
      <c r="G548" s="247"/>
      <c r="H548" s="247"/>
      <c r="I548" s="247"/>
      <c r="J548" s="247"/>
      <c r="K548" s="247"/>
    </row>
    <row r="549" spans="1:11" ht="20.25">
      <c r="A549" s="247"/>
      <c r="B549" s="247"/>
      <c r="C549" s="247"/>
      <c r="D549" s="247"/>
      <c r="E549" s="258"/>
      <c r="F549" s="261"/>
      <c r="G549" s="247"/>
      <c r="H549" s="247"/>
      <c r="I549" s="247"/>
      <c r="J549" s="247"/>
      <c r="K549" s="247"/>
    </row>
    <row r="550" spans="1:11" ht="20.25">
      <c r="A550" s="247"/>
      <c r="B550" s="247"/>
      <c r="C550" s="247"/>
      <c r="D550" s="247"/>
      <c r="E550" s="258"/>
      <c r="F550" s="261"/>
      <c r="G550" s="247"/>
      <c r="H550" s="247"/>
      <c r="I550" s="247"/>
      <c r="J550" s="247"/>
      <c r="K550" s="247"/>
    </row>
    <row r="551" spans="1:11" ht="20.25">
      <c r="A551" s="247"/>
      <c r="B551" s="247"/>
      <c r="C551" s="247"/>
      <c r="D551" s="247"/>
      <c r="E551" s="258"/>
      <c r="F551" s="261"/>
      <c r="G551" s="247"/>
      <c r="H551" s="247"/>
      <c r="I551" s="247"/>
      <c r="J551" s="247"/>
      <c r="K551" s="247"/>
    </row>
    <row r="552" spans="1:11" ht="20.25">
      <c r="A552" s="247"/>
      <c r="B552" s="247"/>
      <c r="C552" s="247"/>
      <c r="D552" s="247"/>
      <c r="E552" s="258"/>
      <c r="F552" s="261"/>
      <c r="G552" s="247"/>
      <c r="H552" s="247"/>
      <c r="I552" s="247"/>
      <c r="J552" s="247"/>
      <c r="K552" s="247"/>
    </row>
    <row r="553" spans="1:11" ht="20.25">
      <c r="A553" s="247"/>
      <c r="B553" s="247"/>
      <c r="C553" s="247"/>
      <c r="D553" s="247"/>
      <c r="E553" s="258"/>
      <c r="F553" s="261"/>
      <c r="G553" s="247"/>
      <c r="H553" s="247"/>
      <c r="I553" s="247"/>
      <c r="J553" s="247"/>
      <c r="K553" s="247"/>
    </row>
    <row r="554" spans="1:11" ht="20.25">
      <c r="A554" s="247"/>
      <c r="B554" s="247"/>
      <c r="C554" s="247"/>
      <c r="D554" s="247"/>
      <c r="E554" s="258"/>
      <c r="F554" s="261"/>
      <c r="G554" s="247"/>
      <c r="H554" s="247"/>
      <c r="I554" s="247"/>
      <c r="J554" s="247"/>
      <c r="K554" s="247"/>
    </row>
    <row r="555" spans="1:11" ht="20.25">
      <c r="A555" s="247"/>
      <c r="B555" s="247"/>
      <c r="C555" s="247"/>
      <c r="D555" s="247"/>
      <c r="E555" s="258"/>
      <c r="F555" s="261"/>
      <c r="G555" s="247"/>
      <c r="H555" s="247"/>
      <c r="I555" s="247"/>
      <c r="J555" s="247"/>
      <c r="K555" s="247"/>
    </row>
    <row r="556" spans="1:11" ht="20.25">
      <c r="A556" s="247"/>
      <c r="B556" s="247"/>
      <c r="C556" s="247"/>
      <c r="D556" s="247"/>
      <c r="E556" s="258"/>
      <c r="F556" s="261"/>
      <c r="G556" s="247"/>
      <c r="H556" s="247"/>
      <c r="I556" s="247"/>
      <c r="J556" s="247"/>
      <c r="K556" s="247"/>
    </row>
    <row r="557" spans="1:11" ht="20.25">
      <c r="A557" s="247"/>
      <c r="B557" s="247"/>
      <c r="C557" s="247"/>
      <c r="D557" s="247"/>
      <c r="E557" s="258"/>
      <c r="F557" s="261"/>
      <c r="G557" s="247"/>
      <c r="H557" s="247"/>
      <c r="I557" s="247"/>
      <c r="J557" s="247"/>
      <c r="K557" s="247"/>
    </row>
    <row r="558" spans="1:11" ht="20.25">
      <c r="A558" s="247"/>
      <c r="B558" s="247"/>
      <c r="C558" s="247"/>
      <c r="D558" s="247"/>
      <c r="E558" s="258"/>
      <c r="F558" s="261"/>
      <c r="G558" s="247"/>
      <c r="H558" s="247"/>
      <c r="I558" s="247"/>
      <c r="J558" s="247"/>
      <c r="K558" s="247"/>
    </row>
    <row r="559" spans="1:11" ht="20.25">
      <c r="A559" s="247"/>
      <c r="B559" s="247"/>
      <c r="C559" s="247"/>
      <c r="D559" s="247"/>
      <c r="E559" s="258"/>
      <c r="F559" s="261"/>
      <c r="G559" s="247"/>
      <c r="H559" s="247"/>
      <c r="I559" s="247"/>
      <c r="J559" s="247"/>
      <c r="K559" s="247"/>
    </row>
    <row r="560" spans="1:11" ht="20.25">
      <c r="A560" s="247"/>
      <c r="B560" s="247"/>
      <c r="C560" s="247"/>
      <c r="D560" s="247"/>
      <c r="E560" s="258"/>
      <c r="F560" s="261"/>
      <c r="G560" s="247"/>
      <c r="H560" s="247"/>
      <c r="I560" s="247"/>
      <c r="J560" s="247"/>
      <c r="K560" s="247"/>
    </row>
    <row r="561" spans="1:11" ht="20.25">
      <c r="A561" s="247"/>
      <c r="B561" s="247"/>
      <c r="C561" s="247"/>
      <c r="D561" s="247"/>
      <c r="E561" s="258"/>
      <c r="F561" s="261"/>
      <c r="G561" s="247"/>
      <c r="H561" s="247"/>
      <c r="I561" s="247"/>
      <c r="J561" s="247"/>
      <c r="K561" s="247"/>
    </row>
    <row r="562" spans="1:11" ht="20.25">
      <c r="A562" s="247"/>
      <c r="B562" s="247"/>
      <c r="C562" s="247"/>
      <c r="D562" s="247"/>
      <c r="E562" s="258"/>
      <c r="F562" s="261"/>
      <c r="G562" s="247"/>
      <c r="H562" s="247"/>
      <c r="I562" s="247"/>
      <c r="J562" s="247"/>
      <c r="K562" s="247"/>
    </row>
    <row r="563" spans="1:11" ht="20.25">
      <c r="A563" s="247"/>
      <c r="B563" s="247"/>
      <c r="C563" s="247"/>
      <c r="D563" s="247"/>
      <c r="E563" s="258"/>
      <c r="F563" s="261"/>
      <c r="G563" s="247"/>
      <c r="H563" s="247"/>
      <c r="I563" s="247"/>
      <c r="J563" s="247"/>
      <c r="K563" s="247"/>
    </row>
    <row r="564" spans="1:11" ht="20.25">
      <c r="A564" s="247"/>
      <c r="B564" s="247"/>
      <c r="C564" s="247"/>
      <c r="D564" s="247"/>
      <c r="E564" s="258"/>
      <c r="F564" s="261"/>
      <c r="G564" s="247"/>
      <c r="H564" s="247"/>
      <c r="I564" s="247"/>
      <c r="J564" s="247"/>
      <c r="K564" s="247"/>
    </row>
    <row r="565" spans="1:11" ht="20.25">
      <c r="A565" s="247"/>
      <c r="B565" s="247"/>
      <c r="C565" s="247"/>
      <c r="D565" s="247"/>
      <c r="E565" s="258"/>
      <c r="F565" s="261"/>
      <c r="G565" s="247"/>
      <c r="H565" s="247"/>
      <c r="I565" s="247"/>
      <c r="J565" s="247"/>
      <c r="K565" s="247"/>
    </row>
    <row r="566" spans="1:11" ht="20.25">
      <c r="A566" s="247"/>
      <c r="B566" s="247"/>
      <c r="C566" s="247"/>
      <c r="D566" s="247"/>
      <c r="E566" s="258"/>
      <c r="F566" s="261"/>
      <c r="G566" s="247"/>
      <c r="H566" s="247"/>
      <c r="I566" s="247"/>
      <c r="J566" s="247"/>
      <c r="K566" s="247"/>
    </row>
    <row r="567" spans="1:11" ht="20.25">
      <c r="A567" s="247"/>
      <c r="B567" s="247"/>
      <c r="C567" s="247"/>
      <c r="D567" s="247"/>
      <c r="E567" s="258"/>
      <c r="F567" s="261"/>
      <c r="G567" s="247"/>
      <c r="H567" s="247"/>
      <c r="I567" s="247"/>
      <c r="J567" s="247"/>
      <c r="K567" s="247"/>
    </row>
    <row r="568" spans="1:11" ht="20.25">
      <c r="A568" s="247"/>
      <c r="B568" s="247"/>
      <c r="C568" s="247"/>
      <c r="D568" s="247"/>
      <c r="E568" s="258"/>
      <c r="F568" s="261"/>
      <c r="G568" s="247"/>
      <c r="H568" s="247"/>
      <c r="I568" s="247"/>
      <c r="J568" s="247"/>
      <c r="K568" s="247"/>
    </row>
    <row r="569" spans="1:11" ht="20.25">
      <c r="A569" s="247"/>
      <c r="B569" s="247"/>
      <c r="C569" s="247"/>
      <c r="D569" s="247"/>
      <c r="E569" s="258"/>
      <c r="F569" s="261"/>
      <c r="G569" s="247"/>
      <c r="H569" s="247"/>
      <c r="I569" s="247"/>
      <c r="J569" s="247"/>
      <c r="K569" s="247"/>
    </row>
    <row r="570" spans="1:11" ht="20.25">
      <c r="A570" s="247"/>
      <c r="B570" s="247"/>
      <c r="C570" s="247"/>
      <c r="D570" s="247"/>
      <c r="E570" s="258"/>
      <c r="F570" s="261"/>
      <c r="G570" s="247"/>
      <c r="H570" s="247"/>
      <c r="I570" s="247"/>
      <c r="J570" s="247"/>
      <c r="K570" s="247"/>
    </row>
    <row r="571" spans="1:11" ht="20.25">
      <c r="A571" s="247"/>
      <c r="B571" s="247"/>
      <c r="C571" s="247"/>
      <c r="D571" s="247"/>
      <c r="E571" s="258"/>
      <c r="F571" s="261"/>
      <c r="G571" s="247"/>
      <c r="H571" s="247"/>
      <c r="I571" s="247"/>
      <c r="J571" s="247"/>
      <c r="K571" s="247"/>
    </row>
    <row r="572" spans="1:11" ht="20.25">
      <c r="A572" s="247"/>
      <c r="B572" s="247"/>
      <c r="C572" s="247"/>
      <c r="D572" s="247"/>
      <c r="E572" s="258"/>
      <c r="F572" s="261"/>
      <c r="G572" s="247"/>
      <c r="H572" s="247"/>
      <c r="I572" s="247"/>
      <c r="J572" s="247"/>
      <c r="K572" s="247"/>
    </row>
    <row r="573" spans="1:11" ht="20.25">
      <c r="A573" s="247"/>
      <c r="B573" s="247"/>
      <c r="C573" s="247"/>
      <c r="D573" s="247"/>
      <c r="E573" s="258"/>
      <c r="F573" s="261"/>
      <c r="G573" s="247"/>
      <c r="H573" s="247"/>
      <c r="I573" s="247"/>
      <c r="J573" s="247"/>
      <c r="K573" s="247"/>
    </row>
    <row r="574" spans="1:11" ht="20.25">
      <c r="A574" s="247"/>
      <c r="B574" s="247"/>
      <c r="C574" s="247"/>
      <c r="D574" s="247"/>
      <c r="E574" s="258"/>
      <c r="F574" s="261"/>
      <c r="G574" s="247"/>
      <c r="H574" s="247"/>
      <c r="I574" s="247"/>
      <c r="J574" s="247"/>
      <c r="K574" s="247"/>
    </row>
    <row r="575" spans="1:11" ht="20.25">
      <c r="A575" s="247"/>
      <c r="B575" s="247"/>
      <c r="C575" s="247"/>
      <c r="D575" s="247"/>
      <c r="E575" s="258"/>
      <c r="F575" s="261"/>
      <c r="G575" s="247"/>
      <c r="H575" s="247"/>
      <c r="I575" s="247"/>
      <c r="J575" s="247"/>
      <c r="K575" s="247"/>
    </row>
    <row r="576" spans="1:11" ht="20.25">
      <c r="A576" s="247"/>
      <c r="B576" s="247"/>
      <c r="C576" s="247"/>
      <c r="D576" s="247"/>
      <c r="E576" s="258"/>
      <c r="F576" s="261"/>
      <c r="G576" s="247"/>
      <c r="H576" s="247"/>
      <c r="I576" s="247"/>
      <c r="J576" s="247"/>
      <c r="K576" s="247"/>
    </row>
    <row r="577" spans="1:11" ht="20.25">
      <c r="A577" s="247"/>
      <c r="B577" s="247"/>
      <c r="C577" s="247"/>
      <c r="D577" s="247"/>
      <c r="E577" s="258"/>
      <c r="F577" s="261"/>
      <c r="G577" s="247"/>
      <c r="H577" s="247"/>
      <c r="I577" s="247"/>
      <c r="J577" s="247"/>
      <c r="K577" s="247"/>
    </row>
    <row r="578" spans="1:11" ht="20.25">
      <c r="A578" s="247"/>
      <c r="B578" s="247"/>
      <c r="C578" s="247"/>
      <c r="D578" s="247"/>
      <c r="E578" s="258"/>
      <c r="F578" s="261"/>
      <c r="G578" s="247"/>
      <c r="H578" s="247"/>
      <c r="I578" s="247"/>
      <c r="J578" s="247"/>
      <c r="K578" s="247"/>
    </row>
    <row r="579" spans="1:11" ht="20.25">
      <c r="A579" s="247"/>
      <c r="B579" s="247"/>
      <c r="C579" s="247"/>
      <c r="D579" s="247"/>
      <c r="E579" s="258"/>
      <c r="F579" s="261"/>
      <c r="G579" s="247"/>
      <c r="H579" s="247"/>
      <c r="I579" s="247"/>
      <c r="J579" s="247"/>
      <c r="K579" s="247"/>
    </row>
    <row r="580" spans="1:11" ht="20.25">
      <c r="A580" s="247"/>
      <c r="B580" s="247"/>
      <c r="C580" s="247"/>
      <c r="D580" s="247"/>
      <c r="E580" s="258"/>
      <c r="F580" s="261"/>
      <c r="G580" s="247"/>
      <c r="H580" s="247"/>
      <c r="I580" s="247"/>
      <c r="J580" s="247"/>
      <c r="K580" s="247"/>
    </row>
    <row r="581" spans="1:11" ht="20.25">
      <c r="A581" s="247"/>
      <c r="B581" s="247"/>
      <c r="C581" s="247"/>
      <c r="D581" s="247"/>
      <c r="E581" s="258"/>
      <c r="F581" s="261"/>
      <c r="G581" s="247"/>
      <c r="H581" s="247"/>
      <c r="I581" s="247"/>
      <c r="J581" s="247"/>
      <c r="K581" s="247"/>
    </row>
    <row r="582" spans="1:11" ht="20.25">
      <c r="A582" s="247"/>
      <c r="B582" s="247"/>
      <c r="C582" s="247"/>
      <c r="D582" s="247"/>
      <c r="E582" s="258"/>
      <c r="F582" s="261"/>
      <c r="G582" s="247"/>
      <c r="H582" s="247"/>
      <c r="I582" s="247"/>
      <c r="J582" s="247"/>
      <c r="K582" s="247"/>
    </row>
    <row r="583" spans="1:11" ht="20.25">
      <c r="A583" s="247"/>
      <c r="B583" s="247"/>
      <c r="C583" s="247"/>
      <c r="D583" s="247"/>
      <c r="E583" s="258"/>
      <c r="F583" s="261"/>
      <c r="G583" s="247"/>
      <c r="H583" s="247"/>
      <c r="I583" s="247"/>
      <c r="J583" s="247"/>
      <c r="K583" s="247"/>
    </row>
    <row r="584" spans="1:11" ht="20.25">
      <c r="A584" s="247"/>
      <c r="B584" s="247"/>
      <c r="C584" s="247"/>
      <c r="D584" s="247"/>
      <c r="E584" s="258"/>
      <c r="F584" s="261"/>
      <c r="G584" s="247"/>
      <c r="H584" s="247"/>
      <c r="I584" s="247"/>
      <c r="J584" s="247"/>
      <c r="K584" s="247"/>
    </row>
    <row r="585" spans="1:11" ht="20.25">
      <c r="A585" s="247"/>
      <c r="B585" s="247"/>
      <c r="C585" s="247"/>
      <c r="D585" s="247"/>
      <c r="E585" s="258"/>
      <c r="F585" s="261"/>
      <c r="G585" s="247"/>
      <c r="H585" s="247"/>
      <c r="I585" s="247"/>
      <c r="J585" s="247"/>
      <c r="K585" s="247"/>
    </row>
    <row r="586" spans="1:11" ht="20.25">
      <c r="A586" s="247"/>
      <c r="B586" s="247"/>
      <c r="C586" s="247"/>
      <c r="D586" s="247"/>
      <c r="E586" s="258"/>
      <c r="F586" s="261"/>
      <c r="G586" s="247"/>
      <c r="H586" s="247"/>
      <c r="I586" s="247"/>
      <c r="J586" s="247"/>
      <c r="K586" s="247"/>
    </row>
    <row r="587" spans="1:11" ht="20.25">
      <c r="A587" s="247"/>
      <c r="B587" s="247"/>
      <c r="C587" s="247"/>
      <c r="D587" s="247"/>
      <c r="E587" s="258"/>
      <c r="F587" s="261"/>
      <c r="G587" s="247"/>
      <c r="H587" s="247"/>
      <c r="I587" s="247"/>
      <c r="J587" s="247"/>
      <c r="K587" s="247"/>
    </row>
    <row r="588" spans="1:11" ht="20.25">
      <c r="A588" s="247"/>
      <c r="B588" s="247"/>
      <c r="C588" s="247"/>
      <c r="D588" s="247"/>
      <c r="E588" s="258"/>
      <c r="F588" s="261"/>
      <c r="G588" s="247"/>
      <c r="H588" s="247"/>
      <c r="I588" s="247"/>
      <c r="J588" s="247"/>
      <c r="K588" s="247"/>
    </row>
    <row r="589" spans="1:11" ht="20.25">
      <c r="A589" s="247"/>
      <c r="B589" s="247"/>
      <c r="C589" s="247"/>
      <c r="D589" s="247"/>
      <c r="E589" s="258"/>
      <c r="F589" s="261"/>
      <c r="G589" s="247"/>
      <c r="H589" s="247"/>
      <c r="I589" s="247"/>
      <c r="J589" s="247"/>
      <c r="K589" s="247"/>
    </row>
    <row r="590" spans="1:11" ht="20.25">
      <c r="A590" s="247"/>
      <c r="B590" s="247"/>
      <c r="C590" s="247"/>
      <c r="D590" s="247"/>
      <c r="E590" s="258"/>
      <c r="F590" s="261"/>
      <c r="G590" s="247"/>
      <c r="H590" s="247"/>
      <c r="I590" s="247"/>
      <c r="J590" s="247"/>
      <c r="K590" s="247"/>
    </row>
    <row r="591" spans="1:11" ht="20.25">
      <c r="A591" s="247"/>
      <c r="B591" s="247"/>
      <c r="C591" s="247"/>
      <c r="D591" s="247"/>
      <c r="E591" s="258"/>
      <c r="F591" s="261"/>
      <c r="G591" s="247"/>
      <c r="H591" s="247"/>
      <c r="I591" s="247"/>
      <c r="J591" s="247"/>
      <c r="K591" s="247"/>
    </row>
    <row r="592" spans="1:11" ht="20.25">
      <c r="A592" s="247"/>
      <c r="B592" s="247"/>
      <c r="C592" s="247"/>
      <c r="D592" s="247"/>
      <c r="E592" s="258"/>
      <c r="F592" s="261"/>
      <c r="G592" s="247"/>
      <c r="H592" s="247"/>
      <c r="I592" s="247"/>
      <c r="J592" s="247"/>
      <c r="K592" s="247"/>
    </row>
    <row r="593" spans="1:11" ht="20.25">
      <c r="A593" s="247"/>
      <c r="B593" s="247"/>
      <c r="C593" s="247"/>
      <c r="D593" s="247"/>
      <c r="E593" s="258"/>
      <c r="F593" s="261"/>
      <c r="G593" s="247"/>
      <c r="H593" s="247"/>
      <c r="I593" s="247"/>
      <c r="J593" s="247"/>
      <c r="K593" s="247"/>
    </row>
    <row r="594" spans="1:11" ht="20.25">
      <c r="A594" s="247"/>
      <c r="B594" s="247"/>
      <c r="C594" s="247"/>
      <c r="D594" s="247"/>
      <c r="E594" s="258"/>
      <c r="F594" s="261"/>
      <c r="G594" s="247"/>
      <c r="H594" s="247"/>
      <c r="I594" s="247"/>
      <c r="J594" s="247"/>
      <c r="K594" s="247"/>
    </row>
    <row r="595" spans="1:11" ht="20.25">
      <c r="A595" s="247"/>
      <c r="B595" s="247"/>
      <c r="C595" s="247"/>
      <c r="D595" s="247"/>
      <c r="E595" s="258"/>
      <c r="F595" s="261"/>
      <c r="G595" s="247"/>
      <c r="H595" s="247"/>
      <c r="I595" s="247"/>
      <c r="J595" s="247"/>
      <c r="K595" s="247"/>
    </row>
    <row r="596" spans="1:11" ht="20.25">
      <c r="A596" s="247"/>
      <c r="B596" s="247"/>
      <c r="C596" s="247"/>
      <c r="D596" s="247"/>
      <c r="E596" s="258"/>
      <c r="F596" s="261"/>
      <c r="G596" s="247"/>
      <c r="H596" s="247"/>
      <c r="I596" s="247"/>
      <c r="J596" s="247"/>
      <c r="K596" s="247"/>
    </row>
    <row r="597" spans="1:11" ht="20.25">
      <c r="A597" s="247"/>
      <c r="B597" s="247"/>
      <c r="C597" s="247"/>
      <c r="D597" s="247"/>
      <c r="E597" s="258"/>
      <c r="F597" s="261"/>
      <c r="G597" s="247"/>
      <c r="H597" s="247"/>
      <c r="I597" s="247"/>
      <c r="J597" s="247"/>
      <c r="K597" s="247"/>
    </row>
    <row r="598" spans="1:11" ht="20.25">
      <c r="A598" s="247"/>
      <c r="B598" s="247"/>
      <c r="C598" s="247"/>
      <c r="D598" s="247"/>
      <c r="E598" s="258"/>
      <c r="F598" s="261"/>
      <c r="G598" s="247"/>
      <c r="H598" s="247"/>
      <c r="I598" s="247"/>
      <c r="J598" s="247"/>
      <c r="K598" s="247"/>
    </row>
    <row r="599" spans="1:11" ht="20.25">
      <c r="A599" s="247"/>
      <c r="B599" s="247"/>
      <c r="C599" s="247"/>
      <c r="D599" s="247"/>
      <c r="E599" s="258"/>
      <c r="F599" s="261"/>
      <c r="G599" s="247"/>
      <c r="H599" s="247"/>
      <c r="I599" s="247"/>
      <c r="J599" s="247"/>
      <c r="K599" s="247"/>
    </row>
    <row r="600" spans="1:11" ht="20.25">
      <c r="A600" s="247"/>
      <c r="B600" s="247"/>
      <c r="C600" s="247"/>
      <c r="D600" s="247"/>
      <c r="E600" s="258"/>
      <c r="F600" s="261"/>
      <c r="G600" s="247"/>
      <c r="H600" s="247"/>
      <c r="I600" s="247"/>
      <c r="J600" s="247"/>
      <c r="K600" s="247"/>
    </row>
    <row r="601" spans="1:11" ht="20.25">
      <c r="A601" s="247"/>
      <c r="B601" s="247"/>
      <c r="C601" s="247"/>
      <c r="D601" s="247"/>
      <c r="E601" s="258"/>
      <c r="F601" s="261"/>
      <c r="G601" s="247"/>
      <c r="H601" s="247"/>
      <c r="I601" s="247"/>
      <c r="J601" s="247"/>
      <c r="K601" s="247"/>
    </row>
    <row r="602" spans="1:11" ht="20.25">
      <c r="A602" s="247"/>
      <c r="B602" s="247"/>
      <c r="C602" s="247"/>
      <c r="D602" s="247"/>
      <c r="E602" s="258"/>
      <c r="F602" s="261"/>
      <c r="G602" s="247"/>
      <c r="H602" s="247"/>
      <c r="I602" s="247"/>
      <c r="J602" s="247"/>
      <c r="K602" s="247"/>
    </row>
    <row r="603" spans="1:11" ht="20.25">
      <c r="A603" s="247"/>
      <c r="B603" s="247"/>
      <c r="C603" s="247"/>
      <c r="D603" s="247"/>
      <c r="E603" s="258"/>
      <c r="F603" s="261"/>
      <c r="G603" s="247"/>
      <c r="H603" s="247"/>
      <c r="I603" s="247"/>
      <c r="J603" s="247"/>
      <c r="K603" s="247"/>
    </row>
    <row r="604" spans="1:11" ht="20.25">
      <c r="A604" s="247"/>
      <c r="B604" s="247"/>
      <c r="C604" s="247"/>
      <c r="D604" s="247"/>
      <c r="E604" s="258"/>
      <c r="F604" s="261"/>
      <c r="G604" s="247"/>
      <c r="H604" s="247"/>
      <c r="I604" s="247"/>
      <c r="J604" s="247"/>
      <c r="K604" s="247"/>
    </row>
    <row r="605" spans="1:11" ht="20.25">
      <c r="A605" s="247"/>
      <c r="B605" s="247"/>
      <c r="C605" s="247"/>
      <c r="D605" s="247"/>
      <c r="E605" s="258"/>
      <c r="F605" s="261"/>
      <c r="G605" s="247"/>
      <c r="H605" s="247"/>
      <c r="I605" s="247"/>
      <c r="J605" s="247"/>
      <c r="K605" s="247"/>
    </row>
    <row r="606" spans="1:11" ht="20.25">
      <c r="A606" s="247"/>
      <c r="B606" s="247"/>
      <c r="C606" s="247"/>
      <c r="D606" s="247"/>
      <c r="E606" s="258"/>
      <c r="F606" s="261"/>
      <c r="G606" s="247"/>
      <c r="H606" s="247"/>
      <c r="I606" s="247"/>
      <c r="J606" s="247"/>
      <c r="K606" s="247"/>
    </row>
    <row r="607" spans="1:11" ht="20.25">
      <c r="A607" s="247"/>
      <c r="B607" s="247"/>
      <c r="C607" s="247"/>
      <c r="D607" s="247"/>
      <c r="E607" s="258"/>
      <c r="F607" s="261"/>
      <c r="G607" s="247"/>
      <c r="H607" s="247"/>
      <c r="I607" s="247"/>
      <c r="J607" s="247"/>
      <c r="K607" s="247"/>
    </row>
    <row r="608" spans="1:11" ht="20.25">
      <c r="A608" s="247"/>
      <c r="B608" s="247"/>
      <c r="C608" s="247"/>
      <c r="D608" s="247"/>
      <c r="E608" s="258"/>
      <c r="F608" s="261"/>
      <c r="G608" s="247"/>
      <c r="H608" s="247"/>
      <c r="I608" s="247"/>
      <c r="J608" s="247"/>
      <c r="K608" s="247"/>
    </row>
    <row r="609" spans="1:11" ht="20.25">
      <c r="A609" s="247"/>
      <c r="B609" s="247"/>
      <c r="C609" s="247"/>
      <c r="D609" s="247"/>
      <c r="E609" s="258"/>
      <c r="F609" s="261"/>
      <c r="G609" s="247"/>
      <c r="H609" s="247"/>
      <c r="I609" s="247"/>
      <c r="J609" s="247"/>
      <c r="K609" s="247"/>
    </row>
    <row r="610" spans="1:11" ht="20.25">
      <c r="A610" s="247"/>
      <c r="B610" s="247"/>
      <c r="C610" s="247"/>
      <c r="D610" s="247"/>
      <c r="E610" s="258"/>
      <c r="F610" s="261"/>
      <c r="G610" s="247"/>
      <c r="H610" s="247"/>
      <c r="I610" s="247"/>
      <c r="J610" s="247"/>
      <c r="K610" s="247"/>
    </row>
    <row r="611" spans="1:11" ht="20.25">
      <c r="A611" s="247"/>
      <c r="B611" s="247"/>
      <c r="C611" s="247"/>
      <c r="D611" s="247"/>
      <c r="E611" s="258"/>
      <c r="F611" s="261"/>
      <c r="G611" s="247"/>
      <c r="H611" s="247"/>
      <c r="I611" s="247"/>
      <c r="J611" s="247"/>
      <c r="K611" s="247"/>
    </row>
    <row r="612" spans="1:11" ht="20.25">
      <c r="A612" s="247"/>
      <c r="B612" s="247"/>
      <c r="C612" s="247"/>
      <c r="D612" s="247"/>
      <c r="E612" s="258"/>
      <c r="F612" s="261"/>
      <c r="G612" s="247"/>
      <c r="H612" s="247"/>
      <c r="I612" s="247"/>
      <c r="J612" s="247"/>
      <c r="K612" s="247"/>
    </row>
    <row r="613" spans="1:11" ht="20.25">
      <c r="A613" s="247"/>
      <c r="B613" s="247"/>
      <c r="C613" s="247"/>
      <c r="D613" s="247"/>
      <c r="E613" s="258"/>
      <c r="F613" s="261"/>
      <c r="G613" s="247"/>
      <c r="H613" s="247"/>
      <c r="I613" s="247"/>
      <c r="J613" s="247"/>
      <c r="K613" s="247"/>
    </row>
    <row r="614" spans="1:11" ht="20.25">
      <c r="A614" s="247"/>
      <c r="B614" s="247"/>
      <c r="C614" s="247"/>
      <c r="D614" s="247"/>
      <c r="E614" s="258"/>
      <c r="F614" s="261"/>
      <c r="G614" s="247"/>
      <c r="H614" s="247"/>
      <c r="I614" s="247"/>
      <c r="J614" s="247"/>
      <c r="K614" s="247"/>
    </row>
    <row r="615" spans="1:11" ht="20.25">
      <c r="A615" s="247"/>
      <c r="B615" s="247"/>
      <c r="C615" s="247"/>
      <c r="D615" s="247"/>
      <c r="E615" s="258"/>
      <c r="F615" s="261"/>
      <c r="G615" s="247"/>
      <c r="H615" s="247"/>
      <c r="I615" s="247"/>
      <c r="J615" s="247"/>
      <c r="K615" s="247"/>
    </row>
    <row r="616" spans="1:11" ht="20.25">
      <c r="A616" s="247"/>
      <c r="B616" s="247"/>
      <c r="C616" s="247"/>
      <c r="D616" s="247"/>
      <c r="E616" s="258"/>
      <c r="F616" s="261"/>
      <c r="G616" s="247"/>
      <c r="H616" s="247"/>
      <c r="I616" s="247"/>
      <c r="J616" s="247"/>
      <c r="K616" s="247"/>
    </row>
    <row r="617" spans="1:11" ht="20.25">
      <c r="A617" s="247"/>
      <c r="B617" s="247"/>
      <c r="C617" s="247"/>
      <c r="D617" s="247"/>
      <c r="E617" s="258"/>
      <c r="F617" s="261"/>
      <c r="G617" s="247"/>
      <c r="H617" s="247"/>
      <c r="I617" s="247"/>
      <c r="J617" s="247"/>
      <c r="K617" s="247"/>
    </row>
    <row r="618" spans="1:11" ht="20.25">
      <c r="A618" s="247"/>
      <c r="B618" s="247"/>
      <c r="C618" s="247"/>
      <c r="D618" s="247"/>
      <c r="E618" s="258"/>
      <c r="F618" s="261"/>
      <c r="G618" s="247"/>
      <c r="H618" s="247"/>
      <c r="I618" s="247"/>
      <c r="J618" s="247"/>
      <c r="K618" s="247"/>
    </row>
    <row r="619" spans="1:11" ht="20.25">
      <c r="A619" s="247"/>
      <c r="B619" s="247"/>
      <c r="C619" s="247"/>
      <c r="D619" s="247"/>
      <c r="E619" s="258"/>
      <c r="F619" s="261"/>
      <c r="G619" s="247"/>
      <c r="H619" s="247"/>
      <c r="I619" s="247"/>
      <c r="J619" s="247"/>
      <c r="K619" s="247"/>
    </row>
    <row r="620" spans="1:11" ht="20.25">
      <c r="A620" s="247"/>
      <c r="B620" s="247"/>
      <c r="C620" s="247"/>
      <c r="D620" s="247"/>
      <c r="E620" s="258"/>
      <c r="F620" s="261"/>
      <c r="G620" s="247"/>
      <c r="H620" s="247"/>
      <c r="I620" s="247"/>
      <c r="J620" s="247"/>
      <c r="K620" s="247"/>
    </row>
    <row r="621" spans="1:11" ht="20.25">
      <c r="A621" s="247"/>
      <c r="B621" s="247"/>
      <c r="C621" s="247"/>
      <c r="D621" s="247"/>
      <c r="E621" s="258"/>
      <c r="F621" s="261"/>
      <c r="G621" s="247"/>
      <c r="H621" s="247"/>
      <c r="I621" s="247"/>
      <c r="J621" s="247"/>
      <c r="K621" s="247"/>
    </row>
    <row r="622" spans="1:11" ht="20.25">
      <c r="A622" s="247"/>
      <c r="B622" s="247"/>
      <c r="C622" s="247"/>
      <c r="D622" s="247"/>
      <c r="E622" s="258"/>
      <c r="F622" s="261"/>
      <c r="G622" s="247"/>
      <c r="H622" s="247"/>
      <c r="I622" s="247"/>
      <c r="J622" s="247"/>
      <c r="K622" s="247"/>
    </row>
    <row r="623" spans="1:11" ht="20.25">
      <c r="A623" s="247"/>
      <c r="B623" s="247"/>
      <c r="C623" s="247"/>
      <c r="D623" s="247"/>
      <c r="E623" s="258"/>
      <c r="F623" s="261"/>
      <c r="G623" s="247"/>
      <c r="H623" s="247"/>
      <c r="I623" s="247"/>
      <c r="J623" s="247"/>
      <c r="K623" s="247"/>
    </row>
    <row r="624" spans="1:11" ht="20.25">
      <c r="A624" s="247"/>
      <c r="B624" s="247"/>
      <c r="C624" s="247"/>
      <c r="D624" s="247"/>
      <c r="E624" s="258"/>
      <c r="F624" s="261"/>
      <c r="G624" s="247"/>
      <c r="H624" s="247"/>
      <c r="I624" s="247"/>
      <c r="J624" s="247"/>
      <c r="K624" s="247"/>
    </row>
    <row r="625" spans="1:11" ht="20.25">
      <c r="A625" s="247"/>
      <c r="B625" s="247"/>
      <c r="C625" s="247"/>
      <c r="D625" s="247"/>
      <c r="E625" s="258"/>
      <c r="F625" s="261"/>
      <c r="G625" s="247"/>
      <c r="H625" s="247"/>
      <c r="I625" s="247"/>
      <c r="J625" s="247"/>
      <c r="K625" s="247"/>
    </row>
    <row r="626" spans="1:11" ht="20.25">
      <c r="A626" s="247"/>
      <c r="B626" s="247"/>
      <c r="C626" s="247"/>
      <c r="D626" s="247"/>
      <c r="E626" s="258"/>
      <c r="F626" s="261"/>
      <c r="G626" s="247"/>
      <c r="H626" s="247"/>
      <c r="I626" s="247"/>
      <c r="J626" s="247"/>
      <c r="K626" s="247"/>
    </row>
    <row r="627" spans="1:11" ht="20.25">
      <c r="A627" s="247"/>
      <c r="B627" s="247"/>
      <c r="C627" s="247"/>
      <c r="D627" s="247"/>
      <c r="E627" s="258"/>
      <c r="F627" s="261"/>
      <c r="G627" s="247"/>
      <c r="H627" s="247"/>
      <c r="I627" s="247"/>
      <c r="J627" s="247"/>
      <c r="K627" s="247"/>
    </row>
    <row r="628" spans="1:11" ht="20.25">
      <c r="A628" s="247"/>
      <c r="B628" s="247"/>
      <c r="C628" s="247"/>
      <c r="D628" s="247"/>
      <c r="E628" s="258"/>
      <c r="F628" s="261"/>
      <c r="G628" s="247"/>
      <c r="H628" s="247"/>
      <c r="I628" s="247"/>
      <c r="J628" s="247"/>
      <c r="K628" s="247"/>
    </row>
    <row r="629" spans="1:11" ht="20.25">
      <c r="A629" s="247"/>
      <c r="B629" s="247"/>
      <c r="C629" s="247"/>
      <c r="D629" s="247"/>
      <c r="E629" s="258"/>
      <c r="F629" s="261"/>
      <c r="G629" s="247"/>
      <c r="H629" s="247"/>
      <c r="I629" s="247"/>
      <c r="J629" s="247"/>
      <c r="K629" s="247"/>
    </row>
    <row r="630" spans="1:11" ht="20.25">
      <c r="A630" s="247"/>
      <c r="B630" s="247"/>
      <c r="C630" s="247"/>
      <c r="D630" s="247"/>
      <c r="E630" s="258"/>
      <c r="F630" s="261"/>
      <c r="G630" s="247"/>
      <c r="H630" s="247"/>
      <c r="I630" s="247"/>
      <c r="J630" s="247"/>
      <c r="K630" s="247"/>
    </row>
    <row r="631" spans="1:11" ht="20.25">
      <c r="A631" s="247"/>
      <c r="B631" s="247"/>
      <c r="C631" s="247"/>
      <c r="D631" s="247"/>
      <c r="E631" s="258"/>
      <c r="F631" s="261"/>
      <c r="G631" s="247"/>
      <c r="H631" s="247"/>
      <c r="I631" s="247"/>
      <c r="J631" s="247"/>
      <c r="K631" s="247"/>
    </row>
    <row r="632" spans="1:11" ht="20.25">
      <c r="A632" s="247"/>
      <c r="B632" s="247"/>
      <c r="C632" s="247"/>
      <c r="D632" s="247"/>
      <c r="E632" s="258"/>
      <c r="F632" s="261"/>
      <c r="G632" s="247"/>
      <c r="H632" s="247"/>
      <c r="I632" s="247"/>
      <c r="J632" s="247"/>
      <c r="K632" s="247"/>
    </row>
    <row r="633" spans="1:11" ht="20.25">
      <c r="A633" s="247"/>
      <c r="B633" s="247"/>
      <c r="C633" s="247"/>
      <c r="D633" s="247"/>
      <c r="E633" s="258"/>
      <c r="F633" s="261"/>
      <c r="G633" s="247"/>
      <c r="H633" s="247"/>
      <c r="I633" s="247"/>
      <c r="J633" s="247"/>
      <c r="K633" s="247"/>
    </row>
    <row r="634" spans="1:11" ht="20.25">
      <c r="A634" s="247"/>
      <c r="B634" s="247"/>
      <c r="C634" s="247"/>
      <c r="D634" s="247"/>
      <c r="E634" s="258"/>
      <c r="F634" s="261"/>
      <c r="G634" s="247"/>
      <c r="H634" s="247"/>
      <c r="I634" s="247"/>
      <c r="J634" s="247"/>
      <c r="K634" s="247"/>
    </row>
    <row r="635" spans="1:11" ht="20.25">
      <c r="A635" s="247"/>
      <c r="B635" s="247"/>
      <c r="C635" s="247"/>
      <c r="D635" s="247"/>
      <c r="E635" s="258"/>
      <c r="F635" s="261"/>
      <c r="G635" s="247"/>
      <c r="H635" s="247"/>
      <c r="I635" s="247"/>
      <c r="J635" s="247"/>
      <c r="K635" s="247"/>
    </row>
    <row r="636" spans="1:11" ht="20.25">
      <c r="A636" s="247"/>
      <c r="B636" s="247"/>
      <c r="C636" s="247"/>
      <c r="D636" s="247"/>
      <c r="E636" s="258"/>
      <c r="F636" s="261"/>
      <c r="G636" s="247"/>
      <c r="H636" s="247"/>
      <c r="I636" s="247"/>
      <c r="J636" s="247"/>
      <c r="K636" s="247"/>
    </row>
    <row r="637" spans="1:11" ht="20.25">
      <c r="A637" s="247"/>
      <c r="B637" s="247"/>
      <c r="C637" s="247"/>
      <c r="D637" s="247"/>
      <c r="E637" s="258"/>
      <c r="F637" s="261"/>
      <c r="G637" s="247"/>
      <c r="H637" s="247"/>
      <c r="I637" s="247"/>
      <c r="J637" s="247"/>
      <c r="K637" s="247"/>
    </row>
    <row r="638" spans="1:11" ht="20.25">
      <c r="A638" s="247"/>
      <c r="B638" s="247"/>
      <c r="C638" s="247"/>
      <c r="D638" s="247"/>
      <c r="E638" s="258"/>
      <c r="F638" s="261"/>
      <c r="G638" s="247"/>
      <c r="H638" s="247"/>
      <c r="I638" s="247"/>
      <c r="J638" s="247"/>
      <c r="K638" s="247"/>
    </row>
    <row r="639" spans="1:11" ht="20.25">
      <c r="A639" s="247"/>
      <c r="B639" s="247"/>
      <c r="C639" s="247"/>
      <c r="D639" s="247"/>
      <c r="E639" s="258"/>
      <c r="F639" s="261"/>
      <c r="G639" s="247"/>
      <c r="H639" s="247"/>
      <c r="I639" s="247"/>
      <c r="J639" s="247"/>
      <c r="K639" s="247"/>
    </row>
    <row r="640" spans="1:11" ht="20.25">
      <c r="A640" s="247"/>
      <c r="B640" s="247"/>
      <c r="C640" s="247"/>
      <c r="D640" s="247"/>
      <c r="E640" s="258"/>
      <c r="F640" s="261"/>
      <c r="G640" s="247"/>
      <c r="H640" s="247"/>
      <c r="I640" s="247"/>
      <c r="J640" s="247"/>
      <c r="K640" s="247"/>
    </row>
    <row r="641" spans="1:11" ht="20.25">
      <c r="A641" s="247"/>
      <c r="B641" s="247"/>
      <c r="C641" s="247"/>
      <c r="D641" s="247"/>
      <c r="E641" s="258"/>
      <c r="F641" s="261"/>
      <c r="G641" s="247"/>
      <c r="H641" s="247"/>
      <c r="I641" s="247"/>
      <c r="J641" s="247"/>
      <c r="K641" s="247"/>
    </row>
    <row r="642" spans="1:11" ht="20.25">
      <c r="A642" s="247"/>
      <c r="B642" s="247"/>
      <c r="C642" s="247"/>
      <c r="D642" s="247"/>
      <c r="E642" s="258"/>
      <c r="F642" s="261"/>
      <c r="G642" s="247"/>
      <c r="H642" s="247"/>
      <c r="I642" s="247"/>
      <c r="J642" s="247"/>
      <c r="K642" s="247"/>
    </row>
    <row r="643" spans="1:11" ht="20.25">
      <c r="A643" s="247"/>
      <c r="B643" s="247"/>
      <c r="C643" s="247"/>
      <c r="D643" s="247"/>
      <c r="E643" s="258"/>
      <c r="F643" s="261"/>
      <c r="G643" s="247"/>
      <c r="H643" s="247"/>
      <c r="I643" s="247"/>
      <c r="J643" s="247"/>
      <c r="K643" s="247"/>
    </row>
    <row r="644" spans="1:11" ht="20.25">
      <c r="A644" s="247"/>
      <c r="B644" s="247"/>
      <c r="C644" s="247"/>
      <c r="D644" s="247"/>
      <c r="E644" s="258"/>
      <c r="F644" s="261"/>
      <c r="G644" s="247"/>
      <c r="H644" s="247"/>
      <c r="I644" s="247"/>
      <c r="J644" s="247"/>
      <c r="K644" s="247"/>
    </row>
    <row r="645" spans="1:11" ht="20.25">
      <c r="A645" s="247"/>
      <c r="B645" s="247"/>
      <c r="C645" s="247"/>
      <c r="D645" s="247"/>
      <c r="E645" s="258"/>
      <c r="F645" s="261"/>
      <c r="G645" s="247"/>
      <c r="H645" s="247"/>
      <c r="I645" s="247"/>
      <c r="J645" s="247"/>
      <c r="K645" s="247"/>
    </row>
    <row r="646" spans="1:11" ht="20.25">
      <c r="A646" s="247"/>
      <c r="B646" s="247"/>
      <c r="C646" s="247"/>
      <c r="D646" s="247"/>
      <c r="E646" s="258"/>
      <c r="F646" s="261"/>
      <c r="G646" s="247"/>
      <c r="H646" s="247"/>
      <c r="I646" s="247"/>
      <c r="J646" s="247"/>
      <c r="K646" s="247"/>
    </row>
    <row r="647" spans="1:11" ht="20.25">
      <c r="A647" s="247"/>
      <c r="B647" s="247"/>
      <c r="C647" s="247"/>
      <c r="D647" s="247"/>
      <c r="E647" s="258"/>
      <c r="F647" s="261"/>
      <c r="G647" s="247"/>
      <c r="H647" s="247"/>
      <c r="I647" s="247"/>
      <c r="J647" s="247"/>
      <c r="K647" s="247"/>
    </row>
    <row r="648" spans="1:11" ht="20.25">
      <c r="A648" s="247"/>
      <c r="B648" s="247"/>
      <c r="C648" s="247"/>
      <c r="D648" s="247"/>
      <c r="E648" s="258"/>
      <c r="F648" s="261"/>
      <c r="G648" s="247"/>
      <c r="H648" s="247"/>
      <c r="I648" s="247"/>
      <c r="J648" s="247"/>
      <c r="K648" s="247"/>
    </row>
    <row r="649" spans="1:11" ht="20.25">
      <c r="A649" s="247"/>
      <c r="B649" s="247"/>
      <c r="C649" s="247"/>
      <c r="D649" s="247"/>
      <c r="E649" s="258"/>
      <c r="F649" s="261"/>
      <c r="G649" s="247"/>
      <c r="H649" s="247"/>
      <c r="I649" s="247"/>
      <c r="J649" s="247"/>
      <c r="K649" s="247"/>
    </row>
    <row r="650" spans="1:11" ht="20.25">
      <c r="A650" s="247"/>
      <c r="B650" s="247"/>
      <c r="C650" s="247"/>
      <c r="D650" s="247"/>
      <c r="E650" s="258"/>
      <c r="F650" s="261"/>
      <c r="G650" s="247"/>
      <c r="H650" s="247"/>
      <c r="I650" s="247"/>
      <c r="J650" s="247"/>
      <c r="K650" s="247"/>
    </row>
    <row r="651" spans="1:11" ht="20.25">
      <c r="A651" s="247"/>
      <c r="B651" s="247"/>
      <c r="C651" s="247"/>
      <c r="D651" s="247"/>
      <c r="E651" s="258"/>
      <c r="F651" s="261"/>
      <c r="G651" s="247"/>
      <c r="H651" s="247"/>
      <c r="I651" s="247"/>
      <c r="J651" s="247"/>
      <c r="K651" s="247"/>
    </row>
    <row r="652" spans="1:11" ht="20.25">
      <c r="A652" s="247"/>
      <c r="B652" s="247"/>
      <c r="C652" s="247"/>
      <c r="D652" s="247"/>
      <c r="E652" s="258"/>
      <c r="F652" s="261"/>
      <c r="G652" s="247"/>
      <c r="H652" s="247"/>
      <c r="I652" s="247"/>
      <c r="J652" s="247"/>
      <c r="K652" s="247"/>
    </row>
    <row r="653" spans="1:11" ht="20.25">
      <c r="A653" s="247"/>
      <c r="B653" s="247"/>
      <c r="C653" s="247"/>
      <c r="D653" s="247"/>
      <c r="E653" s="258"/>
      <c r="F653" s="261"/>
      <c r="G653" s="247"/>
      <c r="H653" s="247"/>
      <c r="I653" s="247"/>
      <c r="J653" s="247"/>
      <c r="K653" s="247"/>
    </row>
    <row r="654" spans="1:11" ht="20.25">
      <c r="A654" s="247"/>
      <c r="B654" s="247"/>
      <c r="C654" s="247"/>
      <c r="D654" s="247"/>
      <c r="E654" s="258"/>
      <c r="F654" s="261"/>
      <c r="G654" s="247"/>
      <c r="H654" s="247"/>
      <c r="I654" s="247"/>
      <c r="J654" s="247"/>
      <c r="K654" s="247"/>
    </row>
    <row r="655" spans="1:11" ht="20.25">
      <c r="A655" s="247"/>
      <c r="B655" s="247"/>
      <c r="C655" s="247"/>
      <c r="D655" s="247"/>
      <c r="E655" s="258"/>
      <c r="F655" s="261"/>
      <c r="G655" s="247"/>
      <c r="H655" s="247"/>
      <c r="I655" s="247"/>
      <c r="J655" s="247"/>
      <c r="K655" s="247"/>
    </row>
    <row r="656" spans="1:11" ht="20.25">
      <c r="A656" s="247"/>
      <c r="B656" s="247"/>
      <c r="C656" s="247"/>
      <c r="D656" s="247"/>
      <c r="E656" s="258"/>
      <c r="F656" s="261"/>
      <c r="G656" s="247"/>
      <c r="H656" s="247"/>
      <c r="I656" s="247"/>
      <c r="J656" s="247"/>
      <c r="K656" s="247"/>
    </row>
    <row r="657" spans="1:11" ht="20.25">
      <c r="A657" s="247"/>
      <c r="B657" s="247"/>
      <c r="C657" s="247"/>
      <c r="D657" s="247"/>
      <c r="E657" s="258"/>
      <c r="F657" s="261"/>
      <c r="G657" s="247"/>
      <c r="H657" s="247"/>
      <c r="I657" s="247"/>
      <c r="J657" s="247"/>
      <c r="K657" s="247"/>
    </row>
    <row r="658" spans="1:11" ht="20.25">
      <c r="A658" s="247"/>
      <c r="B658" s="247"/>
      <c r="C658" s="247"/>
      <c r="D658" s="247"/>
      <c r="E658" s="258"/>
      <c r="F658" s="261"/>
      <c r="G658" s="247"/>
      <c r="H658" s="247"/>
      <c r="I658" s="247"/>
      <c r="J658" s="247"/>
      <c r="K658" s="247"/>
    </row>
    <row r="659" spans="1:11" ht="20.25">
      <c r="A659" s="247"/>
      <c r="B659" s="247"/>
      <c r="C659" s="247"/>
      <c r="D659" s="247"/>
      <c r="E659" s="258"/>
      <c r="F659" s="261"/>
      <c r="G659" s="247"/>
      <c r="H659" s="247"/>
      <c r="I659" s="247"/>
      <c r="J659" s="247"/>
      <c r="K659" s="247"/>
    </row>
    <row r="660" spans="1:11" ht="20.25">
      <c r="A660" s="247"/>
      <c r="B660" s="247"/>
      <c r="C660" s="247"/>
      <c r="D660" s="247"/>
      <c r="E660" s="258"/>
      <c r="F660" s="261"/>
      <c r="G660" s="247"/>
      <c r="H660" s="247"/>
      <c r="I660" s="247"/>
      <c r="J660" s="247"/>
      <c r="K660" s="247"/>
    </row>
    <row r="661" spans="1:11" ht="20.25">
      <c r="A661" s="247"/>
      <c r="B661" s="247"/>
      <c r="C661" s="247"/>
      <c r="D661" s="247"/>
      <c r="E661" s="258"/>
      <c r="F661" s="261"/>
      <c r="G661" s="247"/>
      <c r="H661" s="247"/>
      <c r="I661" s="247"/>
      <c r="J661" s="247"/>
      <c r="K661" s="247"/>
    </row>
    <row r="662" spans="1:11" ht="20.25">
      <c r="A662" s="247"/>
      <c r="B662" s="247"/>
      <c r="C662" s="247"/>
      <c r="D662" s="247"/>
      <c r="E662" s="258"/>
      <c r="F662" s="261"/>
      <c r="G662" s="247"/>
      <c r="H662" s="247"/>
      <c r="I662" s="247"/>
      <c r="J662" s="247"/>
      <c r="K662" s="247"/>
    </row>
    <row r="663" spans="1:11" ht="20.25">
      <c r="A663" s="247"/>
      <c r="B663" s="247"/>
      <c r="C663" s="247"/>
      <c r="D663" s="247"/>
      <c r="E663" s="258"/>
      <c r="F663" s="261"/>
      <c r="G663" s="247"/>
      <c r="H663" s="247"/>
      <c r="I663" s="247"/>
      <c r="J663" s="247"/>
      <c r="K663" s="247"/>
    </row>
    <row r="664" spans="1:11" ht="20.25">
      <c r="A664" s="247"/>
      <c r="B664" s="247"/>
      <c r="C664" s="247"/>
      <c r="D664" s="247"/>
      <c r="E664" s="258"/>
      <c r="F664" s="261"/>
      <c r="G664" s="247"/>
      <c r="H664" s="247"/>
      <c r="I664" s="247"/>
      <c r="J664" s="247"/>
      <c r="K664" s="247"/>
    </row>
    <row r="665" spans="1:11" ht="20.25">
      <c r="A665" s="247"/>
      <c r="B665" s="247"/>
      <c r="C665" s="247"/>
      <c r="D665" s="247"/>
      <c r="E665" s="258"/>
      <c r="F665" s="261"/>
      <c r="G665" s="247"/>
      <c r="H665" s="247"/>
      <c r="I665" s="247"/>
      <c r="J665" s="247"/>
      <c r="K665" s="247"/>
    </row>
    <row r="666" spans="1:11" ht="20.25">
      <c r="A666" s="247"/>
      <c r="B666" s="247"/>
      <c r="C666" s="247"/>
      <c r="D666" s="247"/>
      <c r="E666" s="258"/>
      <c r="F666" s="261"/>
      <c r="G666" s="247"/>
      <c r="H666" s="247"/>
      <c r="I666" s="247"/>
      <c r="J666" s="247"/>
      <c r="K666" s="247"/>
    </row>
    <row r="667" spans="1:11" ht="20.25">
      <c r="A667" s="247"/>
      <c r="B667" s="247"/>
      <c r="C667" s="247"/>
      <c r="D667" s="247"/>
      <c r="E667" s="258"/>
      <c r="F667" s="261"/>
      <c r="G667" s="247"/>
      <c r="H667" s="247"/>
      <c r="I667" s="247"/>
      <c r="J667" s="247"/>
      <c r="K667" s="247"/>
    </row>
    <row r="668" spans="1:11" ht="20.25">
      <c r="A668" s="247"/>
      <c r="B668" s="247"/>
      <c r="C668" s="247"/>
      <c r="D668" s="247"/>
      <c r="E668" s="258"/>
      <c r="F668" s="261"/>
      <c r="G668" s="247"/>
      <c r="H668" s="247"/>
      <c r="I668" s="247"/>
      <c r="J668" s="247"/>
      <c r="K668" s="247"/>
    </row>
    <row r="669" spans="1:11" ht="20.25">
      <c r="A669" s="247"/>
      <c r="B669" s="247"/>
      <c r="C669" s="247"/>
      <c r="D669" s="247"/>
      <c r="E669" s="258"/>
      <c r="F669" s="261"/>
      <c r="G669" s="247"/>
      <c r="H669" s="247"/>
      <c r="I669" s="247"/>
      <c r="J669" s="247"/>
      <c r="K669" s="247"/>
    </row>
    <row r="670" spans="1:11" ht="20.25">
      <c r="A670" s="247"/>
      <c r="B670" s="247"/>
      <c r="C670" s="247"/>
      <c r="D670" s="247"/>
      <c r="E670" s="258"/>
      <c r="F670" s="261"/>
      <c r="G670" s="247"/>
      <c r="H670" s="247"/>
      <c r="I670" s="247"/>
      <c r="J670" s="247"/>
      <c r="K670" s="247"/>
    </row>
    <row r="671" spans="1:11" ht="20.25">
      <c r="A671" s="247"/>
      <c r="B671" s="247"/>
      <c r="C671" s="247"/>
      <c r="D671" s="247"/>
      <c r="E671" s="258"/>
      <c r="F671" s="261"/>
      <c r="G671" s="247"/>
      <c r="H671" s="247"/>
      <c r="I671" s="247"/>
      <c r="J671" s="247"/>
      <c r="K671" s="247"/>
    </row>
    <row r="672" spans="1:11" ht="20.25">
      <c r="A672" s="247"/>
      <c r="B672" s="247"/>
      <c r="C672" s="247"/>
      <c r="D672" s="247"/>
      <c r="E672" s="258"/>
      <c r="F672" s="261"/>
      <c r="G672" s="247"/>
      <c r="H672" s="247"/>
      <c r="I672" s="247"/>
      <c r="J672" s="247"/>
      <c r="K672" s="247"/>
    </row>
    <row r="673" spans="1:11" ht="20.25">
      <c r="A673" s="247"/>
      <c r="B673" s="247"/>
      <c r="C673" s="247"/>
      <c r="D673" s="247"/>
      <c r="E673" s="258"/>
      <c r="F673" s="261"/>
      <c r="G673" s="247"/>
      <c r="H673" s="247"/>
      <c r="I673" s="247"/>
      <c r="J673" s="247"/>
      <c r="K673" s="247"/>
    </row>
    <row r="674" spans="1:11" ht="20.25">
      <c r="A674" s="247"/>
      <c r="B674" s="247"/>
      <c r="C674" s="247"/>
      <c r="D674" s="247"/>
      <c r="E674" s="258"/>
      <c r="F674" s="261"/>
      <c r="G674" s="247"/>
      <c r="H674" s="247"/>
      <c r="I674" s="247"/>
      <c r="J674" s="247"/>
      <c r="K674" s="247"/>
    </row>
    <row r="675" spans="1:11" ht="20.25">
      <c r="A675" s="247"/>
      <c r="B675" s="247"/>
      <c r="C675" s="247"/>
      <c r="D675" s="247"/>
      <c r="E675" s="258"/>
      <c r="F675" s="261"/>
      <c r="G675" s="247"/>
      <c r="H675" s="247"/>
      <c r="I675" s="247"/>
      <c r="J675" s="247"/>
      <c r="K675" s="247"/>
    </row>
    <row r="676" spans="1:11" ht="20.25">
      <c r="A676" s="247"/>
      <c r="B676" s="247"/>
      <c r="C676" s="247"/>
      <c r="D676" s="247"/>
      <c r="E676" s="258"/>
      <c r="F676" s="261"/>
      <c r="G676" s="247"/>
      <c r="H676" s="247"/>
      <c r="I676" s="247"/>
      <c r="J676" s="247"/>
      <c r="K676" s="247"/>
    </row>
    <row r="677" spans="1:11" ht="20.25">
      <c r="A677" s="247"/>
      <c r="B677" s="247"/>
      <c r="C677" s="247"/>
      <c r="D677" s="247"/>
      <c r="E677" s="258"/>
      <c r="F677" s="261"/>
      <c r="G677" s="247"/>
      <c r="H677" s="247"/>
      <c r="I677" s="247"/>
      <c r="J677" s="247"/>
      <c r="K677" s="247"/>
    </row>
    <row r="678" spans="1:11" ht="20.25">
      <c r="A678" s="247"/>
      <c r="B678" s="247"/>
      <c r="C678" s="247"/>
      <c r="D678" s="247"/>
      <c r="E678" s="258"/>
      <c r="F678" s="261"/>
      <c r="G678" s="247"/>
      <c r="H678" s="247"/>
      <c r="I678" s="247"/>
      <c r="J678" s="247"/>
      <c r="K678" s="247"/>
    </row>
    <row r="679" spans="1:11" ht="20.25">
      <c r="A679" s="247"/>
      <c r="B679" s="247"/>
      <c r="C679" s="247"/>
      <c r="D679" s="247"/>
      <c r="E679" s="258"/>
      <c r="F679" s="261"/>
      <c r="G679" s="247"/>
      <c r="H679" s="247"/>
      <c r="I679" s="247"/>
      <c r="J679" s="247"/>
      <c r="K679" s="247"/>
    </row>
    <row r="680" spans="1:11" ht="20.25">
      <c r="A680" s="247"/>
      <c r="B680" s="247"/>
      <c r="C680" s="247"/>
      <c r="D680" s="247"/>
      <c r="E680" s="258"/>
      <c r="F680" s="261"/>
      <c r="G680" s="247"/>
      <c r="H680" s="247"/>
      <c r="I680" s="247"/>
      <c r="J680" s="247"/>
      <c r="K680" s="247"/>
    </row>
    <row r="681" spans="1:11" ht="20.25">
      <c r="A681" s="247"/>
      <c r="B681" s="247"/>
      <c r="C681" s="247"/>
      <c r="D681" s="247"/>
      <c r="E681" s="258"/>
      <c r="F681" s="261"/>
      <c r="G681" s="247"/>
      <c r="H681" s="247"/>
      <c r="I681" s="247"/>
      <c r="J681" s="247"/>
      <c r="K681" s="247"/>
    </row>
    <row r="682" spans="1:11" ht="20.25">
      <c r="A682" s="247"/>
      <c r="B682" s="247"/>
      <c r="C682" s="247"/>
      <c r="D682" s="247"/>
      <c r="E682" s="258"/>
      <c r="F682" s="261"/>
      <c r="G682" s="247"/>
      <c r="H682" s="247"/>
      <c r="I682" s="247"/>
      <c r="J682" s="247"/>
      <c r="K682" s="247"/>
    </row>
    <row r="683" spans="1:11" ht="20.25">
      <c r="A683" s="247"/>
      <c r="B683" s="247"/>
      <c r="C683" s="247"/>
      <c r="D683" s="247"/>
      <c r="E683" s="258"/>
      <c r="F683" s="261"/>
      <c r="G683" s="247"/>
      <c r="H683" s="247"/>
      <c r="I683" s="247"/>
      <c r="J683" s="247"/>
      <c r="K683" s="247"/>
    </row>
    <row r="684" spans="1:11" ht="20.25">
      <c r="A684" s="247"/>
      <c r="B684" s="247"/>
      <c r="C684" s="247"/>
      <c r="D684" s="247"/>
      <c r="E684" s="258"/>
      <c r="F684" s="261"/>
      <c r="G684" s="247"/>
      <c r="H684" s="247"/>
      <c r="I684" s="247"/>
      <c r="J684" s="247"/>
      <c r="K684" s="247"/>
    </row>
    <row r="685" spans="1:11" ht="20.25">
      <c r="A685" s="247"/>
      <c r="B685" s="247"/>
      <c r="C685" s="247"/>
      <c r="D685" s="247"/>
      <c r="E685" s="258"/>
      <c r="F685" s="261"/>
      <c r="G685" s="247"/>
      <c r="H685" s="247"/>
      <c r="I685" s="247"/>
      <c r="J685" s="247"/>
      <c r="K685" s="247"/>
    </row>
    <row r="686" spans="1:11" ht="20.25">
      <c r="A686" s="247"/>
      <c r="B686" s="247"/>
      <c r="C686" s="247"/>
      <c r="D686" s="247"/>
      <c r="E686" s="258"/>
      <c r="F686" s="261"/>
      <c r="G686" s="247"/>
      <c r="H686" s="247"/>
      <c r="I686" s="247"/>
      <c r="J686" s="247"/>
      <c r="K686" s="247"/>
    </row>
    <row r="687" spans="1:11" ht="20.25">
      <c r="A687" s="247"/>
      <c r="B687" s="247"/>
      <c r="C687" s="247"/>
      <c r="D687" s="247"/>
      <c r="E687" s="258"/>
      <c r="F687" s="261"/>
      <c r="G687" s="247"/>
      <c r="H687" s="247"/>
      <c r="I687" s="247"/>
      <c r="J687" s="247"/>
      <c r="K687" s="247"/>
    </row>
    <row r="688" spans="1:11" ht="20.25">
      <c r="A688" s="247"/>
      <c r="B688" s="247"/>
      <c r="C688" s="247"/>
      <c r="D688" s="247"/>
      <c r="E688" s="258"/>
      <c r="F688" s="261"/>
      <c r="G688" s="247"/>
      <c r="H688" s="247"/>
      <c r="I688" s="247"/>
      <c r="J688" s="247"/>
      <c r="K688" s="247"/>
    </row>
    <row r="689" spans="1:11" ht="20.25">
      <c r="A689" s="247"/>
      <c r="B689" s="247"/>
      <c r="C689" s="247"/>
      <c r="D689" s="247"/>
      <c r="E689" s="258"/>
      <c r="F689" s="261"/>
      <c r="G689" s="247"/>
      <c r="H689" s="247"/>
      <c r="I689" s="247"/>
      <c r="J689" s="247"/>
      <c r="K689" s="247"/>
    </row>
    <row r="690" spans="1:11" ht="20.25">
      <c r="A690" s="247"/>
      <c r="B690" s="247"/>
      <c r="C690" s="247"/>
      <c r="D690" s="247"/>
      <c r="E690" s="258"/>
      <c r="F690" s="261"/>
      <c r="G690" s="247"/>
      <c r="H690" s="247"/>
      <c r="I690" s="247"/>
      <c r="J690" s="247"/>
      <c r="K690" s="247"/>
    </row>
    <row r="691" spans="1:11" ht="20.25">
      <c r="A691" s="247"/>
      <c r="B691" s="247"/>
      <c r="C691" s="247"/>
      <c r="D691" s="247"/>
      <c r="E691" s="258"/>
      <c r="F691" s="261"/>
      <c r="G691" s="247"/>
      <c r="H691" s="247"/>
      <c r="I691" s="247"/>
      <c r="J691" s="247"/>
      <c r="K691" s="247"/>
    </row>
    <row r="692" spans="1:11" ht="20.25">
      <c r="A692" s="247"/>
      <c r="B692" s="247"/>
      <c r="C692" s="247"/>
      <c r="D692" s="247"/>
      <c r="E692" s="258"/>
      <c r="F692" s="261"/>
      <c r="G692" s="247"/>
      <c r="H692" s="247"/>
      <c r="I692" s="247"/>
      <c r="J692" s="247"/>
      <c r="K692" s="247"/>
    </row>
    <row r="693" spans="1:11" ht="20.25">
      <c r="A693" s="247"/>
      <c r="B693" s="247"/>
      <c r="C693" s="247"/>
      <c r="D693" s="247"/>
      <c r="E693" s="258"/>
      <c r="F693" s="261"/>
      <c r="G693" s="247"/>
      <c r="H693" s="247"/>
      <c r="I693" s="247"/>
      <c r="J693" s="247"/>
      <c r="K693" s="247"/>
    </row>
    <row r="694" spans="1:11" ht="20.25">
      <c r="A694" s="247"/>
      <c r="B694" s="247"/>
      <c r="C694" s="247"/>
      <c r="D694" s="247"/>
      <c r="E694" s="258"/>
      <c r="F694" s="261"/>
      <c r="G694" s="247"/>
      <c r="H694" s="247"/>
      <c r="I694" s="247"/>
      <c r="J694" s="247"/>
      <c r="K694" s="247"/>
    </row>
    <row r="695" spans="1:11" ht="20.25">
      <c r="A695" s="247"/>
      <c r="B695" s="247"/>
      <c r="C695" s="247"/>
      <c r="D695" s="247"/>
      <c r="E695" s="258"/>
      <c r="F695" s="261"/>
      <c r="G695" s="247"/>
      <c r="H695" s="247"/>
      <c r="I695" s="247"/>
      <c r="J695" s="247"/>
      <c r="K695" s="247"/>
    </row>
    <row r="696" spans="1:11" ht="20.25">
      <c r="A696" s="247"/>
      <c r="B696" s="247"/>
      <c r="C696" s="247"/>
      <c r="D696" s="247"/>
      <c r="E696" s="258"/>
      <c r="F696" s="261"/>
      <c r="G696" s="247"/>
      <c r="H696" s="247"/>
      <c r="I696" s="247"/>
      <c r="J696" s="247"/>
      <c r="K696" s="247"/>
    </row>
    <row r="697" spans="1:11" ht="20.25">
      <c r="A697" s="247"/>
      <c r="B697" s="247"/>
      <c r="C697" s="247"/>
      <c r="D697" s="247"/>
      <c r="E697" s="258"/>
      <c r="F697" s="261"/>
      <c r="G697" s="247"/>
      <c r="H697" s="247"/>
      <c r="I697" s="247"/>
      <c r="J697" s="247"/>
      <c r="K697" s="247"/>
    </row>
    <row r="698" spans="1:11" ht="20.25">
      <c r="A698" s="247"/>
      <c r="B698" s="247"/>
      <c r="C698" s="247"/>
      <c r="D698" s="247"/>
      <c r="E698" s="258"/>
      <c r="F698" s="261"/>
      <c r="G698" s="247"/>
      <c r="H698" s="247"/>
      <c r="I698" s="247"/>
      <c r="J698" s="247"/>
      <c r="K698" s="247"/>
    </row>
    <row r="699" spans="1:11" ht="20.25">
      <c r="A699" s="247"/>
      <c r="B699" s="247"/>
      <c r="C699" s="247"/>
      <c r="D699" s="247"/>
      <c r="E699" s="258"/>
      <c r="F699" s="261"/>
      <c r="G699" s="247"/>
      <c r="H699" s="247"/>
      <c r="I699" s="247"/>
      <c r="J699" s="247"/>
      <c r="K699" s="247"/>
    </row>
    <row r="700" spans="1:11" ht="20.25">
      <c r="A700" s="247"/>
      <c r="B700" s="247"/>
      <c r="C700" s="247"/>
      <c r="D700" s="247"/>
      <c r="E700" s="258"/>
      <c r="F700" s="261"/>
      <c r="G700" s="247"/>
      <c r="H700" s="247"/>
      <c r="I700" s="247"/>
      <c r="J700" s="247"/>
      <c r="K700" s="247"/>
    </row>
    <row r="701" spans="1:11" ht="20.25">
      <c r="A701" s="247"/>
      <c r="B701" s="247"/>
      <c r="C701" s="247"/>
      <c r="D701" s="247"/>
      <c r="E701" s="258"/>
      <c r="F701" s="261"/>
      <c r="G701" s="247"/>
      <c r="H701" s="247"/>
      <c r="I701" s="247"/>
      <c r="J701" s="247"/>
      <c r="K701" s="247"/>
    </row>
    <row r="702" spans="1:11" ht="20.25">
      <c r="A702" s="247"/>
      <c r="B702" s="247"/>
      <c r="C702" s="247"/>
      <c r="D702" s="247"/>
      <c r="E702" s="258"/>
      <c r="F702" s="261"/>
      <c r="G702" s="247"/>
      <c r="H702" s="247"/>
      <c r="I702" s="247"/>
      <c r="J702" s="247"/>
      <c r="K702" s="247"/>
    </row>
    <row r="703" spans="1:11" ht="20.25">
      <c r="A703" s="247"/>
      <c r="B703" s="247"/>
      <c r="C703" s="247"/>
      <c r="D703" s="247"/>
      <c r="E703" s="258"/>
      <c r="F703" s="261"/>
      <c r="G703" s="247"/>
      <c r="H703" s="247"/>
      <c r="I703" s="247"/>
      <c r="J703" s="247"/>
      <c r="K703" s="247"/>
    </row>
    <row r="704" spans="1:11" ht="20.25">
      <c r="A704" s="247"/>
      <c r="B704" s="247"/>
      <c r="C704" s="247"/>
      <c r="D704" s="247"/>
      <c r="E704" s="258"/>
      <c r="F704" s="261"/>
      <c r="G704" s="247"/>
      <c r="H704" s="247"/>
      <c r="I704" s="247"/>
      <c r="J704" s="247"/>
      <c r="K704" s="247"/>
    </row>
    <row r="705" spans="1:11" ht="20.25">
      <c r="A705" s="247"/>
      <c r="B705" s="247"/>
      <c r="C705" s="247"/>
      <c r="D705" s="247"/>
      <c r="E705" s="258"/>
      <c r="F705" s="261"/>
      <c r="G705" s="247"/>
      <c r="H705" s="247"/>
      <c r="I705" s="247"/>
      <c r="J705" s="247"/>
      <c r="K705" s="247"/>
    </row>
    <row r="706" spans="1:11" ht="20.25">
      <c r="A706" s="247"/>
      <c r="B706" s="247"/>
      <c r="C706" s="247"/>
      <c r="D706" s="247"/>
      <c r="E706" s="258"/>
      <c r="F706" s="261"/>
      <c r="G706" s="247"/>
      <c r="H706" s="247"/>
      <c r="I706" s="247"/>
      <c r="J706" s="247"/>
      <c r="K706" s="247"/>
    </row>
    <row r="707" spans="1:11" ht="20.25">
      <c r="A707" s="247"/>
      <c r="B707" s="247"/>
      <c r="C707" s="247"/>
      <c r="D707" s="247"/>
      <c r="E707" s="258"/>
      <c r="F707" s="261"/>
      <c r="G707" s="247"/>
      <c r="H707" s="247"/>
      <c r="I707" s="247"/>
      <c r="J707" s="247"/>
      <c r="K707" s="247"/>
    </row>
    <row r="708" spans="1:11" ht="20.25">
      <c r="A708" s="247"/>
      <c r="B708" s="247"/>
      <c r="C708" s="247"/>
      <c r="D708" s="247"/>
      <c r="E708" s="258"/>
      <c r="F708" s="261"/>
      <c r="G708" s="247"/>
      <c r="H708" s="247"/>
      <c r="I708" s="247"/>
      <c r="J708" s="247"/>
      <c r="K708" s="247"/>
    </row>
    <row r="709" spans="1:11" ht="20.25">
      <c r="A709" s="247"/>
      <c r="B709" s="247"/>
      <c r="C709" s="247"/>
      <c r="D709" s="247"/>
      <c r="E709" s="258"/>
      <c r="F709" s="261"/>
      <c r="G709" s="247"/>
      <c r="H709" s="247"/>
      <c r="I709" s="247"/>
      <c r="J709" s="247"/>
      <c r="K709" s="247"/>
    </row>
    <row r="710" spans="1:11" ht="20.25">
      <c r="A710" s="247"/>
      <c r="B710" s="247"/>
      <c r="C710" s="247"/>
      <c r="D710" s="247"/>
      <c r="E710" s="258"/>
      <c r="F710" s="261"/>
      <c r="G710" s="247"/>
      <c r="H710" s="247"/>
      <c r="I710" s="247"/>
      <c r="J710" s="247"/>
      <c r="K710" s="247"/>
    </row>
    <row r="711" spans="1:11" ht="20.25">
      <c r="A711" s="247"/>
      <c r="B711" s="247"/>
      <c r="C711" s="247"/>
      <c r="D711" s="247"/>
      <c r="E711" s="258"/>
      <c r="F711" s="261"/>
      <c r="G711" s="247"/>
      <c r="H711" s="247"/>
      <c r="I711" s="247"/>
      <c r="J711" s="247"/>
      <c r="K711" s="247"/>
    </row>
    <row r="712" spans="1:11" ht="20.25">
      <c r="A712" s="247"/>
      <c r="B712" s="247"/>
      <c r="C712" s="247"/>
      <c r="D712" s="247"/>
      <c r="E712" s="258"/>
      <c r="F712" s="261"/>
      <c r="G712" s="247"/>
      <c r="H712" s="247"/>
      <c r="I712" s="247"/>
      <c r="J712" s="247"/>
      <c r="K712" s="247"/>
    </row>
    <row r="713" spans="1:11" ht="20.25">
      <c r="A713" s="247"/>
      <c r="B713" s="247"/>
      <c r="C713" s="247"/>
      <c r="D713" s="247"/>
      <c r="E713" s="258"/>
      <c r="F713" s="261"/>
      <c r="G713" s="247"/>
      <c r="H713" s="247"/>
      <c r="I713" s="247"/>
      <c r="J713" s="247"/>
      <c r="K713" s="247"/>
    </row>
    <row r="714" spans="1:11" ht="20.25">
      <c r="A714" s="247"/>
      <c r="B714" s="247"/>
      <c r="C714" s="247"/>
      <c r="D714" s="247"/>
      <c r="E714" s="258"/>
      <c r="F714" s="261"/>
      <c r="G714" s="247"/>
      <c r="H714" s="247"/>
      <c r="I714" s="247"/>
      <c r="J714" s="247"/>
      <c r="K714" s="247"/>
    </row>
    <row r="715" spans="1:11" ht="20.25">
      <c r="A715" s="247"/>
      <c r="B715" s="247"/>
      <c r="C715" s="247"/>
      <c r="D715" s="247"/>
      <c r="E715" s="258"/>
      <c r="F715" s="261"/>
      <c r="G715" s="247"/>
      <c r="H715" s="247"/>
      <c r="I715" s="247"/>
      <c r="J715" s="247"/>
      <c r="K715" s="247"/>
    </row>
    <row r="716" spans="1:11" ht="20.25">
      <c r="A716" s="247"/>
      <c r="B716" s="247"/>
      <c r="C716" s="247"/>
      <c r="D716" s="247"/>
      <c r="E716" s="258"/>
      <c r="F716" s="261"/>
      <c r="G716" s="247"/>
      <c r="H716" s="247"/>
      <c r="I716" s="247"/>
      <c r="J716" s="247"/>
      <c r="K716" s="247"/>
    </row>
    <row r="717" spans="1:11" ht="20.25">
      <c r="A717" s="247"/>
      <c r="B717" s="247"/>
      <c r="C717" s="247"/>
      <c r="D717" s="247"/>
      <c r="E717" s="258"/>
      <c r="F717" s="261"/>
      <c r="G717" s="247"/>
      <c r="H717" s="247"/>
      <c r="I717" s="247"/>
      <c r="J717" s="247"/>
      <c r="K717" s="247"/>
    </row>
    <row r="718" spans="1:11" ht="20.25">
      <c r="A718" s="247"/>
      <c r="B718" s="247"/>
      <c r="C718" s="247"/>
      <c r="D718" s="247"/>
      <c r="E718" s="258"/>
      <c r="F718" s="261"/>
      <c r="G718" s="247"/>
      <c r="H718" s="247"/>
      <c r="I718" s="247"/>
      <c r="J718" s="247"/>
      <c r="K718" s="247"/>
    </row>
    <row r="719" spans="1:11" ht="20.25">
      <c r="A719" s="247"/>
      <c r="B719" s="247"/>
      <c r="C719" s="247"/>
      <c r="D719" s="247"/>
      <c r="E719" s="258"/>
      <c r="F719" s="261"/>
      <c r="G719" s="247"/>
      <c r="H719" s="247"/>
      <c r="I719" s="247"/>
      <c r="J719" s="247"/>
      <c r="K719" s="247"/>
    </row>
    <row r="720" spans="1:11" ht="20.25">
      <c r="A720" s="247"/>
      <c r="B720" s="247"/>
      <c r="C720" s="247"/>
      <c r="D720" s="247"/>
      <c r="E720" s="258"/>
      <c r="F720" s="261"/>
      <c r="G720" s="247"/>
      <c r="H720" s="247"/>
      <c r="I720" s="247"/>
      <c r="J720" s="247"/>
      <c r="K720" s="247"/>
    </row>
    <row r="721" spans="1:11" ht="20.25">
      <c r="A721" s="247"/>
      <c r="B721" s="247"/>
      <c r="C721" s="247"/>
      <c r="D721" s="247"/>
      <c r="E721" s="258"/>
      <c r="F721" s="261"/>
      <c r="G721" s="247"/>
      <c r="H721" s="247"/>
      <c r="I721" s="247"/>
      <c r="J721" s="247"/>
      <c r="K721" s="247"/>
    </row>
    <row r="722" spans="1:11" ht="20.25">
      <c r="A722" s="247"/>
      <c r="B722" s="247"/>
      <c r="C722" s="247"/>
      <c r="D722" s="247"/>
      <c r="E722" s="258"/>
      <c r="F722" s="261"/>
      <c r="G722" s="247"/>
      <c r="H722" s="247"/>
      <c r="I722" s="247"/>
      <c r="J722" s="247"/>
      <c r="K722" s="247"/>
    </row>
    <row r="723" spans="1:11" ht="20.25">
      <c r="A723" s="247"/>
      <c r="B723" s="247"/>
      <c r="C723" s="247"/>
      <c r="D723" s="247"/>
      <c r="E723" s="258"/>
      <c r="F723" s="261"/>
      <c r="G723" s="247"/>
      <c r="H723" s="247"/>
      <c r="I723" s="247"/>
      <c r="J723" s="247"/>
      <c r="K723" s="247"/>
    </row>
    <row r="724" spans="1:11" ht="20.25">
      <c r="A724" s="247"/>
      <c r="B724" s="247"/>
      <c r="C724" s="247"/>
      <c r="D724" s="247"/>
      <c r="E724" s="258"/>
      <c r="F724" s="261"/>
      <c r="G724" s="247"/>
      <c r="H724" s="247"/>
      <c r="I724" s="247"/>
      <c r="J724" s="247"/>
      <c r="K724" s="247"/>
    </row>
    <row r="725" spans="1:11" ht="20.25">
      <c r="A725" s="247"/>
      <c r="B725" s="247"/>
      <c r="C725" s="247"/>
      <c r="D725" s="247"/>
      <c r="E725" s="258"/>
      <c r="F725" s="261"/>
      <c r="G725" s="247"/>
      <c r="H725" s="247"/>
      <c r="I725" s="247"/>
      <c r="J725" s="247"/>
      <c r="K725" s="247"/>
    </row>
    <row r="726" spans="1:11" ht="20.25">
      <c r="A726" s="247"/>
      <c r="B726" s="247"/>
      <c r="C726" s="247"/>
      <c r="D726" s="247"/>
      <c r="E726" s="258"/>
      <c r="F726" s="261"/>
      <c r="G726" s="247"/>
      <c r="H726" s="247"/>
      <c r="I726" s="247"/>
      <c r="J726" s="247"/>
      <c r="K726" s="247"/>
    </row>
    <row r="727" spans="1:11" ht="20.25">
      <c r="A727" s="247"/>
      <c r="B727" s="247"/>
      <c r="C727" s="247"/>
      <c r="D727" s="247"/>
      <c r="E727" s="258"/>
      <c r="F727" s="261"/>
      <c r="G727" s="247"/>
      <c r="H727" s="247"/>
      <c r="I727" s="247"/>
      <c r="J727" s="247"/>
      <c r="K727" s="247"/>
    </row>
    <row r="728" spans="1:11" ht="20.25">
      <c r="A728" s="247"/>
      <c r="B728" s="247"/>
      <c r="C728" s="247"/>
      <c r="D728" s="247"/>
      <c r="E728" s="258"/>
      <c r="F728" s="261"/>
      <c r="G728" s="247"/>
      <c r="H728" s="247"/>
      <c r="I728" s="247"/>
      <c r="J728" s="247"/>
      <c r="K728" s="247"/>
    </row>
    <row r="729" spans="1:11" ht="20.25">
      <c r="A729" s="247"/>
      <c r="B729" s="247"/>
      <c r="C729" s="247"/>
      <c r="D729" s="247"/>
      <c r="E729" s="258"/>
      <c r="F729" s="261"/>
      <c r="G729" s="247"/>
      <c r="H729" s="247"/>
      <c r="I729" s="247"/>
      <c r="J729" s="247"/>
      <c r="K729" s="247"/>
    </row>
    <row r="730" spans="1:11" ht="20.25">
      <c r="A730" s="247"/>
      <c r="B730" s="247"/>
      <c r="C730" s="247"/>
      <c r="D730" s="247"/>
      <c r="E730" s="258"/>
      <c r="F730" s="261"/>
      <c r="G730" s="247"/>
      <c r="H730" s="247"/>
      <c r="I730" s="247"/>
      <c r="J730" s="247"/>
      <c r="K730" s="247"/>
    </row>
    <row r="731" spans="1:11" ht="20.25">
      <c r="A731" s="247"/>
      <c r="B731" s="247"/>
      <c r="C731" s="247"/>
      <c r="D731" s="247"/>
      <c r="E731" s="258"/>
      <c r="F731" s="261"/>
      <c r="G731" s="247"/>
      <c r="H731" s="247"/>
      <c r="I731" s="247"/>
      <c r="J731" s="247"/>
      <c r="K731" s="247"/>
    </row>
    <row r="732" spans="1:11" ht="20.25">
      <c r="A732" s="247"/>
      <c r="B732" s="247"/>
      <c r="C732" s="247"/>
      <c r="D732" s="247"/>
      <c r="E732" s="258"/>
      <c r="F732" s="261"/>
      <c r="G732" s="247"/>
      <c r="H732" s="247"/>
      <c r="I732" s="247"/>
      <c r="J732" s="247"/>
      <c r="K732" s="247"/>
    </row>
    <row r="733" spans="1:11" ht="20.25">
      <c r="A733" s="247"/>
      <c r="B733" s="247"/>
      <c r="C733" s="247"/>
      <c r="D733" s="247"/>
      <c r="E733" s="258"/>
      <c r="F733" s="261"/>
      <c r="G733" s="247"/>
      <c r="H733" s="247"/>
      <c r="I733" s="247"/>
      <c r="J733" s="247"/>
      <c r="K733" s="247"/>
    </row>
    <row r="734" spans="1:11" ht="20.25">
      <c r="A734" s="247"/>
      <c r="B734" s="247"/>
      <c r="C734" s="247"/>
      <c r="D734" s="247"/>
      <c r="E734" s="258"/>
      <c r="F734" s="261"/>
      <c r="G734" s="247"/>
      <c r="H734" s="247"/>
      <c r="I734" s="247"/>
      <c r="J734" s="247"/>
      <c r="K734" s="247"/>
    </row>
    <row r="735" spans="1:11" ht="20.25">
      <c r="A735" s="247"/>
      <c r="B735" s="247"/>
      <c r="C735" s="247"/>
      <c r="D735" s="247"/>
      <c r="E735" s="258"/>
      <c r="F735" s="261"/>
      <c r="G735" s="247"/>
      <c r="H735" s="247"/>
      <c r="I735" s="247"/>
      <c r="J735" s="247"/>
      <c r="K735" s="247"/>
    </row>
    <row r="736" spans="1:11" ht="20.25">
      <c r="A736" s="247"/>
      <c r="B736" s="247"/>
      <c r="C736" s="247"/>
      <c r="D736" s="247"/>
      <c r="E736" s="258"/>
      <c r="F736" s="261"/>
      <c r="G736" s="247"/>
      <c r="H736" s="247"/>
      <c r="I736" s="247"/>
      <c r="J736" s="247"/>
      <c r="K736" s="247"/>
    </row>
    <row r="737" spans="1:11" ht="20.25">
      <c r="A737" s="247"/>
      <c r="B737" s="247"/>
      <c r="C737" s="247"/>
      <c r="D737" s="247"/>
      <c r="E737" s="258"/>
      <c r="F737" s="261"/>
      <c r="G737" s="247"/>
      <c r="H737" s="247"/>
      <c r="I737" s="247"/>
      <c r="J737" s="247"/>
      <c r="K737" s="247"/>
    </row>
    <row r="738" spans="1:11" ht="20.25">
      <c r="A738" s="247"/>
      <c r="B738" s="247"/>
      <c r="C738" s="247"/>
      <c r="D738" s="247"/>
      <c r="E738" s="258"/>
      <c r="F738" s="261"/>
      <c r="G738" s="247"/>
      <c r="H738" s="247"/>
      <c r="I738" s="247"/>
      <c r="J738" s="247"/>
      <c r="K738" s="247"/>
    </row>
    <row r="739" spans="1:11" ht="20.25">
      <c r="A739" s="247"/>
      <c r="B739" s="247"/>
      <c r="C739" s="247"/>
      <c r="D739" s="247"/>
      <c r="E739" s="258"/>
      <c r="F739" s="261"/>
      <c r="G739" s="247"/>
      <c r="H739" s="247"/>
      <c r="I739" s="247"/>
      <c r="J739" s="247"/>
      <c r="K739" s="247"/>
    </row>
    <row r="740" spans="1:11" ht="20.25">
      <c r="A740" s="247"/>
      <c r="B740" s="247"/>
      <c r="C740" s="247"/>
      <c r="D740" s="247"/>
      <c r="E740" s="258"/>
      <c r="F740" s="261"/>
      <c r="G740" s="247"/>
      <c r="H740" s="247"/>
      <c r="I740" s="247"/>
      <c r="J740" s="247"/>
      <c r="K740" s="247"/>
    </row>
    <row r="741" spans="1:11" ht="20.25">
      <c r="A741" s="247"/>
      <c r="B741" s="247"/>
      <c r="C741" s="247"/>
      <c r="D741" s="247"/>
      <c r="E741" s="258"/>
      <c r="F741" s="261"/>
      <c r="G741" s="247"/>
      <c r="H741" s="247"/>
      <c r="I741" s="247"/>
      <c r="J741" s="247"/>
      <c r="K741" s="247"/>
    </row>
    <row r="742" spans="1:11" ht="20.25">
      <c r="A742" s="247"/>
      <c r="B742" s="247"/>
      <c r="C742" s="247"/>
      <c r="D742" s="247"/>
      <c r="E742" s="258"/>
      <c r="F742" s="261"/>
      <c r="G742" s="247"/>
      <c r="H742" s="247"/>
      <c r="I742" s="247"/>
      <c r="J742" s="247"/>
      <c r="K742" s="247"/>
    </row>
    <row r="743" spans="1:11" ht="20.25">
      <c r="A743" s="247"/>
      <c r="B743" s="247"/>
      <c r="C743" s="247"/>
      <c r="D743" s="247"/>
      <c r="E743" s="258"/>
      <c r="F743" s="261"/>
      <c r="G743" s="247"/>
      <c r="H743" s="247"/>
      <c r="I743" s="247"/>
      <c r="J743" s="247"/>
      <c r="K743" s="247"/>
    </row>
    <row r="744" spans="1:11" ht="20.25">
      <c r="A744" s="247"/>
      <c r="B744" s="247"/>
      <c r="C744" s="247"/>
      <c r="D744" s="247"/>
      <c r="E744" s="258"/>
      <c r="F744" s="261"/>
      <c r="G744" s="247"/>
      <c r="H744" s="247"/>
      <c r="I744" s="247"/>
      <c r="J744" s="247"/>
      <c r="K744" s="247"/>
    </row>
    <row r="745" spans="1:11" ht="20.25">
      <c r="A745" s="247"/>
      <c r="B745" s="247"/>
      <c r="C745" s="247"/>
      <c r="D745" s="247"/>
      <c r="E745" s="258"/>
      <c r="F745" s="261"/>
      <c r="G745" s="247"/>
      <c r="H745" s="247"/>
      <c r="I745" s="247"/>
      <c r="J745" s="247"/>
      <c r="K745" s="247"/>
    </row>
    <row r="746" spans="1:11" ht="20.25">
      <c r="A746" s="247"/>
      <c r="B746" s="247"/>
      <c r="C746" s="247"/>
      <c r="D746" s="247"/>
      <c r="E746" s="258"/>
      <c r="F746" s="261"/>
      <c r="G746" s="247"/>
      <c r="H746" s="247"/>
      <c r="I746" s="247"/>
      <c r="J746" s="247"/>
      <c r="K746" s="247"/>
    </row>
    <row r="747" spans="1:11" ht="20.25">
      <c r="A747" s="247"/>
      <c r="B747" s="247"/>
      <c r="C747" s="247"/>
      <c r="D747" s="247"/>
      <c r="E747" s="258"/>
      <c r="F747" s="261"/>
      <c r="G747" s="247"/>
      <c r="H747" s="247"/>
      <c r="I747" s="247"/>
      <c r="J747" s="247"/>
      <c r="K747" s="247"/>
    </row>
    <row r="748" spans="1:11" ht="20.25">
      <c r="A748" s="247"/>
      <c r="B748" s="247"/>
      <c r="C748" s="247"/>
      <c r="D748" s="247"/>
      <c r="E748" s="258"/>
      <c r="F748" s="261"/>
      <c r="G748" s="247"/>
      <c r="H748" s="247"/>
      <c r="I748" s="247"/>
      <c r="J748" s="247"/>
      <c r="K748" s="247"/>
    </row>
    <row r="749" spans="1:11" ht="20.25">
      <c r="A749" s="247"/>
      <c r="B749" s="247"/>
      <c r="C749" s="247"/>
      <c r="D749" s="247"/>
      <c r="E749" s="258"/>
      <c r="F749" s="261"/>
      <c r="G749" s="247"/>
      <c r="H749" s="247"/>
      <c r="I749" s="247"/>
      <c r="J749" s="247"/>
      <c r="K749" s="247"/>
    </row>
    <row r="750" spans="1:11" ht="20.25">
      <c r="A750" s="247"/>
      <c r="B750" s="247"/>
      <c r="C750" s="247"/>
      <c r="D750" s="247"/>
      <c r="E750" s="258"/>
      <c r="F750" s="261"/>
      <c r="G750" s="247"/>
      <c r="H750" s="247"/>
      <c r="I750" s="247"/>
      <c r="J750" s="247"/>
      <c r="K750" s="247"/>
    </row>
    <row r="751" spans="1:11" ht="20.25">
      <c r="A751" s="247"/>
      <c r="B751" s="247"/>
      <c r="C751" s="247"/>
      <c r="D751" s="247"/>
      <c r="E751" s="258"/>
      <c r="F751" s="261"/>
      <c r="G751" s="247"/>
      <c r="H751" s="247"/>
      <c r="I751" s="247"/>
      <c r="J751" s="247"/>
      <c r="K751" s="247"/>
    </row>
    <row r="752" spans="1:11" ht="20.25">
      <c r="A752" s="247"/>
      <c r="B752" s="247"/>
      <c r="C752" s="247"/>
      <c r="D752" s="247"/>
      <c r="E752" s="258"/>
      <c r="F752" s="261"/>
      <c r="G752" s="247"/>
      <c r="H752" s="247"/>
      <c r="I752" s="247"/>
      <c r="J752" s="247"/>
      <c r="K752" s="247"/>
    </row>
    <row r="753" spans="1:11" ht="20.25">
      <c r="A753" s="247"/>
      <c r="B753" s="247"/>
      <c r="C753" s="247"/>
      <c r="D753" s="247"/>
      <c r="E753" s="258"/>
      <c r="F753" s="261"/>
      <c r="G753" s="247"/>
      <c r="H753" s="247"/>
      <c r="I753" s="247"/>
      <c r="J753" s="247"/>
      <c r="K753" s="247"/>
    </row>
    <row r="754" spans="1:11" ht="20.25">
      <c r="A754" s="247"/>
      <c r="B754" s="247"/>
      <c r="C754" s="247"/>
      <c r="D754" s="247"/>
      <c r="E754" s="258"/>
      <c r="F754" s="261"/>
      <c r="G754" s="247"/>
      <c r="H754" s="247"/>
      <c r="I754" s="247"/>
      <c r="J754" s="247"/>
      <c r="K754" s="247"/>
    </row>
    <row r="755" spans="1:11" ht="20.25">
      <c r="A755" s="247"/>
      <c r="B755" s="247"/>
      <c r="C755" s="247"/>
      <c r="D755" s="247"/>
      <c r="E755" s="258"/>
      <c r="F755" s="261"/>
      <c r="G755" s="247"/>
      <c r="H755" s="247"/>
      <c r="I755" s="247"/>
      <c r="J755" s="247"/>
      <c r="K755" s="247"/>
    </row>
  </sheetData>
  <mergeCells count="79">
    <mergeCell ref="F2:K2"/>
    <mergeCell ref="A3:K3"/>
    <mergeCell ref="A4:B4"/>
    <mergeCell ref="C4:E4"/>
    <mergeCell ref="F4:G4"/>
    <mergeCell ref="H4:I4"/>
    <mergeCell ref="H10:I10"/>
    <mergeCell ref="J10:K10"/>
    <mergeCell ref="A5:B5"/>
    <mergeCell ref="C5:E5"/>
    <mergeCell ref="F5:G5"/>
    <mergeCell ref="H5:I5"/>
    <mergeCell ref="A6:B6"/>
    <mergeCell ref="C6:I6"/>
    <mergeCell ref="B8:D8"/>
    <mergeCell ref="E8:G8"/>
    <mergeCell ref="H8:K8"/>
    <mergeCell ref="H9:I9"/>
    <mergeCell ref="J9:K9"/>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B43:C43"/>
    <mergeCell ref="H35:I35"/>
    <mergeCell ref="J35:K35"/>
    <mergeCell ref="H36:I36"/>
    <mergeCell ref="J36:K36"/>
    <mergeCell ref="H37:I37"/>
    <mergeCell ref="J37:K37"/>
    <mergeCell ref="A38:K38"/>
    <mergeCell ref="B39:I39"/>
    <mergeCell ref="A40:K40"/>
    <mergeCell ref="B42:C42"/>
    <mergeCell ref="F42:G42"/>
  </mergeCells>
  <phoneticPr fontId="49" type="noConversion"/>
  <dataValidations count="1">
    <dataValidation type="list" allowBlank="1" showInputMessage="1" showErrorMessage="1" sqref="C6:I6">
      <formula1>$V$8:$V$25</formula1>
    </dataValidation>
  </dataValidations>
  <printOptions horizontalCentered="1"/>
  <pageMargins left="0.78740157480314965" right="0.78740157480314965" top="0.43" bottom="0.59055118110236227" header="0.51181102362204722" footer="0.41"/>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dimension ref="A1:AJ21"/>
  <sheetViews>
    <sheetView zoomScale="115" zoomScaleNormal="115" workbookViewId="0">
      <selection activeCell="J3" sqref="J3:K3"/>
    </sheetView>
  </sheetViews>
  <sheetFormatPr defaultRowHeight="14.25"/>
  <cols>
    <col min="1" max="1" width="4.125" style="264" customWidth="1"/>
    <col min="2" max="2" width="4.375" style="264" customWidth="1"/>
    <col min="3" max="3" width="3.875" style="264" customWidth="1"/>
    <col min="4" max="4" width="5" style="264" customWidth="1"/>
    <col min="5" max="5" width="7.625" style="264" customWidth="1"/>
    <col min="6" max="6" width="7.5" style="264" customWidth="1"/>
    <col min="7" max="7" width="5.625" style="264" customWidth="1"/>
    <col min="8" max="8" width="8" style="264" customWidth="1"/>
    <col min="9" max="9" width="3.25" style="264" customWidth="1"/>
    <col min="10" max="10" width="4.875" style="264" customWidth="1"/>
    <col min="11" max="11" width="4.75" style="264" customWidth="1"/>
    <col min="12" max="12" width="6.75" style="264" customWidth="1"/>
    <col min="13" max="13" width="0.625" style="264" hidden="1" customWidth="1"/>
    <col min="14" max="14" width="3.75" style="264" customWidth="1"/>
    <col min="15" max="15" width="6.625" style="264" customWidth="1"/>
    <col min="16" max="16" width="4.5" style="264" customWidth="1"/>
    <col min="17" max="17" width="7" style="264" customWidth="1"/>
    <col min="18" max="18" width="5.125" style="264" customWidth="1"/>
    <col min="19" max="19" width="4.75" style="264" customWidth="1"/>
    <col min="20" max="20" width="5.625" style="264" customWidth="1"/>
    <col min="21" max="21" width="4.875" style="264" customWidth="1"/>
    <col min="22" max="22" width="5.25" style="265" customWidth="1"/>
    <col min="23" max="23" width="4.875" style="265" customWidth="1"/>
    <col min="24" max="24" width="9.25" style="265" customWidth="1"/>
    <col min="25" max="25" width="9.5" style="264" bestFit="1" customWidth="1"/>
    <col min="26" max="26" width="9.875" style="264" customWidth="1"/>
    <col min="27" max="28" width="10" style="264" customWidth="1"/>
    <col min="29" max="29" width="6.625" style="264" customWidth="1"/>
    <col min="30" max="30" width="6.5" style="264" customWidth="1"/>
    <col min="31" max="31" width="9" style="264"/>
    <col min="32" max="32" width="8.5" style="264" customWidth="1"/>
    <col min="33" max="33" width="6.375" style="264" customWidth="1"/>
    <col min="34" max="34" width="5.75" style="264" customWidth="1"/>
    <col min="35" max="35" width="12.625" style="264" customWidth="1"/>
    <col min="36" max="36" width="8.375" style="265" customWidth="1"/>
    <col min="37" max="37" width="24.875" style="264" customWidth="1"/>
    <col min="38" max="38" width="9" style="264"/>
    <col min="39" max="39" width="37.5" style="264" customWidth="1"/>
    <col min="40" max="16384" width="9" style="264"/>
  </cols>
  <sheetData>
    <row r="1" spans="1:31" ht="18.75">
      <c r="A1" s="1109" t="s">
        <v>756</v>
      </c>
      <c r="B1" s="1109"/>
      <c r="C1" s="1109"/>
      <c r="D1" s="1109"/>
      <c r="E1" s="1109"/>
      <c r="F1" s="1109"/>
      <c r="G1" s="1109"/>
      <c r="H1" s="1109"/>
      <c r="I1" s="1109"/>
      <c r="J1" s="1109"/>
      <c r="K1" s="1109"/>
      <c r="L1" s="1109"/>
      <c r="M1" s="1109"/>
      <c r="N1" s="1109"/>
      <c r="O1" s="1109"/>
      <c r="P1" s="1109"/>
      <c r="Q1" s="1109"/>
      <c r="R1" s="1109"/>
      <c r="S1" s="263"/>
    </row>
    <row r="2" spans="1:31" ht="20.100000000000001" customHeight="1">
      <c r="A2" s="266" t="s">
        <v>716</v>
      </c>
      <c r="B2" s="266"/>
      <c r="C2" s="266"/>
      <c r="D2" s="1092" t="e">
        <f>'作(2)'!C4</f>
        <v>#REF!</v>
      </c>
      <c r="E2" s="1092"/>
      <c r="F2" s="1092"/>
      <c r="G2" s="1092" t="str">
        <f>'作(2)'!F4</f>
        <v>版本型录号</v>
      </c>
      <c r="H2" s="1092"/>
      <c r="I2" s="1092" t="e">
        <f>#REF!</f>
        <v>#REF!</v>
      </c>
      <c r="J2" s="1092"/>
      <c r="K2" s="1092"/>
      <c r="L2" s="1092"/>
      <c r="M2" s="267"/>
      <c r="N2" s="1110" t="s">
        <v>717</v>
      </c>
      <c r="O2" s="1110"/>
      <c r="P2" s="1105" t="e">
        <f>'作(2)'!K6</f>
        <v>#REF!</v>
      </c>
      <c r="Q2" s="1105"/>
      <c r="R2" s="1105"/>
    </row>
    <row r="3" spans="1:31" ht="20.100000000000001" customHeight="1">
      <c r="A3" s="266" t="s">
        <v>718</v>
      </c>
      <c r="B3" s="266"/>
      <c r="C3" s="266"/>
      <c r="D3" s="1092" t="e">
        <f>'作(2)'!C5</f>
        <v>#REF!</v>
      </c>
      <c r="E3" s="1092"/>
      <c r="F3" s="1092"/>
      <c r="G3" s="1092" t="s">
        <v>7</v>
      </c>
      <c r="H3" s="1092"/>
      <c r="I3" s="1108">
        <f>'作(2)'!H5</f>
        <v>0</v>
      </c>
      <c r="J3" s="1092"/>
      <c r="K3" s="1092"/>
      <c r="L3" s="1092"/>
      <c r="M3" s="267"/>
      <c r="N3" s="267" t="s">
        <v>8</v>
      </c>
      <c r="O3" s="268"/>
      <c r="P3" s="1105" t="e">
        <f>'作(2)'!K5</f>
        <v>#REF!</v>
      </c>
      <c r="Q3" s="1105"/>
      <c r="R3" s="1105"/>
      <c r="S3" s="269"/>
      <c r="T3" s="270"/>
      <c r="U3" s="1104"/>
      <c r="V3" s="1104"/>
      <c r="W3" s="1104"/>
      <c r="X3" s="1104"/>
      <c r="Y3" s="1104"/>
      <c r="Z3" s="1104"/>
      <c r="AA3" s="1104"/>
      <c r="AB3" s="1104"/>
      <c r="AC3" s="1104"/>
      <c r="AD3" s="271"/>
      <c r="AE3" s="272"/>
    </row>
    <row r="4" spans="1:31" ht="20.100000000000001" customHeight="1">
      <c r="A4" s="273" t="s">
        <v>24</v>
      </c>
      <c r="B4" s="273" t="s">
        <v>1</v>
      </c>
      <c r="C4" s="1092" t="s">
        <v>20</v>
      </c>
      <c r="D4" s="1092"/>
      <c r="E4" s="1092" t="s">
        <v>25</v>
      </c>
      <c r="F4" s="1092"/>
      <c r="G4" s="273" t="s">
        <v>6</v>
      </c>
      <c r="H4" s="273" t="s">
        <v>3</v>
      </c>
      <c r="I4" s="273" t="s">
        <v>24</v>
      </c>
      <c r="J4" s="273" t="s">
        <v>1</v>
      </c>
      <c r="K4" s="1092" t="s">
        <v>20</v>
      </c>
      <c r="L4" s="1092"/>
      <c r="M4" s="1092"/>
      <c r="N4" s="1105" t="s">
        <v>719</v>
      </c>
      <c r="O4" s="1105"/>
      <c r="P4" s="1105"/>
      <c r="Q4" s="273" t="s">
        <v>6</v>
      </c>
      <c r="R4" s="273" t="s">
        <v>3</v>
      </c>
      <c r="S4" s="269"/>
      <c r="T4" s="270"/>
      <c r="U4" s="1106"/>
      <c r="V4" s="1106"/>
      <c r="W4" s="1107"/>
      <c r="X4" s="1107"/>
      <c r="Y4" s="1107"/>
      <c r="Z4" s="1104"/>
      <c r="AA4" s="1104"/>
      <c r="AB4" s="1104"/>
      <c r="AC4" s="1104"/>
      <c r="AD4" s="271"/>
      <c r="AE4" s="274"/>
    </row>
    <row r="5" spans="1:31" ht="20.100000000000001" customHeight="1">
      <c r="A5" s="1093" t="s">
        <v>720</v>
      </c>
      <c r="B5" s="1092">
        <v>1</v>
      </c>
      <c r="C5" s="1092" t="s">
        <v>721</v>
      </c>
      <c r="D5" s="1092"/>
      <c r="E5" s="1093" t="str">
        <f>VLOOKUP('作(2)'!C6,'作(2)'!V9:Y25,3,FALSE)</f>
        <v>暖白双贴三聚氰胺E0级刨花板（竖纹）</v>
      </c>
      <c r="F5" s="1093"/>
      <c r="G5" s="1103" t="b">
        <f>IF('作(2)'!L3=1,'作(2)'!Q42,IF('作(2)'!L3=2,'作(2)'!Q43,IF('作(2)'!L3=3,'作(2)'!Q44)))</f>
        <v>0</v>
      </c>
      <c r="H5" s="1092" t="s">
        <v>26</v>
      </c>
      <c r="I5" s="1098" t="s">
        <v>722</v>
      </c>
      <c r="J5" s="1092">
        <v>1</v>
      </c>
      <c r="K5" s="1093" t="s">
        <v>2</v>
      </c>
      <c r="L5" s="1093"/>
      <c r="M5" s="1092"/>
      <c r="N5" s="1101" t="str">
        <f>VLOOKUP('作(2)'!C6,'作(2)'!V9:Y25,4,FALSE)</f>
        <v>2.0*22暖白PVC</v>
      </c>
      <c r="O5" s="1101"/>
      <c r="P5" s="1101"/>
      <c r="Q5" s="1102">
        <f>IF(N5="T型铝封边",'作(2)'!M38,'作(2)'!L38)</f>
        <v>0</v>
      </c>
      <c r="R5" s="1092" t="s">
        <v>22</v>
      </c>
    </row>
    <row r="6" spans="1:31" ht="20.100000000000001" customHeight="1">
      <c r="A6" s="1093"/>
      <c r="B6" s="1092"/>
      <c r="C6" s="1092"/>
      <c r="D6" s="1092"/>
      <c r="E6" s="1093"/>
      <c r="F6" s="1093"/>
      <c r="G6" s="1103"/>
      <c r="H6" s="1092"/>
      <c r="I6" s="1099"/>
      <c r="J6" s="1092"/>
      <c r="K6" s="1093"/>
      <c r="L6" s="1093"/>
      <c r="M6" s="1092"/>
      <c r="N6" s="1101"/>
      <c r="O6" s="1101"/>
      <c r="P6" s="1101"/>
      <c r="Q6" s="1102"/>
      <c r="R6" s="1092"/>
    </row>
    <row r="7" spans="1:31" ht="20.100000000000001" customHeight="1">
      <c r="A7" s="1093"/>
      <c r="B7" s="1092"/>
      <c r="C7" s="1092"/>
      <c r="D7" s="1092"/>
      <c r="E7" s="1093"/>
      <c r="F7" s="1093"/>
      <c r="G7" s="1103"/>
      <c r="H7" s="1092"/>
      <c r="I7" s="1099"/>
      <c r="J7" s="1092"/>
      <c r="K7" s="1093"/>
      <c r="L7" s="1093"/>
      <c r="M7" s="1092"/>
      <c r="N7" s="1101"/>
      <c r="O7" s="1101"/>
      <c r="P7" s="1101"/>
      <c r="Q7" s="1102"/>
      <c r="R7" s="1092"/>
    </row>
    <row r="8" spans="1:31" ht="24.75" customHeight="1">
      <c r="A8" s="1093"/>
      <c r="B8" s="1092"/>
      <c r="C8" s="1092"/>
      <c r="D8" s="1092"/>
      <c r="E8" s="1093"/>
      <c r="F8" s="1093"/>
      <c r="G8" s="1103"/>
      <c r="H8" s="1092"/>
      <c r="I8" s="1099"/>
      <c r="J8" s="273">
        <v>2</v>
      </c>
      <c r="K8" s="1092" t="str">
        <f>IF(N5="T型铝封边","普施宝免钉胶","热熔胶")</f>
        <v>热熔胶</v>
      </c>
      <c r="L8" s="1092"/>
      <c r="M8" s="1092"/>
      <c r="N8" s="1092" t="str">
        <f>IF(N5="T型铝封边","","丽凯8803A")</f>
        <v>丽凯8803A</v>
      </c>
      <c r="O8" s="1092"/>
      <c r="P8" s="1092"/>
      <c r="Q8" s="275">
        <f>IF(N5="T型铝封边",Q5/12,Q5*4.1)</f>
        <v>0</v>
      </c>
      <c r="R8" s="273" t="str">
        <f>IF(N5="T型铝封边","支","克")</f>
        <v>克</v>
      </c>
    </row>
    <row r="9" spans="1:31" ht="40.5" customHeight="1">
      <c r="A9" s="1093"/>
      <c r="B9" s="273"/>
      <c r="C9" s="1092"/>
      <c r="D9" s="1092"/>
      <c r="E9" s="1092"/>
      <c r="F9" s="1092"/>
      <c r="G9" s="273"/>
      <c r="H9" s="273"/>
      <c r="I9" s="1099"/>
      <c r="J9" s="273"/>
      <c r="K9" s="1092"/>
      <c r="L9" s="1092"/>
      <c r="M9" s="1092"/>
      <c r="N9" s="1092"/>
      <c r="O9" s="1092"/>
      <c r="P9" s="1092"/>
      <c r="Q9" s="276"/>
      <c r="R9" s="273"/>
    </row>
    <row r="10" spans="1:31" ht="20.100000000000001" customHeight="1">
      <c r="A10" s="1093"/>
      <c r="B10" s="273"/>
      <c r="C10" s="1092"/>
      <c r="D10" s="1092"/>
      <c r="E10" s="1092"/>
      <c r="F10" s="1092"/>
      <c r="G10" s="273"/>
      <c r="H10" s="273"/>
      <c r="I10" s="1099"/>
      <c r="J10" s="273"/>
      <c r="K10" s="1093"/>
      <c r="L10" s="1093"/>
      <c r="M10" s="1093"/>
      <c r="N10" s="1094"/>
      <c r="O10" s="1094"/>
      <c r="P10" s="1094"/>
      <c r="Q10" s="273"/>
      <c r="R10" s="273"/>
    </row>
    <row r="11" spans="1:31" ht="20.100000000000001" customHeight="1">
      <c r="A11" s="1093"/>
      <c r="B11" s="273"/>
      <c r="C11" s="1092"/>
      <c r="D11" s="1092"/>
      <c r="E11" s="1092"/>
      <c r="F11" s="1092"/>
      <c r="G11" s="273"/>
      <c r="H11" s="273"/>
      <c r="I11" s="1099"/>
      <c r="J11" s="273"/>
      <c r="K11" s="1093"/>
      <c r="L11" s="1093"/>
      <c r="M11" s="1093"/>
      <c r="N11" s="1094"/>
      <c r="O11" s="1094"/>
      <c r="P11" s="1094"/>
      <c r="Q11" s="273"/>
      <c r="R11" s="273"/>
    </row>
    <row r="12" spans="1:31" ht="20.100000000000001" customHeight="1">
      <c r="A12" s="1093"/>
      <c r="B12" s="273"/>
      <c r="C12" s="1092"/>
      <c r="D12" s="1092"/>
      <c r="E12" s="1092"/>
      <c r="F12" s="1092"/>
      <c r="G12" s="273"/>
      <c r="H12" s="273"/>
      <c r="I12" s="1099"/>
      <c r="J12" s="273">
        <v>6</v>
      </c>
      <c r="K12" s="1093" t="s">
        <v>723</v>
      </c>
      <c r="L12" s="1093"/>
      <c r="M12" s="1093"/>
      <c r="N12" s="1094" t="s">
        <v>724</v>
      </c>
      <c r="O12" s="1094"/>
      <c r="P12" s="1094"/>
      <c r="Q12" s="273"/>
      <c r="R12" s="273" t="s">
        <v>22</v>
      </c>
    </row>
    <row r="13" spans="1:31" ht="20.100000000000001" customHeight="1">
      <c r="A13" s="1093"/>
      <c r="B13" s="273"/>
      <c r="C13" s="1092"/>
      <c r="D13" s="1092"/>
      <c r="E13" s="1092"/>
      <c r="F13" s="1092"/>
      <c r="G13" s="273"/>
      <c r="H13" s="273"/>
      <c r="I13" s="1099"/>
      <c r="J13" s="273">
        <v>7</v>
      </c>
      <c r="K13" s="1095" t="s">
        <v>725</v>
      </c>
      <c r="L13" s="1096"/>
      <c r="M13" s="1096"/>
      <c r="N13" s="1096"/>
      <c r="O13" s="1096"/>
      <c r="P13" s="1097"/>
      <c r="Q13" s="273"/>
      <c r="R13" s="273" t="s">
        <v>325</v>
      </c>
    </row>
    <row r="14" spans="1:31" ht="20.100000000000001" customHeight="1">
      <c r="A14" s="1093"/>
      <c r="B14" s="273"/>
      <c r="C14" s="1092"/>
      <c r="D14" s="1092"/>
      <c r="E14" s="1092"/>
      <c r="F14" s="1092"/>
      <c r="G14" s="273"/>
      <c r="H14" s="273"/>
      <c r="I14" s="1100"/>
      <c r="J14" s="273"/>
      <c r="K14" s="1093"/>
      <c r="L14" s="1093"/>
      <c r="M14" s="1093"/>
      <c r="N14" s="1092"/>
      <c r="O14" s="1092"/>
      <c r="P14" s="1092"/>
      <c r="Q14" s="273"/>
      <c r="R14" s="273"/>
    </row>
    <row r="15" spans="1:31" ht="20.100000000000001" customHeight="1">
      <c r="A15" s="1093"/>
      <c r="B15" s="273"/>
      <c r="C15" s="1092"/>
      <c r="D15" s="1092"/>
      <c r="E15" s="1092"/>
      <c r="F15" s="1092"/>
      <c r="G15" s="273"/>
      <c r="H15" s="273"/>
      <c r="I15" s="1093"/>
      <c r="J15" s="273"/>
      <c r="K15" s="1092"/>
      <c r="L15" s="1092"/>
      <c r="M15" s="1092"/>
      <c r="N15" s="1092"/>
      <c r="O15" s="1092"/>
      <c r="P15" s="1092"/>
      <c r="Q15" s="276"/>
      <c r="R15" s="273"/>
    </row>
    <row r="16" spans="1:31" ht="20.100000000000001" customHeight="1">
      <c r="A16" s="1093"/>
      <c r="B16" s="273"/>
      <c r="C16" s="1092"/>
      <c r="D16" s="1092"/>
      <c r="E16" s="1092"/>
      <c r="F16" s="1092"/>
      <c r="G16" s="273"/>
      <c r="H16" s="273"/>
      <c r="I16" s="1093"/>
      <c r="J16" s="273"/>
      <c r="K16" s="1092"/>
      <c r="L16" s="1092"/>
      <c r="M16" s="1092"/>
      <c r="N16" s="1092"/>
      <c r="O16" s="1092"/>
      <c r="P16" s="1092"/>
      <c r="Q16" s="276"/>
      <c r="R16" s="273"/>
    </row>
    <row r="17" spans="1:18" ht="15" customHeight="1">
      <c r="A17" s="277"/>
      <c r="B17" s="277"/>
      <c r="C17" s="277"/>
      <c r="D17" s="277"/>
      <c r="E17" s="277"/>
      <c r="F17" s="277"/>
      <c r="G17" s="277"/>
      <c r="H17" s="277"/>
      <c r="I17" s="277"/>
      <c r="J17" s="277"/>
      <c r="K17" s="277"/>
      <c r="L17" s="277"/>
      <c r="M17" s="278"/>
      <c r="N17" s="278"/>
      <c r="O17" s="278"/>
      <c r="P17" s="278"/>
      <c r="Q17" s="278"/>
      <c r="R17" s="278"/>
    </row>
    <row r="18" spans="1:18" ht="15" customHeight="1">
      <c r="A18" s="279"/>
      <c r="B18" s="279"/>
      <c r="C18" s="277"/>
      <c r="D18" s="1088" t="s">
        <v>13</v>
      </c>
      <c r="E18" s="1088"/>
      <c r="F18" s="1091" t="s">
        <v>1257</v>
      </c>
      <c r="G18" s="1091"/>
      <c r="H18" s="1091"/>
      <c r="I18" s="280"/>
      <c r="J18" s="281"/>
      <c r="K18" s="280"/>
      <c r="L18" s="1088" t="s">
        <v>14</v>
      </c>
      <c r="M18" s="1088"/>
      <c r="N18" s="1091"/>
      <c r="O18" s="1091"/>
      <c r="P18" s="278"/>
      <c r="Q18" s="278"/>
      <c r="R18" s="278"/>
    </row>
    <row r="19" spans="1:18" ht="15" customHeight="1">
      <c r="A19" s="279"/>
      <c r="B19" s="279"/>
      <c r="C19" s="277"/>
      <c r="D19" s="282"/>
      <c r="E19" s="282"/>
      <c r="F19" s="282"/>
      <c r="G19" s="282"/>
      <c r="H19" s="283"/>
      <c r="I19" s="280"/>
      <c r="J19" s="281"/>
      <c r="K19" s="280"/>
      <c r="L19" s="282"/>
      <c r="M19" s="282"/>
      <c r="N19" s="284"/>
      <c r="O19" s="284"/>
      <c r="P19" s="278"/>
      <c r="Q19" s="278"/>
      <c r="R19" s="278"/>
    </row>
    <row r="20" spans="1:18" ht="15" customHeight="1">
      <c r="A20" s="279"/>
      <c r="B20" s="279"/>
      <c r="C20" s="277"/>
      <c r="D20" s="1088" t="s">
        <v>15</v>
      </c>
      <c r="E20" s="1088"/>
      <c r="F20" s="1089"/>
      <c r="G20" s="1089"/>
      <c r="H20" s="1089"/>
      <c r="I20" s="280"/>
      <c r="J20" s="281"/>
      <c r="K20" s="1090" t="s">
        <v>16</v>
      </c>
      <c r="L20" s="1090"/>
      <c r="M20" s="1090"/>
      <c r="N20" s="1091"/>
      <c r="O20" s="1091"/>
      <c r="P20" s="278"/>
      <c r="Q20" s="278"/>
      <c r="R20" s="278"/>
    </row>
    <row r="21" spans="1:18">
      <c r="A21" s="285"/>
      <c r="B21" s="285"/>
      <c r="C21" s="285"/>
      <c r="D21" s="285"/>
      <c r="E21" s="285"/>
      <c r="F21" s="285"/>
      <c r="G21" s="285"/>
      <c r="H21" s="285"/>
      <c r="I21" s="285"/>
      <c r="J21" s="285"/>
      <c r="K21" s="285"/>
      <c r="L21" s="285"/>
      <c r="M21" s="285"/>
      <c r="N21" s="285"/>
      <c r="O21" s="285"/>
      <c r="P21" s="285"/>
      <c r="Q21" s="285"/>
      <c r="R21" s="285"/>
    </row>
  </sheetData>
  <mergeCells count="79">
    <mergeCell ref="A1:R1"/>
    <mergeCell ref="D2:F2"/>
    <mergeCell ref="G2:H2"/>
    <mergeCell ref="I2:L2"/>
    <mergeCell ref="N2:O2"/>
    <mergeCell ref="P2:R2"/>
    <mergeCell ref="Z3:AA3"/>
    <mergeCell ref="AB3:AC3"/>
    <mergeCell ref="C4:D4"/>
    <mergeCell ref="E4:F4"/>
    <mergeCell ref="K4:M4"/>
    <mergeCell ref="N4:P4"/>
    <mergeCell ref="U4:V4"/>
    <mergeCell ref="W4:Y4"/>
    <mergeCell ref="Z4:AA4"/>
    <mergeCell ref="AB4:AC4"/>
    <mergeCell ref="D3:F3"/>
    <mergeCell ref="G3:H3"/>
    <mergeCell ref="I3:L3"/>
    <mergeCell ref="P3:R3"/>
    <mergeCell ref="U3:V3"/>
    <mergeCell ref="W3:Y3"/>
    <mergeCell ref="Q5:Q7"/>
    <mergeCell ref="A5:A9"/>
    <mergeCell ref="B5:B8"/>
    <mergeCell ref="C5:D8"/>
    <mergeCell ref="E5:F8"/>
    <mergeCell ref="G5:G8"/>
    <mergeCell ref="H5:H8"/>
    <mergeCell ref="E11:F11"/>
    <mergeCell ref="K11:M11"/>
    <mergeCell ref="N11:P11"/>
    <mergeCell ref="C12:D12"/>
    <mergeCell ref="R5:R7"/>
    <mergeCell ref="K8:M8"/>
    <mergeCell ref="N8:P8"/>
    <mergeCell ref="C9:D9"/>
    <mergeCell ref="E9:F9"/>
    <mergeCell ref="K9:M9"/>
    <mergeCell ref="N9:P9"/>
    <mergeCell ref="I5:I14"/>
    <mergeCell ref="J5:J7"/>
    <mergeCell ref="K5:L7"/>
    <mergeCell ref="M5:M7"/>
    <mergeCell ref="N5:P7"/>
    <mergeCell ref="E12:F12"/>
    <mergeCell ref="K12:M12"/>
    <mergeCell ref="N12:P12"/>
    <mergeCell ref="C13:D13"/>
    <mergeCell ref="E13:F13"/>
    <mergeCell ref="K13:P13"/>
    <mergeCell ref="C14:D14"/>
    <mergeCell ref="E14:F14"/>
    <mergeCell ref="K14:M14"/>
    <mergeCell ref="N14:P14"/>
    <mergeCell ref="A15:A16"/>
    <mergeCell ref="C15:D15"/>
    <mergeCell ref="E15:F15"/>
    <mergeCell ref="I15:I16"/>
    <mergeCell ref="K15:M15"/>
    <mergeCell ref="N15:P15"/>
    <mergeCell ref="A10:A14"/>
    <mergeCell ref="C10:D10"/>
    <mergeCell ref="E10:F10"/>
    <mergeCell ref="K10:M10"/>
    <mergeCell ref="N10:P10"/>
    <mergeCell ref="C11:D11"/>
    <mergeCell ref="D20:E20"/>
    <mergeCell ref="F20:H20"/>
    <mergeCell ref="K20:M20"/>
    <mergeCell ref="N20:O20"/>
    <mergeCell ref="C16:D16"/>
    <mergeCell ref="E16:F16"/>
    <mergeCell ref="K16:M16"/>
    <mergeCell ref="N16:P16"/>
    <mergeCell ref="D18:E18"/>
    <mergeCell ref="F18:H18"/>
    <mergeCell ref="L18:M18"/>
    <mergeCell ref="N18:O18"/>
  </mergeCells>
  <phoneticPr fontId="49" type="noConversion"/>
  <pageMargins left="7.874015748031496E-2" right="7.874015748031496E-2" top="0.59055118110236227" bottom="0.98425196850393704" header="0.51181102362204722" footer="0.51181102362204722"/>
  <pageSetup paperSize="9" scale="95" orientation="portrait" r:id="rId1"/>
  <headerFooter alignWithMargins="0"/>
</worksheet>
</file>

<file path=xl/worksheets/sheet13.xml><?xml version="1.0" encoding="utf-8"?>
<worksheet xmlns="http://schemas.openxmlformats.org/spreadsheetml/2006/main" xmlns:r="http://schemas.openxmlformats.org/officeDocument/2006/relationships">
  <dimension ref="A1:X771"/>
  <sheetViews>
    <sheetView view="pageBreakPreview" zoomScaleSheetLayoutView="100" workbookViewId="0">
      <selection activeCell="J3" sqref="J3:K3"/>
    </sheetView>
  </sheetViews>
  <sheetFormatPr defaultRowHeight="14.25"/>
  <cols>
    <col min="1" max="1" width="8.5" style="95" customWidth="1"/>
    <col min="2" max="2" width="6.375" style="95" customWidth="1"/>
    <col min="3" max="3" width="6.625" style="95" customWidth="1"/>
    <col min="4" max="4" width="5.125" style="95" customWidth="1"/>
    <col min="5" max="5" width="6.5" style="95" customWidth="1"/>
    <col min="6" max="6" width="5.375" style="95" customWidth="1"/>
    <col min="7" max="7" width="4.625" style="95" customWidth="1"/>
    <col min="8" max="8" width="8.625" style="95" customWidth="1"/>
    <col min="9" max="9" width="19.875" style="95" customWidth="1"/>
    <col min="10" max="10" width="9" style="95"/>
    <col min="11" max="11" width="9.875" style="95" customWidth="1"/>
    <col min="12" max="12" width="8.875" style="95" customWidth="1"/>
    <col min="13" max="13" width="8.625" style="95" customWidth="1"/>
    <col min="14" max="14" width="8" style="95" customWidth="1"/>
    <col min="15" max="15" width="8.625" style="95" customWidth="1"/>
    <col min="16" max="16" width="9" style="95" customWidth="1"/>
    <col min="17" max="17" width="13.5" style="95" customWidth="1"/>
    <col min="18" max="18" width="16.125" style="95" bestFit="1" customWidth="1"/>
    <col min="19" max="19" width="13.875" style="95" bestFit="1" customWidth="1"/>
    <col min="20" max="20" width="7.5" style="95" bestFit="1" customWidth="1"/>
    <col min="21" max="21" width="13.875" style="95" customWidth="1"/>
    <col min="22" max="23" width="15.625" style="95" customWidth="1"/>
    <col min="24" max="256" width="9" style="95"/>
    <col min="257" max="257" width="8.5" style="95" customWidth="1"/>
    <col min="258" max="258" width="6.375" style="95" customWidth="1"/>
    <col min="259" max="259" width="6.625" style="95" customWidth="1"/>
    <col min="260" max="260" width="5.125" style="95" customWidth="1"/>
    <col min="261" max="261" width="6.5" style="95" customWidth="1"/>
    <col min="262" max="262" width="5.375" style="95" customWidth="1"/>
    <col min="263" max="263" width="4.625" style="95" customWidth="1"/>
    <col min="264" max="264" width="8.625" style="95" customWidth="1"/>
    <col min="265" max="265" width="19.875" style="95" customWidth="1"/>
    <col min="266" max="266" width="9" style="95"/>
    <col min="267" max="267" width="9.875" style="95" customWidth="1"/>
    <col min="268" max="268" width="8.875" style="95" customWidth="1"/>
    <col min="269" max="269" width="8.625" style="95" customWidth="1"/>
    <col min="270" max="270" width="8" style="95" customWidth="1"/>
    <col min="271" max="271" width="8.625" style="95" customWidth="1"/>
    <col min="272" max="272" width="9" style="95" customWidth="1"/>
    <col min="273" max="273" width="13.5" style="95" customWidth="1"/>
    <col min="274" max="274" width="16.125" style="95" bestFit="1" customWidth="1"/>
    <col min="275" max="275" width="13.875" style="95" bestFit="1" customWidth="1"/>
    <col min="276" max="276" width="7.5" style="95" bestFit="1" customWidth="1"/>
    <col min="277" max="277" width="13.875" style="95" customWidth="1"/>
    <col min="278" max="279" width="15.625" style="95" customWidth="1"/>
    <col min="280" max="512" width="9" style="95"/>
    <col min="513" max="513" width="8.5" style="95" customWidth="1"/>
    <col min="514" max="514" width="6.375" style="95" customWidth="1"/>
    <col min="515" max="515" width="6.625" style="95" customWidth="1"/>
    <col min="516" max="516" width="5.125" style="95" customWidth="1"/>
    <col min="517" max="517" width="6.5" style="95" customWidth="1"/>
    <col min="518" max="518" width="5.375" style="95" customWidth="1"/>
    <col min="519" max="519" width="4.625" style="95" customWidth="1"/>
    <col min="520" max="520" width="8.625" style="95" customWidth="1"/>
    <col min="521" max="521" width="19.875" style="95" customWidth="1"/>
    <col min="522" max="522" width="9" style="95"/>
    <col min="523" max="523" width="9.875" style="95" customWidth="1"/>
    <col min="524" max="524" width="8.875" style="95" customWidth="1"/>
    <col min="525" max="525" width="8.625" style="95" customWidth="1"/>
    <col min="526" max="526" width="8" style="95" customWidth="1"/>
    <col min="527" max="527" width="8.625" style="95" customWidth="1"/>
    <col min="528" max="528" width="9" style="95" customWidth="1"/>
    <col min="529" max="529" width="13.5" style="95" customWidth="1"/>
    <col min="530" max="530" width="16.125" style="95" bestFit="1" customWidth="1"/>
    <col min="531" max="531" width="13.875" style="95" bestFit="1" customWidth="1"/>
    <col min="532" max="532" width="7.5" style="95" bestFit="1" customWidth="1"/>
    <col min="533" max="533" width="13.875" style="95" customWidth="1"/>
    <col min="534" max="535" width="15.625" style="95" customWidth="1"/>
    <col min="536" max="768" width="9" style="95"/>
    <col min="769" max="769" width="8.5" style="95" customWidth="1"/>
    <col min="770" max="770" width="6.375" style="95" customWidth="1"/>
    <col min="771" max="771" width="6.625" style="95" customWidth="1"/>
    <col min="772" max="772" width="5.125" style="95" customWidth="1"/>
    <col min="773" max="773" width="6.5" style="95" customWidth="1"/>
    <col min="774" max="774" width="5.375" style="95" customWidth="1"/>
    <col min="775" max="775" width="4.625" style="95" customWidth="1"/>
    <col min="776" max="776" width="8.625" style="95" customWidth="1"/>
    <col min="777" max="777" width="19.875" style="95" customWidth="1"/>
    <col min="778" max="778" width="9" style="95"/>
    <col min="779" max="779" width="9.875" style="95" customWidth="1"/>
    <col min="780" max="780" width="8.875" style="95" customWidth="1"/>
    <col min="781" max="781" width="8.625" style="95" customWidth="1"/>
    <col min="782" max="782" width="8" style="95" customWidth="1"/>
    <col min="783" max="783" width="8.625" style="95" customWidth="1"/>
    <col min="784" max="784" width="9" style="95" customWidth="1"/>
    <col min="785" max="785" width="13.5" style="95" customWidth="1"/>
    <col min="786" max="786" width="16.125" style="95" bestFit="1" customWidth="1"/>
    <col min="787" max="787" width="13.875" style="95" bestFit="1" customWidth="1"/>
    <col min="788" max="788" width="7.5" style="95" bestFit="1" customWidth="1"/>
    <col min="789" max="789" width="13.875" style="95" customWidth="1"/>
    <col min="790" max="791" width="15.625" style="95" customWidth="1"/>
    <col min="792" max="1024" width="9" style="95"/>
    <col min="1025" max="1025" width="8.5" style="95" customWidth="1"/>
    <col min="1026" max="1026" width="6.375" style="95" customWidth="1"/>
    <col min="1027" max="1027" width="6.625" style="95" customWidth="1"/>
    <col min="1028" max="1028" width="5.125" style="95" customWidth="1"/>
    <col min="1029" max="1029" width="6.5" style="95" customWidth="1"/>
    <col min="1030" max="1030" width="5.375" style="95" customWidth="1"/>
    <col min="1031" max="1031" width="4.625" style="95" customWidth="1"/>
    <col min="1032" max="1032" width="8.625" style="95" customWidth="1"/>
    <col min="1033" max="1033" width="19.875" style="95" customWidth="1"/>
    <col min="1034" max="1034" width="9" style="95"/>
    <col min="1035" max="1035" width="9.875" style="95" customWidth="1"/>
    <col min="1036" max="1036" width="8.875" style="95" customWidth="1"/>
    <col min="1037" max="1037" width="8.625" style="95" customWidth="1"/>
    <col min="1038" max="1038" width="8" style="95" customWidth="1"/>
    <col min="1039" max="1039" width="8.625" style="95" customWidth="1"/>
    <col min="1040" max="1040" width="9" style="95" customWidth="1"/>
    <col min="1041" max="1041" width="13.5" style="95" customWidth="1"/>
    <col min="1042" max="1042" width="16.125" style="95" bestFit="1" customWidth="1"/>
    <col min="1043" max="1043" width="13.875" style="95" bestFit="1" customWidth="1"/>
    <col min="1044" max="1044" width="7.5" style="95" bestFit="1" customWidth="1"/>
    <col min="1045" max="1045" width="13.875" style="95" customWidth="1"/>
    <col min="1046" max="1047" width="15.625" style="95" customWidth="1"/>
    <col min="1048" max="1280" width="9" style="95"/>
    <col min="1281" max="1281" width="8.5" style="95" customWidth="1"/>
    <col min="1282" max="1282" width="6.375" style="95" customWidth="1"/>
    <col min="1283" max="1283" width="6.625" style="95" customWidth="1"/>
    <col min="1284" max="1284" width="5.125" style="95" customWidth="1"/>
    <col min="1285" max="1285" width="6.5" style="95" customWidth="1"/>
    <col min="1286" max="1286" width="5.375" style="95" customWidth="1"/>
    <col min="1287" max="1287" width="4.625" style="95" customWidth="1"/>
    <col min="1288" max="1288" width="8.625" style="95" customWidth="1"/>
    <col min="1289" max="1289" width="19.875" style="95" customWidth="1"/>
    <col min="1290" max="1290" width="9" style="95"/>
    <col min="1291" max="1291" width="9.875" style="95" customWidth="1"/>
    <col min="1292" max="1292" width="8.875" style="95" customWidth="1"/>
    <col min="1293" max="1293" width="8.625" style="95" customWidth="1"/>
    <col min="1294" max="1294" width="8" style="95" customWidth="1"/>
    <col min="1295" max="1295" width="8.625" style="95" customWidth="1"/>
    <col min="1296" max="1296" width="9" style="95" customWidth="1"/>
    <col min="1297" max="1297" width="13.5" style="95" customWidth="1"/>
    <col min="1298" max="1298" width="16.125" style="95" bestFit="1" customWidth="1"/>
    <col min="1299" max="1299" width="13.875" style="95" bestFit="1" customWidth="1"/>
    <col min="1300" max="1300" width="7.5" style="95" bestFit="1" customWidth="1"/>
    <col min="1301" max="1301" width="13.875" style="95" customWidth="1"/>
    <col min="1302" max="1303" width="15.625" style="95" customWidth="1"/>
    <col min="1304" max="1536" width="9" style="95"/>
    <col min="1537" max="1537" width="8.5" style="95" customWidth="1"/>
    <col min="1538" max="1538" width="6.375" style="95" customWidth="1"/>
    <col min="1539" max="1539" width="6.625" style="95" customWidth="1"/>
    <col min="1540" max="1540" width="5.125" style="95" customWidth="1"/>
    <col min="1541" max="1541" width="6.5" style="95" customWidth="1"/>
    <col min="1542" max="1542" width="5.375" style="95" customWidth="1"/>
    <col min="1543" max="1543" width="4.625" style="95" customWidth="1"/>
    <col min="1544" max="1544" width="8.625" style="95" customWidth="1"/>
    <col min="1545" max="1545" width="19.875" style="95" customWidth="1"/>
    <col min="1546" max="1546" width="9" style="95"/>
    <col min="1547" max="1547" width="9.875" style="95" customWidth="1"/>
    <col min="1548" max="1548" width="8.875" style="95" customWidth="1"/>
    <col min="1549" max="1549" width="8.625" style="95" customWidth="1"/>
    <col min="1550" max="1550" width="8" style="95" customWidth="1"/>
    <col min="1551" max="1551" width="8.625" style="95" customWidth="1"/>
    <col min="1552" max="1552" width="9" style="95" customWidth="1"/>
    <col min="1553" max="1553" width="13.5" style="95" customWidth="1"/>
    <col min="1554" max="1554" width="16.125" style="95" bestFit="1" customWidth="1"/>
    <col min="1555" max="1555" width="13.875" style="95" bestFit="1" customWidth="1"/>
    <col min="1556" max="1556" width="7.5" style="95" bestFit="1" customWidth="1"/>
    <col min="1557" max="1557" width="13.875" style="95" customWidth="1"/>
    <col min="1558" max="1559" width="15.625" style="95" customWidth="1"/>
    <col min="1560" max="1792" width="9" style="95"/>
    <col min="1793" max="1793" width="8.5" style="95" customWidth="1"/>
    <col min="1794" max="1794" width="6.375" style="95" customWidth="1"/>
    <col min="1795" max="1795" width="6.625" style="95" customWidth="1"/>
    <col min="1796" max="1796" width="5.125" style="95" customWidth="1"/>
    <col min="1797" max="1797" width="6.5" style="95" customWidth="1"/>
    <col min="1798" max="1798" width="5.375" style="95" customWidth="1"/>
    <col min="1799" max="1799" width="4.625" style="95" customWidth="1"/>
    <col min="1800" max="1800" width="8.625" style="95" customWidth="1"/>
    <col min="1801" max="1801" width="19.875" style="95" customWidth="1"/>
    <col min="1802" max="1802" width="9" style="95"/>
    <col min="1803" max="1803" width="9.875" style="95" customWidth="1"/>
    <col min="1804" max="1804" width="8.875" style="95" customWidth="1"/>
    <col min="1805" max="1805" width="8.625" style="95" customWidth="1"/>
    <col min="1806" max="1806" width="8" style="95" customWidth="1"/>
    <col min="1807" max="1807" width="8.625" style="95" customWidth="1"/>
    <col min="1808" max="1808" width="9" style="95" customWidth="1"/>
    <col min="1809" max="1809" width="13.5" style="95" customWidth="1"/>
    <col min="1810" max="1810" width="16.125" style="95" bestFit="1" customWidth="1"/>
    <col min="1811" max="1811" width="13.875" style="95" bestFit="1" customWidth="1"/>
    <col min="1812" max="1812" width="7.5" style="95" bestFit="1" customWidth="1"/>
    <col min="1813" max="1813" width="13.875" style="95" customWidth="1"/>
    <col min="1814" max="1815" width="15.625" style="95" customWidth="1"/>
    <col min="1816" max="2048" width="9" style="95"/>
    <col min="2049" max="2049" width="8.5" style="95" customWidth="1"/>
    <col min="2050" max="2050" width="6.375" style="95" customWidth="1"/>
    <col min="2051" max="2051" width="6.625" style="95" customWidth="1"/>
    <col min="2052" max="2052" width="5.125" style="95" customWidth="1"/>
    <col min="2053" max="2053" width="6.5" style="95" customWidth="1"/>
    <col min="2054" max="2054" width="5.375" style="95" customWidth="1"/>
    <col min="2055" max="2055" width="4.625" style="95" customWidth="1"/>
    <col min="2056" max="2056" width="8.625" style="95" customWidth="1"/>
    <col min="2057" max="2057" width="19.875" style="95" customWidth="1"/>
    <col min="2058" max="2058" width="9" style="95"/>
    <col min="2059" max="2059" width="9.875" style="95" customWidth="1"/>
    <col min="2060" max="2060" width="8.875" style="95" customWidth="1"/>
    <col min="2061" max="2061" width="8.625" style="95" customWidth="1"/>
    <col min="2062" max="2062" width="8" style="95" customWidth="1"/>
    <col min="2063" max="2063" width="8.625" style="95" customWidth="1"/>
    <col min="2064" max="2064" width="9" style="95" customWidth="1"/>
    <col min="2065" max="2065" width="13.5" style="95" customWidth="1"/>
    <col min="2066" max="2066" width="16.125" style="95" bestFit="1" customWidth="1"/>
    <col min="2067" max="2067" width="13.875" style="95" bestFit="1" customWidth="1"/>
    <col min="2068" max="2068" width="7.5" style="95" bestFit="1" customWidth="1"/>
    <col min="2069" max="2069" width="13.875" style="95" customWidth="1"/>
    <col min="2070" max="2071" width="15.625" style="95" customWidth="1"/>
    <col min="2072" max="2304" width="9" style="95"/>
    <col min="2305" max="2305" width="8.5" style="95" customWidth="1"/>
    <col min="2306" max="2306" width="6.375" style="95" customWidth="1"/>
    <col min="2307" max="2307" width="6.625" style="95" customWidth="1"/>
    <col min="2308" max="2308" width="5.125" style="95" customWidth="1"/>
    <col min="2309" max="2309" width="6.5" style="95" customWidth="1"/>
    <col min="2310" max="2310" width="5.375" style="95" customWidth="1"/>
    <col min="2311" max="2311" width="4.625" style="95" customWidth="1"/>
    <col min="2312" max="2312" width="8.625" style="95" customWidth="1"/>
    <col min="2313" max="2313" width="19.875" style="95" customWidth="1"/>
    <col min="2314" max="2314" width="9" style="95"/>
    <col min="2315" max="2315" width="9.875" style="95" customWidth="1"/>
    <col min="2316" max="2316" width="8.875" style="95" customWidth="1"/>
    <col min="2317" max="2317" width="8.625" style="95" customWidth="1"/>
    <col min="2318" max="2318" width="8" style="95" customWidth="1"/>
    <col min="2319" max="2319" width="8.625" style="95" customWidth="1"/>
    <col min="2320" max="2320" width="9" style="95" customWidth="1"/>
    <col min="2321" max="2321" width="13.5" style="95" customWidth="1"/>
    <col min="2322" max="2322" width="16.125" style="95" bestFit="1" customWidth="1"/>
    <col min="2323" max="2323" width="13.875" style="95" bestFit="1" customWidth="1"/>
    <col min="2324" max="2324" width="7.5" style="95" bestFit="1" customWidth="1"/>
    <col min="2325" max="2325" width="13.875" style="95" customWidth="1"/>
    <col min="2326" max="2327" width="15.625" style="95" customWidth="1"/>
    <col min="2328" max="2560" width="9" style="95"/>
    <col min="2561" max="2561" width="8.5" style="95" customWidth="1"/>
    <col min="2562" max="2562" width="6.375" style="95" customWidth="1"/>
    <col min="2563" max="2563" width="6.625" style="95" customWidth="1"/>
    <col min="2564" max="2564" width="5.125" style="95" customWidth="1"/>
    <col min="2565" max="2565" width="6.5" style="95" customWidth="1"/>
    <col min="2566" max="2566" width="5.375" style="95" customWidth="1"/>
    <col min="2567" max="2567" width="4.625" style="95" customWidth="1"/>
    <col min="2568" max="2568" width="8.625" style="95" customWidth="1"/>
    <col min="2569" max="2569" width="19.875" style="95" customWidth="1"/>
    <col min="2570" max="2570" width="9" style="95"/>
    <col min="2571" max="2571" width="9.875" style="95" customWidth="1"/>
    <col min="2572" max="2572" width="8.875" style="95" customWidth="1"/>
    <col min="2573" max="2573" width="8.625" style="95" customWidth="1"/>
    <col min="2574" max="2574" width="8" style="95" customWidth="1"/>
    <col min="2575" max="2575" width="8.625" style="95" customWidth="1"/>
    <col min="2576" max="2576" width="9" style="95" customWidth="1"/>
    <col min="2577" max="2577" width="13.5" style="95" customWidth="1"/>
    <col min="2578" max="2578" width="16.125" style="95" bestFit="1" customWidth="1"/>
    <col min="2579" max="2579" width="13.875" style="95" bestFit="1" customWidth="1"/>
    <col min="2580" max="2580" width="7.5" style="95" bestFit="1" customWidth="1"/>
    <col min="2581" max="2581" width="13.875" style="95" customWidth="1"/>
    <col min="2582" max="2583" width="15.625" style="95" customWidth="1"/>
    <col min="2584" max="2816" width="9" style="95"/>
    <col min="2817" max="2817" width="8.5" style="95" customWidth="1"/>
    <col min="2818" max="2818" width="6.375" style="95" customWidth="1"/>
    <col min="2819" max="2819" width="6.625" style="95" customWidth="1"/>
    <col min="2820" max="2820" width="5.125" style="95" customWidth="1"/>
    <col min="2821" max="2821" width="6.5" style="95" customWidth="1"/>
    <col min="2822" max="2822" width="5.375" style="95" customWidth="1"/>
    <col min="2823" max="2823" width="4.625" style="95" customWidth="1"/>
    <col min="2824" max="2824" width="8.625" style="95" customWidth="1"/>
    <col min="2825" max="2825" width="19.875" style="95" customWidth="1"/>
    <col min="2826" max="2826" width="9" style="95"/>
    <col min="2827" max="2827" width="9.875" style="95" customWidth="1"/>
    <col min="2828" max="2828" width="8.875" style="95" customWidth="1"/>
    <col min="2829" max="2829" width="8.625" style="95" customWidth="1"/>
    <col min="2830" max="2830" width="8" style="95" customWidth="1"/>
    <col min="2831" max="2831" width="8.625" style="95" customWidth="1"/>
    <col min="2832" max="2832" width="9" style="95" customWidth="1"/>
    <col min="2833" max="2833" width="13.5" style="95" customWidth="1"/>
    <col min="2834" max="2834" width="16.125" style="95" bestFit="1" customWidth="1"/>
    <col min="2835" max="2835" width="13.875" style="95" bestFit="1" customWidth="1"/>
    <col min="2836" max="2836" width="7.5" style="95" bestFit="1" customWidth="1"/>
    <col min="2837" max="2837" width="13.875" style="95" customWidth="1"/>
    <col min="2838" max="2839" width="15.625" style="95" customWidth="1"/>
    <col min="2840" max="3072" width="9" style="95"/>
    <col min="3073" max="3073" width="8.5" style="95" customWidth="1"/>
    <col min="3074" max="3074" width="6.375" style="95" customWidth="1"/>
    <col min="3075" max="3075" width="6.625" style="95" customWidth="1"/>
    <col min="3076" max="3076" width="5.125" style="95" customWidth="1"/>
    <col min="3077" max="3077" width="6.5" style="95" customWidth="1"/>
    <col min="3078" max="3078" width="5.375" style="95" customWidth="1"/>
    <col min="3079" max="3079" width="4.625" style="95" customWidth="1"/>
    <col min="3080" max="3080" width="8.625" style="95" customWidth="1"/>
    <col min="3081" max="3081" width="19.875" style="95" customWidth="1"/>
    <col min="3082" max="3082" width="9" style="95"/>
    <col min="3083" max="3083" width="9.875" style="95" customWidth="1"/>
    <col min="3084" max="3084" width="8.875" style="95" customWidth="1"/>
    <col min="3085" max="3085" width="8.625" style="95" customWidth="1"/>
    <col min="3086" max="3086" width="8" style="95" customWidth="1"/>
    <col min="3087" max="3087" width="8.625" style="95" customWidth="1"/>
    <col min="3088" max="3088" width="9" style="95" customWidth="1"/>
    <col min="3089" max="3089" width="13.5" style="95" customWidth="1"/>
    <col min="3090" max="3090" width="16.125" style="95" bestFit="1" customWidth="1"/>
    <col min="3091" max="3091" width="13.875" style="95" bestFit="1" customWidth="1"/>
    <col min="3092" max="3092" width="7.5" style="95" bestFit="1" customWidth="1"/>
    <col min="3093" max="3093" width="13.875" style="95" customWidth="1"/>
    <col min="3094" max="3095" width="15.625" style="95" customWidth="1"/>
    <col min="3096" max="3328" width="9" style="95"/>
    <col min="3329" max="3329" width="8.5" style="95" customWidth="1"/>
    <col min="3330" max="3330" width="6.375" style="95" customWidth="1"/>
    <col min="3331" max="3331" width="6.625" style="95" customWidth="1"/>
    <col min="3332" max="3332" width="5.125" style="95" customWidth="1"/>
    <col min="3333" max="3333" width="6.5" style="95" customWidth="1"/>
    <col min="3334" max="3334" width="5.375" style="95" customWidth="1"/>
    <col min="3335" max="3335" width="4.625" style="95" customWidth="1"/>
    <col min="3336" max="3336" width="8.625" style="95" customWidth="1"/>
    <col min="3337" max="3337" width="19.875" style="95" customWidth="1"/>
    <col min="3338" max="3338" width="9" style="95"/>
    <col min="3339" max="3339" width="9.875" style="95" customWidth="1"/>
    <col min="3340" max="3340" width="8.875" style="95" customWidth="1"/>
    <col min="3341" max="3341" width="8.625" style="95" customWidth="1"/>
    <col min="3342" max="3342" width="8" style="95" customWidth="1"/>
    <col min="3343" max="3343" width="8.625" style="95" customWidth="1"/>
    <col min="3344" max="3344" width="9" style="95" customWidth="1"/>
    <col min="3345" max="3345" width="13.5" style="95" customWidth="1"/>
    <col min="3346" max="3346" width="16.125" style="95" bestFit="1" customWidth="1"/>
    <col min="3347" max="3347" width="13.875" style="95" bestFit="1" customWidth="1"/>
    <col min="3348" max="3348" width="7.5" style="95" bestFit="1" customWidth="1"/>
    <col min="3349" max="3349" width="13.875" style="95" customWidth="1"/>
    <col min="3350" max="3351" width="15.625" style="95" customWidth="1"/>
    <col min="3352" max="3584" width="9" style="95"/>
    <col min="3585" max="3585" width="8.5" style="95" customWidth="1"/>
    <col min="3586" max="3586" width="6.375" style="95" customWidth="1"/>
    <col min="3587" max="3587" width="6.625" style="95" customWidth="1"/>
    <col min="3588" max="3588" width="5.125" style="95" customWidth="1"/>
    <col min="3589" max="3589" width="6.5" style="95" customWidth="1"/>
    <col min="3590" max="3590" width="5.375" style="95" customWidth="1"/>
    <col min="3591" max="3591" width="4.625" style="95" customWidth="1"/>
    <col min="3592" max="3592" width="8.625" style="95" customWidth="1"/>
    <col min="3593" max="3593" width="19.875" style="95" customWidth="1"/>
    <col min="3594" max="3594" width="9" style="95"/>
    <col min="3595" max="3595" width="9.875" style="95" customWidth="1"/>
    <col min="3596" max="3596" width="8.875" style="95" customWidth="1"/>
    <col min="3597" max="3597" width="8.625" style="95" customWidth="1"/>
    <col min="3598" max="3598" width="8" style="95" customWidth="1"/>
    <col min="3599" max="3599" width="8.625" style="95" customWidth="1"/>
    <col min="3600" max="3600" width="9" style="95" customWidth="1"/>
    <col min="3601" max="3601" width="13.5" style="95" customWidth="1"/>
    <col min="3602" max="3602" width="16.125" style="95" bestFit="1" customWidth="1"/>
    <col min="3603" max="3603" width="13.875" style="95" bestFit="1" customWidth="1"/>
    <col min="3604" max="3604" width="7.5" style="95" bestFit="1" customWidth="1"/>
    <col min="3605" max="3605" width="13.875" style="95" customWidth="1"/>
    <col min="3606" max="3607" width="15.625" style="95" customWidth="1"/>
    <col min="3608" max="3840" width="9" style="95"/>
    <col min="3841" max="3841" width="8.5" style="95" customWidth="1"/>
    <col min="3842" max="3842" width="6.375" style="95" customWidth="1"/>
    <col min="3843" max="3843" width="6.625" style="95" customWidth="1"/>
    <col min="3844" max="3844" width="5.125" style="95" customWidth="1"/>
    <col min="3845" max="3845" width="6.5" style="95" customWidth="1"/>
    <col min="3846" max="3846" width="5.375" style="95" customWidth="1"/>
    <col min="3847" max="3847" width="4.625" style="95" customWidth="1"/>
    <col min="3848" max="3848" width="8.625" style="95" customWidth="1"/>
    <col min="3849" max="3849" width="19.875" style="95" customWidth="1"/>
    <col min="3850" max="3850" width="9" style="95"/>
    <col min="3851" max="3851" width="9.875" style="95" customWidth="1"/>
    <col min="3852" max="3852" width="8.875" style="95" customWidth="1"/>
    <col min="3853" max="3853" width="8.625" style="95" customWidth="1"/>
    <col min="3854" max="3854" width="8" style="95" customWidth="1"/>
    <col min="3855" max="3855" width="8.625" style="95" customWidth="1"/>
    <col min="3856" max="3856" width="9" style="95" customWidth="1"/>
    <col min="3857" max="3857" width="13.5" style="95" customWidth="1"/>
    <col min="3858" max="3858" width="16.125" style="95" bestFit="1" customWidth="1"/>
    <col min="3859" max="3859" width="13.875" style="95" bestFit="1" customWidth="1"/>
    <col min="3860" max="3860" width="7.5" style="95" bestFit="1" customWidth="1"/>
    <col min="3861" max="3861" width="13.875" style="95" customWidth="1"/>
    <col min="3862" max="3863" width="15.625" style="95" customWidth="1"/>
    <col min="3864" max="4096" width="9" style="95"/>
    <col min="4097" max="4097" width="8.5" style="95" customWidth="1"/>
    <col min="4098" max="4098" width="6.375" style="95" customWidth="1"/>
    <col min="4099" max="4099" width="6.625" style="95" customWidth="1"/>
    <col min="4100" max="4100" width="5.125" style="95" customWidth="1"/>
    <col min="4101" max="4101" width="6.5" style="95" customWidth="1"/>
    <col min="4102" max="4102" width="5.375" style="95" customWidth="1"/>
    <col min="4103" max="4103" width="4.625" style="95" customWidth="1"/>
    <col min="4104" max="4104" width="8.625" style="95" customWidth="1"/>
    <col min="4105" max="4105" width="19.875" style="95" customWidth="1"/>
    <col min="4106" max="4106" width="9" style="95"/>
    <col min="4107" max="4107" width="9.875" style="95" customWidth="1"/>
    <col min="4108" max="4108" width="8.875" style="95" customWidth="1"/>
    <col min="4109" max="4109" width="8.625" style="95" customWidth="1"/>
    <col min="4110" max="4110" width="8" style="95" customWidth="1"/>
    <col min="4111" max="4111" width="8.625" style="95" customWidth="1"/>
    <col min="4112" max="4112" width="9" style="95" customWidth="1"/>
    <col min="4113" max="4113" width="13.5" style="95" customWidth="1"/>
    <col min="4114" max="4114" width="16.125" style="95" bestFit="1" customWidth="1"/>
    <col min="4115" max="4115" width="13.875" style="95" bestFit="1" customWidth="1"/>
    <col min="4116" max="4116" width="7.5" style="95" bestFit="1" customWidth="1"/>
    <col min="4117" max="4117" width="13.875" style="95" customWidth="1"/>
    <col min="4118" max="4119" width="15.625" style="95" customWidth="1"/>
    <col min="4120" max="4352" width="9" style="95"/>
    <col min="4353" max="4353" width="8.5" style="95" customWidth="1"/>
    <col min="4354" max="4354" width="6.375" style="95" customWidth="1"/>
    <col min="4355" max="4355" width="6.625" style="95" customWidth="1"/>
    <col min="4356" max="4356" width="5.125" style="95" customWidth="1"/>
    <col min="4357" max="4357" width="6.5" style="95" customWidth="1"/>
    <col min="4358" max="4358" width="5.375" style="95" customWidth="1"/>
    <col min="4359" max="4359" width="4.625" style="95" customWidth="1"/>
    <col min="4360" max="4360" width="8.625" style="95" customWidth="1"/>
    <col min="4361" max="4361" width="19.875" style="95" customWidth="1"/>
    <col min="4362" max="4362" width="9" style="95"/>
    <col min="4363" max="4363" width="9.875" style="95" customWidth="1"/>
    <col min="4364" max="4364" width="8.875" style="95" customWidth="1"/>
    <col min="4365" max="4365" width="8.625" style="95" customWidth="1"/>
    <col min="4366" max="4366" width="8" style="95" customWidth="1"/>
    <col min="4367" max="4367" width="8.625" style="95" customWidth="1"/>
    <col min="4368" max="4368" width="9" style="95" customWidth="1"/>
    <col min="4369" max="4369" width="13.5" style="95" customWidth="1"/>
    <col min="4370" max="4370" width="16.125" style="95" bestFit="1" customWidth="1"/>
    <col min="4371" max="4371" width="13.875" style="95" bestFit="1" customWidth="1"/>
    <col min="4372" max="4372" width="7.5" style="95" bestFit="1" customWidth="1"/>
    <col min="4373" max="4373" width="13.875" style="95" customWidth="1"/>
    <col min="4374" max="4375" width="15.625" style="95" customWidth="1"/>
    <col min="4376" max="4608" width="9" style="95"/>
    <col min="4609" max="4609" width="8.5" style="95" customWidth="1"/>
    <col min="4610" max="4610" width="6.375" style="95" customWidth="1"/>
    <col min="4611" max="4611" width="6.625" style="95" customWidth="1"/>
    <col min="4612" max="4612" width="5.125" style="95" customWidth="1"/>
    <col min="4613" max="4613" width="6.5" style="95" customWidth="1"/>
    <col min="4614" max="4614" width="5.375" style="95" customWidth="1"/>
    <col min="4615" max="4615" width="4.625" style="95" customWidth="1"/>
    <col min="4616" max="4616" width="8.625" style="95" customWidth="1"/>
    <col min="4617" max="4617" width="19.875" style="95" customWidth="1"/>
    <col min="4618" max="4618" width="9" style="95"/>
    <col min="4619" max="4619" width="9.875" style="95" customWidth="1"/>
    <col min="4620" max="4620" width="8.875" style="95" customWidth="1"/>
    <col min="4621" max="4621" width="8.625" style="95" customWidth="1"/>
    <col min="4622" max="4622" width="8" style="95" customWidth="1"/>
    <col min="4623" max="4623" width="8.625" style="95" customWidth="1"/>
    <col min="4624" max="4624" width="9" style="95" customWidth="1"/>
    <col min="4625" max="4625" width="13.5" style="95" customWidth="1"/>
    <col min="4626" max="4626" width="16.125" style="95" bestFit="1" customWidth="1"/>
    <col min="4627" max="4627" width="13.875" style="95" bestFit="1" customWidth="1"/>
    <col min="4628" max="4628" width="7.5" style="95" bestFit="1" customWidth="1"/>
    <col min="4629" max="4629" width="13.875" style="95" customWidth="1"/>
    <col min="4630" max="4631" width="15.625" style="95" customWidth="1"/>
    <col min="4632" max="4864" width="9" style="95"/>
    <col min="4865" max="4865" width="8.5" style="95" customWidth="1"/>
    <col min="4866" max="4866" width="6.375" style="95" customWidth="1"/>
    <col min="4867" max="4867" width="6.625" style="95" customWidth="1"/>
    <col min="4868" max="4868" width="5.125" style="95" customWidth="1"/>
    <col min="4869" max="4869" width="6.5" style="95" customWidth="1"/>
    <col min="4870" max="4870" width="5.375" style="95" customWidth="1"/>
    <col min="4871" max="4871" width="4.625" style="95" customWidth="1"/>
    <col min="4872" max="4872" width="8.625" style="95" customWidth="1"/>
    <col min="4873" max="4873" width="19.875" style="95" customWidth="1"/>
    <col min="4874" max="4874" width="9" style="95"/>
    <col min="4875" max="4875" width="9.875" style="95" customWidth="1"/>
    <col min="4876" max="4876" width="8.875" style="95" customWidth="1"/>
    <col min="4877" max="4877" width="8.625" style="95" customWidth="1"/>
    <col min="4878" max="4878" width="8" style="95" customWidth="1"/>
    <col min="4879" max="4879" width="8.625" style="95" customWidth="1"/>
    <col min="4880" max="4880" width="9" style="95" customWidth="1"/>
    <col min="4881" max="4881" width="13.5" style="95" customWidth="1"/>
    <col min="4882" max="4882" width="16.125" style="95" bestFit="1" customWidth="1"/>
    <col min="4883" max="4883" width="13.875" style="95" bestFit="1" customWidth="1"/>
    <col min="4884" max="4884" width="7.5" style="95" bestFit="1" customWidth="1"/>
    <col min="4885" max="4885" width="13.875" style="95" customWidth="1"/>
    <col min="4886" max="4887" width="15.625" style="95" customWidth="1"/>
    <col min="4888" max="5120" width="9" style="95"/>
    <col min="5121" max="5121" width="8.5" style="95" customWidth="1"/>
    <col min="5122" max="5122" width="6.375" style="95" customWidth="1"/>
    <col min="5123" max="5123" width="6.625" style="95" customWidth="1"/>
    <col min="5124" max="5124" width="5.125" style="95" customWidth="1"/>
    <col min="5125" max="5125" width="6.5" style="95" customWidth="1"/>
    <col min="5126" max="5126" width="5.375" style="95" customWidth="1"/>
    <col min="5127" max="5127" width="4.625" style="95" customWidth="1"/>
    <col min="5128" max="5128" width="8.625" style="95" customWidth="1"/>
    <col min="5129" max="5129" width="19.875" style="95" customWidth="1"/>
    <col min="5130" max="5130" width="9" style="95"/>
    <col min="5131" max="5131" width="9.875" style="95" customWidth="1"/>
    <col min="5132" max="5132" width="8.875" style="95" customWidth="1"/>
    <col min="5133" max="5133" width="8.625" style="95" customWidth="1"/>
    <col min="5134" max="5134" width="8" style="95" customWidth="1"/>
    <col min="5135" max="5135" width="8.625" style="95" customWidth="1"/>
    <col min="5136" max="5136" width="9" style="95" customWidth="1"/>
    <col min="5137" max="5137" width="13.5" style="95" customWidth="1"/>
    <col min="5138" max="5138" width="16.125" style="95" bestFit="1" customWidth="1"/>
    <col min="5139" max="5139" width="13.875" style="95" bestFit="1" customWidth="1"/>
    <col min="5140" max="5140" width="7.5" style="95" bestFit="1" customWidth="1"/>
    <col min="5141" max="5141" width="13.875" style="95" customWidth="1"/>
    <col min="5142" max="5143" width="15.625" style="95" customWidth="1"/>
    <col min="5144" max="5376" width="9" style="95"/>
    <col min="5377" max="5377" width="8.5" style="95" customWidth="1"/>
    <col min="5378" max="5378" width="6.375" style="95" customWidth="1"/>
    <col min="5379" max="5379" width="6.625" style="95" customWidth="1"/>
    <col min="5380" max="5380" width="5.125" style="95" customWidth="1"/>
    <col min="5381" max="5381" width="6.5" style="95" customWidth="1"/>
    <col min="5382" max="5382" width="5.375" style="95" customWidth="1"/>
    <col min="5383" max="5383" width="4.625" style="95" customWidth="1"/>
    <col min="5384" max="5384" width="8.625" style="95" customWidth="1"/>
    <col min="5385" max="5385" width="19.875" style="95" customWidth="1"/>
    <col min="5386" max="5386" width="9" style="95"/>
    <col min="5387" max="5387" width="9.875" style="95" customWidth="1"/>
    <col min="5388" max="5388" width="8.875" style="95" customWidth="1"/>
    <col min="5389" max="5389" width="8.625" style="95" customWidth="1"/>
    <col min="5390" max="5390" width="8" style="95" customWidth="1"/>
    <col min="5391" max="5391" width="8.625" style="95" customWidth="1"/>
    <col min="5392" max="5392" width="9" style="95" customWidth="1"/>
    <col min="5393" max="5393" width="13.5" style="95" customWidth="1"/>
    <col min="5394" max="5394" width="16.125" style="95" bestFit="1" customWidth="1"/>
    <col min="5395" max="5395" width="13.875" style="95" bestFit="1" customWidth="1"/>
    <col min="5396" max="5396" width="7.5" style="95" bestFit="1" customWidth="1"/>
    <col min="5397" max="5397" width="13.875" style="95" customWidth="1"/>
    <col min="5398" max="5399" width="15.625" style="95" customWidth="1"/>
    <col min="5400" max="5632" width="9" style="95"/>
    <col min="5633" max="5633" width="8.5" style="95" customWidth="1"/>
    <col min="5634" max="5634" width="6.375" style="95" customWidth="1"/>
    <col min="5635" max="5635" width="6.625" style="95" customWidth="1"/>
    <col min="5636" max="5636" width="5.125" style="95" customWidth="1"/>
    <col min="5637" max="5637" width="6.5" style="95" customWidth="1"/>
    <col min="5638" max="5638" width="5.375" style="95" customWidth="1"/>
    <col min="5639" max="5639" width="4.625" style="95" customWidth="1"/>
    <col min="5640" max="5640" width="8.625" style="95" customWidth="1"/>
    <col min="5641" max="5641" width="19.875" style="95" customWidth="1"/>
    <col min="5642" max="5642" width="9" style="95"/>
    <col min="5643" max="5643" width="9.875" style="95" customWidth="1"/>
    <col min="5644" max="5644" width="8.875" style="95" customWidth="1"/>
    <col min="5645" max="5645" width="8.625" style="95" customWidth="1"/>
    <col min="5646" max="5646" width="8" style="95" customWidth="1"/>
    <col min="5647" max="5647" width="8.625" style="95" customWidth="1"/>
    <col min="5648" max="5648" width="9" style="95" customWidth="1"/>
    <col min="5649" max="5649" width="13.5" style="95" customWidth="1"/>
    <col min="5650" max="5650" width="16.125" style="95" bestFit="1" customWidth="1"/>
    <col min="5651" max="5651" width="13.875" style="95" bestFit="1" customWidth="1"/>
    <col min="5652" max="5652" width="7.5" style="95" bestFit="1" customWidth="1"/>
    <col min="5653" max="5653" width="13.875" style="95" customWidth="1"/>
    <col min="5654" max="5655" width="15.625" style="95" customWidth="1"/>
    <col min="5656" max="5888" width="9" style="95"/>
    <col min="5889" max="5889" width="8.5" style="95" customWidth="1"/>
    <col min="5890" max="5890" width="6.375" style="95" customWidth="1"/>
    <col min="5891" max="5891" width="6.625" style="95" customWidth="1"/>
    <col min="5892" max="5892" width="5.125" style="95" customWidth="1"/>
    <col min="5893" max="5893" width="6.5" style="95" customWidth="1"/>
    <col min="5894" max="5894" width="5.375" style="95" customWidth="1"/>
    <col min="5895" max="5895" width="4.625" style="95" customWidth="1"/>
    <col min="5896" max="5896" width="8.625" style="95" customWidth="1"/>
    <col min="5897" max="5897" width="19.875" style="95" customWidth="1"/>
    <col min="5898" max="5898" width="9" style="95"/>
    <col min="5899" max="5899" width="9.875" style="95" customWidth="1"/>
    <col min="5900" max="5900" width="8.875" style="95" customWidth="1"/>
    <col min="5901" max="5901" width="8.625" style="95" customWidth="1"/>
    <col min="5902" max="5902" width="8" style="95" customWidth="1"/>
    <col min="5903" max="5903" width="8.625" style="95" customWidth="1"/>
    <col min="5904" max="5904" width="9" style="95" customWidth="1"/>
    <col min="5905" max="5905" width="13.5" style="95" customWidth="1"/>
    <col min="5906" max="5906" width="16.125" style="95" bestFit="1" customWidth="1"/>
    <col min="5907" max="5907" width="13.875" style="95" bestFit="1" customWidth="1"/>
    <col min="5908" max="5908" width="7.5" style="95" bestFit="1" customWidth="1"/>
    <col min="5909" max="5909" width="13.875" style="95" customWidth="1"/>
    <col min="5910" max="5911" width="15.625" style="95" customWidth="1"/>
    <col min="5912" max="6144" width="9" style="95"/>
    <col min="6145" max="6145" width="8.5" style="95" customWidth="1"/>
    <col min="6146" max="6146" width="6.375" style="95" customWidth="1"/>
    <col min="6147" max="6147" width="6.625" style="95" customWidth="1"/>
    <col min="6148" max="6148" width="5.125" style="95" customWidth="1"/>
    <col min="6149" max="6149" width="6.5" style="95" customWidth="1"/>
    <col min="6150" max="6150" width="5.375" style="95" customWidth="1"/>
    <col min="6151" max="6151" width="4.625" style="95" customWidth="1"/>
    <col min="6152" max="6152" width="8.625" style="95" customWidth="1"/>
    <col min="6153" max="6153" width="19.875" style="95" customWidth="1"/>
    <col min="6154" max="6154" width="9" style="95"/>
    <col min="6155" max="6155" width="9.875" style="95" customWidth="1"/>
    <col min="6156" max="6156" width="8.875" style="95" customWidth="1"/>
    <col min="6157" max="6157" width="8.625" style="95" customWidth="1"/>
    <col min="6158" max="6158" width="8" style="95" customWidth="1"/>
    <col min="6159" max="6159" width="8.625" style="95" customWidth="1"/>
    <col min="6160" max="6160" width="9" style="95" customWidth="1"/>
    <col min="6161" max="6161" width="13.5" style="95" customWidth="1"/>
    <col min="6162" max="6162" width="16.125" style="95" bestFit="1" customWidth="1"/>
    <col min="6163" max="6163" width="13.875" style="95" bestFit="1" customWidth="1"/>
    <col min="6164" max="6164" width="7.5" style="95" bestFit="1" customWidth="1"/>
    <col min="6165" max="6165" width="13.875" style="95" customWidth="1"/>
    <col min="6166" max="6167" width="15.625" style="95" customWidth="1"/>
    <col min="6168" max="6400" width="9" style="95"/>
    <col min="6401" max="6401" width="8.5" style="95" customWidth="1"/>
    <col min="6402" max="6402" width="6.375" style="95" customWidth="1"/>
    <col min="6403" max="6403" width="6.625" style="95" customWidth="1"/>
    <col min="6404" max="6404" width="5.125" style="95" customWidth="1"/>
    <col min="6405" max="6405" width="6.5" style="95" customWidth="1"/>
    <col min="6406" max="6406" width="5.375" style="95" customWidth="1"/>
    <col min="6407" max="6407" width="4.625" style="95" customWidth="1"/>
    <col min="6408" max="6408" width="8.625" style="95" customWidth="1"/>
    <col min="6409" max="6409" width="19.875" style="95" customWidth="1"/>
    <col min="6410" max="6410" width="9" style="95"/>
    <col min="6411" max="6411" width="9.875" style="95" customWidth="1"/>
    <col min="6412" max="6412" width="8.875" style="95" customWidth="1"/>
    <col min="6413" max="6413" width="8.625" style="95" customWidth="1"/>
    <col min="6414" max="6414" width="8" style="95" customWidth="1"/>
    <col min="6415" max="6415" width="8.625" style="95" customWidth="1"/>
    <col min="6416" max="6416" width="9" style="95" customWidth="1"/>
    <col min="6417" max="6417" width="13.5" style="95" customWidth="1"/>
    <col min="6418" max="6418" width="16.125" style="95" bestFit="1" customWidth="1"/>
    <col min="6419" max="6419" width="13.875" style="95" bestFit="1" customWidth="1"/>
    <col min="6420" max="6420" width="7.5" style="95" bestFit="1" customWidth="1"/>
    <col min="6421" max="6421" width="13.875" style="95" customWidth="1"/>
    <col min="6422" max="6423" width="15.625" style="95" customWidth="1"/>
    <col min="6424" max="6656" width="9" style="95"/>
    <col min="6657" max="6657" width="8.5" style="95" customWidth="1"/>
    <col min="6658" max="6658" width="6.375" style="95" customWidth="1"/>
    <col min="6659" max="6659" width="6.625" style="95" customWidth="1"/>
    <col min="6660" max="6660" width="5.125" style="95" customWidth="1"/>
    <col min="6661" max="6661" width="6.5" style="95" customWidth="1"/>
    <col min="6662" max="6662" width="5.375" style="95" customWidth="1"/>
    <col min="6663" max="6663" width="4.625" style="95" customWidth="1"/>
    <col min="6664" max="6664" width="8.625" style="95" customWidth="1"/>
    <col min="6665" max="6665" width="19.875" style="95" customWidth="1"/>
    <col min="6666" max="6666" width="9" style="95"/>
    <col min="6667" max="6667" width="9.875" style="95" customWidth="1"/>
    <col min="6668" max="6668" width="8.875" style="95" customWidth="1"/>
    <col min="6669" max="6669" width="8.625" style="95" customWidth="1"/>
    <col min="6670" max="6670" width="8" style="95" customWidth="1"/>
    <col min="6671" max="6671" width="8.625" style="95" customWidth="1"/>
    <col min="6672" max="6672" width="9" style="95" customWidth="1"/>
    <col min="6673" max="6673" width="13.5" style="95" customWidth="1"/>
    <col min="6674" max="6674" width="16.125" style="95" bestFit="1" customWidth="1"/>
    <col min="6675" max="6675" width="13.875" style="95" bestFit="1" customWidth="1"/>
    <col min="6676" max="6676" width="7.5" style="95" bestFit="1" customWidth="1"/>
    <col min="6677" max="6677" width="13.875" style="95" customWidth="1"/>
    <col min="6678" max="6679" width="15.625" style="95" customWidth="1"/>
    <col min="6680" max="6912" width="9" style="95"/>
    <col min="6913" max="6913" width="8.5" style="95" customWidth="1"/>
    <col min="6914" max="6914" width="6.375" style="95" customWidth="1"/>
    <col min="6915" max="6915" width="6.625" style="95" customWidth="1"/>
    <col min="6916" max="6916" width="5.125" style="95" customWidth="1"/>
    <col min="6917" max="6917" width="6.5" style="95" customWidth="1"/>
    <col min="6918" max="6918" width="5.375" style="95" customWidth="1"/>
    <col min="6919" max="6919" width="4.625" style="95" customWidth="1"/>
    <col min="6920" max="6920" width="8.625" style="95" customWidth="1"/>
    <col min="6921" max="6921" width="19.875" style="95" customWidth="1"/>
    <col min="6922" max="6922" width="9" style="95"/>
    <col min="6923" max="6923" width="9.875" style="95" customWidth="1"/>
    <col min="6924" max="6924" width="8.875" style="95" customWidth="1"/>
    <col min="6925" max="6925" width="8.625" style="95" customWidth="1"/>
    <col min="6926" max="6926" width="8" style="95" customWidth="1"/>
    <col min="6927" max="6927" width="8.625" style="95" customWidth="1"/>
    <col min="6928" max="6928" width="9" style="95" customWidth="1"/>
    <col min="6929" max="6929" width="13.5" style="95" customWidth="1"/>
    <col min="6930" max="6930" width="16.125" style="95" bestFit="1" customWidth="1"/>
    <col min="6931" max="6931" width="13.875" style="95" bestFit="1" customWidth="1"/>
    <col min="6932" max="6932" width="7.5" style="95" bestFit="1" customWidth="1"/>
    <col min="6933" max="6933" width="13.875" style="95" customWidth="1"/>
    <col min="6934" max="6935" width="15.625" style="95" customWidth="1"/>
    <col min="6936" max="7168" width="9" style="95"/>
    <col min="7169" max="7169" width="8.5" style="95" customWidth="1"/>
    <col min="7170" max="7170" width="6.375" style="95" customWidth="1"/>
    <col min="7171" max="7171" width="6.625" style="95" customWidth="1"/>
    <col min="7172" max="7172" width="5.125" style="95" customWidth="1"/>
    <col min="7173" max="7173" width="6.5" style="95" customWidth="1"/>
    <col min="7174" max="7174" width="5.375" style="95" customWidth="1"/>
    <col min="7175" max="7175" width="4.625" style="95" customWidth="1"/>
    <col min="7176" max="7176" width="8.625" style="95" customWidth="1"/>
    <col min="7177" max="7177" width="19.875" style="95" customWidth="1"/>
    <col min="7178" max="7178" width="9" style="95"/>
    <col min="7179" max="7179" width="9.875" style="95" customWidth="1"/>
    <col min="7180" max="7180" width="8.875" style="95" customWidth="1"/>
    <col min="7181" max="7181" width="8.625" style="95" customWidth="1"/>
    <col min="7182" max="7182" width="8" style="95" customWidth="1"/>
    <col min="7183" max="7183" width="8.625" style="95" customWidth="1"/>
    <col min="7184" max="7184" width="9" style="95" customWidth="1"/>
    <col min="7185" max="7185" width="13.5" style="95" customWidth="1"/>
    <col min="7186" max="7186" width="16.125" style="95" bestFit="1" customWidth="1"/>
    <col min="7187" max="7187" width="13.875" style="95" bestFit="1" customWidth="1"/>
    <col min="7188" max="7188" width="7.5" style="95" bestFit="1" customWidth="1"/>
    <col min="7189" max="7189" width="13.875" style="95" customWidth="1"/>
    <col min="7190" max="7191" width="15.625" style="95" customWidth="1"/>
    <col min="7192" max="7424" width="9" style="95"/>
    <col min="7425" max="7425" width="8.5" style="95" customWidth="1"/>
    <col min="7426" max="7426" width="6.375" style="95" customWidth="1"/>
    <col min="7427" max="7427" width="6.625" style="95" customWidth="1"/>
    <col min="7428" max="7428" width="5.125" style="95" customWidth="1"/>
    <col min="7429" max="7429" width="6.5" style="95" customWidth="1"/>
    <col min="7430" max="7430" width="5.375" style="95" customWidth="1"/>
    <col min="7431" max="7431" width="4.625" style="95" customWidth="1"/>
    <col min="7432" max="7432" width="8.625" style="95" customWidth="1"/>
    <col min="7433" max="7433" width="19.875" style="95" customWidth="1"/>
    <col min="7434" max="7434" width="9" style="95"/>
    <col min="7435" max="7435" width="9.875" style="95" customWidth="1"/>
    <col min="7436" max="7436" width="8.875" style="95" customWidth="1"/>
    <col min="7437" max="7437" width="8.625" style="95" customWidth="1"/>
    <col min="7438" max="7438" width="8" style="95" customWidth="1"/>
    <col min="7439" max="7439" width="8.625" style="95" customWidth="1"/>
    <col min="7440" max="7440" width="9" style="95" customWidth="1"/>
    <col min="7441" max="7441" width="13.5" style="95" customWidth="1"/>
    <col min="7442" max="7442" width="16.125" style="95" bestFit="1" customWidth="1"/>
    <col min="7443" max="7443" width="13.875" style="95" bestFit="1" customWidth="1"/>
    <col min="7444" max="7444" width="7.5" style="95" bestFit="1" customWidth="1"/>
    <col min="7445" max="7445" width="13.875" style="95" customWidth="1"/>
    <col min="7446" max="7447" width="15.625" style="95" customWidth="1"/>
    <col min="7448" max="7680" width="9" style="95"/>
    <col min="7681" max="7681" width="8.5" style="95" customWidth="1"/>
    <col min="7682" max="7682" width="6.375" style="95" customWidth="1"/>
    <col min="7683" max="7683" width="6.625" style="95" customWidth="1"/>
    <col min="7684" max="7684" width="5.125" style="95" customWidth="1"/>
    <col min="7685" max="7685" width="6.5" style="95" customWidth="1"/>
    <col min="7686" max="7686" width="5.375" style="95" customWidth="1"/>
    <col min="7687" max="7687" width="4.625" style="95" customWidth="1"/>
    <col min="7688" max="7688" width="8.625" style="95" customWidth="1"/>
    <col min="7689" max="7689" width="19.875" style="95" customWidth="1"/>
    <col min="7690" max="7690" width="9" style="95"/>
    <col min="7691" max="7691" width="9.875" style="95" customWidth="1"/>
    <col min="7692" max="7692" width="8.875" style="95" customWidth="1"/>
    <col min="7693" max="7693" width="8.625" style="95" customWidth="1"/>
    <col min="7694" max="7694" width="8" style="95" customWidth="1"/>
    <col min="7695" max="7695" width="8.625" style="95" customWidth="1"/>
    <col min="7696" max="7696" width="9" style="95" customWidth="1"/>
    <col min="7697" max="7697" width="13.5" style="95" customWidth="1"/>
    <col min="7698" max="7698" width="16.125" style="95" bestFit="1" customWidth="1"/>
    <col min="7699" max="7699" width="13.875" style="95" bestFit="1" customWidth="1"/>
    <col min="7700" max="7700" width="7.5" style="95" bestFit="1" customWidth="1"/>
    <col min="7701" max="7701" width="13.875" style="95" customWidth="1"/>
    <col min="7702" max="7703" width="15.625" style="95" customWidth="1"/>
    <col min="7704" max="7936" width="9" style="95"/>
    <col min="7937" max="7937" width="8.5" style="95" customWidth="1"/>
    <col min="7938" max="7938" width="6.375" style="95" customWidth="1"/>
    <col min="7939" max="7939" width="6.625" style="95" customWidth="1"/>
    <col min="7940" max="7940" width="5.125" style="95" customWidth="1"/>
    <col min="7941" max="7941" width="6.5" style="95" customWidth="1"/>
    <col min="7942" max="7942" width="5.375" style="95" customWidth="1"/>
    <col min="7943" max="7943" width="4.625" style="95" customWidth="1"/>
    <col min="7944" max="7944" width="8.625" style="95" customWidth="1"/>
    <col min="7945" max="7945" width="19.875" style="95" customWidth="1"/>
    <col min="7946" max="7946" width="9" style="95"/>
    <col min="7947" max="7947" width="9.875" style="95" customWidth="1"/>
    <col min="7948" max="7948" width="8.875" style="95" customWidth="1"/>
    <col min="7949" max="7949" width="8.625" style="95" customWidth="1"/>
    <col min="7950" max="7950" width="8" style="95" customWidth="1"/>
    <col min="7951" max="7951" width="8.625" style="95" customWidth="1"/>
    <col min="7952" max="7952" width="9" style="95" customWidth="1"/>
    <col min="7953" max="7953" width="13.5" style="95" customWidth="1"/>
    <col min="7954" max="7954" width="16.125" style="95" bestFit="1" customWidth="1"/>
    <col min="7955" max="7955" width="13.875" style="95" bestFit="1" customWidth="1"/>
    <col min="7956" max="7956" width="7.5" style="95" bestFit="1" customWidth="1"/>
    <col min="7957" max="7957" width="13.875" style="95" customWidth="1"/>
    <col min="7958" max="7959" width="15.625" style="95" customWidth="1"/>
    <col min="7960" max="8192" width="9" style="95"/>
    <col min="8193" max="8193" width="8.5" style="95" customWidth="1"/>
    <col min="8194" max="8194" width="6.375" style="95" customWidth="1"/>
    <col min="8195" max="8195" width="6.625" style="95" customWidth="1"/>
    <col min="8196" max="8196" width="5.125" style="95" customWidth="1"/>
    <col min="8197" max="8197" width="6.5" style="95" customWidth="1"/>
    <col min="8198" max="8198" width="5.375" style="95" customWidth="1"/>
    <col min="8199" max="8199" width="4.625" style="95" customWidth="1"/>
    <col min="8200" max="8200" width="8.625" style="95" customWidth="1"/>
    <col min="8201" max="8201" width="19.875" style="95" customWidth="1"/>
    <col min="8202" max="8202" width="9" style="95"/>
    <col min="8203" max="8203" width="9.875" style="95" customWidth="1"/>
    <col min="8204" max="8204" width="8.875" style="95" customWidth="1"/>
    <col min="8205" max="8205" width="8.625" style="95" customWidth="1"/>
    <col min="8206" max="8206" width="8" style="95" customWidth="1"/>
    <col min="8207" max="8207" width="8.625" style="95" customWidth="1"/>
    <col min="8208" max="8208" width="9" style="95" customWidth="1"/>
    <col min="8209" max="8209" width="13.5" style="95" customWidth="1"/>
    <col min="8210" max="8210" width="16.125" style="95" bestFit="1" customWidth="1"/>
    <col min="8211" max="8211" width="13.875" style="95" bestFit="1" customWidth="1"/>
    <col min="8212" max="8212" width="7.5" style="95" bestFit="1" customWidth="1"/>
    <col min="8213" max="8213" width="13.875" style="95" customWidth="1"/>
    <col min="8214" max="8215" width="15.625" style="95" customWidth="1"/>
    <col min="8216" max="8448" width="9" style="95"/>
    <col min="8449" max="8449" width="8.5" style="95" customWidth="1"/>
    <col min="8450" max="8450" width="6.375" style="95" customWidth="1"/>
    <col min="8451" max="8451" width="6.625" style="95" customWidth="1"/>
    <col min="8452" max="8452" width="5.125" style="95" customWidth="1"/>
    <col min="8453" max="8453" width="6.5" style="95" customWidth="1"/>
    <col min="8454" max="8454" width="5.375" style="95" customWidth="1"/>
    <col min="8455" max="8455" width="4.625" style="95" customWidth="1"/>
    <col min="8456" max="8456" width="8.625" style="95" customWidth="1"/>
    <col min="8457" max="8457" width="19.875" style="95" customWidth="1"/>
    <col min="8458" max="8458" width="9" style="95"/>
    <col min="8459" max="8459" width="9.875" style="95" customWidth="1"/>
    <col min="8460" max="8460" width="8.875" style="95" customWidth="1"/>
    <col min="8461" max="8461" width="8.625" style="95" customWidth="1"/>
    <col min="8462" max="8462" width="8" style="95" customWidth="1"/>
    <col min="8463" max="8463" width="8.625" style="95" customWidth="1"/>
    <col min="8464" max="8464" width="9" style="95" customWidth="1"/>
    <col min="8465" max="8465" width="13.5" style="95" customWidth="1"/>
    <col min="8466" max="8466" width="16.125" style="95" bestFit="1" customWidth="1"/>
    <col min="8467" max="8467" width="13.875" style="95" bestFit="1" customWidth="1"/>
    <col min="8468" max="8468" width="7.5" style="95" bestFit="1" customWidth="1"/>
    <col min="8469" max="8469" width="13.875" style="95" customWidth="1"/>
    <col min="8470" max="8471" width="15.625" style="95" customWidth="1"/>
    <col min="8472" max="8704" width="9" style="95"/>
    <col min="8705" max="8705" width="8.5" style="95" customWidth="1"/>
    <col min="8706" max="8706" width="6.375" style="95" customWidth="1"/>
    <col min="8707" max="8707" width="6.625" style="95" customWidth="1"/>
    <col min="8708" max="8708" width="5.125" style="95" customWidth="1"/>
    <col min="8709" max="8709" width="6.5" style="95" customWidth="1"/>
    <col min="8710" max="8710" width="5.375" style="95" customWidth="1"/>
    <col min="8711" max="8711" width="4.625" style="95" customWidth="1"/>
    <col min="8712" max="8712" width="8.625" style="95" customWidth="1"/>
    <col min="8713" max="8713" width="19.875" style="95" customWidth="1"/>
    <col min="8714" max="8714" width="9" style="95"/>
    <col min="8715" max="8715" width="9.875" style="95" customWidth="1"/>
    <col min="8716" max="8716" width="8.875" style="95" customWidth="1"/>
    <col min="8717" max="8717" width="8.625" style="95" customWidth="1"/>
    <col min="8718" max="8718" width="8" style="95" customWidth="1"/>
    <col min="8719" max="8719" width="8.625" style="95" customWidth="1"/>
    <col min="8720" max="8720" width="9" style="95" customWidth="1"/>
    <col min="8721" max="8721" width="13.5" style="95" customWidth="1"/>
    <col min="8722" max="8722" width="16.125" style="95" bestFit="1" customWidth="1"/>
    <col min="8723" max="8723" width="13.875" style="95" bestFit="1" customWidth="1"/>
    <col min="8724" max="8724" width="7.5" style="95" bestFit="1" customWidth="1"/>
    <col min="8725" max="8725" width="13.875" style="95" customWidth="1"/>
    <col min="8726" max="8727" width="15.625" style="95" customWidth="1"/>
    <col min="8728" max="8960" width="9" style="95"/>
    <col min="8961" max="8961" width="8.5" style="95" customWidth="1"/>
    <col min="8962" max="8962" width="6.375" style="95" customWidth="1"/>
    <col min="8963" max="8963" width="6.625" style="95" customWidth="1"/>
    <col min="8964" max="8964" width="5.125" style="95" customWidth="1"/>
    <col min="8965" max="8965" width="6.5" style="95" customWidth="1"/>
    <col min="8966" max="8966" width="5.375" style="95" customWidth="1"/>
    <col min="8967" max="8967" width="4.625" style="95" customWidth="1"/>
    <col min="8968" max="8968" width="8.625" style="95" customWidth="1"/>
    <col min="8969" max="8969" width="19.875" style="95" customWidth="1"/>
    <col min="8970" max="8970" width="9" style="95"/>
    <col min="8971" max="8971" width="9.875" style="95" customWidth="1"/>
    <col min="8972" max="8972" width="8.875" style="95" customWidth="1"/>
    <col min="8973" max="8973" width="8.625" style="95" customWidth="1"/>
    <col min="8974" max="8974" width="8" style="95" customWidth="1"/>
    <col min="8975" max="8975" width="8.625" style="95" customWidth="1"/>
    <col min="8976" max="8976" width="9" style="95" customWidth="1"/>
    <col min="8977" max="8977" width="13.5" style="95" customWidth="1"/>
    <col min="8978" max="8978" width="16.125" style="95" bestFit="1" customWidth="1"/>
    <col min="8979" max="8979" width="13.875" style="95" bestFit="1" customWidth="1"/>
    <col min="8980" max="8980" width="7.5" style="95" bestFit="1" customWidth="1"/>
    <col min="8981" max="8981" width="13.875" style="95" customWidth="1"/>
    <col min="8982" max="8983" width="15.625" style="95" customWidth="1"/>
    <col min="8984" max="9216" width="9" style="95"/>
    <col min="9217" max="9217" width="8.5" style="95" customWidth="1"/>
    <col min="9218" max="9218" width="6.375" style="95" customWidth="1"/>
    <col min="9219" max="9219" width="6.625" style="95" customWidth="1"/>
    <col min="9220" max="9220" width="5.125" style="95" customWidth="1"/>
    <col min="9221" max="9221" width="6.5" style="95" customWidth="1"/>
    <col min="9222" max="9222" width="5.375" style="95" customWidth="1"/>
    <col min="9223" max="9223" width="4.625" style="95" customWidth="1"/>
    <col min="9224" max="9224" width="8.625" style="95" customWidth="1"/>
    <col min="9225" max="9225" width="19.875" style="95" customWidth="1"/>
    <col min="9226" max="9226" width="9" style="95"/>
    <col min="9227" max="9227" width="9.875" style="95" customWidth="1"/>
    <col min="9228" max="9228" width="8.875" style="95" customWidth="1"/>
    <col min="9229" max="9229" width="8.625" style="95" customWidth="1"/>
    <col min="9230" max="9230" width="8" style="95" customWidth="1"/>
    <col min="9231" max="9231" width="8.625" style="95" customWidth="1"/>
    <col min="9232" max="9232" width="9" style="95" customWidth="1"/>
    <col min="9233" max="9233" width="13.5" style="95" customWidth="1"/>
    <col min="9234" max="9234" width="16.125" style="95" bestFit="1" customWidth="1"/>
    <col min="9235" max="9235" width="13.875" style="95" bestFit="1" customWidth="1"/>
    <col min="9236" max="9236" width="7.5" style="95" bestFit="1" customWidth="1"/>
    <col min="9237" max="9237" width="13.875" style="95" customWidth="1"/>
    <col min="9238" max="9239" width="15.625" style="95" customWidth="1"/>
    <col min="9240" max="9472" width="9" style="95"/>
    <col min="9473" max="9473" width="8.5" style="95" customWidth="1"/>
    <col min="9474" max="9474" width="6.375" style="95" customWidth="1"/>
    <col min="9475" max="9475" width="6.625" style="95" customWidth="1"/>
    <col min="9476" max="9476" width="5.125" style="95" customWidth="1"/>
    <col min="9477" max="9477" width="6.5" style="95" customWidth="1"/>
    <col min="9478" max="9478" width="5.375" style="95" customWidth="1"/>
    <col min="9479" max="9479" width="4.625" style="95" customWidth="1"/>
    <col min="9480" max="9480" width="8.625" style="95" customWidth="1"/>
    <col min="9481" max="9481" width="19.875" style="95" customWidth="1"/>
    <col min="9482" max="9482" width="9" style="95"/>
    <col min="9483" max="9483" width="9.875" style="95" customWidth="1"/>
    <col min="9484" max="9484" width="8.875" style="95" customWidth="1"/>
    <col min="9485" max="9485" width="8.625" style="95" customWidth="1"/>
    <col min="9486" max="9486" width="8" style="95" customWidth="1"/>
    <col min="9487" max="9487" width="8.625" style="95" customWidth="1"/>
    <col min="9488" max="9488" width="9" style="95" customWidth="1"/>
    <col min="9489" max="9489" width="13.5" style="95" customWidth="1"/>
    <col min="9490" max="9490" width="16.125" style="95" bestFit="1" customWidth="1"/>
    <col min="9491" max="9491" width="13.875" style="95" bestFit="1" customWidth="1"/>
    <col min="9492" max="9492" width="7.5" style="95" bestFit="1" customWidth="1"/>
    <col min="9493" max="9493" width="13.875" style="95" customWidth="1"/>
    <col min="9494" max="9495" width="15.625" style="95" customWidth="1"/>
    <col min="9496" max="9728" width="9" style="95"/>
    <col min="9729" max="9729" width="8.5" style="95" customWidth="1"/>
    <col min="9730" max="9730" width="6.375" style="95" customWidth="1"/>
    <col min="9731" max="9731" width="6.625" style="95" customWidth="1"/>
    <col min="9732" max="9732" width="5.125" style="95" customWidth="1"/>
    <col min="9733" max="9733" width="6.5" style="95" customWidth="1"/>
    <col min="9734" max="9734" width="5.375" style="95" customWidth="1"/>
    <col min="9735" max="9735" width="4.625" style="95" customWidth="1"/>
    <col min="9736" max="9736" width="8.625" style="95" customWidth="1"/>
    <col min="9737" max="9737" width="19.875" style="95" customWidth="1"/>
    <col min="9738" max="9738" width="9" style="95"/>
    <col min="9739" max="9739" width="9.875" style="95" customWidth="1"/>
    <col min="9740" max="9740" width="8.875" style="95" customWidth="1"/>
    <col min="9741" max="9741" width="8.625" style="95" customWidth="1"/>
    <col min="9742" max="9742" width="8" style="95" customWidth="1"/>
    <col min="9743" max="9743" width="8.625" style="95" customWidth="1"/>
    <col min="9744" max="9744" width="9" style="95" customWidth="1"/>
    <col min="9745" max="9745" width="13.5" style="95" customWidth="1"/>
    <col min="9746" max="9746" width="16.125" style="95" bestFit="1" customWidth="1"/>
    <col min="9747" max="9747" width="13.875" style="95" bestFit="1" customWidth="1"/>
    <col min="9748" max="9748" width="7.5" style="95" bestFit="1" customWidth="1"/>
    <col min="9749" max="9749" width="13.875" style="95" customWidth="1"/>
    <col min="9750" max="9751" width="15.625" style="95" customWidth="1"/>
    <col min="9752" max="9984" width="9" style="95"/>
    <col min="9985" max="9985" width="8.5" style="95" customWidth="1"/>
    <col min="9986" max="9986" width="6.375" style="95" customWidth="1"/>
    <col min="9987" max="9987" width="6.625" style="95" customWidth="1"/>
    <col min="9988" max="9988" width="5.125" style="95" customWidth="1"/>
    <col min="9989" max="9989" width="6.5" style="95" customWidth="1"/>
    <col min="9990" max="9990" width="5.375" style="95" customWidth="1"/>
    <col min="9991" max="9991" width="4.625" style="95" customWidth="1"/>
    <col min="9992" max="9992" width="8.625" style="95" customWidth="1"/>
    <col min="9993" max="9993" width="19.875" style="95" customWidth="1"/>
    <col min="9994" max="9994" width="9" style="95"/>
    <col min="9995" max="9995" width="9.875" style="95" customWidth="1"/>
    <col min="9996" max="9996" width="8.875" style="95" customWidth="1"/>
    <col min="9997" max="9997" width="8.625" style="95" customWidth="1"/>
    <col min="9998" max="9998" width="8" style="95" customWidth="1"/>
    <col min="9999" max="9999" width="8.625" style="95" customWidth="1"/>
    <col min="10000" max="10000" width="9" style="95" customWidth="1"/>
    <col min="10001" max="10001" width="13.5" style="95" customWidth="1"/>
    <col min="10002" max="10002" width="16.125" style="95" bestFit="1" customWidth="1"/>
    <col min="10003" max="10003" width="13.875" style="95" bestFit="1" customWidth="1"/>
    <col min="10004" max="10004" width="7.5" style="95" bestFit="1" customWidth="1"/>
    <col min="10005" max="10005" width="13.875" style="95" customWidth="1"/>
    <col min="10006" max="10007" width="15.625" style="95" customWidth="1"/>
    <col min="10008" max="10240" width="9" style="95"/>
    <col min="10241" max="10241" width="8.5" style="95" customWidth="1"/>
    <col min="10242" max="10242" width="6.375" style="95" customWidth="1"/>
    <col min="10243" max="10243" width="6.625" style="95" customWidth="1"/>
    <col min="10244" max="10244" width="5.125" style="95" customWidth="1"/>
    <col min="10245" max="10245" width="6.5" style="95" customWidth="1"/>
    <col min="10246" max="10246" width="5.375" style="95" customWidth="1"/>
    <col min="10247" max="10247" width="4.625" style="95" customWidth="1"/>
    <col min="10248" max="10248" width="8.625" style="95" customWidth="1"/>
    <col min="10249" max="10249" width="19.875" style="95" customWidth="1"/>
    <col min="10250" max="10250" width="9" style="95"/>
    <col min="10251" max="10251" width="9.875" style="95" customWidth="1"/>
    <col min="10252" max="10252" width="8.875" style="95" customWidth="1"/>
    <col min="10253" max="10253" width="8.625" style="95" customWidth="1"/>
    <col min="10254" max="10254" width="8" style="95" customWidth="1"/>
    <col min="10255" max="10255" width="8.625" style="95" customWidth="1"/>
    <col min="10256" max="10256" width="9" style="95" customWidth="1"/>
    <col min="10257" max="10257" width="13.5" style="95" customWidth="1"/>
    <col min="10258" max="10258" width="16.125" style="95" bestFit="1" customWidth="1"/>
    <col min="10259" max="10259" width="13.875" style="95" bestFit="1" customWidth="1"/>
    <col min="10260" max="10260" width="7.5" style="95" bestFit="1" customWidth="1"/>
    <col min="10261" max="10261" width="13.875" style="95" customWidth="1"/>
    <col min="10262" max="10263" width="15.625" style="95" customWidth="1"/>
    <col min="10264" max="10496" width="9" style="95"/>
    <col min="10497" max="10497" width="8.5" style="95" customWidth="1"/>
    <col min="10498" max="10498" width="6.375" style="95" customWidth="1"/>
    <col min="10499" max="10499" width="6.625" style="95" customWidth="1"/>
    <col min="10500" max="10500" width="5.125" style="95" customWidth="1"/>
    <col min="10501" max="10501" width="6.5" style="95" customWidth="1"/>
    <col min="10502" max="10502" width="5.375" style="95" customWidth="1"/>
    <col min="10503" max="10503" width="4.625" style="95" customWidth="1"/>
    <col min="10504" max="10504" width="8.625" style="95" customWidth="1"/>
    <col min="10505" max="10505" width="19.875" style="95" customWidth="1"/>
    <col min="10506" max="10506" width="9" style="95"/>
    <col min="10507" max="10507" width="9.875" style="95" customWidth="1"/>
    <col min="10508" max="10508" width="8.875" style="95" customWidth="1"/>
    <col min="10509" max="10509" width="8.625" style="95" customWidth="1"/>
    <col min="10510" max="10510" width="8" style="95" customWidth="1"/>
    <col min="10511" max="10511" width="8.625" style="95" customWidth="1"/>
    <col min="10512" max="10512" width="9" style="95" customWidth="1"/>
    <col min="10513" max="10513" width="13.5" style="95" customWidth="1"/>
    <col min="10514" max="10514" width="16.125" style="95" bestFit="1" customWidth="1"/>
    <col min="10515" max="10515" width="13.875" style="95" bestFit="1" customWidth="1"/>
    <col min="10516" max="10516" width="7.5" style="95" bestFit="1" customWidth="1"/>
    <col min="10517" max="10517" width="13.875" style="95" customWidth="1"/>
    <col min="10518" max="10519" width="15.625" style="95" customWidth="1"/>
    <col min="10520" max="10752" width="9" style="95"/>
    <col min="10753" max="10753" width="8.5" style="95" customWidth="1"/>
    <col min="10754" max="10754" width="6.375" style="95" customWidth="1"/>
    <col min="10755" max="10755" width="6.625" style="95" customWidth="1"/>
    <col min="10756" max="10756" width="5.125" style="95" customWidth="1"/>
    <col min="10757" max="10757" width="6.5" style="95" customWidth="1"/>
    <col min="10758" max="10758" width="5.375" style="95" customWidth="1"/>
    <col min="10759" max="10759" width="4.625" style="95" customWidth="1"/>
    <col min="10760" max="10760" width="8.625" style="95" customWidth="1"/>
    <col min="10761" max="10761" width="19.875" style="95" customWidth="1"/>
    <col min="10762" max="10762" width="9" style="95"/>
    <col min="10763" max="10763" width="9.875" style="95" customWidth="1"/>
    <col min="10764" max="10764" width="8.875" style="95" customWidth="1"/>
    <col min="10765" max="10765" width="8.625" style="95" customWidth="1"/>
    <col min="10766" max="10766" width="8" style="95" customWidth="1"/>
    <col min="10767" max="10767" width="8.625" style="95" customWidth="1"/>
    <col min="10768" max="10768" width="9" style="95" customWidth="1"/>
    <col min="10769" max="10769" width="13.5" style="95" customWidth="1"/>
    <col min="10770" max="10770" width="16.125" style="95" bestFit="1" customWidth="1"/>
    <col min="10771" max="10771" width="13.875" style="95" bestFit="1" customWidth="1"/>
    <col min="10772" max="10772" width="7.5" style="95" bestFit="1" customWidth="1"/>
    <col min="10773" max="10773" width="13.875" style="95" customWidth="1"/>
    <col min="10774" max="10775" width="15.625" style="95" customWidth="1"/>
    <col min="10776" max="11008" width="9" style="95"/>
    <col min="11009" max="11009" width="8.5" style="95" customWidth="1"/>
    <col min="11010" max="11010" width="6.375" style="95" customWidth="1"/>
    <col min="11011" max="11011" width="6.625" style="95" customWidth="1"/>
    <col min="11012" max="11012" width="5.125" style="95" customWidth="1"/>
    <col min="11013" max="11013" width="6.5" style="95" customWidth="1"/>
    <col min="11014" max="11014" width="5.375" style="95" customWidth="1"/>
    <col min="11015" max="11015" width="4.625" style="95" customWidth="1"/>
    <col min="11016" max="11016" width="8.625" style="95" customWidth="1"/>
    <col min="11017" max="11017" width="19.875" style="95" customWidth="1"/>
    <col min="11018" max="11018" width="9" style="95"/>
    <col min="11019" max="11019" width="9.875" style="95" customWidth="1"/>
    <col min="11020" max="11020" width="8.875" style="95" customWidth="1"/>
    <col min="11021" max="11021" width="8.625" style="95" customWidth="1"/>
    <col min="11022" max="11022" width="8" style="95" customWidth="1"/>
    <col min="11023" max="11023" width="8.625" style="95" customWidth="1"/>
    <col min="11024" max="11024" width="9" style="95" customWidth="1"/>
    <col min="11025" max="11025" width="13.5" style="95" customWidth="1"/>
    <col min="11026" max="11026" width="16.125" style="95" bestFit="1" customWidth="1"/>
    <col min="11027" max="11027" width="13.875" style="95" bestFit="1" customWidth="1"/>
    <col min="11028" max="11028" width="7.5" style="95" bestFit="1" customWidth="1"/>
    <col min="11029" max="11029" width="13.875" style="95" customWidth="1"/>
    <col min="11030" max="11031" width="15.625" style="95" customWidth="1"/>
    <col min="11032" max="11264" width="9" style="95"/>
    <col min="11265" max="11265" width="8.5" style="95" customWidth="1"/>
    <col min="11266" max="11266" width="6.375" style="95" customWidth="1"/>
    <col min="11267" max="11267" width="6.625" style="95" customWidth="1"/>
    <col min="11268" max="11268" width="5.125" style="95" customWidth="1"/>
    <col min="11269" max="11269" width="6.5" style="95" customWidth="1"/>
    <col min="11270" max="11270" width="5.375" style="95" customWidth="1"/>
    <col min="11271" max="11271" width="4.625" style="95" customWidth="1"/>
    <col min="11272" max="11272" width="8.625" style="95" customWidth="1"/>
    <col min="11273" max="11273" width="19.875" style="95" customWidth="1"/>
    <col min="11274" max="11274" width="9" style="95"/>
    <col min="11275" max="11275" width="9.875" style="95" customWidth="1"/>
    <col min="11276" max="11276" width="8.875" style="95" customWidth="1"/>
    <col min="11277" max="11277" width="8.625" style="95" customWidth="1"/>
    <col min="11278" max="11278" width="8" style="95" customWidth="1"/>
    <col min="11279" max="11279" width="8.625" style="95" customWidth="1"/>
    <col min="11280" max="11280" width="9" style="95" customWidth="1"/>
    <col min="11281" max="11281" width="13.5" style="95" customWidth="1"/>
    <col min="11282" max="11282" width="16.125" style="95" bestFit="1" customWidth="1"/>
    <col min="11283" max="11283" width="13.875" style="95" bestFit="1" customWidth="1"/>
    <col min="11284" max="11284" width="7.5" style="95" bestFit="1" customWidth="1"/>
    <col min="11285" max="11285" width="13.875" style="95" customWidth="1"/>
    <col min="11286" max="11287" width="15.625" style="95" customWidth="1"/>
    <col min="11288" max="11520" width="9" style="95"/>
    <col min="11521" max="11521" width="8.5" style="95" customWidth="1"/>
    <col min="11522" max="11522" width="6.375" style="95" customWidth="1"/>
    <col min="11523" max="11523" width="6.625" style="95" customWidth="1"/>
    <col min="11524" max="11524" width="5.125" style="95" customWidth="1"/>
    <col min="11525" max="11525" width="6.5" style="95" customWidth="1"/>
    <col min="11526" max="11526" width="5.375" style="95" customWidth="1"/>
    <col min="11527" max="11527" width="4.625" style="95" customWidth="1"/>
    <col min="11528" max="11528" width="8.625" style="95" customWidth="1"/>
    <col min="11529" max="11529" width="19.875" style="95" customWidth="1"/>
    <col min="11530" max="11530" width="9" style="95"/>
    <col min="11531" max="11531" width="9.875" style="95" customWidth="1"/>
    <col min="11532" max="11532" width="8.875" style="95" customWidth="1"/>
    <col min="11533" max="11533" width="8.625" style="95" customWidth="1"/>
    <col min="11534" max="11534" width="8" style="95" customWidth="1"/>
    <col min="11535" max="11535" width="8.625" style="95" customWidth="1"/>
    <col min="11536" max="11536" width="9" style="95" customWidth="1"/>
    <col min="11537" max="11537" width="13.5" style="95" customWidth="1"/>
    <col min="11538" max="11538" width="16.125" style="95" bestFit="1" customWidth="1"/>
    <col min="11539" max="11539" width="13.875" style="95" bestFit="1" customWidth="1"/>
    <col min="11540" max="11540" width="7.5" style="95" bestFit="1" customWidth="1"/>
    <col min="11541" max="11541" width="13.875" style="95" customWidth="1"/>
    <col min="11542" max="11543" width="15.625" style="95" customWidth="1"/>
    <col min="11544" max="11776" width="9" style="95"/>
    <col min="11777" max="11777" width="8.5" style="95" customWidth="1"/>
    <col min="11778" max="11778" width="6.375" style="95" customWidth="1"/>
    <col min="11779" max="11779" width="6.625" style="95" customWidth="1"/>
    <col min="11780" max="11780" width="5.125" style="95" customWidth="1"/>
    <col min="11781" max="11781" width="6.5" style="95" customWidth="1"/>
    <col min="11782" max="11782" width="5.375" style="95" customWidth="1"/>
    <col min="11783" max="11783" width="4.625" style="95" customWidth="1"/>
    <col min="11784" max="11784" width="8.625" style="95" customWidth="1"/>
    <col min="11785" max="11785" width="19.875" style="95" customWidth="1"/>
    <col min="11786" max="11786" width="9" style="95"/>
    <col min="11787" max="11787" width="9.875" style="95" customWidth="1"/>
    <col min="11788" max="11788" width="8.875" style="95" customWidth="1"/>
    <col min="11789" max="11789" width="8.625" style="95" customWidth="1"/>
    <col min="11790" max="11790" width="8" style="95" customWidth="1"/>
    <col min="11791" max="11791" width="8.625" style="95" customWidth="1"/>
    <col min="11792" max="11792" width="9" style="95" customWidth="1"/>
    <col min="11793" max="11793" width="13.5" style="95" customWidth="1"/>
    <col min="11794" max="11794" width="16.125" style="95" bestFit="1" customWidth="1"/>
    <col min="11795" max="11795" width="13.875" style="95" bestFit="1" customWidth="1"/>
    <col min="11796" max="11796" width="7.5" style="95" bestFit="1" customWidth="1"/>
    <col min="11797" max="11797" width="13.875" style="95" customWidth="1"/>
    <col min="11798" max="11799" width="15.625" style="95" customWidth="1"/>
    <col min="11800" max="12032" width="9" style="95"/>
    <col min="12033" max="12033" width="8.5" style="95" customWidth="1"/>
    <col min="12034" max="12034" width="6.375" style="95" customWidth="1"/>
    <col min="12035" max="12035" width="6.625" style="95" customWidth="1"/>
    <col min="12036" max="12036" width="5.125" style="95" customWidth="1"/>
    <col min="12037" max="12037" width="6.5" style="95" customWidth="1"/>
    <col min="12038" max="12038" width="5.375" style="95" customWidth="1"/>
    <col min="12039" max="12039" width="4.625" style="95" customWidth="1"/>
    <col min="12040" max="12040" width="8.625" style="95" customWidth="1"/>
    <col min="12041" max="12041" width="19.875" style="95" customWidth="1"/>
    <col min="12042" max="12042" width="9" style="95"/>
    <col min="12043" max="12043" width="9.875" style="95" customWidth="1"/>
    <col min="12044" max="12044" width="8.875" style="95" customWidth="1"/>
    <col min="12045" max="12045" width="8.625" style="95" customWidth="1"/>
    <col min="12046" max="12046" width="8" style="95" customWidth="1"/>
    <col min="12047" max="12047" width="8.625" style="95" customWidth="1"/>
    <col min="12048" max="12048" width="9" style="95" customWidth="1"/>
    <col min="12049" max="12049" width="13.5" style="95" customWidth="1"/>
    <col min="12050" max="12050" width="16.125" style="95" bestFit="1" customWidth="1"/>
    <col min="12051" max="12051" width="13.875" style="95" bestFit="1" customWidth="1"/>
    <col min="12052" max="12052" width="7.5" style="95" bestFit="1" customWidth="1"/>
    <col min="12053" max="12053" width="13.875" style="95" customWidth="1"/>
    <col min="12054" max="12055" width="15.625" style="95" customWidth="1"/>
    <col min="12056" max="12288" width="9" style="95"/>
    <col min="12289" max="12289" width="8.5" style="95" customWidth="1"/>
    <col min="12290" max="12290" width="6.375" style="95" customWidth="1"/>
    <col min="12291" max="12291" width="6.625" style="95" customWidth="1"/>
    <col min="12292" max="12292" width="5.125" style="95" customWidth="1"/>
    <col min="12293" max="12293" width="6.5" style="95" customWidth="1"/>
    <col min="12294" max="12294" width="5.375" style="95" customWidth="1"/>
    <col min="12295" max="12295" width="4.625" style="95" customWidth="1"/>
    <col min="12296" max="12296" width="8.625" style="95" customWidth="1"/>
    <col min="12297" max="12297" width="19.875" style="95" customWidth="1"/>
    <col min="12298" max="12298" width="9" style="95"/>
    <col min="12299" max="12299" width="9.875" style="95" customWidth="1"/>
    <col min="12300" max="12300" width="8.875" style="95" customWidth="1"/>
    <col min="12301" max="12301" width="8.625" style="95" customWidth="1"/>
    <col min="12302" max="12302" width="8" style="95" customWidth="1"/>
    <col min="12303" max="12303" width="8.625" style="95" customWidth="1"/>
    <col min="12304" max="12304" width="9" style="95" customWidth="1"/>
    <col min="12305" max="12305" width="13.5" style="95" customWidth="1"/>
    <col min="12306" max="12306" width="16.125" style="95" bestFit="1" customWidth="1"/>
    <col min="12307" max="12307" width="13.875" style="95" bestFit="1" customWidth="1"/>
    <col min="12308" max="12308" width="7.5" style="95" bestFit="1" customWidth="1"/>
    <col min="12309" max="12309" width="13.875" style="95" customWidth="1"/>
    <col min="12310" max="12311" width="15.625" style="95" customWidth="1"/>
    <col min="12312" max="12544" width="9" style="95"/>
    <col min="12545" max="12545" width="8.5" style="95" customWidth="1"/>
    <col min="12546" max="12546" width="6.375" style="95" customWidth="1"/>
    <col min="12547" max="12547" width="6.625" style="95" customWidth="1"/>
    <col min="12548" max="12548" width="5.125" style="95" customWidth="1"/>
    <col min="12549" max="12549" width="6.5" style="95" customWidth="1"/>
    <col min="12550" max="12550" width="5.375" style="95" customWidth="1"/>
    <col min="12551" max="12551" width="4.625" style="95" customWidth="1"/>
    <col min="12552" max="12552" width="8.625" style="95" customWidth="1"/>
    <col min="12553" max="12553" width="19.875" style="95" customWidth="1"/>
    <col min="12554" max="12554" width="9" style="95"/>
    <col min="12555" max="12555" width="9.875" style="95" customWidth="1"/>
    <col min="12556" max="12556" width="8.875" style="95" customWidth="1"/>
    <col min="12557" max="12557" width="8.625" style="95" customWidth="1"/>
    <col min="12558" max="12558" width="8" style="95" customWidth="1"/>
    <col min="12559" max="12559" width="8.625" style="95" customWidth="1"/>
    <col min="12560" max="12560" width="9" style="95" customWidth="1"/>
    <col min="12561" max="12561" width="13.5" style="95" customWidth="1"/>
    <col min="12562" max="12562" width="16.125" style="95" bestFit="1" customWidth="1"/>
    <col min="12563" max="12563" width="13.875" style="95" bestFit="1" customWidth="1"/>
    <col min="12564" max="12564" width="7.5" style="95" bestFit="1" customWidth="1"/>
    <col min="12565" max="12565" width="13.875" style="95" customWidth="1"/>
    <col min="12566" max="12567" width="15.625" style="95" customWidth="1"/>
    <col min="12568" max="12800" width="9" style="95"/>
    <col min="12801" max="12801" width="8.5" style="95" customWidth="1"/>
    <col min="12802" max="12802" width="6.375" style="95" customWidth="1"/>
    <col min="12803" max="12803" width="6.625" style="95" customWidth="1"/>
    <col min="12804" max="12804" width="5.125" style="95" customWidth="1"/>
    <col min="12805" max="12805" width="6.5" style="95" customWidth="1"/>
    <col min="12806" max="12806" width="5.375" style="95" customWidth="1"/>
    <col min="12807" max="12807" width="4.625" style="95" customWidth="1"/>
    <col min="12808" max="12808" width="8.625" style="95" customWidth="1"/>
    <col min="12809" max="12809" width="19.875" style="95" customWidth="1"/>
    <col min="12810" max="12810" width="9" style="95"/>
    <col min="12811" max="12811" width="9.875" style="95" customWidth="1"/>
    <col min="12812" max="12812" width="8.875" style="95" customWidth="1"/>
    <col min="12813" max="12813" width="8.625" style="95" customWidth="1"/>
    <col min="12814" max="12814" width="8" style="95" customWidth="1"/>
    <col min="12815" max="12815" width="8.625" style="95" customWidth="1"/>
    <col min="12816" max="12816" width="9" style="95" customWidth="1"/>
    <col min="12817" max="12817" width="13.5" style="95" customWidth="1"/>
    <col min="12818" max="12818" width="16.125" style="95" bestFit="1" customWidth="1"/>
    <col min="12819" max="12819" width="13.875" style="95" bestFit="1" customWidth="1"/>
    <col min="12820" max="12820" width="7.5" style="95" bestFit="1" customWidth="1"/>
    <col min="12821" max="12821" width="13.875" style="95" customWidth="1"/>
    <col min="12822" max="12823" width="15.625" style="95" customWidth="1"/>
    <col min="12824" max="13056" width="9" style="95"/>
    <col min="13057" max="13057" width="8.5" style="95" customWidth="1"/>
    <col min="13058" max="13058" width="6.375" style="95" customWidth="1"/>
    <col min="13059" max="13059" width="6.625" style="95" customWidth="1"/>
    <col min="13060" max="13060" width="5.125" style="95" customWidth="1"/>
    <col min="13061" max="13061" width="6.5" style="95" customWidth="1"/>
    <col min="13062" max="13062" width="5.375" style="95" customWidth="1"/>
    <col min="13063" max="13063" width="4.625" style="95" customWidth="1"/>
    <col min="13064" max="13064" width="8.625" style="95" customWidth="1"/>
    <col min="13065" max="13065" width="19.875" style="95" customWidth="1"/>
    <col min="13066" max="13066" width="9" style="95"/>
    <col min="13067" max="13067" width="9.875" style="95" customWidth="1"/>
    <col min="13068" max="13068" width="8.875" style="95" customWidth="1"/>
    <col min="13069" max="13069" width="8.625" style="95" customWidth="1"/>
    <col min="13070" max="13070" width="8" style="95" customWidth="1"/>
    <col min="13071" max="13071" width="8.625" style="95" customWidth="1"/>
    <col min="13072" max="13072" width="9" style="95" customWidth="1"/>
    <col min="13073" max="13073" width="13.5" style="95" customWidth="1"/>
    <col min="13074" max="13074" width="16.125" style="95" bestFit="1" customWidth="1"/>
    <col min="13075" max="13075" width="13.875" style="95" bestFit="1" customWidth="1"/>
    <col min="13076" max="13076" width="7.5" style="95" bestFit="1" customWidth="1"/>
    <col min="13077" max="13077" width="13.875" style="95" customWidth="1"/>
    <col min="13078" max="13079" width="15.625" style="95" customWidth="1"/>
    <col min="13080" max="13312" width="9" style="95"/>
    <col min="13313" max="13313" width="8.5" style="95" customWidth="1"/>
    <col min="13314" max="13314" width="6.375" style="95" customWidth="1"/>
    <col min="13315" max="13315" width="6.625" style="95" customWidth="1"/>
    <col min="13316" max="13316" width="5.125" style="95" customWidth="1"/>
    <col min="13317" max="13317" width="6.5" style="95" customWidth="1"/>
    <col min="13318" max="13318" width="5.375" style="95" customWidth="1"/>
    <col min="13319" max="13319" width="4.625" style="95" customWidth="1"/>
    <col min="13320" max="13320" width="8.625" style="95" customWidth="1"/>
    <col min="13321" max="13321" width="19.875" style="95" customWidth="1"/>
    <col min="13322" max="13322" width="9" style="95"/>
    <col min="13323" max="13323" width="9.875" style="95" customWidth="1"/>
    <col min="13324" max="13324" width="8.875" style="95" customWidth="1"/>
    <col min="13325" max="13325" width="8.625" style="95" customWidth="1"/>
    <col min="13326" max="13326" width="8" style="95" customWidth="1"/>
    <col min="13327" max="13327" width="8.625" style="95" customWidth="1"/>
    <col min="13328" max="13328" width="9" style="95" customWidth="1"/>
    <col min="13329" max="13329" width="13.5" style="95" customWidth="1"/>
    <col min="13330" max="13330" width="16.125" style="95" bestFit="1" customWidth="1"/>
    <col min="13331" max="13331" width="13.875" style="95" bestFit="1" customWidth="1"/>
    <col min="13332" max="13332" width="7.5" style="95" bestFit="1" customWidth="1"/>
    <col min="13333" max="13333" width="13.875" style="95" customWidth="1"/>
    <col min="13334" max="13335" width="15.625" style="95" customWidth="1"/>
    <col min="13336" max="13568" width="9" style="95"/>
    <col min="13569" max="13569" width="8.5" style="95" customWidth="1"/>
    <col min="13570" max="13570" width="6.375" style="95" customWidth="1"/>
    <col min="13571" max="13571" width="6.625" style="95" customWidth="1"/>
    <col min="13572" max="13572" width="5.125" style="95" customWidth="1"/>
    <col min="13573" max="13573" width="6.5" style="95" customWidth="1"/>
    <col min="13574" max="13574" width="5.375" style="95" customWidth="1"/>
    <col min="13575" max="13575" width="4.625" style="95" customWidth="1"/>
    <col min="13576" max="13576" width="8.625" style="95" customWidth="1"/>
    <col min="13577" max="13577" width="19.875" style="95" customWidth="1"/>
    <col min="13578" max="13578" width="9" style="95"/>
    <col min="13579" max="13579" width="9.875" style="95" customWidth="1"/>
    <col min="13580" max="13580" width="8.875" style="95" customWidth="1"/>
    <col min="13581" max="13581" width="8.625" style="95" customWidth="1"/>
    <col min="13582" max="13582" width="8" style="95" customWidth="1"/>
    <col min="13583" max="13583" width="8.625" style="95" customWidth="1"/>
    <col min="13584" max="13584" width="9" style="95" customWidth="1"/>
    <col min="13585" max="13585" width="13.5" style="95" customWidth="1"/>
    <col min="13586" max="13586" width="16.125" style="95" bestFit="1" customWidth="1"/>
    <col min="13587" max="13587" width="13.875" style="95" bestFit="1" customWidth="1"/>
    <col min="13588" max="13588" width="7.5" style="95" bestFit="1" customWidth="1"/>
    <col min="13589" max="13589" width="13.875" style="95" customWidth="1"/>
    <col min="13590" max="13591" width="15.625" style="95" customWidth="1"/>
    <col min="13592" max="13824" width="9" style="95"/>
    <col min="13825" max="13825" width="8.5" style="95" customWidth="1"/>
    <col min="13826" max="13826" width="6.375" style="95" customWidth="1"/>
    <col min="13827" max="13827" width="6.625" style="95" customWidth="1"/>
    <col min="13828" max="13828" width="5.125" style="95" customWidth="1"/>
    <col min="13829" max="13829" width="6.5" style="95" customWidth="1"/>
    <col min="13830" max="13830" width="5.375" style="95" customWidth="1"/>
    <col min="13831" max="13831" width="4.625" style="95" customWidth="1"/>
    <col min="13832" max="13832" width="8.625" style="95" customWidth="1"/>
    <col min="13833" max="13833" width="19.875" style="95" customWidth="1"/>
    <col min="13834" max="13834" width="9" style="95"/>
    <col min="13835" max="13835" width="9.875" style="95" customWidth="1"/>
    <col min="13836" max="13836" width="8.875" style="95" customWidth="1"/>
    <col min="13837" max="13837" width="8.625" style="95" customWidth="1"/>
    <col min="13838" max="13838" width="8" style="95" customWidth="1"/>
    <col min="13839" max="13839" width="8.625" style="95" customWidth="1"/>
    <col min="13840" max="13840" width="9" style="95" customWidth="1"/>
    <col min="13841" max="13841" width="13.5" style="95" customWidth="1"/>
    <col min="13842" max="13842" width="16.125" style="95" bestFit="1" customWidth="1"/>
    <col min="13843" max="13843" width="13.875" style="95" bestFit="1" customWidth="1"/>
    <col min="13844" max="13844" width="7.5" style="95" bestFit="1" customWidth="1"/>
    <col min="13845" max="13845" width="13.875" style="95" customWidth="1"/>
    <col min="13846" max="13847" width="15.625" style="95" customWidth="1"/>
    <col min="13848" max="14080" width="9" style="95"/>
    <col min="14081" max="14081" width="8.5" style="95" customWidth="1"/>
    <col min="14082" max="14082" width="6.375" style="95" customWidth="1"/>
    <col min="14083" max="14083" width="6.625" style="95" customWidth="1"/>
    <col min="14084" max="14084" width="5.125" style="95" customWidth="1"/>
    <col min="14085" max="14085" width="6.5" style="95" customWidth="1"/>
    <col min="14086" max="14086" width="5.375" style="95" customWidth="1"/>
    <col min="14087" max="14087" width="4.625" style="95" customWidth="1"/>
    <col min="14088" max="14088" width="8.625" style="95" customWidth="1"/>
    <col min="14089" max="14089" width="19.875" style="95" customWidth="1"/>
    <col min="14090" max="14090" width="9" style="95"/>
    <col min="14091" max="14091" width="9.875" style="95" customWidth="1"/>
    <col min="14092" max="14092" width="8.875" style="95" customWidth="1"/>
    <col min="14093" max="14093" width="8.625" style="95" customWidth="1"/>
    <col min="14094" max="14094" width="8" style="95" customWidth="1"/>
    <col min="14095" max="14095" width="8.625" style="95" customWidth="1"/>
    <col min="14096" max="14096" width="9" style="95" customWidth="1"/>
    <col min="14097" max="14097" width="13.5" style="95" customWidth="1"/>
    <col min="14098" max="14098" width="16.125" style="95" bestFit="1" customWidth="1"/>
    <col min="14099" max="14099" width="13.875" style="95" bestFit="1" customWidth="1"/>
    <col min="14100" max="14100" width="7.5" style="95" bestFit="1" customWidth="1"/>
    <col min="14101" max="14101" width="13.875" style="95" customWidth="1"/>
    <col min="14102" max="14103" width="15.625" style="95" customWidth="1"/>
    <col min="14104" max="14336" width="9" style="95"/>
    <col min="14337" max="14337" width="8.5" style="95" customWidth="1"/>
    <col min="14338" max="14338" width="6.375" style="95" customWidth="1"/>
    <col min="14339" max="14339" width="6.625" style="95" customWidth="1"/>
    <col min="14340" max="14340" width="5.125" style="95" customWidth="1"/>
    <col min="14341" max="14341" width="6.5" style="95" customWidth="1"/>
    <col min="14342" max="14342" width="5.375" style="95" customWidth="1"/>
    <col min="14343" max="14343" width="4.625" style="95" customWidth="1"/>
    <col min="14344" max="14344" width="8.625" style="95" customWidth="1"/>
    <col min="14345" max="14345" width="19.875" style="95" customWidth="1"/>
    <col min="14346" max="14346" width="9" style="95"/>
    <col min="14347" max="14347" width="9.875" style="95" customWidth="1"/>
    <col min="14348" max="14348" width="8.875" style="95" customWidth="1"/>
    <col min="14349" max="14349" width="8.625" style="95" customWidth="1"/>
    <col min="14350" max="14350" width="8" style="95" customWidth="1"/>
    <col min="14351" max="14351" width="8.625" style="95" customWidth="1"/>
    <col min="14352" max="14352" width="9" style="95" customWidth="1"/>
    <col min="14353" max="14353" width="13.5" style="95" customWidth="1"/>
    <col min="14354" max="14354" width="16.125" style="95" bestFit="1" customWidth="1"/>
    <col min="14355" max="14355" width="13.875" style="95" bestFit="1" customWidth="1"/>
    <col min="14356" max="14356" width="7.5" style="95" bestFit="1" customWidth="1"/>
    <col min="14357" max="14357" width="13.875" style="95" customWidth="1"/>
    <col min="14358" max="14359" width="15.625" style="95" customWidth="1"/>
    <col min="14360" max="14592" width="9" style="95"/>
    <col min="14593" max="14593" width="8.5" style="95" customWidth="1"/>
    <col min="14594" max="14594" width="6.375" style="95" customWidth="1"/>
    <col min="14595" max="14595" width="6.625" style="95" customWidth="1"/>
    <col min="14596" max="14596" width="5.125" style="95" customWidth="1"/>
    <col min="14597" max="14597" width="6.5" style="95" customWidth="1"/>
    <col min="14598" max="14598" width="5.375" style="95" customWidth="1"/>
    <col min="14599" max="14599" width="4.625" style="95" customWidth="1"/>
    <col min="14600" max="14600" width="8.625" style="95" customWidth="1"/>
    <col min="14601" max="14601" width="19.875" style="95" customWidth="1"/>
    <col min="14602" max="14602" width="9" style="95"/>
    <col min="14603" max="14603" width="9.875" style="95" customWidth="1"/>
    <col min="14604" max="14604" width="8.875" style="95" customWidth="1"/>
    <col min="14605" max="14605" width="8.625" style="95" customWidth="1"/>
    <col min="14606" max="14606" width="8" style="95" customWidth="1"/>
    <col min="14607" max="14607" width="8.625" style="95" customWidth="1"/>
    <col min="14608" max="14608" width="9" style="95" customWidth="1"/>
    <col min="14609" max="14609" width="13.5" style="95" customWidth="1"/>
    <col min="14610" max="14610" width="16.125" style="95" bestFit="1" customWidth="1"/>
    <col min="14611" max="14611" width="13.875" style="95" bestFit="1" customWidth="1"/>
    <col min="14612" max="14612" width="7.5" style="95" bestFit="1" customWidth="1"/>
    <col min="14613" max="14613" width="13.875" style="95" customWidth="1"/>
    <col min="14614" max="14615" width="15.625" style="95" customWidth="1"/>
    <col min="14616" max="14848" width="9" style="95"/>
    <col min="14849" max="14849" width="8.5" style="95" customWidth="1"/>
    <col min="14850" max="14850" width="6.375" style="95" customWidth="1"/>
    <col min="14851" max="14851" width="6.625" style="95" customWidth="1"/>
    <col min="14852" max="14852" width="5.125" style="95" customWidth="1"/>
    <col min="14853" max="14853" width="6.5" style="95" customWidth="1"/>
    <col min="14854" max="14854" width="5.375" style="95" customWidth="1"/>
    <col min="14855" max="14855" width="4.625" style="95" customWidth="1"/>
    <col min="14856" max="14856" width="8.625" style="95" customWidth="1"/>
    <col min="14857" max="14857" width="19.875" style="95" customWidth="1"/>
    <col min="14858" max="14858" width="9" style="95"/>
    <col min="14859" max="14859" width="9.875" style="95" customWidth="1"/>
    <col min="14860" max="14860" width="8.875" style="95" customWidth="1"/>
    <col min="14861" max="14861" width="8.625" style="95" customWidth="1"/>
    <col min="14862" max="14862" width="8" style="95" customWidth="1"/>
    <col min="14863" max="14863" width="8.625" style="95" customWidth="1"/>
    <col min="14864" max="14864" width="9" style="95" customWidth="1"/>
    <col min="14865" max="14865" width="13.5" style="95" customWidth="1"/>
    <col min="14866" max="14866" width="16.125" style="95" bestFit="1" customWidth="1"/>
    <col min="14867" max="14867" width="13.875" style="95" bestFit="1" customWidth="1"/>
    <col min="14868" max="14868" width="7.5" style="95" bestFit="1" customWidth="1"/>
    <col min="14869" max="14869" width="13.875" style="95" customWidth="1"/>
    <col min="14870" max="14871" width="15.625" style="95" customWidth="1"/>
    <col min="14872" max="15104" width="9" style="95"/>
    <col min="15105" max="15105" width="8.5" style="95" customWidth="1"/>
    <col min="15106" max="15106" width="6.375" style="95" customWidth="1"/>
    <col min="15107" max="15107" width="6.625" style="95" customWidth="1"/>
    <col min="15108" max="15108" width="5.125" style="95" customWidth="1"/>
    <col min="15109" max="15109" width="6.5" style="95" customWidth="1"/>
    <col min="15110" max="15110" width="5.375" style="95" customWidth="1"/>
    <col min="15111" max="15111" width="4.625" style="95" customWidth="1"/>
    <col min="15112" max="15112" width="8.625" style="95" customWidth="1"/>
    <col min="15113" max="15113" width="19.875" style="95" customWidth="1"/>
    <col min="15114" max="15114" width="9" style="95"/>
    <col min="15115" max="15115" width="9.875" style="95" customWidth="1"/>
    <col min="15116" max="15116" width="8.875" style="95" customWidth="1"/>
    <col min="15117" max="15117" width="8.625" style="95" customWidth="1"/>
    <col min="15118" max="15118" width="8" style="95" customWidth="1"/>
    <col min="15119" max="15119" width="8.625" style="95" customWidth="1"/>
    <col min="15120" max="15120" width="9" style="95" customWidth="1"/>
    <col min="15121" max="15121" width="13.5" style="95" customWidth="1"/>
    <col min="15122" max="15122" width="16.125" style="95" bestFit="1" customWidth="1"/>
    <col min="15123" max="15123" width="13.875" style="95" bestFit="1" customWidth="1"/>
    <col min="15124" max="15124" width="7.5" style="95" bestFit="1" customWidth="1"/>
    <col min="15125" max="15125" width="13.875" style="95" customWidth="1"/>
    <col min="15126" max="15127" width="15.625" style="95" customWidth="1"/>
    <col min="15128" max="15360" width="9" style="95"/>
    <col min="15361" max="15361" width="8.5" style="95" customWidth="1"/>
    <col min="15362" max="15362" width="6.375" style="95" customWidth="1"/>
    <col min="15363" max="15363" width="6.625" style="95" customWidth="1"/>
    <col min="15364" max="15364" width="5.125" style="95" customWidth="1"/>
    <col min="15365" max="15365" width="6.5" style="95" customWidth="1"/>
    <col min="15366" max="15366" width="5.375" style="95" customWidth="1"/>
    <col min="15367" max="15367" width="4.625" style="95" customWidth="1"/>
    <col min="15368" max="15368" width="8.625" style="95" customWidth="1"/>
    <col min="15369" max="15369" width="19.875" style="95" customWidth="1"/>
    <col min="15370" max="15370" width="9" style="95"/>
    <col min="15371" max="15371" width="9.875" style="95" customWidth="1"/>
    <col min="15372" max="15372" width="8.875" style="95" customWidth="1"/>
    <col min="15373" max="15373" width="8.625" style="95" customWidth="1"/>
    <col min="15374" max="15374" width="8" style="95" customWidth="1"/>
    <col min="15375" max="15375" width="8.625" style="95" customWidth="1"/>
    <col min="15376" max="15376" width="9" style="95" customWidth="1"/>
    <col min="15377" max="15377" width="13.5" style="95" customWidth="1"/>
    <col min="15378" max="15378" width="16.125" style="95" bestFit="1" customWidth="1"/>
    <col min="15379" max="15379" width="13.875" style="95" bestFit="1" customWidth="1"/>
    <col min="15380" max="15380" width="7.5" style="95" bestFit="1" customWidth="1"/>
    <col min="15381" max="15381" width="13.875" style="95" customWidth="1"/>
    <col min="15382" max="15383" width="15.625" style="95" customWidth="1"/>
    <col min="15384" max="15616" width="9" style="95"/>
    <col min="15617" max="15617" width="8.5" style="95" customWidth="1"/>
    <col min="15618" max="15618" width="6.375" style="95" customWidth="1"/>
    <col min="15619" max="15619" width="6.625" style="95" customWidth="1"/>
    <col min="15620" max="15620" width="5.125" style="95" customWidth="1"/>
    <col min="15621" max="15621" width="6.5" style="95" customWidth="1"/>
    <col min="15622" max="15622" width="5.375" style="95" customWidth="1"/>
    <col min="15623" max="15623" width="4.625" style="95" customWidth="1"/>
    <col min="15624" max="15624" width="8.625" style="95" customWidth="1"/>
    <col min="15625" max="15625" width="19.875" style="95" customWidth="1"/>
    <col min="15626" max="15626" width="9" style="95"/>
    <col min="15627" max="15627" width="9.875" style="95" customWidth="1"/>
    <col min="15628" max="15628" width="8.875" style="95" customWidth="1"/>
    <col min="15629" max="15629" width="8.625" style="95" customWidth="1"/>
    <col min="15630" max="15630" width="8" style="95" customWidth="1"/>
    <col min="15631" max="15631" width="8.625" style="95" customWidth="1"/>
    <col min="15632" max="15632" width="9" style="95" customWidth="1"/>
    <col min="15633" max="15633" width="13.5" style="95" customWidth="1"/>
    <col min="15634" max="15634" width="16.125" style="95" bestFit="1" customWidth="1"/>
    <col min="15635" max="15635" width="13.875" style="95" bestFit="1" customWidth="1"/>
    <col min="15636" max="15636" width="7.5" style="95" bestFit="1" customWidth="1"/>
    <col min="15637" max="15637" width="13.875" style="95" customWidth="1"/>
    <col min="15638" max="15639" width="15.625" style="95" customWidth="1"/>
    <col min="15640" max="15872" width="9" style="95"/>
    <col min="15873" max="15873" width="8.5" style="95" customWidth="1"/>
    <col min="15874" max="15874" width="6.375" style="95" customWidth="1"/>
    <col min="15875" max="15875" width="6.625" style="95" customWidth="1"/>
    <col min="15876" max="15876" width="5.125" style="95" customWidth="1"/>
    <col min="15877" max="15877" width="6.5" style="95" customWidth="1"/>
    <col min="15878" max="15878" width="5.375" style="95" customWidth="1"/>
    <col min="15879" max="15879" width="4.625" style="95" customWidth="1"/>
    <col min="15880" max="15880" width="8.625" style="95" customWidth="1"/>
    <col min="15881" max="15881" width="19.875" style="95" customWidth="1"/>
    <col min="15882" max="15882" width="9" style="95"/>
    <col min="15883" max="15883" width="9.875" style="95" customWidth="1"/>
    <col min="15884" max="15884" width="8.875" style="95" customWidth="1"/>
    <col min="15885" max="15885" width="8.625" style="95" customWidth="1"/>
    <col min="15886" max="15886" width="8" style="95" customWidth="1"/>
    <col min="15887" max="15887" width="8.625" style="95" customWidth="1"/>
    <col min="15888" max="15888" width="9" style="95" customWidth="1"/>
    <col min="15889" max="15889" width="13.5" style="95" customWidth="1"/>
    <col min="15890" max="15890" width="16.125" style="95" bestFit="1" customWidth="1"/>
    <col min="15891" max="15891" width="13.875" style="95" bestFit="1" customWidth="1"/>
    <col min="15892" max="15892" width="7.5" style="95" bestFit="1" customWidth="1"/>
    <col min="15893" max="15893" width="13.875" style="95" customWidth="1"/>
    <col min="15894" max="15895" width="15.625" style="95" customWidth="1"/>
    <col min="15896" max="16128" width="9" style="95"/>
    <col min="16129" max="16129" width="8.5" style="95" customWidth="1"/>
    <col min="16130" max="16130" width="6.375" style="95" customWidth="1"/>
    <col min="16131" max="16131" width="6.625" style="95" customWidth="1"/>
    <col min="16132" max="16132" width="5.125" style="95" customWidth="1"/>
    <col min="16133" max="16133" width="6.5" style="95" customWidth="1"/>
    <col min="16134" max="16134" width="5.375" style="95" customWidth="1"/>
    <col min="16135" max="16135" width="4.625" style="95" customWidth="1"/>
    <col min="16136" max="16136" width="8.625" style="95" customWidth="1"/>
    <col min="16137" max="16137" width="19.875" style="95" customWidth="1"/>
    <col min="16138" max="16138" width="9" style="95"/>
    <col min="16139" max="16139" width="9.875" style="95" customWidth="1"/>
    <col min="16140" max="16140" width="8.875" style="95" customWidth="1"/>
    <col min="16141" max="16141" width="8.625" style="95" customWidth="1"/>
    <col min="16142" max="16142" width="8" style="95" customWidth="1"/>
    <col min="16143" max="16143" width="8.625" style="95" customWidth="1"/>
    <col min="16144" max="16144" width="9" style="95" customWidth="1"/>
    <col min="16145" max="16145" width="13.5" style="95" customWidth="1"/>
    <col min="16146" max="16146" width="16.125" style="95" bestFit="1" customWidth="1"/>
    <col min="16147" max="16147" width="13.875" style="95" bestFit="1" customWidth="1"/>
    <col min="16148" max="16148" width="7.5" style="95" bestFit="1" customWidth="1"/>
    <col min="16149" max="16149" width="13.875" style="95" customWidth="1"/>
    <col min="16150" max="16151" width="15.625" style="95" customWidth="1"/>
    <col min="16152" max="16384" width="9" style="95"/>
  </cols>
  <sheetData>
    <row r="1" spans="1:24" ht="12.95" customHeight="1">
      <c r="A1" s="94"/>
      <c r="B1" s="94"/>
      <c r="C1" s="94"/>
      <c r="D1" s="94"/>
      <c r="E1" s="94"/>
    </row>
    <row r="2" spans="1:24" ht="12.95" customHeight="1">
      <c r="A2" s="96"/>
      <c r="B2" s="96"/>
      <c r="C2" s="96"/>
      <c r="D2" s="96"/>
      <c r="E2" s="97"/>
      <c r="F2" s="1151" t="s">
        <v>757</v>
      </c>
      <c r="G2" s="1151"/>
      <c r="H2" s="1151"/>
      <c r="I2" s="1151"/>
      <c r="J2" s="1151"/>
      <c r="K2" s="1151"/>
      <c r="L2" s="98"/>
      <c r="M2" s="99" t="s">
        <v>458</v>
      </c>
      <c r="N2" s="98"/>
      <c r="O2" s="98" t="s">
        <v>459</v>
      </c>
      <c r="P2" s="98"/>
      <c r="Q2" s="98"/>
      <c r="R2" s="98"/>
      <c r="S2" s="98"/>
      <c r="T2" s="98"/>
      <c r="U2" s="98"/>
      <c r="V2" s="98"/>
      <c r="W2" s="98"/>
      <c r="X2" s="98"/>
    </row>
    <row r="3" spans="1:24" ht="18.75">
      <c r="A3" s="1152" t="s">
        <v>460</v>
      </c>
      <c r="B3" s="1152"/>
      <c r="C3" s="1152"/>
      <c r="D3" s="1152"/>
      <c r="E3" s="1152"/>
      <c r="F3" s="1152"/>
      <c r="G3" s="1152"/>
      <c r="H3" s="1152"/>
      <c r="I3" s="1152"/>
      <c r="J3" s="1152"/>
      <c r="K3" s="1152"/>
      <c r="L3" s="98"/>
      <c r="M3" s="99" t="s">
        <v>461</v>
      </c>
      <c r="N3" s="98"/>
      <c r="O3" s="99" t="s">
        <v>462</v>
      </c>
      <c r="P3" s="98"/>
      <c r="Q3" s="98"/>
      <c r="R3" s="98"/>
      <c r="S3" s="98"/>
      <c r="T3" s="98"/>
      <c r="U3" s="98"/>
      <c r="V3" s="98"/>
      <c r="W3" s="98"/>
      <c r="X3" s="98"/>
    </row>
    <row r="4" spans="1:24" ht="18" customHeight="1">
      <c r="A4" s="1125" t="s">
        <v>463</v>
      </c>
      <c r="B4" s="1125"/>
      <c r="C4" s="1153" t="e">
        <f>#REF!</f>
        <v>#REF!</v>
      </c>
      <c r="D4" s="1154"/>
      <c r="E4" s="1154"/>
      <c r="F4" s="1155" t="s">
        <v>464</v>
      </c>
      <c r="G4" s="1155"/>
      <c r="H4" s="1154" t="e">
        <f>#REF!</f>
        <v>#REF!</v>
      </c>
      <c r="I4" s="1154"/>
      <c r="J4" s="100" t="s">
        <v>465</v>
      </c>
      <c r="K4" s="101">
        <f>P54</f>
        <v>5</v>
      </c>
      <c r="L4" s="98"/>
      <c r="M4" s="98"/>
      <c r="N4" s="98"/>
      <c r="O4" s="98"/>
      <c r="P4" s="102"/>
      <c r="Q4" s="98"/>
      <c r="R4" s="98"/>
      <c r="S4" s="98"/>
      <c r="T4" s="98"/>
      <c r="U4" s="98"/>
      <c r="V4" s="98"/>
      <c r="W4" s="98"/>
      <c r="X4" s="98"/>
    </row>
    <row r="5" spans="1:24" ht="19.5" customHeight="1">
      <c r="A5" s="1145" t="s">
        <v>466</v>
      </c>
      <c r="B5" s="1145"/>
      <c r="C5" s="1146" t="e">
        <f>#REF!</f>
        <v>#REF!</v>
      </c>
      <c r="D5" s="1146"/>
      <c r="E5" s="1146"/>
      <c r="F5" s="1147" t="s">
        <v>467</v>
      </c>
      <c r="G5" s="1145"/>
      <c r="H5" s="1148"/>
      <c r="I5" s="1148"/>
      <c r="J5" s="97"/>
      <c r="K5" s="103"/>
      <c r="L5" s="98"/>
      <c r="M5" s="99" t="s">
        <v>468</v>
      </c>
      <c r="N5" s="98"/>
      <c r="O5" s="98"/>
      <c r="P5" s="102" t="s">
        <v>469</v>
      </c>
      <c r="Q5" s="98"/>
      <c r="R5" s="98"/>
      <c r="S5" s="98"/>
      <c r="T5" s="98"/>
      <c r="U5" s="99" t="s">
        <v>470</v>
      </c>
      <c r="V5" s="98" t="s">
        <v>471</v>
      </c>
      <c r="W5" s="99" t="s">
        <v>472</v>
      </c>
      <c r="X5" s="98" t="s">
        <v>473</v>
      </c>
    </row>
    <row r="6" spans="1:24" ht="19.5" customHeight="1">
      <c r="A6" s="1145" t="s">
        <v>474</v>
      </c>
      <c r="B6" s="1145"/>
      <c r="C6" s="1149" t="s">
        <v>1260</v>
      </c>
      <c r="D6" s="1150"/>
      <c r="E6" s="1150"/>
      <c r="F6" s="1150"/>
      <c r="G6" s="1150"/>
      <c r="H6" s="1150"/>
      <c r="I6" s="1150"/>
      <c r="J6" s="100" t="s">
        <v>475</v>
      </c>
      <c r="K6" s="104" t="e">
        <f>#REF!</f>
        <v>#REF!</v>
      </c>
      <c r="L6" s="98"/>
      <c r="M6" s="98" t="s">
        <v>476</v>
      </c>
      <c r="N6" s="98"/>
      <c r="O6" s="98"/>
      <c r="P6" s="620" t="s">
        <v>1261</v>
      </c>
      <c r="Q6" s="98"/>
      <c r="R6" s="98"/>
      <c r="S6" s="98"/>
      <c r="T6" s="98"/>
      <c r="U6" s="98" t="s">
        <v>477</v>
      </c>
      <c r="V6" s="98" t="s">
        <v>478</v>
      </c>
      <c r="W6" s="99" t="s">
        <v>479</v>
      </c>
      <c r="X6" s="98" t="s">
        <v>480</v>
      </c>
    </row>
    <row r="7" spans="1:24" ht="14.25" customHeight="1" thickBot="1">
      <c r="A7" s="99"/>
      <c r="B7" s="99"/>
      <c r="C7" s="106"/>
      <c r="D7" s="106"/>
      <c r="E7" s="106"/>
      <c r="F7" s="99"/>
      <c r="G7" s="99"/>
      <c r="H7" s="99"/>
      <c r="I7" s="99"/>
      <c r="J7" s="99"/>
      <c r="K7" s="107"/>
      <c r="L7" s="105"/>
      <c r="M7" s="105" t="s">
        <v>481</v>
      </c>
      <c r="N7" s="98"/>
      <c r="O7" s="98"/>
      <c r="P7" s="102" t="s">
        <v>482</v>
      </c>
      <c r="Q7" s="98"/>
      <c r="R7" s="98"/>
      <c r="S7" s="98"/>
      <c r="T7" s="98"/>
      <c r="U7" s="98" t="s">
        <v>483</v>
      </c>
      <c r="V7" s="98" t="s">
        <v>484</v>
      </c>
      <c r="W7" s="99" t="s">
        <v>485</v>
      </c>
      <c r="X7" s="98" t="s">
        <v>486</v>
      </c>
    </row>
    <row r="8" spans="1:24" ht="18" customHeight="1">
      <c r="A8" s="108" t="s">
        <v>487</v>
      </c>
      <c r="B8" s="1156" t="s">
        <v>488</v>
      </c>
      <c r="C8" s="1156"/>
      <c r="D8" s="1156"/>
      <c r="E8" s="1157" t="s">
        <v>489</v>
      </c>
      <c r="F8" s="1157"/>
      <c r="G8" s="1157"/>
      <c r="H8" s="1158" t="str">
        <f>"18A"&amp;VLOOKUP('作(3)'!C6,'作(3)'!M5:S8,4,0)</f>
        <v xml:space="preserve">18A暖白单贴三聚氰胺E1级罗宾镂铣中密度
</v>
      </c>
      <c r="I8" s="1159"/>
      <c r="J8" s="1160"/>
      <c r="K8" s="1161"/>
      <c r="L8" s="98"/>
      <c r="M8" s="98"/>
      <c r="N8" s="98"/>
      <c r="O8" s="98"/>
      <c r="P8" s="98"/>
      <c r="Q8" s="98"/>
      <c r="R8" s="98"/>
      <c r="S8" s="98"/>
      <c r="T8" s="98"/>
      <c r="U8" s="98"/>
      <c r="V8" s="98"/>
      <c r="W8" s="98"/>
      <c r="X8" s="98"/>
    </row>
    <row r="9" spans="1:24" ht="22.5" customHeight="1">
      <c r="A9" s="109" t="s">
        <v>490</v>
      </c>
      <c r="B9" s="110" t="s">
        <v>491</v>
      </c>
      <c r="C9" s="110" t="s">
        <v>492</v>
      </c>
      <c r="D9" s="110" t="s">
        <v>493</v>
      </c>
      <c r="E9" s="110" t="s">
        <v>494</v>
      </c>
      <c r="F9" s="110" t="s">
        <v>492</v>
      </c>
      <c r="G9" s="110" t="s">
        <v>493</v>
      </c>
      <c r="H9" s="1118" t="s">
        <v>495</v>
      </c>
      <c r="I9" s="1144"/>
      <c r="J9" s="111" t="s">
        <v>496</v>
      </c>
      <c r="K9" s="112" t="e">
        <f>K6</f>
        <v>#REF!</v>
      </c>
      <c r="L9" s="98" t="s">
        <v>497</v>
      </c>
      <c r="M9" s="113" t="s">
        <v>498</v>
      </c>
      <c r="N9" s="114" t="s">
        <v>499</v>
      </c>
      <c r="O9" s="113" t="s">
        <v>500</v>
      </c>
      <c r="P9" s="98"/>
      <c r="Q9" s="99" t="s">
        <v>501</v>
      </c>
      <c r="R9" s="99" t="s">
        <v>502</v>
      </c>
      <c r="S9" s="99" t="s">
        <v>503</v>
      </c>
      <c r="T9" s="99" t="s">
        <v>504</v>
      </c>
      <c r="U9" s="98"/>
      <c r="V9" s="98"/>
      <c r="W9" s="98"/>
      <c r="X9" s="98"/>
    </row>
    <row r="10" spans="1:24" ht="17.100000000000001" hidden="1" customHeight="1">
      <c r="A10" s="628" t="s">
        <v>1281</v>
      </c>
      <c r="B10" s="629"/>
      <c r="C10" s="629"/>
      <c r="D10" s="630">
        <v>1</v>
      </c>
      <c r="E10" s="631">
        <f>+B10+2</f>
        <v>2</v>
      </c>
      <c r="F10" s="631">
        <f>+C10+2</f>
        <v>2</v>
      </c>
      <c r="G10" s="630">
        <f t="shared" ref="E10:G12" si="0">+D10</f>
        <v>1</v>
      </c>
      <c r="H10" s="1141" t="s">
        <v>1282</v>
      </c>
      <c r="I10" s="1142"/>
      <c r="J10" s="1142"/>
      <c r="K10" s="1143"/>
      <c r="L10" s="98">
        <f t="shared" ref="L10:L53" si="1">B10*C10*D10/1000000</f>
        <v>0</v>
      </c>
      <c r="M10" s="98">
        <f>(B10+18*2+170)*(C10+18*2+170)*D10/1000000</f>
        <v>4.2436000000000001E-2</v>
      </c>
      <c r="N10" s="98">
        <f>B10*C10*D10/1000000/2.97/0.85</f>
        <v>0</v>
      </c>
      <c r="O10" s="98">
        <f t="shared" ref="O10:O53" si="2">(B10+C10)*2*G10/1000/0.8</f>
        <v>0</v>
      </c>
      <c r="P10" s="98">
        <f>G10</f>
        <v>1</v>
      </c>
      <c r="Q10" s="98">
        <f>(B10+18*2)*(C10+18*2)*D10/1000000</f>
        <v>1.2960000000000001E-3</v>
      </c>
      <c r="R10" s="98"/>
      <c r="S10" s="98"/>
      <c r="T10" s="98"/>
      <c r="U10" s="98"/>
      <c r="V10" s="98"/>
      <c r="X10" s="98"/>
    </row>
    <row r="11" spans="1:24" ht="17.100000000000001" hidden="1" customHeight="1">
      <c r="A11" s="632" t="s">
        <v>1283</v>
      </c>
      <c r="B11" s="631">
        <f>+B10</f>
        <v>0</v>
      </c>
      <c r="C11" s="631">
        <f>+C10</f>
        <v>0</v>
      </c>
      <c r="D11" s="630">
        <f>+D10</f>
        <v>1</v>
      </c>
      <c r="E11" s="631">
        <f t="shared" si="0"/>
        <v>0</v>
      </c>
      <c r="F11" s="631">
        <f t="shared" si="0"/>
        <v>0</v>
      </c>
      <c r="G11" s="630">
        <f t="shared" si="0"/>
        <v>1</v>
      </c>
      <c r="H11" s="1141" t="s">
        <v>1284</v>
      </c>
      <c r="I11" s="1142"/>
      <c r="J11" s="1142"/>
      <c r="K11" s="1143"/>
      <c r="L11" s="98">
        <f t="shared" si="1"/>
        <v>0</v>
      </c>
      <c r="M11" s="98">
        <f t="shared" ref="M11:M53" si="3">(B11+18*2+170)*(C11+18*2+170)*D11/1000000</f>
        <v>4.2436000000000001E-2</v>
      </c>
      <c r="N11" s="98">
        <f t="shared" ref="N11:N53" si="4">B11*C11*D11/1000000/2.97/0.85</f>
        <v>0</v>
      </c>
      <c r="O11" s="98">
        <f t="shared" si="2"/>
        <v>0</v>
      </c>
      <c r="P11" s="98">
        <f t="shared" ref="P11:P53" si="5">G11</f>
        <v>1</v>
      </c>
      <c r="Q11" s="98">
        <f t="shared" ref="Q11:Q42" si="6">(B11+18*2)*(C11+18*2)*D11/1000000</f>
        <v>1.2960000000000001E-3</v>
      </c>
      <c r="R11" s="98"/>
      <c r="S11" s="98"/>
      <c r="T11" s="98"/>
      <c r="U11" s="98"/>
      <c r="V11" s="98"/>
      <c r="X11" s="98"/>
    </row>
    <row r="12" spans="1:24" ht="17.100000000000001" hidden="1" customHeight="1">
      <c r="A12" s="632" t="s">
        <v>1285</v>
      </c>
      <c r="B12" s="631">
        <f>+B11-101</f>
        <v>-101</v>
      </c>
      <c r="C12" s="631">
        <f>+C11-101</f>
        <v>-101</v>
      </c>
      <c r="D12" s="630">
        <f>+D11</f>
        <v>1</v>
      </c>
      <c r="E12" s="631">
        <f t="shared" si="0"/>
        <v>-101</v>
      </c>
      <c r="F12" s="631">
        <f t="shared" si="0"/>
        <v>-101</v>
      </c>
      <c r="G12" s="630">
        <f t="shared" si="0"/>
        <v>1</v>
      </c>
      <c r="H12" s="1137"/>
      <c r="I12" s="1138"/>
      <c r="J12" s="1139"/>
      <c r="K12" s="1140"/>
      <c r="L12" s="98">
        <f t="shared" si="1"/>
        <v>1.0201E-2</v>
      </c>
      <c r="M12" s="98">
        <f t="shared" si="3"/>
        <v>1.1025E-2</v>
      </c>
      <c r="N12" s="98">
        <f t="shared" si="4"/>
        <v>4.0408001584472169E-3</v>
      </c>
      <c r="O12" s="98">
        <f t="shared" si="2"/>
        <v>-0.505</v>
      </c>
      <c r="P12" s="98">
        <f t="shared" si="5"/>
        <v>1</v>
      </c>
      <c r="Q12" s="98">
        <f t="shared" si="6"/>
        <v>4.2249999999999996E-3</v>
      </c>
      <c r="R12" s="98"/>
      <c r="S12" s="98"/>
      <c r="T12" s="98"/>
      <c r="U12" s="98"/>
      <c r="V12" s="98"/>
      <c r="X12" s="98"/>
    </row>
    <row r="13" spans="1:24" ht="17.100000000000001" customHeight="1">
      <c r="A13" s="115"/>
      <c r="B13" s="116"/>
      <c r="C13" s="116"/>
      <c r="D13" s="110"/>
      <c r="E13" s="110" t="str">
        <f t="shared" ref="E13:E42" si="7">+IF(B13&gt;0,IF(H13="平板无刀型",B13,B13+2),"")</f>
        <v/>
      </c>
      <c r="F13" s="110" t="str">
        <f t="shared" ref="F13:F42" si="8">+IF(C13&gt;0,IF(H13="平板无刀型",C13,C13+2),"")</f>
        <v/>
      </c>
      <c r="G13" s="110" t="str">
        <f t="shared" ref="G13:G42" si="9">+IF(D13&gt;0,D13,"")</f>
        <v/>
      </c>
      <c r="H13" s="1116"/>
      <c r="I13" s="1117"/>
      <c r="J13" s="1118"/>
      <c r="K13" s="1119"/>
      <c r="L13" s="98">
        <f t="shared" si="1"/>
        <v>0</v>
      </c>
      <c r="M13" s="98">
        <f t="shared" si="3"/>
        <v>0</v>
      </c>
      <c r="N13" s="98">
        <f t="shared" si="4"/>
        <v>0</v>
      </c>
      <c r="O13" s="98" t="e">
        <f t="shared" si="2"/>
        <v>#VALUE!</v>
      </c>
      <c r="P13" s="98" t="str">
        <f t="shared" si="5"/>
        <v/>
      </c>
      <c r="Q13" s="98">
        <f t="shared" si="6"/>
        <v>0</v>
      </c>
      <c r="R13" s="98"/>
      <c r="S13" s="98"/>
      <c r="T13" s="98"/>
      <c r="U13" s="98"/>
      <c r="V13" s="98"/>
      <c r="X13" s="98"/>
    </row>
    <row r="14" spans="1:24" ht="17.100000000000001" customHeight="1">
      <c r="A14" s="115"/>
      <c r="B14" s="116"/>
      <c r="C14" s="116"/>
      <c r="D14" s="110"/>
      <c r="E14" s="110" t="str">
        <f t="shared" si="7"/>
        <v/>
      </c>
      <c r="F14" s="110" t="str">
        <f t="shared" si="8"/>
        <v/>
      </c>
      <c r="G14" s="110" t="str">
        <f t="shared" si="9"/>
        <v/>
      </c>
      <c r="H14" s="1116"/>
      <c r="I14" s="1117"/>
      <c r="J14" s="1118"/>
      <c r="K14" s="1119"/>
      <c r="L14" s="98">
        <f t="shared" si="1"/>
        <v>0</v>
      </c>
      <c r="M14" s="98">
        <f t="shared" si="3"/>
        <v>0</v>
      </c>
      <c r="N14" s="98">
        <f t="shared" si="4"/>
        <v>0</v>
      </c>
      <c r="O14" s="98" t="e">
        <f t="shared" si="2"/>
        <v>#VALUE!</v>
      </c>
      <c r="P14" s="98" t="str">
        <f t="shared" si="5"/>
        <v/>
      </c>
      <c r="Q14" s="98">
        <f t="shared" si="6"/>
        <v>0</v>
      </c>
      <c r="R14" s="98"/>
      <c r="S14" s="98"/>
      <c r="T14" s="98"/>
      <c r="U14" s="98"/>
      <c r="V14" s="98"/>
      <c r="X14" s="98"/>
    </row>
    <row r="15" spans="1:24" ht="17.100000000000001" customHeight="1">
      <c r="A15" s="115"/>
      <c r="B15" s="116"/>
      <c r="C15" s="116"/>
      <c r="D15" s="110"/>
      <c r="E15" s="110" t="str">
        <f t="shared" si="7"/>
        <v/>
      </c>
      <c r="F15" s="110" t="str">
        <f t="shared" si="8"/>
        <v/>
      </c>
      <c r="G15" s="110" t="str">
        <f t="shared" si="9"/>
        <v/>
      </c>
      <c r="H15" s="1116"/>
      <c r="I15" s="1117"/>
      <c r="J15" s="1118"/>
      <c r="K15" s="1119"/>
      <c r="L15" s="98">
        <f t="shared" si="1"/>
        <v>0</v>
      </c>
      <c r="M15" s="98">
        <f t="shared" si="3"/>
        <v>0</v>
      </c>
      <c r="N15" s="98">
        <f t="shared" si="4"/>
        <v>0</v>
      </c>
      <c r="O15" s="98" t="e">
        <f t="shared" si="2"/>
        <v>#VALUE!</v>
      </c>
      <c r="P15" s="98" t="str">
        <f t="shared" si="5"/>
        <v/>
      </c>
      <c r="Q15" s="98">
        <f t="shared" si="6"/>
        <v>0</v>
      </c>
      <c r="R15" s="98"/>
      <c r="S15" s="98"/>
      <c r="T15" s="98"/>
      <c r="U15" s="98"/>
      <c r="V15" s="98"/>
      <c r="X15" s="98"/>
    </row>
    <row r="16" spans="1:24" ht="17.100000000000001" customHeight="1">
      <c r="A16" s="115"/>
      <c r="B16" s="116"/>
      <c r="C16" s="116"/>
      <c r="D16" s="110"/>
      <c r="E16" s="110" t="str">
        <f t="shared" si="7"/>
        <v/>
      </c>
      <c r="F16" s="110" t="str">
        <f t="shared" si="8"/>
        <v/>
      </c>
      <c r="G16" s="110" t="str">
        <f t="shared" si="9"/>
        <v/>
      </c>
      <c r="H16" s="1116"/>
      <c r="I16" s="1117"/>
      <c r="J16" s="1118"/>
      <c r="K16" s="1119"/>
      <c r="L16" s="98">
        <f t="shared" si="1"/>
        <v>0</v>
      </c>
      <c r="M16" s="98">
        <f t="shared" si="3"/>
        <v>0</v>
      </c>
      <c r="N16" s="98">
        <f t="shared" si="4"/>
        <v>0</v>
      </c>
      <c r="O16" s="98" t="e">
        <f t="shared" si="2"/>
        <v>#VALUE!</v>
      </c>
      <c r="P16" s="98" t="str">
        <f t="shared" si="5"/>
        <v/>
      </c>
      <c r="Q16" s="98">
        <f t="shared" si="6"/>
        <v>0</v>
      </c>
      <c r="R16" s="98"/>
      <c r="S16" s="98"/>
      <c r="T16" s="98"/>
      <c r="U16" s="98"/>
      <c r="V16" s="98"/>
      <c r="X16" s="98"/>
    </row>
    <row r="17" spans="1:24" ht="17.100000000000001" customHeight="1">
      <c r="A17" s="115"/>
      <c r="B17" s="116"/>
      <c r="C17" s="116"/>
      <c r="D17" s="110"/>
      <c r="E17" s="110" t="str">
        <f t="shared" si="7"/>
        <v/>
      </c>
      <c r="F17" s="110" t="str">
        <f t="shared" si="8"/>
        <v/>
      </c>
      <c r="G17" s="110" t="str">
        <f t="shared" si="9"/>
        <v/>
      </c>
      <c r="H17" s="1116"/>
      <c r="I17" s="1117"/>
      <c r="J17" s="1118"/>
      <c r="K17" s="1119"/>
      <c r="L17" s="98">
        <f t="shared" si="1"/>
        <v>0</v>
      </c>
      <c r="M17" s="98">
        <f t="shared" si="3"/>
        <v>0</v>
      </c>
      <c r="N17" s="98">
        <f t="shared" si="4"/>
        <v>0</v>
      </c>
      <c r="O17" s="98" t="e">
        <f t="shared" si="2"/>
        <v>#VALUE!</v>
      </c>
      <c r="P17" s="98" t="str">
        <f t="shared" si="5"/>
        <v/>
      </c>
      <c r="Q17" s="98">
        <f t="shared" si="6"/>
        <v>0</v>
      </c>
      <c r="R17" s="98"/>
      <c r="S17" s="98"/>
      <c r="T17" s="98"/>
      <c r="U17" s="98"/>
      <c r="V17" s="98"/>
      <c r="X17" s="98"/>
    </row>
    <row r="18" spans="1:24" ht="17.100000000000001" customHeight="1">
      <c r="A18" s="115"/>
      <c r="B18" s="116"/>
      <c r="C18" s="116"/>
      <c r="D18" s="110"/>
      <c r="E18" s="110" t="str">
        <f t="shared" si="7"/>
        <v/>
      </c>
      <c r="F18" s="110" t="str">
        <f t="shared" si="8"/>
        <v/>
      </c>
      <c r="G18" s="110" t="str">
        <f t="shared" si="9"/>
        <v/>
      </c>
      <c r="H18" s="1116"/>
      <c r="I18" s="1117"/>
      <c r="J18" s="1118"/>
      <c r="K18" s="1119"/>
      <c r="L18" s="98">
        <f t="shared" si="1"/>
        <v>0</v>
      </c>
      <c r="M18" s="98">
        <f t="shared" si="3"/>
        <v>0</v>
      </c>
      <c r="N18" s="98">
        <f t="shared" si="4"/>
        <v>0</v>
      </c>
      <c r="O18" s="98" t="e">
        <f t="shared" si="2"/>
        <v>#VALUE!</v>
      </c>
      <c r="P18" s="98" t="str">
        <f t="shared" si="5"/>
        <v/>
      </c>
      <c r="Q18" s="98">
        <f t="shared" si="6"/>
        <v>0</v>
      </c>
      <c r="R18" s="98"/>
      <c r="S18" s="98"/>
      <c r="T18" s="98"/>
      <c r="U18" s="98"/>
      <c r="V18" s="98"/>
      <c r="X18" s="98"/>
    </row>
    <row r="19" spans="1:24" ht="17.100000000000001" customHeight="1">
      <c r="A19" s="115"/>
      <c r="B19" s="116"/>
      <c r="C19" s="116"/>
      <c r="D19" s="110"/>
      <c r="E19" s="110" t="str">
        <f t="shared" si="7"/>
        <v/>
      </c>
      <c r="F19" s="110" t="str">
        <f t="shared" si="8"/>
        <v/>
      </c>
      <c r="G19" s="110" t="str">
        <f t="shared" si="9"/>
        <v/>
      </c>
      <c r="H19" s="1116"/>
      <c r="I19" s="1117"/>
      <c r="J19" s="1118"/>
      <c r="K19" s="1119"/>
      <c r="L19" s="98">
        <f t="shared" si="1"/>
        <v>0</v>
      </c>
      <c r="M19" s="98">
        <f t="shared" si="3"/>
        <v>0</v>
      </c>
      <c r="N19" s="98">
        <f t="shared" si="4"/>
        <v>0</v>
      </c>
      <c r="O19" s="98" t="e">
        <f t="shared" si="2"/>
        <v>#VALUE!</v>
      </c>
      <c r="P19" s="98" t="str">
        <f t="shared" si="5"/>
        <v/>
      </c>
      <c r="Q19" s="98">
        <f t="shared" si="6"/>
        <v>0</v>
      </c>
      <c r="R19" s="98"/>
      <c r="S19" s="98"/>
      <c r="T19" s="98"/>
      <c r="U19" s="98"/>
      <c r="V19" s="98"/>
      <c r="X19" s="98"/>
    </row>
    <row r="20" spans="1:24" ht="17.100000000000001" customHeight="1">
      <c r="A20" s="115"/>
      <c r="B20" s="116"/>
      <c r="C20" s="116"/>
      <c r="D20" s="110"/>
      <c r="E20" s="110" t="str">
        <f t="shared" si="7"/>
        <v/>
      </c>
      <c r="F20" s="110" t="str">
        <f t="shared" si="8"/>
        <v/>
      </c>
      <c r="G20" s="110" t="str">
        <f t="shared" si="9"/>
        <v/>
      </c>
      <c r="H20" s="1116"/>
      <c r="I20" s="1117"/>
      <c r="J20" s="1118"/>
      <c r="K20" s="1119"/>
      <c r="L20" s="98">
        <f t="shared" si="1"/>
        <v>0</v>
      </c>
      <c r="M20" s="98">
        <f t="shared" si="3"/>
        <v>0</v>
      </c>
      <c r="N20" s="98">
        <f t="shared" si="4"/>
        <v>0</v>
      </c>
      <c r="O20" s="98" t="e">
        <f t="shared" si="2"/>
        <v>#VALUE!</v>
      </c>
      <c r="P20" s="98" t="str">
        <f t="shared" si="5"/>
        <v/>
      </c>
      <c r="Q20" s="98">
        <f t="shared" si="6"/>
        <v>0</v>
      </c>
      <c r="R20" s="98"/>
      <c r="S20" s="98"/>
      <c r="T20" s="98"/>
      <c r="U20" s="98"/>
      <c r="V20" s="98"/>
      <c r="X20" s="98"/>
    </row>
    <row r="21" spans="1:24" ht="17.100000000000001" customHeight="1">
      <c r="A21" s="115"/>
      <c r="B21" s="116"/>
      <c r="C21" s="116"/>
      <c r="D21" s="110"/>
      <c r="E21" s="110" t="str">
        <f t="shared" si="7"/>
        <v/>
      </c>
      <c r="F21" s="110" t="str">
        <f t="shared" si="8"/>
        <v/>
      </c>
      <c r="G21" s="110" t="str">
        <f t="shared" si="9"/>
        <v/>
      </c>
      <c r="H21" s="1116"/>
      <c r="I21" s="1117"/>
      <c r="J21" s="1118"/>
      <c r="K21" s="1119"/>
      <c r="L21" s="98">
        <f t="shared" si="1"/>
        <v>0</v>
      </c>
      <c r="M21" s="98">
        <f t="shared" si="3"/>
        <v>0</v>
      </c>
      <c r="N21" s="98">
        <f t="shared" si="4"/>
        <v>0</v>
      </c>
      <c r="O21" s="98" t="e">
        <f t="shared" si="2"/>
        <v>#VALUE!</v>
      </c>
      <c r="P21" s="98" t="str">
        <f t="shared" si="5"/>
        <v/>
      </c>
      <c r="Q21" s="98">
        <f t="shared" si="6"/>
        <v>0</v>
      </c>
      <c r="R21" s="98"/>
      <c r="S21" s="98"/>
      <c r="T21" s="98"/>
      <c r="U21" s="98"/>
      <c r="V21" s="98"/>
      <c r="X21" s="98"/>
    </row>
    <row r="22" spans="1:24" ht="17.100000000000001" customHeight="1">
      <c r="A22" s="115"/>
      <c r="B22" s="116"/>
      <c r="C22" s="116"/>
      <c r="D22" s="110"/>
      <c r="E22" s="110" t="str">
        <f t="shared" si="7"/>
        <v/>
      </c>
      <c r="F22" s="110" t="str">
        <f t="shared" si="8"/>
        <v/>
      </c>
      <c r="G22" s="110" t="str">
        <f t="shared" si="9"/>
        <v/>
      </c>
      <c r="H22" s="1116"/>
      <c r="I22" s="1117"/>
      <c r="J22" s="1118"/>
      <c r="K22" s="1119"/>
      <c r="L22" s="98">
        <f t="shared" si="1"/>
        <v>0</v>
      </c>
      <c r="M22" s="98">
        <f t="shared" si="3"/>
        <v>0</v>
      </c>
      <c r="N22" s="98">
        <f t="shared" si="4"/>
        <v>0</v>
      </c>
      <c r="O22" s="98" t="e">
        <f t="shared" si="2"/>
        <v>#VALUE!</v>
      </c>
      <c r="P22" s="98" t="str">
        <f t="shared" si="5"/>
        <v/>
      </c>
      <c r="Q22" s="98">
        <f t="shared" si="6"/>
        <v>0</v>
      </c>
      <c r="R22" s="98"/>
      <c r="S22" s="98"/>
      <c r="T22" s="98"/>
      <c r="U22" s="98"/>
      <c r="V22" s="98"/>
      <c r="X22" s="98"/>
    </row>
    <row r="23" spans="1:24" ht="17.100000000000001" customHeight="1">
      <c r="A23" s="115"/>
      <c r="B23" s="116"/>
      <c r="C23" s="116"/>
      <c r="D23" s="110"/>
      <c r="E23" s="110" t="str">
        <f t="shared" si="7"/>
        <v/>
      </c>
      <c r="F23" s="110" t="str">
        <f t="shared" si="8"/>
        <v/>
      </c>
      <c r="G23" s="110" t="str">
        <f t="shared" si="9"/>
        <v/>
      </c>
      <c r="H23" s="1116"/>
      <c r="I23" s="1117"/>
      <c r="J23" s="1118"/>
      <c r="K23" s="1119"/>
      <c r="L23" s="98">
        <f t="shared" si="1"/>
        <v>0</v>
      </c>
      <c r="M23" s="98">
        <f t="shared" si="3"/>
        <v>0</v>
      </c>
      <c r="N23" s="98">
        <f t="shared" si="4"/>
        <v>0</v>
      </c>
      <c r="O23" s="98" t="e">
        <f t="shared" si="2"/>
        <v>#VALUE!</v>
      </c>
      <c r="P23" s="98" t="str">
        <f t="shared" si="5"/>
        <v/>
      </c>
      <c r="Q23" s="98">
        <f t="shared" si="6"/>
        <v>0</v>
      </c>
      <c r="R23" s="98"/>
      <c r="S23" s="98"/>
      <c r="T23" s="98"/>
      <c r="U23" s="98"/>
      <c r="V23" s="98"/>
      <c r="X23" s="98"/>
    </row>
    <row r="24" spans="1:24" ht="17.100000000000001" customHeight="1">
      <c r="A24" s="117"/>
      <c r="B24" s="116"/>
      <c r="C24" s="116"/>
      <c r="D24" s="110"/>
      <c r="E24" s="110" t="str">
        <f t="shared" si="7"/>
        <v/>
      </c>
      <c r="F24" s="110" t="str">
        <f t="shared" si="8"/>
        <v/>
      </c>
      <c r="G24" s="110" t="str">
        <f t="shared" si="9"/>
        <v/>
      </c>
      <c r="H24" s="1116"/>
      <c r="I24" s="1117"/>
      <c r="J24" s="1118"/>
      <c r="K24" s="1119"/>
      <c r="L24" s="98">
        <f t="shared" si="1"/>
        <v>0</v>
      </c>
      <c r="M24" s="98">
        <f t="shared" si="3"/>
        <v>0</v>
      </c>
      <c r="N24" s="98">
        <f t="shared" si="4"/>
        <v>0</v>
      </c>
      <c r="O24" s="98" t="e">
        <f t="shared" si="2"/>
        <v>#VALUE!</v>
      </c>
      <c r="P24" s="98" t="str">
        <f t="shared" si="5"/>
        <v/>
      </c>
      <c r="Q24" s="98">
        <f t="shared" si="6"/>
        <v>0</v>
      </c>
      <c r="R24" s="98"/>
      <c r="S24" s="98"/>
      <c r="T24" s="98"/>
      <c r="U24" s="98"/>
      <c r="V24" s="98"/>
      <c r="X24" s="98"/>
    </row>
    <row r="25" spans="1:24" ht="17.100000000000001" customHeight="1">
      <c r="A25" s="117"/>
      <c r="B25" s="116"/>
      <c r="C25" s="116"/>
      <c r="D25" s="110"/>
      <c r="E25" s="110" t="str">
        <f t="shared" si="7"/>
        <v/>
      </c>
      <c r="F25" s="110" t="str">
        <f t="shared" si="8"/>
        <v/>
      </c>
      <c r="G25" s="110" t="str">
        <f t="shared" si="9"/>
        <v/>
      </c>
      <c r="H25" s="1116"/>
      <c r="I25" s="1117"/>
      <c r="J25" s="1118"/>
      <c r="K25" s="1119"/>
      <c r="L25" s="98">
        <f t="shared" si="1"/>
        <v>0</v>
      </c>
      <c r="M25" s="98">
        <f t="shared" si="3"/>
        <v>0</v>
      </c>
      <c r="N25" s="98">
        <f t="shared" si="4"/>
        <v>0</v>
      </c>
      <c r="O25" s="98" t="e">
        <f t="shared" si="2"/>
        <v>#VALUE!</v>
      </c>
      <c r="P25" s="98" t="str">
        <f t="shared" si="5"/>
        <v/>
      </c>
      <c r="Q25" s="98">
        <f t="shared" si="6"/>
        <v>0</v>
      </c>
      <c r="R25" s="98"/>
      <c r="S25" s="98"/>
      <c r="T25" s="98"/>
      <c r="U25" s="98"/>
      <c r="V25" s="98"/>
      <c r="X25" s="98"/>
    </row>
    <row r="26" spans="1:24" ht="17.100000000000001" customHeight="1">
      <c r="A26" s="115"/>
      <c r="B26" s="116"/>
      <c r="C26" s="116"/>
      <c r="D26" s="110"/>
      <c r="E26" s="110" t="str">
        <f t="shared" si="7"/>
        <v/>
      </c>
      <c r="F26" s="110" t="str">
        <f t="shared" si="8"/>
        <v/>
      </c>
      <c r="G26" s="110" t="str">
        <f t="shared" si="9"/>
        <v/>
      </c>
      <c r="H26" s="1116"/>
      <c r="I26" s="1117"/>
      <c r="J26" s="1118"/>
      <c r="K26" s="1119"/>
      <c r="L26" s="98">
        <f t="shared" si="1"/>
        <v>0</v>
      </c>
      <c r="M26" s="98">
        <f t="shared" si="3"/>
        <v>0</v>
      </c>
      <c r="N26" s="98">
        <f t="shared" si="4"/>
        <v>0</v>
      </c>
      <c r="O26" s="98" t="e">
        <f t="shared" si="2"/>
        <v>#VALUE!</v>
      </c>
      <c r="P26" s="98" t="str">
        <f t="shared" si="5"/>
        <v/>
      </c>
      <c r="Q26" s="98">
        <f t="shared" si="6"/>
        <v>0</v>
      </c>
      <c r="R26" s="98"/>
      <c r="S26" s="98"/>
      <c r="T26" s="98"/>
      <c r="U26" s="98"/>
      <c r="V26" s="98"/>
      <c r="X26" s="98"/>
    </row>
    <row r="27" spans="1:24" ht="17.100000000000001" customHeight="1">
      <c r="A27" s="115"/>
      <c r="B27" s="116"/>
      <c r="C27" s="116"/>
      <c r="D27" s="110"/>
      <c r="E27" s="110" t="str">
        <f t="shared" si="7"/>
        <v/>
      </c>
      <c r="F27" s="110" t="str">
        <f t="shared" si="8"/>
        <v/>
      </c>
      <c r="G27" s="110" t="str">
        <f t="shared" si="9"/>
        <v/>
      </c>
      <c r="H27" s="1116"/>
      <c r="I27" s="1117"/>
      <c r="J27" s="1118"/>
      <c r="K27" s="1119"/>
      <c r="L27" s="98">
        <f t="shared" si="1"/>
        <v>0</v>
      </c>
      <c r="M27" s="98">
        <f t="shared" si="3"/>
        <v>0</v>
      </c>
      <c r="N27" s="98">
        <f t="shared" si="4"/>
        <v>0</v>
      </c>
      <c r="O27" s="98" t="e">
        <f t="shared" si="2"/>
        <v>#VALUE!</v>
      </c>
      <c r="P27" s="98" t="str">
        <f t="shared" si="5"/>
        <v/>
      </c>
      <c r="Q27" s="98">
        <f t="shared" si="6"/>
        <v>0</v>
      </c>
      <c r="R27" s="98"/>
      <c r="S27" s="98"/>
      <c r="T27" s="98"/>
      <c r="U27" s="98"/>
      <c r="V27" s="98"/>
      <c r="X27" s="98"/>
    </row>
    <row r="28" spans="1:24" ht="17.100000000000001" customHeight="1">
      <c r="A28" s="115"/>
      <c r="B28" s="116"/>
      <c r="C28" s="116"/>
      <c r="D28" s="110"/>
      <c r="E28" s="110" t="str">
        <f t="shared" si="7"/>
        <v/>
      </c>
      <c r="F28" s="110" t="str">
        <f t="shared" si="8"/>
        <v/>
      </c>
      <c r="G28" s="110" t="str">
        <f t="shared" si="9"/>
        <v/>
      </c>
      <c r="H28" s="1116"/>
      <c r="I28" s="1117"/>
      <c r="J28" s="1118"/>
      <c r="K28" s="1119"/>
      <c r="L28" s="98">
        <f t="shared" si="1"/>
        <v>0</v>
      </c>
      <c r="M28" s="98">
        <f t="shared" si="3"/>
        <v>0</v>
      </c>
      <c r="N28" s="98">
        <f t="shared" si="4"/>
        <v>0</v>
      </c>
      <c r="O28" s="98" t="e">
        <f t="shared" si="2"/>
        <v>#VALUE!</v>
      </c>
      <c r="P28" s="98" t="str">
        <f t="shared" si="5"/>
        <v/>
      </c>
      <c r="Q28" s="98">
        <f t="shared" si="6"/>
        <v>0</v>
      </c>
      <c r="R28" s="98"/>
      <c r="S28" s="98"/>
      <c r="T28" s="98"/>
      <c r="U28" s="98"/>
      <c r="V28" s="98"/>
      <c r="X28" s="98"/>
    </row>
    <row r="29" spans="1:24" ht="17.100000000000001" customHeight="1">
      <c r="A29" s="115"/>
      <c r="B29" s="116"/>
      <c r="C29" s="116"/>
      <c r="D29" s="110"/>
      <c r="E29" s="110" t="str">
        <f t="shared" si="7"/>
        <v/>
      </c>
      <c r="F29" s="110" t="str">
        <f t="shared" si="8"/>
        <v/>
      </c>
      <c r="G29" s="110" t="str">
        <f t="shared" si="9"/>
        <v/>
      </c>
      <c r="H29" s="1116"/>
      <c r="I29" s="1117"/>
      <c r="J29" s="1118"/>
      <c r="K29" s="1119"/>
      <c r="L29" s="98">
        <f t="shared" si="1"/>
        <v>0</v>
      </c>
      <c r="M29" s="98">
        <f t="shared" si="3"/>
        <v>0</v>
      </c>
      <c r="N29" s="98">
        <f t="shared" si="4"/>
        <v>0</v>
      </c>
      <c r="O29" s="98" t="e">
        <f t="shared" si="2"/>
        <v>#VALUE!</v>
      </c>
      <c r="P29" s="98" t="str">
        <f t="shared" si="5"/>
        <v/>
      </c>
      <c r="Q29" s="98">
        <f t="shared" si="6"/>
        <v>0</v>
      </c>
      <c r="R29" s="98"/>
      <c r="S29" s="98"/>
      <c r="T29" s="98"/>
      <c r="U29" s="98"/>
      <c r="V29" s="98"/>
      <c r="X29" s="98"/>
    </row>
    <row r="30" spans="1:24" ht="17.100000000000001" customHeight="1">
      <c r="A30" s="115"/>
      <c r="B30" s="116"/>
      <c r="C30" s="116"/>
      <c r="D30" s="110"/>
      <c r="E30" s="110" t="str">
        <f t="shared" si="7"/>
        <v/>
      </c>
      <c r="F30" s="110" t="str">
        <f t="shared" si="8"/>
        <v/>
      </c>
      <c r="G30" s="110" t="str">
        <f t="shared" si="9"/>
        <v/>
      </c>
      <c r="H30" s="1116"/>
      <c r="I30" s="1117"/>
      <c r="J30" s="1118"/>
      <c r="K30" s="1119"/>
      <c r="L30" s="98">
        <f t="shared" si="1"/>
        <v>0</v>
      </c>
      <c r="M30" s="98">
        <f t="shared" si="3"/>
        <v>0</v>
      </c>
      <c r="N30" s="98">
        <f t="shared" si="4"/>
        <v>0</v>
      </c>
      <c r="O30" s="98" t="e">
        <f t="shared" si="2"/>
        <v>#VALUE!</v>
      </c>
      <c r="P30" s="98" t="str">
        <f t="shared" si="5"/>
        <v/>
      </c>
      <c r="Q30" s="98">
        <f t="shared" si="6"/>
        <v>0</v>
      </c>
      <c r="R30" s="98"/>
      <c r="S30" s="98"/>
      <c r="T30" s="98"/>
      <c r="U30" s="98"/>
      <c r="V30" s="98"/>
      <c r="X30" s="98"/>
    </row>
    <row r="31" spans="1:24" ht="17.100000000000001" customHeight="1">
      <c r="A31" s="115"/>
      <c r="B31" s="116"/>
      <c r="C31" s="116"/>
      <c r="D31" s="110"/>
      <c r="E31" s="110" t="str">
        <f t="shared" si="7"/>
        <v/>
      </c>
      <c r="F31" s="110" t="str">
        <f t="shared" si="8"/>
        <v/>
      </c>
      <c r="G31" s="110" t="str">
        <f t="shared" si="9"/>
        <v/>
      </c>
      <c r="H31" s="1116"/>
      <c r="I31" s="1117"/>
      <c r="J31" s="1118"/>
      <c r="K31" s="1119"/>
      <c r="L31" s="98">
        <f t="shared" si="1"/>
        <v>0</v>
      </c>
      <c r="M31" s="98">
        <f t="shared" si="3"/>
        <v>0</v>
      </c>
      <c r="N31" s="98">
        <f t="shared" si="4"/>
        <v>0</v>
      </c>
      <c r="O31" s="98" t="e">
        <f t="shared" si="2"/>
        <v>#VALUE!</v>
      </c>
      <c r="P31" s="98" t="str">
        <f t="shared" si="5"/>
        <v/>
      </c>
      <c r="Q31" s="98">
        <f t="shared" si="6"/>
        <v>0</v>
      </c>
      <c r="R31" s="98"/>
      <c r="S31" s="98"/>
      <c r="T31" s="98"/>
      <c r="U31" s="98"/>
      <c r="V31" s="98"/>
      <c r="X31" s="98"/>
    </row>
    <row r="32" spans="1:24" ht="17.100000000000001" customHeight="1">
      <c r="A32" s="115"/>
      <c r="B32" s="116"/>
      <c r="C32" s="116"/>
      <c r="D32" s="110"/>
      <c r="E32" s="110" t="str">
        <f t="shared" si="7"/>
        <v/>
      </c>
      <c r="F32" s="110" t="str">
        <f t="shared" si="8"/>
        <v/>
      </c>
      <c r="G32" s="110" t="str">
        <f t="shared" si="9"/>
        <v/>
      </c>
      <c r="H32" s="1116"/>
      <c r="I32" s="1117"/>
      <c r="J32" s="1118"/>
      <c r="K32" s="1119"/>
      <c r="L32" s="98">
        <f t="shared" si="1"/>
        <v>0</v>
      </c>
      <c r="M32" s="98">
        <f t="shared" si="3"/>
        <v>0</v>
      </c>
      <c r="N32" s="98">
        <f t="shared" si="4"/>
        <v>0</v>
      </c>
      <c r="O32" s="98" t="e">
        <f t="shared" si="2"/>
        <v>#VALUE!</v>
      </c>
      <c r="P32" s="98" t="str">
        <f t="shared" si="5"/>
        <v/>
      </c>
      <c r="Q32" s="98">
        <f t="shared" si="6"/>
        <v>0</v>
      </c>
      <c r="R32" s="98"/>
      <c r="S32" s="98"/>
      <c r="T32" s="98"/>
      <c r="U32" s="98"/>
      <c r="V32" s="98"/>
      <c r="X32" s="98"/>
    </row>
    <row r="33" spans="1:24" ht="17.100000000000001" customHeight="1">
      <c r="A33" s="115"/>
      <c r="B33" s="116"/>
      <c r="C33" s="116"/>
      <c r="D33" s="110"/>
      <c r="E33" s="110" t="str">
        <f t="shared" si="7"/>
        <v/>
      </c>
      <c r="F33" s="110" t="str">
        <f t="shared" si="8"/>
        <v/>
      </c>
      <c r="G33" s="110" t="str">
        <f t="shared" si="9"/>
        <v/>
      </c>
      <c r="H33" s="1116"/>
      <c r="I33" s="1117"/>
      <c r="J33" s="1118"/>
      <c r="K33" s="1119"/>
      <c r="L33" s="98">
        <f t="shared" si="1"/>
        <v>0</v>
      </c>
      <c r="M33" s="98">
        <f t="shared" si="3"/>
        <v>0</v>
      </c>
      <c r="N33" s="98">
        <f t="shared" si="4"/>
        <v>0</v>
      </c>
      <c r="O33" s="98" t="e">
        <f t="shared" si="2"/>
        <v>#VALUE!</v>
      </c>
      <c r="P33" s="98" t="str">
        <f t="shared" si="5"/>
        <v/>
      </c>
      <c r="Q33" s="98">
        <f t="shared" si="6"/>
        <v>0</v>
      </c>
      <c r="R33" s="98"/>
      <c r="S33" s="98"/>
      <c r="T33" s="98"/>
      <c r="U33" s="98"/>
      <c r="V33" s="98"/>
      <c r="X33" s="98"/>
    </row>
    <row r="34" spans="1:24" ht="17.100000000000001" customHeight="1">
      <c r="A34" s="115"/>
      <c r="B34" s="116"/>
      <c r="C34" s="116"/>
      <c r="D34" s="110"/>
      <c r="E34" s="110" t="str">
        <f t="shared" si="7"/>
        <v/>
      </c>
      <c r="F34" s="110" t="str">
        <f t="shared" si="8"/>
        <v/>
      </c>
      <c r="G34" s="110" t="str">
        <f t="shared" si="9"/>
        <v/>
      </c>
      <c r="H34" s="1116"/>
      <c r="I34" s="1117"/>
      <c r="J34" s="1118"/>
      <c r="K34" s="1119"/>
      <c r="L34" s="98">
        <f t="shared" si="1"/>
        <v>0</v>
      </c>
      <c r="M34" s="98">
        <f t="shared" si="3"/>
        <v>0</v>
      </c>
      <c r="N34" s="98">
        <f t="shared" si="4"/>
        <v>0</v>
      </c>
      <c r="O34" s="98" t="e">
        <f t="shared" si="2"/>
        <v>#VALUE!</v>
      </c>
      <c r="P34" s="98" t="str">
        <f t="shared" si="5"/>
        <v/>
      </c>
      <c r="Q34" s="98">
        <f t="shared" si="6"/>
        <v>0</v>
      </c>
      <c r="R34" s="98"/>
      <c r="S34" s="98"/>
      <c r="T34" s="98"/>
      <c r="U34" s="98"/>
      <c r="V34" s="98"/>
      <c r="X34" s="98"/>
    </row>
    <row r="35" spans="1:24" ht="17.100000000000001" customHeight="1">
      <c r="A35" s="115"/>
      <c r="B35" s="116"/>
      <c r="C35" s="116"/>
      <c r="D35" s="110"/>
      <c r="E35" s="110" t="str">
        <f t="shared" si="7"/>
        <v/>
      </c>
      <c r="F35" s="110" t="str">
        <f t="shared" si="8"/>
        <v/>
      </c>
      <c r="G35" s="110" t="str">
        <f t="shared" si="9"/>
        <v/>
      </c>
      <c r="H35" s="1116"/>
      <c r="I35" s="1117"/>
      <c r="J35" s="1118"/>
      <c r="K35" s="1119"/>
      <c r="L35" s="98">
        <f t="shared" si="1"/>
        <v>0</v>
      </c>
      <c r="M35" s="98">
        <f t="shared" si="3"/>
        <v>0</v>
      </c>
      <c r="N35" s="98">
        <f t="shared" si="4"/>
        <v>0</v>
      </c>
      <c r="O35" s="98" t="e">
        <f t="shared" si="2"/>
        <v>#VALUE!</v>
      </c>
      <c r="P35" s="98" t="str">
        <f t="shared" si="5"/>
        <v/>
      </c>
      <c r="Q35" s="98">
        <f t="shared" si="6"/>
        <v>0</v>
      </c>
      <c r="R35" s="98"/>
      <c r="S35" s="98"/>
      <c r="T35" s="98"/>
      <c r="U35" s="98"/>
      <c r="V35" s="98"/>
      <c r="X35" s="98"/>
    </row>
    <row r="36" spans="1:24" ht="17.100000000000001" customHeight="1">
      <c r="A36" s="115"/>
      <c r="B36" s="116"/>
      <c r="C36" s="116"/>
      <c r="D36" s="110"/>
      <c r="E36" s="110" t="str">
        <f t="shared" si="7"/>
        <v/>
      </c>
      <c r="F36" s="110" t="str">
        <f t="shared" si="8"/>
        <v/>
      </c>
      <c r="G36" s="110" t="str">
        <f t="shared" si="9"/>
        <v/>
      </c>
      <c r="H36" s="1116"/>
      <c r="I36" s="1117"/>
      <c r="J36" s="1118"/>
      <c r="K36" s="1119"/>
      <c r="L36" s="98">
        <f t="shared" si="1"/>
        <v>0</v>
      </c>
      <c r="M36" s="98">
        <f t="shared" si="3"/>
        <v>0</v>
      </c>
      <c r="N36" s="98">
        <f t="shared" si="4"/>
        <v>0</v>
      </c>
      <c r="O36" s="98" t="e">
        <f t="shared" si="2"/>
        <v>#VALUE!</v>
      </c>
      <c r="P36" s="98" t="str">
        <f t="shared" si="5"/>
        <v/>
      </c>
      <c r="Q36" s="98">
        <f t="shared" si="6"/>
        <v>0</v>
      </c>
      <c r="R36" s="98"/>
      <c r="S36" s="98"/>
      <c r="T36" s="98"/>
      <c r="U36" s="98"/>
      <c r="V36" s="98"/>
      <c r="X36" s="98"/>
    </row>
    <row r="37" spans="1:24" ht="17.100000000000001" customHeight="1">
      <c r="A37" s="115"/>
      <c r="B37" s="116"/>
      <c r="C37" s="116"/>
      <c r="D37" s="110"/>
      <c r="E37" s="110" t="str">
        <f t="shared" si="7"/>
        <v/>
      </c>
      <c r="F37" s="110" t="str">
        <f t="shared" si="8"/>
        <v/>
      </c>
      <c r="G37" s="110" t="str">
        <f t="shared" si="9"/>
        <v/>
      </c>
      <c r="H37" s="1116"/>
      <c r="I37" s="1117"/>
      <c r="J37" s="1118"/>
      <c r="K37" s="1119"/>
      <c r="L37" s="98">
        <f t="shared" si="1"/>
        <v>0</v>
      </c>
      <c r="M37" s="98">
        <f t="shared" si="3"/>
        <v>0</v>
      </c>
      <c r="N37" s="98">
        <f t="shared" si="4"/>
        <v>0</v>
      </c>
      <c r="O37" s="98" t="e">
        <f t="shared" si="2"/>
        <v>#VALUE!</v>
      </c>
      <c r="P37" s="98" t="str">
        <f t="shared" si="5"/>
        <v/>
      </c>
      <c r="Q37" s="98">
        <f t="shared" si="6"/>
        <v>0</v>
      </c>
      <c r="R37" s="98"/>
      <c r="S37" s="98"/>
      <c r="T37" s="98"/>
      <c r="U37" s="98"/>
      <c r="V37" s="98"/>
      <c r="X37" s="98"/>
    </row>
    <row r="38" spans="1:24" ht="17.100000000000001" customHeight="1">
      <c r="A38" s="115"/>
      <c r="B38" s="116"/>
      <c r="C38" s="116"/>
      <c r="D38" s="110"/>
      <c r="E38" s="110" t="str">
        <f t="shared" si="7"/>
        <v/>
      </c>
      <c r="F38" s="110" t="str">
        <f t="shared" si="8"/>
        <v/>
      </c>
      <c r="G38" s="110" t="str">
        <f t="shared" si="9"/>
        <v/>
      </c>
      <c r="H38" s="1116"/>
      <c r="I38" s="1117"/>
      <c r="J38" s="1118"/>
      <c r="K38" s="1119"/>
      <c r="L38" s="98">
        <f t="shared" si="1"/>
        <v>0</v>
      </c>
      <c r="M38" s="98">
        <f t="shared" si="3"/>
        <v>0</v>
      </c>
      <c r="N38" s="98">
        <f t="shared" si="4"/>
        <v>0</v>
      </c>
      <c r="O38" s="98" t="e">
        <f t="shared" si="2"/>
        <v>#VALUE!</v>
      </c>
      <c r="P38" s="98" t="str">
        <f t="shared" si="5"/>
        <v/>
      </c>
      <c r="Q38" s="98">
        <f t="shared" si="6"/>
        <v>0</v>
      </c>
      <c r="R38" s="98"/>
      <c r="S38" s="98"/>
      <c r="T38" s="98"/>
      <c r="U38" s="98"/>
      <c r="V38" s="98"/>
      <c r="X38" s="98"/>
    </row>
    <row r="39" spans="1:24" ht="17.100000000000001" customHeight="1">
      <c r="A39" s="117"/>
      <c r="B39" s="116"/>
      <c r="C39" s="116"/>
      <c r="D39" s="110"/>
      <c r="E39" s="110" t="str">
        <f t="shared" si="7"/>
        <v/>
      </c>
      <c r="F39" s="110" t="str">
        <f t="shared" si="8"/>
        <v/>
      </c>
      <c r="G39" s="110" t="str">
        <f t="shared" si="9"/>
        <v/>
      </c>
      <c r="H39" s="1116"/>
      <c r="I39" s="1117"/>
      <c r="J39" s="1118"/>
      <c r="K39" s="1119"/>
      <c r="L39" s="98">
        <f t="shared" si="1"/>
        <v>0</v>
      </c>
      <c r="M39" s="98">
        <f t="shared" si="3"/>
        <v>0</v>
      </c>
      <c r="N39" s="98">
        <f t="shared" si="4"/>
        <v>0</v>
      </c>
      <c r="O39" s="98" t="e">
        <f t="shared" si="2"/>
        <v>#VALUE!</v>
      </c>
      <c r="P39" s="98" t="str">
        <f t="shared" si="5"/>
        <v/>
      </c>
      <c r="Q39" s="98">
        <f t="shared" si="6"/>
        <v>0</v>
      </c>
      <c r="R39" s="98"/>
      <c r="S39" s="98"/>
      <c r="T39" s="98"/>
      <c r="U39" s="98"/>
      <c r="V39" s="98"/>
      <c r="X39" s="98"/>
    </row>
    <row r="40" spans="1:24" ht="17.100000000000001" customHeight="1">
      <c r="A40" s="117"/>
      <c r="B40" s="116"/>
      <c r="C40" s="116"/>
      <c r="D40" s="110"/>
      <c r="E40" s="110" t="str">
        <f t="shared" si="7"/>
        <v/>
      </c>
      <c r="F40" s="110" t="str">
        <f t="shared" si="8"/>
        <v/>
      </c>
      <c r="G40" s="110" t="str">
        <f t="shared" si="9"/>
        <v/>
      </c>
      <c r="H40" s="1116"/>
      <c r="I40" s="1117"/>
      <c r="J40" s="1118"/>
      <c r="K40" s="1119"/>
      <c r="L40" s="98">
        <f t="shared" si="1"/>
        <v>0</v>
      </c>
      <c r="M40" s="98">
        <f t="shared" si="3"/>
        <v>0</v>
      </c>
      <c r="N40" s="98">
        <f t="shared" si="4"/>
        <v>0</v>
      </c>
      <c r="O40" s="98" t="e">
        <f t="shared" si="2"/>
        <v>#VALUE!</v>
      </c>
      <c r="P40" s="98" t="str">
        <f t="shared" si="5"/>
        <v/>
      </c>
      <c r="Q40" s="98">
        <f t="shared" si="6"/>
        <v>0</v>
      </c>
      <c r="R40" s="98"/>
      <c r="S40" s="98"/>
      <c r="T40" s="98"/>
      <c r="U40" s="98"/>
      <c r="V40" s="98"/>
      <c r="X40" s="98"/>
    </row>
    <row r="41" spans="1:24" ht="17.100000000000001" customHeight="1">
      <c r="A41" s="117"/>
      <c r="B41" s="116"/>
      <c r="C41" s="116"/>
      <c r="D41" s="110"/>
      <c r="E41" s="110" t="str">
        <f t="shared" si="7"/>
        <v/>
      </c>
      <c r="F41" s="110" t="str">
        <f t="shared" si="8"/>
        <v/>
      </c>
      <c r="G41" s="110" t="str">
        <f t="shared" si="9"/>
        <v/>
      </c>
      <c r="H41" s="1116"/>
      <c r="I41" s="1117"/>
      <c r="J41" s="1118"/>
      <c r="K41" s="1119"/>
      <c r="L41" s="98">
        <f t="shared" si="1"/>
        <v>0</v>
      </c>
      <c r="M41" s="98">
        <f t="shared" si="3"/>
        <v>0</v>
      </c>
      <c r="N41" s="98">
        <f t="shared" si="4"/>
        <v>0</v>
      </c>
      <c r="O41" s="98" t="e">
        <f t="shared" si="2"/>
        <v>#VALUE!</v>
      </c>
      <c r="P41" s="98" t="str">
        <f t="shared" si="5"/>
        <v/>
      </c>
      <c r="Q41" s="98">
        <f t="shared" si="6"/>
        <v>0</v>
      </c>
      <c r="R41" s="98"/>
      <c r="S41" s="98"/>
      <c r="T41" s="98"/>
      <c r="U41" s="98"/>
      <c r="V41" s="98"/>
      <c r="X41" s="98"/>
    </row>
    <row r="42" spans="1:24" ht="17.100000000000001" customHeight="1">
      <c r="A42" s="117"/>
      <c r="B42" s="116"/>
      <c r="C42" s="116"/>
      <c r="D42" s="110"/>
      <c r="E42" s="110" t="str">
        <f t="shared" si="7"/>
        <v/>
      </c>
      <c r="F42" s="110" t="str">
        <f t="shared" si="8"/>
        <v/>
      </c>
      <c r="G42" s="110" t="str">
        <f t="shared" si="9"/>
        <v/>
      </c>
      <c r="H42" s="1116"/>
      <c r="I42" s="1117"/>
      <c r="J42" s="1118"/>
      <c r="K42" s="1119"/>
      <c r="L42" s="98">
        <f t="shared" si="1"/>
        <v>0</v>
      </c>
      <c r="M42" s="98">
        <f t="shared" si="3"/>
        <v>0</v>
      </c>
      <c r="N42" s="98">
        <f t="shared" si="4"/>
        <v>0</v>
      </c>
      <c r="O42" s="98" t="e">
        <f t="shared" si="2"/>
        <v>#VALUE!</v>
      </c>
      <c r="P42" s="98" t="str">
        <f t="shared" si="5"/>
        <v/>
      </c>
      <c r="Q42" s="98">
        <f t="shared" si="6"/>
        <v>0</v>
      </c>
      <c r="R42" s="98"/>
      <c r="S42" s="98"/>
      <c r="T42" s="98"/>
      <c r="U42" s="98"/>
      <c r="V42" s="98"/>
      <c r="X42" s="98"/>
    </row>
    <row r="43" spans="1:24" s="123" customFormat="1" ht="17.100000000000001" customHeight="1">
      <c r="A43" s="118" t="s">
        <v>504</v>
      </c>
      <c r="B43" s="119">
        <v>2440</v>
      </c>
      <c r="C43" s="119"/>
      <c r="D43" s="120"/>
      <c r="E43" s="121">
        <f t="shared" ref="E43:G50" si="10">B43</f>
        <v>2440</v>
      </c>
      <c r="F43" s="121">
        <f t="shared" si="10"/>
        <v>0</v>
      </c>
      <c r="G43" s="121">
        <f t="shared" si="10"/>
        <v>0</v>
      </c>
      <c r="H43" s="1134" t="s">
        <v>505</v>
      </c>
      <c r="I43" s="1135"/>
      <c r="J43" s="1134"/>
      <c r="K43" s="1136"/>
      <c r="L43" s="122">
        <f t="shared" si="1"/>
        <v>0</v>
      </c>
      <c r="M43" s="122">
        <f>(B43+18*2+170)*(C43+18*2+170)*D43/1000000</f>
        <v>0</v>
      </c>
      <c r="N43" s="122">
        <f>B43*C43*D43/1000000/2.97/0.85</f>
        <v>0</v>
      </c>
      <c r="O43" s="122">
        <f t="shared" si="2"/>
        <v>0</v>
      </c>
      <c r="P43" s="122">
        <f>G43</f>
        <v>0</v>
      </c>
      <c r="Q43" s="122"/>
      <c r="R43" s="122"/>
      <c r="S43" s="122"/>
      <c r="T43" s="122">
        <f>(B43+18*2)*(C43+18*2)*D43/1000000</f>
        <v>0</v>
      </c>
      <c r="U43" s="122"/>
      <c r="V43" s="122"/>
      <c r="X43" s="122"/>
    </row>
    <row r="44" spans="1:24" ht="17.100000000000001" hidden="1" customHeight="1">
      <c r="A44" s="124" t="s">
        <v>506</v>
      </c>
      <c r="B44" s="116">
        <v>50</v>
      </c>
      <c r="C44" s="116">
        <v>720</v>
      </c>
      <c r="D44" s="110"/>
      <c r="E44" s="110">
        <f t="shared" si="10"/>
        <v>50</v>
      </c>
      <c r="F44" s="110">
        <f t="shared" si="10"/>
        <v>720</v>
      </c>
      <c r="G44" s="110">
        <f t="shared" si="10"/>
        <v>0</v>
      </c>
      <c r="H44" s="1132" t="s">
        <v>507</v>
      </c>
      <c r="I44" s="1133"/>
      <c r="J44" s="1118"/>
      <c r="K44" s="1119"/>
      <c r="L44" s="98">
        <f t="shared" si="1"/>
        <v>0</v>
      </c>
      <c r="M44" s="98">
        <f>(B44+18*2+170)*(C44+18*2+170)*D44/1000000</f>
        <v>0</v>
      </c>
      <c r="N44" s="98">
        <f>B44*C44*D44/1000000/2.97/0.85</f>
        <v>0</v>
      </c>
      <c r="O44" s="98">
        <f t="shared" si="2"/>
        <v>0</v>
      </c>
      <c r="P44" s="98">
        <f>G44</f>
        <v>0</v>
      </c>
      <c r="Q44" s="98"/>
      <c r="R44" s="98"/>
      <c r="S44" s="98">
        <f>(B44+18*2)*(C44+18*2)*D44/1000000</f>
        <v>0</v>
      </c>
      <c r="T44" s="98"/>
      <c r="U44" s="98"/>
      <c r="V44" s="98"/>
      <c r="X44" s="98"/>
    </row>
    <row r="45" spans="1:24" ht="17.100000000000001" customHeight="1">
      <c r="A45" s="124" t="s">
        <v>506</v>
      </c>
      <c r="B45" s="116">
        <v>50</v>
      </c>
      <c r="C45" s="116">
        <v>720</v>
      </c>
      <c r="D45" s="110"/>
      <c r="E45" s="110">
        <f t="shared" si="10"/>
        <v>50</v>
      </c>
      <c r="F45" s="110">
        <f t="shared" si="10"/>
        <v>720</v>
      </c>
      <c r="G45" s="110">
        <f t="shared" si="10"/>
        <v>0</v>
      </c>
      <c r="H45" s="1132" t="s">
        <v>507</v>
      </c>
      <c r="I45" s="1133"/>
      <c r="J45" s="1118"/>
      <c r="K45" s="1119"/>
      <c r="L45" s="98">
        <f t="shared" si="1"/>
        <v>0</v>
      </c>
      <c r="M45" s="98">
        <f t="shared" si="3"/>
        <v>0</v>
      </c>
      <c r="N45" s="98">
        <f t="shared" si="4"/>
        <v>0</v>
      </c>
      <c r="O45" s="98">
        <f t="shared" si="2"/>
        <v>0</v>
      </c>
      <c r="P45" s="98">
        <f t="shared" si="5"/>
        <v>0</v>
      </c>
      <c r="Q45" s="98"/>
      <c r="R45" s="98"/>
      <c r="S45" s="98">
        <f>(B45+18*2)*(C45+18*2)*D45/1000000</f>
        <v>0</v>
      </c>
      <c r="T45" s="98"/>
      <c r="U45" s="98"/>
      <c r="V45" s="98"/>
      <c r="X45" s="98"/>
    </row>
    <row r="46" spans="1:24" ht="17.100000000000001" customHeight="1">
      <c r="A46" s="124" t="s">
        <v>506</v>
      </c>
      <c r="B46" s="116">
        <v>50</v>
      </c>
      <c r="C46" s="116">
        <v>2160</v>
      </c>
      <c r="D46" s="110"/>
      <c r="E46" s="110">
        <f t="shared" si="10"/>
        <v>50</v>
      </c>
      <c r="F46" s="110">
        <f t="shared" si="10"/>
        <v>2160</v>
      </c>
      <c r="G46" s="110">
        <f t="shared" si="10"/>
        <v>0</v>
      </c>
      <c r="H46" s="1132" t="s">
        <v>507</v>
      </c>
      <c r="I46" s="1133"/>
      <c r="J46" s="1118"/>
      <c r="K46" s="1119"/>
      <c r="L46" s="98">
        <f t="shared" si="1"/>
        <v>0</v>
      </c>
      <c r="M46" s="98">
        <f t="shared" si="3"/>
        <v>0</v>
      </c>
      <c r="N46" s="98">
        <f t="shared" si="4"/>
        <v>0</v>
      </c>
      <c r="O46" s="98">
        <f t="shared" si="2"/>
        <v>0</v>
      </c>
      <c r="P46" s="98">
        <f t="shared" si="5"/>
        <v>0</v>
      </c>
      <c r="Q46" s="98"/>
      <c r="R46" s="98"/>
      <c r="S46" s="98">
        <f>(B46+18*2)*(C46+18*2)*D46/1000000</f>
        <v>0</v>
      </c>
      <c r="T46" s="98"/>
      <c r="U46" s="98"/>
      <c r="V46" s="98"/>
      <c r="X46" s="98"/>
    </row>
    <row r="47" spans="1:24" ht="17.100000000000001" hidden="1" customHeight="1">
      <c r="A47" s="124" t="s">
        <v>508</v>
      </c>
      <c r="B47" s="116">
        <v>50</v>
      </c>
      <c r="C47" s="116">
        <v>60</v>
      </c>
      <c r="D47" s="110"/>
      <c r="E47" s="110">
        <f>C47+2</f>
        <v>62</v>
      </c>
      <c r="F47" s="110">
        <v>2400</v>
      </c>
      <c r="G47" s="110">
        <v>1</v>
      </c>
      <c r="H47" s="1132" t="s">
        <v>507</v>
      </c>
      <c r="I47" s="1133"/>
      <c r="J47" s="1118"/>
      <c r="K47" s="1119"/>
      <c r="L47" s="98">
        <f t="shared" si="1"/>
        <v>0</v>
      </c>
      <c r="M47" s="98">
        <f>(B47+18*2+170)*(C47+18*2+170)*D47/1000000</f>
        <v>0</v>
      </c>
      <c r="N47" s="98">
        <f t="shared" si="4"/>
        <v>0</v>
      </c>
      <c r="O47" s="98">
        <f t="shared" si="2"/>
        <v>0.27499999999999997</v>
      </c>
      <c r="P47" s="98">
        <f>G47</f>
        <v>1</v>
      </c>
      <c r="Q47" s="98"/>
      <c r="R47" s="98">
        <f>(B47+18*2)*(C47+18*2)*D47/1000000</f>
        <v>0</v>
      </c>
      <c r="S47" s="98"/>
      <c r="T47" s="98"/>
      <c r="U47" s="98"/>
      <c r="V47" s="98"/>
      <c r="X47" s="98"/>
    </row>
    <row r="48" spans="1:24" ht="17.100000000000001" customHeight="1">
      <c r="A48" s="124" t="s">
        <v>508</v>
      </c>
      <c r="B48" s="116">
        <v>50</v>
      </c>
      <c r="C48" s="116">
        <f>C43</f>
        <v>0</v>
      </c>
      <c r="D48" s="110"/>
      <c r="E48" s="110">
        <f>C48+2</f>
        <v>2</v>
      </c>
      <c r="F48" s="110">
        <v>2400</v>
      </c>
      <c r="G48" s="110">
        <v>1</v>
      </c>
      <c r="H48" s="1132" t="s">
        <v>507</v>
      </c>
      <c r="I48" s="1133"/>
      <c r="J48" s="1118" t="str">
        <f>+IF(C6=$M$7,"","半成品")</f>
        <v>半成品</v>
      </c>
      <c r="K48" s="1119"/>
      <c r="L48" s="98">
        <f t="shared" si="1"/>
        <v>0</v>
      </c>
      <c r="M48" s="98">
        <f t="shared" si="3"/>
        <v>0</v>
      </c>
      <c r="N48" s="98">
        <f t="shared" si="4"/>
        <v>0</v>
      </c>
      <c r="O48" s="98">
        <f t="shared" si="2"/>
        <v>0.125</v>
      </c>
      <c r="P48" s="98">
        <f>G48</f>
        <v>1</v>
      </c>
      <c r="Q48" s="98"/>
      <c r="R48" s="98">
        <f>(B48+18*2)*(C48+18*2)*D48/1000000</f>
        <v>0</v>
      </c>
      <c r="S48" s="98"/>
      <c r="T48" s="98"/>
      <c r="U48" s="98"/>
      <c r="V48" s="98"/>
      <c r="X48" s="98"/>
    </row>
    <row r="49" spans="1:24" ht="17.100000000000001" customHeight="1">
      <c r="A49" s="125" t="s">
        <v>509</v>
      </c>
      <c r="B49" s="116">
        <v>42</v>
      </c>
      <c r="C49" s="116">
        <v>42</v>
      </c>
      <c r="D49" s="110"/>
      <c r="E49" s="110">
        <f t="shared" si="10"/>
        <v>42</v>
      </c>
      <c r="F49" s="110">
        <f t="shared" si="10"/>
        <v>42</v>
      </c>
      <c r="G49" s="110">
        <f t="shared" si="10"/>
        <v>0</v>
      </c>
      <c r="H49" s="1132" t="s">
        <v>510</v>
      </c>
      <c r="I49" s="1133"/>
      <c r="J49" s="1118" t="str">
        <f>+IF(C6=$M$7,"","半成品")</f>
        <v>半成品</v>
      </c>
      <c r="K49" s="1119"/>
      <c r="L49" s="98">
        <f t="shared" si="1"/>
        <v>0</v>
      </c>
      <c r="M49" s="98"/>
      <c r="N49" s="98">
        <f t="shared" si="4"/>
        <v>0</v>
      </c>
      <c r="O49" s="98">
        <f t="shared" si="2"/>
        <v>0</v>
      </c>
      <c r="P49" s="98"/>
      <c r="Q49" s="98"/>
      <c r="R49" s="98"/>
      <c r="S49" s="98"/>
      <c r="T49" s="98"/>
      <c r="U49" s="98"/>
      <c r="V49" s="98"/>
      <c r="X49" s="98"/>
    </row>
    <row r="50" spans="1:24" ht="17.100000000000001" customHeight="1">
      <c r="A50" s="1126" t="s">
        <v>511</v>
      </c>
      <c r="B50" s="1128"/>
      <c r="C50" s="1128"/>
      <c r="D50" s="1130"/>
      <c r="E50" s="110">
        <v>2440</v>
      </c>
      <c r="F50" s="110">
        <v>85</v>
      </c>
      <c r="G50" s="110">
        <f t="shared" si="10"/>
        <v>0</v>
      </c>
      <c r="H50" s="1132" t="s">
        <v>507</v>
      </c>
      <c r="I50" s="1133"/>
      <c r="J50" s="1118" t="str">
        <f>+IF(C7=$M$7,"","半成品")</f>
        <v>半成品</v>
      </c>
      <c r="K50" s="1119"/>
      <c r="L50" s="98">
        <f t="shared" si="1"/>
        <v>0</v>
      </c>
      <c r="M50" s="98">
        <f>(E50+18*2+170)*(F50+18*2+170)*G50/1000000</f>
        <v>0</v>
      </c>
      <c r="N50" s="98">
        <f t="shared" si="4"/>
        <v>0</v>
      </c>
      <c r="O50" s="98">
        <f t="shared" si="2"/>
        <v>0</v>
      </c>
      <c r="P50" s="98">
        <f t="shared" si="5"/>
        <v>0</v>
      </c>
      <c r="Q50" s="98"/>
      <c r="R50" s="98"/>
      <c r="S50" s="98">
        <f>(E50+18*2)*(F50+18*2)*G50/1000000</f>
        <v>0</v>
      </c>
      <c r="T50" s="98"/>
      <c r="U50" s="98"/>
      <c r="V50" s="98"/>
      <c r="X50" s="98"/>
    </row>
    <row r="51" spans="1:24" ht="17.100000000000001" customHeight="1">
      <c r="A51" s="1127"/>
      <c r="B51" s="1129"/>
      <c r="C51" s="1129"/>
      <c r="D51" s="1131"/>
      <c r="E51" s="110">
        <v>2440</v>
      </c>
      <c r="F51" s="110">
        <v>60</v>
      </c>
      <c r="G51" s="110">
        <f>+D50</f>
        <v>0</v>
      </c>
      <c r="H51" s="1132" t="s">
        <v>512</v>
      </c>
      <c r="I51" s="1133"/>
      <c r="J51" s="1118" t="str">
        <f>+IF(C8=$M$7,"","半成品")</f>
        <v>半成品</v>
      </c>
      <c r="K51" s="1119"/>
      <c r="L51" s="98">
        <f t="shared" si="1"/>
        <v>0</v>
      </c>
      <c r="M51" s="98">
        <f>(E51+18*2+170)*(F51+18*2+170)*G51/1000000</f>
        <v>0</v>
      </c>
      <c r="N51" s="98">
        <f t="shared" si="4"/>
        <v>0</v>
      </c>
      <c r="O51" s="98">
        <f t="shared" si="2"/>
        <v>0</v>
      </c>
      <c r="P51" s="98">
        <f t="shared" si="5"/>
        <v>0</v>
      </c>
      <c r="Q51" s="98"/>
      <c r="R51" s="98"/>
      <c r="S51" s="98">
        <f>(E51+18*2)*(F51+18*2)*G51/1000000</f>
        <v>0</v>
      </c>
      <c r="T51" s="98"/>
      <c r="U51" s="98"/>
      <c r="V51" s="98"/>
      <c r="X51" s="98"/>
    </row>
    <row r="52" spans="1:24" ht="17.100000000000001" customHeight="1">
      <c r="A52" s="126"/>
      <c r="B52" s="116"/>
      <c r="C52" s="116"/>
      <c r="D52" s="110"/>
      <c r="E52" s="110"/>
      <c r="F52" s="110"/>
      <c r="G52" s="110"/>
      <c r="H52" s="1116"/>
      <c r="I52" s="1117"/>
      <c r="J52" s="1118" t="s">
        <v>513</v>
      </c>
      <c r="K52" s="1119"/>
      <c r="L52" s="98">
        <f t="shared" si="1"/>
        <v>0</v>
      </c>
      <c r="M52" s="98">
        <f t="shared" si="3"/>
        <v>0</v>
      </c>
      <c r="N52" s="98">
        <f t="shared" si="4"/>
        <v>0</v>
      </c>
      <c r="O52" s="98">
        <f t="shared" si="2"/>
        <v>0</v>
      </c>
      <c r="P52" s="98">
        <f t="shared" si="5"/>
        <v>0</v>
      </c>
      <c r="Q52" s="98"/>
      <c r="R52" s="98"/>
      <c r="S52" s="98"/>
      <c r="T52" s="98"/>
      <c r="U52" s="98"/>
      <c r="V52" s="98"/>
      <c r="X52" s="98"/>
    </row>
    <row r="53" spans="1:24" ht="17.100000000000001" customHeight="1" thickBot="1">
      <c r="A53" s="127"/>
      <c r="B53" s="128"/>
      <c r="C53" s="128"/>
      <c r="D53" s="128"/>
      <c r="E53" s="128"/>
      <c r="F53" s="128"/>
      <c r="G53" s="128"/>
      <c r="H53" s="1120"/>
      <c r="I53" s="1121"/>
      <c r="J53" s="1122"/>
      <c r="K53" s="1123"/>
      <c r="L53" s="98">
        <f t="shared" si="1"/>
        <v>0</v>
      </c>
      <c r="M53" s="98">
        <f t="shared" si="3"/>
        <v>0</v>
      </c>
      <c r="N53" s="98">
        <f t="shared" si="4"/>
        <v>0</v>
      </c>
      <c r="O53" s="98">
        <f t="shared" si="2"/>
        <v>0</v>
      </c>
      <c r="P53" s="98">
        <f t="shared" si="5"/>
        <v>0</v>
      </c>
      <c r="Q53" s="98"/>
      <c r="R53" s="98"/>
      <c r="S53" s="98"/>
      <c r="T53" s="98"/>
      <c r="U53" s="98"/>
      <c r="V53" s="98"/>
      <c r="X53" s="98"/>
    </row>
    <row r="54" spans="1:24" ht="17.100000000000001" customHeight="1">
      <c r="A54" s="1124" t="s">
        <v>514</v>
      </c>
      <c r="B54" s="1124"/>
      <c r="C54" s="1124"/>
      <c r="D54" s="1124"/>
      <c r="E54" s="1124"/>
      <c r="F54" s="1124"/>
      <c r="G54" s="1124"/>
      <c r="H54" s="1124"/>
      <c r="I54" s="1124"/>
      <c r="J54" s="1124"/>
      <c r="K54" s="1124"/>
      <c r="L54" s="98">
        <f>SUM(L10:L53)</f>
        <v>1.0201E-2</v>
      </c>
      <c r="M54" s="98">
        <f t="shared" ref="M54:T54" si="11">SUM(M10:M53)</f>
        <v>9.589700000000001E-2</v>
      </c>
      <c r="N54" s="98">
        <f t="shared" si="11"/>
        <v>4.0408001584472169E-3</v>
      </c>
      <c r="O54" s="98" t="e">
        <f>SUM(O10:O53)</f>
        <v>#VALUE!</v>
      </c>
      <c r="P54" s="98">
        <f t="shared" si="11"/>
        <v>5</v>
      </c>
      <c r="Q54" s="98">
        <f t="shared" si="11"/>
        <v>6.8170000000000001E-3</v>
      </c>
      <c r="R54" s="98">
        <f t="shared" si="11"/>
        <v>0</v>
      </c>
      <c r="S54" s="98">
        <f>SUM(S10:S53)</f>
        <v>0</v>
      </c>
      <c r="T54" s="98">
        <f t="shared" si="11"/>
        <v>0</v>
      </c>
      <c r="U54" s="98"/>
      <c r="V54" s="98"/>
      <c r="X54" s="98"/>
    </row>
    <row r="55" spans="1:24" s="132" customFormat="1" ht="20.100000000000001" customHeight="1">
      <c r="A55" s="129"/>
      <c r="B55" s="1125" t="s">
        <v>515</v>
      </c>
      <c r="C55" s="1125"/>
      <c r="D55" s="1125"/>
      <c r="E55" s="1125"/>
      <c r="F55" s="1125"/>
      <c r="G55" s="1125"/>
      <c r="H55" s="1125"/>
      <c r="I55" s="1125"/>
      <c r="J55" s="100"/>
      <c r="K55" s="130"/>
      <c r="L55" s="131"/>
      <c r="M55" s="131"/>
      <c r="N55" s="131"/>
      <c r="O55" s="131"/>
      <c r="P55" s="131"/>
      <c r="Q55" s="131">
        <f>Q54*72+R54*122+S54*152+T54*50</f>
        <v>0.49082400000000004</v>
      </c>
      <c r="R55" s="131"/>
      <c r="S55" s="131"/>
      <c r="T55" s="131"/>
      <c r="U55" s="131"/>
      <c r="V55" s="131"/>
      <c r="X55" s="131"/>
    </row>
    <row r="56" spans="1:24" ht="21" customHeight="1">
      <c r="A56" s="1111" t="s">
        <v>516</v>
      </c>
      <c r="B56" s="1111"/>
      <c r="C56" s="1111"/>
      <c r="D56" s="1111"/>
      <c r="E56" s="1111"/>
      <c r="F56" s="1111"/>
      <c r="G56" s="1111"/>
      <c r="H56" s="1111"/>
      <c r="I56" s="1111"/>
      <c r="J56" s="1111"/>
      <c r="K56" s="1111"/>
      <c r="L56" s="98"/>
      <c r="M56" s="98"/>
      <c r="N56" s="98"/>
      <c r="O56" s="98"/>
      <c r="P56" s="98"/>
      <c r="Q56" s="98"/>
      <c r="R56" s="98"/>
      <c r="S56" s="98"/>
      <c r="T56" s="98"/>
      <c r="U56" s="98"/>
      <c r="V56" s="98"/>
      <c r="W56" s="98"/>
      <c r="X56" s="98"/>
    </row>
    <row r="57" spans="1:24" ht="13.5" customHeight="1">
      <c r="A57" s="133"/>
      <c r="B57" s="134"/>
      <c r="C57" s="132"/>
      <c r="D57" s="132"/>
      <c r="E57" s="132"/>
      <c r="F57" s="135"/>
      <c r="G57" s="136"/>
      <c r="H57" s="135"/>
      <c r="I57" s="137"/>
      <c r="J57" s="137"/>
      <c r="K57" s="138"/>
    </row>
    <row r="58" spans="1:24" ht="18" customHeight="1">
      <c r="A58" s="139" t="s">
        <v>517</v>
      </c>
      <c r="B58" s="1112" t="s">
        <v>1257</v>
      </c>
      <c r="C58" s="1113"/>
      <c r="D58" s="140"/>
      <c r="E58" s="141"/>
      <c r="F58" s="1114"/>
      <c r="G58" s="1114"/>
      <c r="H58" s="140"/>
      <c r="I58" s="137"/>
      <c r="J58" s="137"/>
    </row>
    <row r="59" spans="1:24" ht="21">
      <c r="A59" s="142"/>
      <c r="B59" s="1115"/>
      <c r="C59" s="1115"/>
      <c r="D59" s="143"/>
      <c r="E59" s="137"/>
      <c r="F59" s="143"/>
      <c r="G59" s="144"/>
      <c r="H59" s="143"/>
      <c r="I59" s="145"/>
      <c r="J59" s="145"/>
      <c r="K59" s="138"/>
    </row>
    <row r="60" spans="1:24" ht="20.25">
      <c r="A60" s="138"/>
      <c r="B60" s="138"/>
      <c r="C60" s="138"/>
      <c r="D60" s="138"/>
      <c r="E60" s="138"/>
      <c r="F60" s="138"/>
      <c r="G60" s="138"/>
      <c r="H60" s="138"/>
      <c r="I60" s="138"/>
      <c r="J60" s="138"/>
      <c r="K60" s="138"/>
    </row>
    <row r="61" spans="1:24" ht="20.25">
      <c r="A61" s="138"/>
      <c r="B61" s="138"/>
      <c r="C61" s="138"/>
      <c r="D61" s="138"/>
      <c r="E61" s="138"/>
      <c r="F61" s="138"/>
      <c r="G61" s="138"/>
      <c r="H61" s="138"/>
      <c r="I61" s="138"/>
      <c r="J61" s="138"/>
      <c r="K61" s="138"/>
    </row>
    <row r="62" spans="1:24" ht="20.25">
      <c r="A62" s="138"/>
      <c r="B62" s="138"/>
      <c r="C62" s="138"/>
      <c r="D62" s="138"/>
      <c r="E62" s="138"/>
      <c r="F62" s="138"/>
      <c r="G62" s="138"/>
      <c r="H62" s="138"/>
      <c r="I62" s="138"/>
      <c r="J62" s="138"/>
      <c r="K62" s="138"/>
    </row>
    <row r="63" spans="1:24" ht="20.25">
      <c r="A63" s="138"/>
      <c r="B63" s="138"/>
      <c r="C63" s="138"/>
      <c r="D63" s="138"/>
      <c r="E63" s="138"/>
      <c r="F63" s="138"/>
      <c r="G63" s="138"/>
      <c r="H63" s="138"/>
      <c r="I63" s="138"/>
      <c r="J63" s="138"/>
      <c r="K63" s="138"/>
    </row>
    <row r="64" spans="1:24" ht="20.25">
      <c r="A64" s="138"/>
      <c r="B64" s="138"/>
      <c r="C64" s="138"/>
      <c r="D64" s="138"/>
      <c r="E64" s="138"/>
      <c r="F64" s="138"/>
      <c r="G64" s="138"/>
      <c r="H64" s="138"/>
      <c r="I64" s="138"/>
      <c r="J64" s="138"/>
      <c r="K64" s="138"/>
    </row>
    <row r="65" spans="1:11" ht="20.25">
      <c r="A65" s="138"/>
      <c r="B65" s="138"/>
      <c r="C65" s="138"/>
      <c r="D65" s="138"/>
      <c r="E65" s="138"/>
      <c r="F65" s="138"/>
      <c r="G65" s="138"/>
      <c r="H65" s="138"/>
      <c r="I65" s="138"/>
      <c r="J65" s="138"/>
      <c r="K65" s="138"/>
    </row>
    <row r="66" spans="1:11" ht="20.25">
      <c r="A66" s="138"/>
      <c r="B66" s="138"/>
      <c r="C66" s="138"/>
      <c r="D66" s="138"/>
      <c r="E66" s="138"/>
      <c r="F66" s="138"/>
      <c r="G66" s="138"/>
      <c r="H66" s="138"/>
      <c r="I66" s="138"/>
      <c r="J66" s="138"/>
      <c r="K66" s="138"/>
    </row>
    <row r="67" spans="1:11" ht="20.25">
      <c r="A67" s="138"/>
      <c r="B67" s="138"/>
      <c r="C67" s="138"/>
      <c r="D67" s="138"/>
      <c r="E67" s="138"/>
      <c r="F67" s="138"/>
      <c r="G67" s="138"/>
      <c r="H67" s="138"/>
      <c r="I67" s="138"/>
      <c r="J67" s="138"/>
      <c r="K67" s="138"/>
    </row>
    <row r="68" spans="1:11" ht="20.25">
      <c r="A68" s="138"/>
      <c r="B68" s="138"/>
      <c r="C68" s="138"/>
      <c r="D68" s="138"/>
      <c r="E68" s="138"/>
      <c r="F68" s="138"/>
      <c r="G68" s="138"/>
      <c r="H68" s="138"/>
      <c r="I68" s="138"/>
      <c r="J68" s="138"/>
      <c r="K68" s="138"/>
    </row>
    <row r="69" spans="1:11" ht="20.25">
      <c r="A69" s="138"/>
      <c r="B69" s="138"/>
      <c r="C69" s="138"/>
      <c r="D69" s="138"/>
      <c r="E69" s="138"/>
      <c r="F69" s="138"/>
      <c r="G69" s="138"/>
      <c r="H69" s="138"/>
      <c r="I69" s="138"/>
      <c r="J69" s="138"/>
      <c r="K69" s="138"/>
    </row>
    <row r="70" spans="1:11" ht="20.25">
      <c r="A70" s="138"/>
      <c r="B70" s="138"/>
      <c r="C70" s="138"/>
      <c r="D70" s="138"/>
      <c r="E70" s="138"/>
      <c r="F70" s="138"/>
      <c r="G70" s="138"/>
      <c r="H70" s="138"/>
      <c r="I70" s="138"/>
      <c r="J70" s="138"/>
      <c r="K70" s="138"/>
    </row>
    <row r="71" spans="1:11" ht="20.25">
      <c r="A71" s="138"/>
      <c r="B71" s="138"/>
      <c r="C71" s="138"/>
      <c r="D71" s="138"/>
      <c r="E71" s="138"/>
      <c r="F71" s="138"/>
      <c r="G71" s="138"/>
      <c r="H71" s="138"/>
      <c r="I71" s="138"/>
      <c r="J71" s="138"/>
      <c r="K71" s="138"/>
    </row>
    <row r="72" spans="1:11" ht="20.25">
      <c r="A72" s="138"/>
      <c r="B72" s="138"/>
      <c r="C72" s="138"/>
      <c r="D72" s="138"/>
      <c r="E72" s="138"/>
      <c r="F72" s="138"/>
      <c r="G72" s="138"/>
      <c r="H72" s="138"/>
      <c r="I72" s="138"/>
      <c r="J72" s="138"/>
      <c r="K72" s="138"/>
    </row>
    <row r="73" spans="1:11" ht="20.25">
      <c r="A73" s="138"/>
      <c r="B73" s="138"/>
      <c r="C73" s="138"/>
      <c r="D73" s="138"/>
      <c r="E73" s="138"/>
      <c r="F73" s="138"/>
      <c r="G73" s="138"/>
      <c r="H73" s="138"/>
      <c r="I73" s="138"/>
      <c r="J73" s="138"/>
      <c r="K73" s="138"/>
    </row>
    <row r="74" spans="1:11" ht="20.25">
      <c r="A74" s="138"/>
      <c r="B74" s="138"/>
      <c r="C74" s="138"/>
      <c r="D74" s="138"/>
      <c r="E74" s="138"/>
      <c r="F74" s="138"/>
      <c r="G74" s="138"/>
      <c r="H74" s="138"/>
      <c r="I74" s="138"/>
      <c r="J74" s="138"/>
      <c r="K74" s="138"/>
    </row>
    <row r="75" spans="1:11" ht="20.25">
      <c r="A75" s="138"/>
      <c r="B75" s="138"/>
      <c r="C75" s="138"/>
      <c r="D75" s="138"/>
      <c r="E75" s="138"/>
      <c r="F75" s="138"/>
      <c r="G75" s="138"/>
      <c r="H75" s="138"/>
      <c r="I75" s="138"/>
      <c r="J75" s="138"/>
      <c r="K75" s="138"/>
    </row>
    <row r="76" spans="1:11" ht="20.25">
      <c r="A76" s="138"/>
      <c r="B76" s="138"/>
      <c r="C76" s="138"/>
      <c r="D76" s="138"/>
      <c r="E76" s="138"/>
      <c r="F76" s="138"/>
      <c r="G76" s="138"/>
      <c r="H76" s="138"/>
      <c r="I76" s="138"/>
      <c r="J76" s="138"/>
      <c r="K76" s="138"/>
    </row>
    <row r="77" spans="1:11" ht="20.25">
      <c r="A77" s="138"/>
      <c r="B77" s="138"/>
      <c r="C77" s="138"/>
      <c r="D77" s="138"/>
      <c r="E77" s="138"/>
      <c r="F77" s="138"/>
      <c r="G77" s="138"/>
      <c r="H77" s="138"/>
      <c r="I77" s="138"/>
      <c r="J77" s="138"/>
      <c r="K77" s="138"/>
    </row>
    <row r="78" spans="1:11" ht="20.25">
      <c r="A78" s="138"/>
      <c r="B78" s="138"/>
      <c r="C78" s="138"/>
      <c r="D78" s="138"/>
      <c r="E78" s="138"/>
      <c r="F78" s="138"/>
      <c r="G78" s="138"/>
      <c r="H78" s="138"/>
      <c r="I78" s="138"/>
      <c r="J78" s="138"/>
      <c r="K78" s="138"/>
    </row>
    <row r="79" spans="1:11" ht="20.25">
      <c r="A79" s="138"/>
      <c r="B79" s="138"/>
      <c r="C79" s="138"/>
      <c r="D79" s="138"/>
      <c r="E79" s="138"/>
      <c r="F79" s="138"/>
      <c r="G79" s="138"/>
      <c r="H79" s="138"/>
      <c r="I79" s="138"/>
      <c r="J79" s="138"/>
      <c r="K79" s="138"/>
    </row>
    <row r="80" spans="1:11" ht="20.25">
      <c r="A80" s="138"/>
      <c r="B80" s="138"/>
      <c r="C80" s="138"/>
      <c r="D80" s="138"/>
      <c r="E80" s="138"/>
      <c r="F80" s="138"/>
      <c r="G80" s="138"/>
      <c r="H80" s="138"/>
      <c r="I80" s="138"/>
      <c r="J80" s="138"/>
      <c r="K80" s="138"/>
    </row>
    <row r="81" spans="1:11" ht="20.25">
      <c r="A81" s="138"/>
      <c r="B81" s="138"/>
      <c r="C81" s="138"/>
      <c r="D81" s="138"/>
      <c r="E81" s="138"/>
      <c r="F81" s="138"/>
      <c r="G81" s="138"/>
      <c r="H81" s="138"/>
      <c r="I81" s="138"/>
      <c r="J81" s="138"/>
      <c r="K81" s="138"/>
    </row>
    <row r="82" spans="1:11" ht="20.25">
      <c r="A82" s="138"/>
      <c r="B82" s="138"/>
      <c r="C82" s="138"/>
      <c r="D82" s="138"/>
      <c r="E82" s="138"/>
      <c r="F82" s="138"/>
      <c r="G82" s="138"/>
      <c r="H82" s="138"/>
      <c r="I82" s="138"/>
      <c r="J82" s="138"/>
      <c r="K82" s="138"/>
    </row>
    <row r="83" spans="1:11" ht="20.25">
      <c r="A83" s="138"/>
      <c r="B83" s="138"/>
      <c r="C83" s="138"/>
      <c r="D83" s="138"/>
      <c r="E83" s="138"/>
      <c r="F83" s="138"/>
      <c r="G83" s="138"/>
      <c r="H83" s="138"/>
      <c r="I83" s="138"/>
      <c r="J83" s="138"/>
      <c r="K83" s="138"/>
    </row>
    <row r="84" spans="1:11" ht="20.25">
      <c r="A84" s="138"/>
      <c r="B84" s="138"/>
      <c r="C84" s="138"/>
      <c r="D84" s="138"/>
      <c r="E84" s="138"/>
      <c r="F84" s="138"/>
      <c r="G84" s="138"/>
      <c r="H84" s="138"/>
      <c r="I84" s="138"/>
      <c r="J84" s="138"/>
      <c r="K84" s="138"/>
    </row>
    <row r="85" spans="1:11" ht="20.25">
      <c r="A85" s="138"/>
      <c r="B85" s="138"/>
      <c r="C85" s="138"/>
      <c r="D85" s="138"/>
      <c r="E85" s="138"/>
      <c r="F85" s="138"/>
      <c r="G85" s="138"/>
      <c r="H85" s="138"/>
      <c r="I85" s="138"/>
      <c r="J85" s="138"/>
      <c r="K85" s="138"/>
    </row>
    <row r="86" spans="1:11" ht="20.25">
      <c r="A86" s="138"/>
      <c r="B86" s="138"/>
      <c r="C86" s="138"/>
      <c r="D86" s="138"/>
      <c r="E86" s="138"/>
      <c r="F86" s="138"/>
      <c r="G86" s="138"/>
      <c r="H86" s="138"/>
      <c r="I86" s="138"/>
      <c r="J86" s="138"/>
      <c r="K86" s="138"/>
    </row>
    <row r="87" spans="1:11" ht="20.25">
      <c r="A87" s="138"/>
      <c r="B87" s="138"/>
      <c r="C87" s="138"/>
      <c r="D87" s="138"/>
      <c r="E87" s="138"/>
      <c r="F87" s="138"/>
      <c r="G87" s="138"/>
      <c r="H87" s="138"/>
      <c r="I87" s="138"/>
      <c r="J87" s="138"/>
      <c r="K87" s="138"/>
    </row>
    <row r="88" spans="1:11" ht="20.25">
      <c r="A88" s="138"/>
      <c r="B88" s="138"/>
      <c r="C88" s="138"/>
      <c r="D88" s="138"/>
      <c r="E88" s="138"/>
      <c r="F88" s="138"/>
      <c r="G88" s="138"/>
      <c r="H88" s="138"/>
      <c r="I88" s="138"/>
      <c r="J88" s="138"/>
      <c r="K88" s="138"/>
    </row>
    <row r="89" spans="1:11" ht="20.25">
      <c r="A89" s="138"/>
      <c r="B89" s="138"/>
      <c r="C89" s="138"/>
      <c r="D89" s="138"/>
      <c r="E89" s="138"/>
      <c r="F89" s="138"/>
      <c r="G89" s="138"/>
      <c r="H89" s="138"/>
      <c r="I89" s="138"/>
      <c r="J89" s="138"/>
      <c r="K89" s="138"/>
    </row>
    <row r="90" spans="1:11" ht="20.25">
      <c r="A90" s="138"/>
      <c r="B90" s="138"/>
      <c r="C90" s="138"/>
      <c r="D90" s="138"/>
      <c r="E90" s="138"/>
      <c r="F90" s="138"/>
      <c r="G90" s="138"/>
      <c r="H90" s="138"/>
      <c r="I90" s="138"/>
      <c r="J90" s="138"/>
      <c r="K90" s="138"/>
    </row>
    <row r="91" spans="1:11" ht="20.25">
      <c r="A91" s="138"/>
      <c r="B91" s="138"/>
      <c r="C91" s="138"/>
      <c r="D91" s="138"/>
      <c r="E91" s="138"/>
      <c r="F91" s="138"/>
      <c r="G91" s="138"/>
      <c r="H91" s="138"/>
      <c r="I91" s="138"/>
      <c r="J91" s="138"/>
      <c r="K91" s="138"/>
    </row>
    <row r="92" spans="1:11" ht="20.25">
      <c r="A92" s="138"/>
      <c r="B92" s="138"/>
      <c r="C92" s="138"/>
      <c r="D92" s="138"/>
      <c r="E92" s="138"/>
      <c r="F92" s="138"/>
      <c r="G92" s="138"/>
      <c r="H92" s="138"/>
      <c r="I92" s="138"/>
      <c r="J92" s="138"/>
      <c r="K92" s="138"/>
    </row>
    <row r="93" spans="1:11" ht="20.25">
      <c r="A93" s="138"/>
      <c r="B93" s="138"/>
      <c r="C93" s="138"/>
      <c r="D93" s="138"/>
      <c r="E93" s="138"/>
      <c r="F93" s="138"/>
      <c r="G93" s="138"/>
      <c r="H93" s="138"/>
      <c r="I93" s="138"/>
      <c r="J93" s="138"/>
      <c r="K93" s="138"/>
    </row>
    <row r="94" spans="1:11" ht="20.25">
      <c r="A94" s="138"/>
      <c r="B94" s="138"/>
      <c r="C94" s="138"/>
      <c r="D94" s="138"/>
      <c r="E94" s="138"/>
      <c r="F94" s="138"/>
      <c r="G94" s="138"/>
      <c r="H94" s="138"/>
      <c r="I94" s="138"/>
      <c r="J94" s="138"/>
      <c r="K94" s="138"/>
    </row>
    <row r="95" spans="1:11" ht="20.25">
      <c r="A95" s="138"/>
      <c r="B95" s="138"/>
      <c r="C95" s="138"/>
      <c r="D95" s="138"/>
      <c r="E95" s="138"/>
      <c r="F95" s="138"/>
      <c r="G95" s="138"/>
      <c r="H95" s="138"/>
      <c r="I95" s="138"/>
      <c r="J95" s="138"/>
      <c r="K95" s="138"/>
    </row>
    <row r="96" spans="1:11" ht="20.25">
      <c r="A96" s="138"/>
      <c r="B96" s="138"/>
      <c r="C96" s="138"/>
      <c r="D96" s="138"/>
      <c r="E96" s="138"/>
      <c r="F96" s="138"/>
      <c r="G96" s="138"/>
      <c r="H96" s="138"/>
      <c r="I96" s="138"/>
      <c r="J96" s="138"/>
      <c r="K96" s="138"/>
    </row>
    <row r="97" spans="1:11" ht="20.25">
      <c r="A97" s="138"/>
      <c r="B97" s="138"/>
      <c r="C97" s="138"/>
      <c r="D97" s="138"/>
      <c r="E97" s="138"/>
      <c r="F97" s="138"/>
      <c r="G97" s="138"/>
      <c r="H97" s="138"/>
      <c r="I97" s="138"/>
      <c r="J97" s="138"/>
      <c r="K97" s="138"/>
    </row>
    <row r="98" spans="1:11" ht="20.25">
      <c r="A98" s="138"/>
      <c r="B98" s="138"/>
      <c r="C98" s="138"/>
      <c r="D98" s="138"/>
      <c r="E98" s="138"/>
      <c r="F98" s="138"/>
      <c r="G98" s="138"/>
      <c r="H98" s="138"/>
      <c r="I98" s="138"/>
      <c r="J98" s="138"/>
      <c r="K98" s="138"/>
    </row>
    <row r="99" spans="1:11" ht="20.25">
      <c r="A99" s="138"/>
      <c r="B99" s="138"/>
      <c r="C99" s="138"/>
      <c r="D99" s="138"/>
      <c r="E99" s="138"/>
      <c r="F99" s="138"/>
      <c r="G99" s="138"/>
      <c r="H99" s="138"/>
      <c r="I99" s="138"/>
      <c r="J99" s="138"/>
      <c r="K99" s="138"/>
    </row>
    <row r="100" spans="1:11" ht="20.25">
      <c r="A100" s="138"/>
      <c r="B100" s="138"/>
      <c r="C100" s="138"/>
      <c r="D100" s="138"/>
      <c r="E100" s="138"/>
      <c r="F100" s="138"/>
      <c r="G100" s="138"/>
      <c r="H100" s="138"/>
      <c r="I100" s="138"/>
      <c r="J100" s="138"/>
      <c r="K100" s="138"/>
    </row>
    <row r="101" spans="1:11" ht="20.25">
      <c r="A101" s="138"/>
      <c r="B101" s="138"/>
      <c r="C101" s="138"/>
      <c r="D101" s="138"/>
      <c r="E101" s="138"/>
      <c r="F101" s="138"/>
      <c r="G101" s="138"/>
      <c r="H101" s="138"/>
      <c r="I101" s="138"/>
      <c r="J101" s="138"/>
      <c r="K101" s="138"/>
    </row>
    <row r="102" spans="1:11" ht="20.25">
      <c r="A102" s="138"/>
      <c r="B102" s="138"/>
      <c r="C102" s="138"/>
      <c r="D102" s="138"/>
      <c r="E102" s="138"/>
      <c r="F102" s="138"/>
      <c r="G102" s="138"/>
      <c r="H102" s="138"/>
      <c r="I102" s="138"/>
      <c r="J102" s="138"/>
      <c r="K102" s="138"/>
    </row>
    <row r="103" spans="1:11" ht="20.25">
      <c r="A103" s="138"/>
      <c r="B103" s="138"/>
      <c r="C103" s="138"/>
      <c r="D103" s="138"/>
      <c r="E103" s="138"/>
      <c r="F103" s="138"/>
      <c r="G103" s="138"/>
      <c r="H103" s="138"/>
      <c r="I103" s="138"/>
      <c r="J103" s="138"/>
      <c r="K103" s="138"/>
    </row>
    <row r="104" spans="1:11" ht="20.25">
      <c r="A104" s="138"/>
      <c r="B104" s="138"/>
      <c r="C104" s="138"/>
      <c r="D104" s="138"/>
      <c r="E104" s="138"/>
      <c r="F104" s="138"/>
      <c r="G104" s="138"/>
      <c r="H104" s="138"/>
      <c r="I104" s="138"/>
      <c r="J104" s="138"/>
      <c r="K104" s="138"/>
    </row>
    <row r="105" spans="1:11" ht="20.25">
      <c r="A105" s="138"/>
      <c r="B105" s="138"/>
      <c r="C105" s="138"/>
      <c r="D105" s="138"/>
      <c r="E105" s="138"/>
      <c r="F105" s="138"/>
      <c r="G105" s="138"/>
      <c r="H105" s="138"/>
      <c r="I105" s="138"/>
      <c r="J105" s="138"/>
      <c r="K105" s="138"/>
    </row>
    <row r="106" spans="1:11" ht="20.25">
      <c r="A106" s="138"/>
      <c r="B106" s="138"/>
      <c r="C106" s="138"/>
      <c r="D106" s="138"/>
      <c r="E106" s="138"/>
      <c r="F106" s="138"/>
      <c r="G106" s="138"/>
      <c r="H106" s="138"/>
      <c r="I106" s="138"/>
      <c r="J106" s="138"/>
      <c r="K106" s="138"/>
    </row>
    <row r="107" spans="1:11" ht="20.25">
      <c r="A107" s="138"/>
      <c r="B107" s="138"/>
      <c r="C107" s="138"/>
      <c r="D107" s="138"/>
      <c r="E107" s="138"/>
      <c r="F107" s="138"/>
      <c r="G107" s="138"/>
      <c r="H107" s="138"/>
      <c r="I107" s="138"/>
      <c r="J107" s="138"/>
      <c r="K107" s="138"/>
    </row>
    <row r="108" spans="1:11" ht="20.25">
      <c r="A108" s="138"/>
      <c r="B108" s="138"/>
      <c r="C108" s="138"/>
      <c r="D108" s="138"/>
      <c r="E108" s="138"/>
      <c r="F108" s="138"/>
      <c r="G108" s="138"/>
      <c r="H108" s="138"/>
      <c r="I108" s="138"/>
      <c r="J108" s="138"/>
      <c r="K108" s="138"/>
    </row>
    <row r="109" spans="1:11" ht="20.25">
      <c r="A109" s="138"/>
      <c r="B109" s="138"/>
      <c r="C109" s="138"/>
      <c r="D109" s="138"/>
      <c r="E109" s="138"/>
      <c r="F109" s="138"/>
      <c r="G109" s="138"/>
      <c r="H109" s="138"/>
      <c r="I109" s="138"/>
      <c r="J109" s="138"/>
      <c r="K109" s="138"/>
    </row>
    <row r="110" spans="1:11" ht="20.25">
      <c r="A110" s="138"/>
      <c r="B110" s="138"/>
      <c r="C110" s="138"/>
      <c r="D110" s="138"/>
      <c r="E110" s="138"/>
      <c r="F110" s="138"/>
      <c r="G110" s="138"/>
      <c r="H110" s="138"/>
      <c r="I110" s="138"/>
      <c r="J110" s="138"/>
      <c r="K110" s="138"/>
    </row>
    <row r="111" spans="1:11" ht="20.25">
      <c r="A111" s="138"/>
      <c r="B111" s="138"/>
      <c r="C111" s="138"/>
      <c r="D111" s="138"/>
      <c r="E111" s="138"/>
      <c r="F111" s="138"/>
      <c r="G111" s="138"/>
      <c r="H111" s="138"/>
      <c r="I111" s="138"/>
      <c r="J111" s="138"/>
      <c r="K111" s="138"/>
    </row>
    <row r="112" spans="1:11" ht="20.25">
      <c r="A112" s="138"/>
      <c r="B112" s="138"/>
      <c r="C112" s="138"/>
      <c r="D112" s="138"/>
      <c r="E112" s="138"/>
      <c r="F112" s="138"/>
      <c r="G112" s="138"/>
      <c r="H112" s="138"/>
      <c r="I112" s="138"/>
      <c r="J112" s="138"/>
      <c r="K112" s="138"/>
    </row>
    <row r="113" spans="1:11" ht="20.25">
      <c r="A113" s="138"/>
      <c r="B113" s="138"/>
      <c r="C113" s="138"/>
      <c r="D113" s="138"/>
      <c r="E113" s="138"/>
      <c r="F113" s="138"/>
      <c r="G113" s="138"/>
      <c r="H113" s="138"/>
      <c r="I113" s="138"/>
      <c r="J113" s="138"/>
      <c r="K113" s="138"/>
    </row>
    <row r="114" spans="1:11" ht="20.25">
      <c r="A114" s="138"/>
      <c r="B114" s="138"/>
      <c r="C114" s="138"/>
      <c r="D114" s="138"/>
      <c r="E114" s="138"/>
      <c r="F114" s="138"/>
      <c r="G114" s="138"/>
      <c r="H114" s="138"/>
      <c r="I114" s="138"/>
      <c r="J114" s="138"/>
      <c r="K114" s="138"/>
    </row>
    <row r="115" spans="1:11" ht="20.25">
      <c r="A115" s="138"/>
      <c r="B115" s="138"/>
      <c r="C115" s="138"/>
      <c r="D115" s="138"/>
      <c r="E115" s="138"/>
      <c r="F115" s="138"/>
      <c r="G115" s="138"/>
      <c r="H115" s="138"/>
      <c r="I115" s="138"/>
      <c r="J115" s="138"/>
      <c r="K115" s="138"/>
    </row>
    <row r="116" spans="1:11" ht="20.25">
      <c r="A116" s="138"/>
      <c r="B116" s="138"/>
      <c r="C116" s="138"/>
      <c r="D116" s="138"/>
      <c r="E116" s="138"/>
      <c r="F116" s="138"/>
      <c r="G116" s="138"/>
      <c r="H116" s="138"/>
      <c r="I116" s="138"/>
      <c r="J116" s="138"/>
      <c r="K116" s="138"/>
    </row>
    <row r="117" spans="1:11" ht="20.25">
      <c r="A117" s="138"/>
      <c r="B117" s="138"/>
      <c r="C117" s="138"/>
      <c r="D117" s="138"/>
      <c r="E117" s="138"/>
      <c r="F117" s="138"/>
      <c r="G117" s="138"/>
      <c r="H117" s="138"/>
      <c r="I117" s="138"/>
      <c r="J117" s="138"/>
      <c r="K117" s="138"/>
    </row>
    <row r="118" spans="1:11" ht="20.25">
      <c r="A118" s="138"/>
      <c r="B118" s="138"/>
      <c r="C118" s="138"/>
      <c r="D118" s="138"/>
      <c r="E118" s="138"/>
      <c r="F118" s="138"/>
      <c r="G118" s="138"/>
      <c r="H118" s="138"/>
      <c r="I118" s="138"/>
      <c r="J118" s="138"/>
      <c r="K118" s="138"/>
    </row>
    <row r="119" spans="1:11" ht="20.25">
      <c r="A119" s="138"/>
      <c r="B119" s="138"/>
      <c r="C119" s="138"/>
      <c r="D119" s="138"/>
      <c r="E119" s="138"/>
      <c r="F119" s="138"/>
      <c r="G119" s="138"/>
      <c r="H119" s="138"/>
      <c r="I119" s="138"/>
      <c r="J119" s="138"/>
      <c r="K119" s="138"/>
    </row>
    <row r="120" spans="1:11" ht="20.25">
      <c r="A120" s="138"/>
      <c r="B120" s="138"/>
      <c r="C120" s="138"/>
      <c r="D120" s="138"/>
      <c r="E120" s="138"/>
      <c r="F120" s="138"/>
      <c r="G120" s="138"/>
      <c r="H120" s="138"/>
      <c r="I120" s="138"/>
      <c r="J120" s="138"/>
      <c r="K120" s="138"/>
    </row>
    <row r="121" spans="1:11" ht="20.25">
      <c r="A121" s="138"/>
      <c r="B121" s="138"/>
      <c r="C121" s="138"/>
      <c r="D121" s="138"/>
      <c r="E121" s="138"/>
      <c r="F121" s="138"/>
      <c r="G121" s="138"/>
      <c r="H121" s="138"/>
      <c r="I121" s="138"/>
      <c r="J121" s="138"/>
      <c r="K121" s="138"/>
    </row>
    <row r="122" spans="1:11" ht="20.25">
      <c r="A122" s="138"/>
      <c r="B122" s="138"/>
      <c r="C122" s="138"/>
      <c r="D122" s="138"/>
      <c r="E122" s="138"/>
      <c r="F122" s="138"/>
      <c r="G122" s="138"/>
      <c r="H122" s="138"/>
      <c r="I122" s="138"/>
      <c r="J122" s="138"/>
      <c r="K122" s="138"/>
    </row>
    <row r="123" spans="1:11" ht="20.25">
      <c r="A123" s="138"/>
      <c r="B123" s="138"/>
      <c r="C123" s="138"/>
      <c r="D123" s="138"/>
      <c r="E123" s="138"/>
      <c r="F123" s="138"/>
      <c r="G123" s="138"/>
      <c r="H123" s="138"/>
      <c r="I123" s="138"/>
      <c r="J123" s="138"/>
      <c r="K123" s="138"/>
    </row>
    <row r="124" spans="1:11" ht="20.25">
      <c r="A124" s="138"/>
      <c r="B124" s="138"/>
      <c r="C124" s="138"/>
      <c r="D124" s="138"/>
      <c r="E124" s="138"/>
      <c r="F124" s="138"/>
      <c r="G124" s="138"/>
      <c r="H124" s="138"/>
      <c r="I124" s="138"/>
      <c r="J124" s="138"/>
      <c r="K124" s="138"/>
    </row>
    <row r="125" spans="1:11" ht="20.25">
      <c r="A125" s="138"/>
      <c r="B125" s="138"/>
      <c r="C125" s="138"/>
      <c r="D125" s="138"/>
      <c r="E125" s="138"/>
      <c r="F125" s="138"/>
      <c r="G125" s="138"/>
      <c r="H125" s="138"/>
      <c r="I125" s="138"/>
      <c r="J125" s="138"/>
      <c r="K125" s="138"/>
    </row>
    <row r="126" spans="1:11" ht="20.25">
      <c r="A126" s="138"/>
      <c r="B126" s="138"/>
      <c r="C126" s="138"/>
      <c r="D126" s="138"/>
      <c r="E126" s="138"/>
      <c r="F126" s="138"/>
      <c r="G126" s="138"/>
      <c r="H126" s="138"/>
      <c r="I126" s="138"/>
      <c r="J126" s="138"/>
      <c r="K126" s="138"/>
    </row>
    <row r="127" spans="1:11" ht="20.25">
      <c r="A127" s="138"/>
      <c r="B127" s="138"/>
      <c r="C127" s="138"/>
      <c r="D127" s="138"/>
      <c r="E127" s="138"/>
      <c r="F127" s="138"/>
      <c r="G127" s="138"/>
      <c r="H127" s="138"/>
      <c r="I127" s="138"/>
      <c r="J127" s="138"/>
      <c r="K127" s="138"/>
    </row>
    <row r="128" spans="1:11" ht="20.25">
      <c r="A128" s="138"/>
      <c r="B128" s="138"/>
      <c r="C128" s="138"/>
      <c r="D128" s="138"/>
      <c r="E128" s="138"/>
      <c r="F128" s="138"/>
      <c r="G128" s="138"/>
      <c r="H128" s="138"/>
      <c r="I128" s="138"/>
      <c r="J128" s="138"/>
      <c r="K128" s="138"/>
    </row>
    <row r="129" spans="1:11" ht="20.25">
      <c r="A129" s="138"/>
      <c r="B129" s="138"/>
      <c r="C129" s="138"/>
      <c r="D129" s="138"/>
      <c r="E129" s="138"/>
      <c r="F129" s="138"/>
      <c r="G129" s="138"/>
      <c r="H129" s="138"/>
      <c r="I129" s="138"/>
      <c r="J129" s="138"/>
      <c r="K129" s="138"/>
    </row>
    <row r="130" spans="1:11" ht="20.25">
      <c r="A130" s="138"/>
      <c r="B130" s="138"/>
      <c r="C130" s="138"/>
      <c r="D130" s="138"/>
      <c r="E130" s="138"/>
      <c r="F130" s="138"/>
      <c r="G130" s="138"/>
      <c r="H130" s="138"/>
      <c r="I130" s="138"/>
      <c r="J130" s="138"/>
      <c r="K130" s="138"/>
    </row>
    <row r="131" spans="1:11" ht="20.25">
      <c r="A131" s="138"/>
      <c r="B131" s="138"/>
      <c r="C131" s="138"/>
      <c r="D131" s="138"/>
      <c r="E131" s="138"/>
      <c r="F131" s="138"/>
      <c r="G131" s="138"/>
      <c r="H131" s="138"/>
      <c r="I131" s="138"/>
      <c r="J131" s="138"/>
      <c r="K131" s="138"/>
    </row>
    <row r="132" spans="1:11" ht="20.25">
      <c r="A132" s="138"/>
      <c r="B132" s="138"/>
      <c r="C132" s="138"/>
      <c r="D132" s="138"/>
      <c r="E132" s="138"/>
      <c r="F132" s="138"/>
      <c r="G132" s="138"/>
      <c r="H132" s="138"/>
      <c r="I132" s="138"/>
      <c r="J132" s="138"/>
      <c r="K132" s="138"/>
    </row>
    <row r="133" spans="1:11" ht="20.25">
      <c r="A133" s="138"/>
      <c r="B133" s="138"/>
      <c r="C133" s="138"/>
      <c r="D133" s="138"/>
      <c r="E133" s="138"/>
      <c r="F133" s="138"/>
      <c r="G133" s="138"/>
      <c r="H133" s="138"/>
      <c r="I133" s="138"/>
      <c r="J133" s="138"/>
      <c r="K133" s="138"/>
    </row>
    <row r="134" spans="1:11" ht="20.25">
      <c r="A134" s="138"/>
      <c r="B134" s="138"/>
      <c r="C134" s="138"/>
      <c r="D134" s="138"/>
      <c r="E134" s="138"/>
      <c r="F134" s="138"/>
      <c r="G134" s="138"/>
      <c r="H134" s="138"/>
      <c r="I134" s="138"/>
      <c r="J134" s="138"/>
      <c r="K134" s="138"/>
    </row>
    <row r="135" spans="1:11" ht="20.25">
      <c r="A135" s="138"/>
      <c r="B135" s="138"/>
      <c r="C135" s="138"/>
      <c r="D135" s="138"/>
      <c r="E135" s="138"/>
      <c r="F135" s="138"/>
      <c r="G135" s="138"/>
      <c r="H135" s="138"/>
      <c r="I135" s="138"/>
      <c r="J135" s="138"/>
      <c r="K135" s="138"/>
    </row>
    <row r="136" spans="1:11" ht="20.25">
      <c r="A136" s="138"/>
      <c r="B136" s="138"/>
      <c r="C136" s="138"/>
      <c r="D136" s="138"/>
      <c r="E136" s="138"/>
      <c r="F136" s="138"/>
      <c r="G136" s="138"/>
      <c r="H136" s="138"/>
      <c r="I136" s="138"/>
      <c r="J136" s="138"/>
      <c r="K136" s="138"/>
    </row>
    <row r="137" spans="1:11" ht="20.25">
      <c r="A137" s="138"/>
      <c r="B137" s="138"/>
      <c r="C137" s="138"/>
      <c r="D137" s="138"/>
      <c r="E137" s="138"/>
      <c r="F137" s="138"/>
      <c r="G137" s="138"/>
      <c r="H137" s="138"/>
      <c r="I137" s="138"/>
      <c r="J137" s="138"/>
      <c r="K137" s="138"/>
    </row>
    <row r="138" spans="1:11" ht="20.25">
      <c r="A138" s="138"/>
      <c r="B138" s="138"/>
      <c r="C138" s="138"/>
      <c r="D138" s="138"/>
      <c r="E138" s="138"/>
      <c r="F138" s="138"/>
      <c r="G138" s="138"/>
      <c r="H138" s="138"/>
      <c r="I138" s="138"/>
      <c r="J138" s="138"/>
      <c r="K138" s="138"/>
    </row>
    <row r="139" spans="1:11" ht="20.25">
      <c r="A139" s="138"/>
      <c r="B139" s="138"/>
      <c r="C139" s="138"/>
      <c r="D139" s="138"/>
      <c r="E139" s="138"/>
      <c r="F139" s="138"/>
      <c r="G139" s="138"/>
      <c r="H139" s="138"/>
      <c r="I139" s="138"/>
      <c r="J139" s="138"/>
      <c r="K139" s="138"/>
    </row>
    <row r="140" spans="1:11" ht="20.25">
      <c r="A140" s="138"/>
      <c r="B140" s="138"/>
      <c r="C140" s="138"/>
      <c r="D140" s="138"/>
      <c r="E140" s="138"/>
      <c r="F140" s="138"/>
      <c r="G140" s="138"/>
      <c r="H140" s="138"/>
      <c r="I140" s="138"/>
      <c r="J140" s="138"/>
      <c r="K140" s="138"/>
    </row>
    <row r="141" spans="1:11" ht="20.25">
      <c r="A141" s="138"/>
      <c r="B141" s="138"/>
      <c r="C141" s="138"/>
      <c r="D141" s="138"/>
      <c r="E141" s="138"/>
      <c r="F141" s="138"/>
      <c r="G141" s="138"/>
      <c r="H141" s="138"/>
      <c r="I141" s="138"/>
      <c r="J141" s="138"/>
      <c r="K141" s="138"/>
    </row>
    <row r="142" spans="1:11" ht="20.25">
      <c r="A142" s="138"/>
      <c r="B142" s="138"/>
      <c r="C142" s="138"/>
      <c r="D142" s="138"/>
      <c r="E142" s="138"/>
      <c r="F142" s="138"/>
      <c r="G142" s="138"/>
      <c r="H142" s="138"/>
      <c r="I142" s="138"/>
      <c r="J142" s="138"/>
      <c r="K142" s="138"/>
    </row>
    <row r="143" spans="1:11" ht="20.25">
      <c r="A143" s="138"/>
      <c r="B143" s="138"/>
      <c r="C143" s="138"/>
      <c r="D143" s="138"/>
      <c r="E143" s="138"/>
      <c r="F143" s="138"/>
      <c r="G143" s="138"/>
      <c r="H143" s="138"/>
      <c r="I143" s="138"/>
      <c r="J143" s="138"/>
      <c r="K143" s="138"/>
    </row>
    <row r="144" spans="1:11" ht="20.25">
      <c r="A144" s="138"/>
      <c r="B144" s="138"/>
      <c r="C144" s="138"/>
      <c r="D144" s="138"/>
      <c r="E144" s="138"/>
      <c r="F144" s="138"/>
      <c r="G144" s="138"/>
      <c r="H144" s="138"/>
      <c r="I144" s="138"/>
      <c r="J144" s="138"/>
      <c r="K144" s="138"/>
    </row>
    <row r="145" spans="1:11" ht="20.25">
      <c r="A145" s="138"/>
      <c r="B145" s="138"/>
      <c r="C145" s="138"/>
      <c r="D145" s="138"/>
      <c r="E145" s="138"/>
      <c r="F145" s="138"/>
      <c r="G145" s="138"/>
      <c r="H145" s="138"/>
      <c r="I145" s="138"/>
      <c r="J145" s="138"/>
      <c r="K145" s="138"/>
    </row>
    <row r="146" spans="1:11" ht="20.25">
      <c r="A146" s="138"/>
      <c r="B146" s="138"/>
      <c r="C146" s="138"/>
      <c r="D146" s="138"/>
      <c r="E146" s="138"/>
      <c r="F146" s="138"/>
      <c r="G146" s="138"/>
      <c r="H146" s="138"/>
      <c r="I146" s="138"/>
      <c r="J146" s="138"/>
      <c r="K146" s="138"/>
    </row>
    <row r="147" spans="1:11" ht="20.25">
      <c r="A147" s="138"/>
      <c r="B147" s="138"/>
      <c r="C147" s="138"/>
      <c r="D147" s="138"/>
      <c r="E147" s="138"/>
      <c r="F147" s="138"/>
      <c r="G147" s="138"/>
      <c r="H147" s="138"/>
      <c r="I147" s="138"/>
      <c r="J147" s="138"/>
      <c r="K147" s="138"/>
    </row>
    <row r="148" spans="1:11" ht="20.25">
      <c r="A148" s="138"/>
      <c r="B148" s="138"/>
      <c r="C148" s="138"/>
      <c r="D148" s="138"/>
      <c r="E148" s="138"/>
      <c r="F148" s="138"/>
      <c r="G148" s="138"/>
      <c r="H148" s="138"/>
      <c r="I148" s="138"/>
      <c r="J148" s="138"/>
      <c r="K148" s="138"/>
    </row>
    <row r="149" spans="1:11" ht="20.25">
      <c r="A149" s="138"/>
      <c r="B149" s="138"/>
      <c r="C149" s="138"/>
      <c r="D149" s="138"/>
      <c r="E149" s="138"/>
      <c r="F149" s="138"/>
      <c r="G149" s="138"/>
      <c r="H149" s="138"/>
      <c r="I149" s="138"/>
      <c r="J149" s="138"/>
      <c r="K149" s="138"/>
    </row>
    <row r="150" spans="1:11" ht="20.25">
      <c r="A150" s="138"/>
      <c r="B150" s="138"/>
      <c r="C150" s="138"/>
      <c r="D150" s="138"/>
      <c r="E150" s="138"/>
      <c r="F150" s="138"/>
      <c r="G150" s="138"/>
      <c r="H150" s="138"/>
      <c r="I150" s="138"/>
      <c r="J150" s="138"/>
      <c r="K150" s="138"/>
    </row>
    <row r="151" spans="1:11" ht="20.25">
      <c r="A151" s="138"/>
      <c r="B151" s="138"/>
      <c r="C151" s="138"/>
      <c r="D151" s="138"/>
      <c r="E151" s="138"/>
      <c r="F151" s="138"/>
      <c r="G151" s="138"/>
      <c r="H151" s="138"/>
      <c r="I151" s="138"/>
      <c r="J151" s="138"/>
      <c r="K151" s="138"/>
    </row>
    <row r="152" spans="1:11" ht="20.25">
      <c r="A152" s="138"/>
      <c r="B152" s="138"/>
      <c r="C152" s="138"/>
      <c r="D152" s="138"/>
      <c r="E152" s="138"/>
      <c r="F152" s="138"/>
      <c r="G152" s="138"/>
      <c r="H152" s="138"/>
      <c r="I152" s="138"/>
      <c r="J152" s="138"/>
      <c r="K152" s="138"/>
    </row>
    <row r="153" spans="1:11" ht="20.25">
      <c r="A153" s="138"/>
      <c r="B153" s="138"/>
      <c r="C153" s="138"/>
      <c r="D153" s="138"/>
      <c r="E153" s="138"/>
      <c r="F153" s="138"/>
      <c r="G153" s="138"/>
      <c r="H153" s="138"/>
      <c r="I153" s="138"/>
      <c r="J153" s="138"/>
      <c r="K153" s="138"/>
    </row>
    <row r="154" spans="1:11" ht="20.25">
      <c r="A154" s="138"/>
      <c r="B154" s="138"/>
      <c r="C154" s="138"/>
      <c r="D154" s="138"/>
      <c r="E154" s="138"/>
      <c r="F154" s="138"/>
      <c r="G154" s="138"/>
      <c r="H154" s="138"/>
      <c r="I154" s="138"/>
      <c r="J154" s="138"/>
      <c r="K154" s="138"/>
    </row>
    <row r="155" spans="1:11" ht="20.25">
      <c r="A155" s="138"/>
      <c r="B155" s="138"/>
      <c r="C155" s="138"/>
      <c r="D155" s="138"/>
      <c r="E155" s="138"/>
      <c r="F155" s="138"/>
      <c r="G155" s="138"/>
      <c r="H155" s="138"/>
      <c r="I155" s="138"/>
      <c r="J155" s="138"/>
      <c r="K155" s="138"/>
    </row>
    <row r="156" spans="1:11" ht="20.25">
      <c r="A156" s="138"/>
      <c r="B156" s="138"/>
      <c r="C156" s="138"/>
      <c r="D156" s="138"/>
      <c r="E156" s="138"/>
      <c r="F156" s="138"/>
      <c r="G156" s="138"/>
      <c r="H156" s="138"/>
      <c r="I156" s="138"/>
      <c r="J156" s="138"/>
      <c r="K156" s="138"/>
    </row>
    <row r="157" spans="1:11" ht="20.25">
      <c r="A157" s="138"/>
      <c r="B157" s="138"/>
      <c r="C157" s="138"/>
      <c r="D157" s="138"/>
      <c r="E157" s="138"/>
      <c r="F157" s="138"/>
      <c r="G157" s="138"/>
      <c r="H157" s="138"/>
      <c r="I157" s="138"/>
      <c r="J157" s="138"/>
      <c r="K157" s="138"/>
    </row>
    <row r="158" spans="1:11" ht="20.25">
      <c r="A158" s="138"/>
      <c r="B158" s="138"/>
      <c r="C158" s="138"/>
      <c r="D158" s="138"/>
      <c r="E158" s="138"/>
      <c r="F158" s="138"/>
      <c r="G158" s="138"/>
      <c r="H158" s="138"/>
      <c r="I158" s="138"/>
      <c r="J158" s="138"/>
      <c r="K158" s="138"/>
    </row>
    <row r="159" spans="1:11" ht="20.25">
      <c r="A159" s="138"/>
      <c r="B159" s="138"/>
      <c r="C159" s="138"/>
      <c r="D159" s="138"/>
      <c r="E159" s="138"/>
      <c r="F159" s="138"/>
      <c r="G159" s="138"/>
      <c r="H159" s="138"/>
      <c r="I159" s="138"/>
      <c r="J159" s="138"/>
      <c r="K159" s="138"/>
    </row>
    <row r="160" spans="1:11" ht="20.25">
      <c r="A160" s="138"/>
      <c r="B160" s="138"/>
      <c r="C160" s="138"/>
      <c r="D160" s="138"/>
      <c r="E160" s="138"/>
      <c r="F160" s="138"/>
      <c r="G160" s="138"/>
      <c r="H160" s="138"/>
      <c r="I160" s="138"/>
      <c r="J160" s="138"/>
      <c r="K160" s="138"/>
    </row>
    <row r="161" spans="1:11" ht="20.25">
      <c r="A161" s="138"/>
      <c r="B161" s="138"/>
      <c r="C161" s="138"/>
      <c r="D161" s="138"/>
      <c r="E161" s="138"/>
      <c r="F161" s="138"/>
      <c r="G161" s="138"/>
      <c r="H161" s="138"/>
      <c r="I161" s="138"/>
      <c r="J161" s="138"/>
      <c r="K161" s="138"/>
    </row>
    <row r="162" spans="1:11" ht="20.25">
      <c r="A162" s="138"/>
      <c r="B162" s="138"/>
      <c r="C162" s="138"/>
      <c r="D162" s="138"/>
      <c r="E162" s="138"/>
      <c r="F162" s="138"/>
      <c r="G162" s="138"/>
      <c r="H162" s="138"/>
      <c r="I162" s="138"/>
      <c r="J162" s="138"/>
      <c r="K162" s="138"/>
    </row>
    <row r="163" spans="1:11" ht="20.25">
      <c r="A163" s="138"/>
      <c r="B163" s="138"/>
      <c r="C163" s="138"/>
      <c r="D163" s="138"/>
      <c r="E163" s="138"/>
      <c r="F163" s="138"/>
      <c r="G163" s="138"/>
      <c r="H163" s="138"/>
      <c r="I163" s="138"/>
      <c r="J163" s="138"/>
      <c r="K163" s="138"/>
    </row>
    <row r="164" spans="1:11" ht="20.25">
      <c r="A164" s="138"/>
      <c r="B164" s="138"/>
      <c r="C164" s="138"/>
      <c r="D164" s="138"/>
      <c r="E164" s="138"/>
      <c r="F164" s="138"/>
      <c r="G164" s="138"/>
      <c r="H164" s="138"/>
      <c r="I164" s="138"/>
      <c r="J164" s="138"/>
      <c r="K164" s="138"/>
    </row>
    <row r="165" spans="1:11" ht="20.25">
      <c r="A165" s="138"/>
      <c r="B165" s="138"/>
      <c r="C165" s="138"/>
      <c r="D165" s="138"/>
      <c r="E165" s="138"/>
      <c r="F165" s="138"/>
      <c r="G165" s="138"/>
      <c r="H165" s="138"/>
      <c r="I165" s="138"/>
      <c r="J165" s="138"/>
      <c r="K165" s="138"/>
    </row>
    <row r="166" spans="1:11" ht="20.25">
      <c r="A166" s="138"/>
      <c r="B166" s="138"/>
      <c r="C166" s="138"/>
      <c r="D166" s="138"/>
      <c r="E166" s="138"/>
      <c r="F166" s="138"/>
      <c r="G166" s="138"/>
      <c r="H166" s="138"/>
      <c r="I166" s="138"/>
      <c r="J166" s="138"/>
      <c r="K166" s="138"/>
    </row>
    <row r="167" spans="1:11" ht="20.25">
      <c r="A167" s="138"/>
      <c r="B167" s="138"/>
      <c r="C167" s="138"/>
      <c r="D167" s="138"/>
      <c r="E167" s="138"/>
      <c r="F167" s="138"/>
      <c r="G167" s="138"/>
      <c r="H167" s="138"/>
      <c r="I167" s="138"/>
      <c r="J167" s="138"/>
      <c r="K167" s="138"/>
    </row>
    <row r="168" spans="1:11" ht="20.25">
      <c r="A168" s="138"/>
      <c r="B168" s="138"/>
      <c r="C168" s="138"/>
      <c r="D168" s="138"/>
      <c r="E168" s="138"/>
      <c r="F168" s="138"/>
      <c r="G168" s="138"/>
      <c r="H168" s="138"/>
      <c r="I168" s="138"/>
      <c r="J168" s="138"/>
      <c r="K168" s="138"/>
    </row>
    <row r="169" spans="1:11" ht="20.25">
      <c r="A169" s="138"/>
      <c r="B169" s="138"/>
      <c r="C169" s="138"/>
      <c r="D169" s="138"/>
      <c r="E169" s="138"/>
      <c r="F169" s="138"/>
      <c r="G169" s="138"/>
      <c r="H169" s="138"/>
      <c r="I169" s="138"/>
      <c r="J169" s="138"/>
      <c r="K169" s="138"/>
    </row>
    <row r="170" spans="1:11" ht="20.25">
      <c r="A170" s="138"/>
      <c r="B170" s="138"/>
      <c r="C170" s="138"/>
      <c r="D170" s="138"/>
      <c r="E170" s="138"/>
      <c r="F170" s="138"/>
      <c r="G170" s="138"/>
      <c r="H170" s="138"/>
      <c r="I170" s="138"/>
      <c r="J170" s="138"/>
      <c r="K170" s="138"/>
    </row>
    <row r="171" spans="1:11" ht="20.25">
      <c r="A171" s="138"/>
      <c r="B171" s="138"/>
      <c r="C171" s="138"/>
      <c r="D171" s="138"/>
      <c r="E171" s="138"/>
      <c r="F171" s="138"/>
      <c r="G171" s="138"/>
      <c r="H171" s="138"/>
      <c r="I171" s="138"/>
      <c r="J171" s="138"/>
      <c r="K171" s="138"/>
    </row>
    <row r="172" spans="1:11" ht="20.25">
      <c r="A172" s="138"/>
      <c r="B172" s="138"/>
      <c r="C172" s="138"/>
      <c r="D172" s="138"/>
      <c r="E172" s="138"/>
      <c r="F172" s="138"/>
      <c r="G172" s="138"/>
      <c r="H172" s="138"/>
      <c r="I172" s="138"/>
      <c r="J172" s="138"/>
      <c r="K172" s="138"/>
    </row>
    <row r="173" spans="1:11" ht="20.25">
      <c r="A173" s="138"/>
      <c r="B173" s="138"/>
      <c r="C173" s="138"/>
      <c r="D173" s="138"/>
      <c r="E173" s="138"/>
      <c r="F173" s="138"/>
      <c r="G173" s="138"/>
      <c r="H173" s="138"/>
      <c r="I173" s="138"/>
      <c r="J173" s="138"/>
      <c r="K173" s="138"/>
    </row>
    <row r="174" spans="1:11" ht="20.25">
      <c r="A174" s="138"/>
      <c r="B174" s="138"/>
      <c r="C174" s="138"/>
      <c r="D174" s="138"/>
      <c r="E174" s="138"/>
      <c r="F174" s="138"/>
      <c r="G174" s="138"/>
      <c r="H174" s="138"/>
      <c r="I174" s="138"/>
      <c r="J174" s="138"/>
      <c r="K174" s="138"/>
    </row>
    <row r="175" spans="1:11" ht="20.25">
      <c r="A175" s="138"/>
      <c r="B175" s="138"/>
      <c r="C175" s="138"/>
      <c r="D175" s="138"/>
      <c r="E175" s="138"/>
      <c r="F175" s="138"/>
      <c r="G175" s="138"/>
      <c r="H175" s="138"/>
      <c r="I175" s="138"/>
      <c r="J175" s="138"/>
      <c r="K175" s="138"/>
    </row>
    <row r="176" spans="1:11" ht="20.25">
      <c r="A176" s="138"/>
      <c r="B176" s="138"/>
      <c r="C176" s="138"/>
      <c r="D176" s="138"/>
      <c r="E176" s="138"/>
      <c r="F176" s="138"/>
      <c r="G176" s="138"/>
      <c r="H176" s="138"/>
      <c r="I176" s="138"/>
      <c r="J176" s="138"/>
      <c r="K176" s="138"/>
    </row>
    <row r="177" spans="1:11" ht="20.25">
      <c r="A177" s="138"/>
      <c r="B177" s="138"/>
      <c r="C177" s="138"/>
      <c r="D177" s="138"/>
      <c r="E177" s="138"/>
      <c r="F177" s="138"/>
      <c r="G177" s="138"/>
      <c r="H177" s="138"/>
      <c r="I177" s="138"/>
      <c r="J177" s="138"/>
      <c r="K177" s="138"/>
    </row>
    <row r="178" spans="1:11" ht="20.25">
      <c r="A178" s="138"/>
      <c r="B178" s="138"/>
      <c r="C178" s="138"/>
      <c r="D178" s="138"/>
      <c r="E178" s="138"/>
      <c r="F178" s="138"/>
      <c r="G178" s="138"/>
      <c r="H178" s="138"/>
      <c r="I178" s="138"/>
      <c r="J178" s="138"/>
      <c r="K178" s="138"/>
    </row>
    <row r="179" spans="1:11" ht="20.25">
      <c r="A179" s="138"/>
      <c r="B179" s="138"/>
      <c r="C179" s="138"/>
      <c r="D179" s="138"/>
      <c r="E179" s="138"/>
      <c r="F179" s="138"/>
      <c r="G179" s="138"/>
      <c r="H179" s="138"/>
      <c r="I179" s="138"/>
      <c r="J179" s="138"/>
      <c r="K179" s="138"/>
    </row>
    <row r="180" spans="1:11" ht="20.25">
      <c r="A180" s="138"/>
      <c r="B180" s="138"/>
      <c r="C180" s="138"/>
      <c r="D180" s="138"/>
      <c r="E180" s="138"/>
      <c r="F180" s="138"/>
      <c r="G180" s="138"/>
      <c r="H180" s="138"/>
      <c r="I180" s="138"/>
      <c r="J180" s="138"/>
      <c r="K180" s="138"/>
    </row>
    <row r="181" spans="1:11" ht="20.25">
      <c r="A181" s="138"/>
      <c r="B181" s="138"/>
      <c r="C181" s="138"/>
      <c r="D181" s="138"/>
      <c r="E181" s="138"/>
      <c r="F181" s="138"/>
      <c r="G181" s="138"/>
      <c r="H181" s="138"/>
      <c r="I181" s="138"/>
      <c r="J181" s="138"/>
      <c r="K181" s="138"/>
    </row>
    <row r="182" spans="1:11" ht="20.25">
      <c r="A182" s="138"/>
      <c r="B182" s="138"/>
      <c r="C182" s="138"/>
      <c r="D182" s="138"/>
      <c r="E182" s="138"/>
      <c r="F182" s="138"/>
      <c r="G182" s="138"/>
      <c r="H182" s="138"/>
      <c r="I182" s="138"/>
      <c r="J182" s="138"/>
      <c r="K182" s="138"/>
    </row>
    <row r="183" spans="1:11" ht="20.25">
      <c r="A183" s="138"/>
      <c r="B183" s="138"/>
      <c r="C183" s="138"/>
      <c r="D183" s="138"/>
      <c r="E183" s="138"/>
      <c r="F183" s="138"/>
      <c r="G183" s="138"/>
      <c r="H183" s="138"/>
      <c r="I183" s="138"/>
      <c r="J183" s="138"/>
      <c r="K183" s="138"/>
    </row>
    <row r="184" spans="1:11" ht="20.25">
      <c r="A184" s="138"/>
      <c r="B184" s="138"/>
      <c r="C184" s="138"/>
      <c r="D184" s="138"/>
      <c r="E184" s="138"/>
      <c r="F184" s="138"/>
      <c r="G184" s="138"/>
      <c r="H184" s="138"/>
      <c r="I184" s="138"/>
      <c r="J184" s="138"/>
      <c r="K184" s="138"/>
    </row>
    <row r="185" spans="1:11" ht="20.25">
      <c r="A185" s="138"/>
      <c r="B185" s="138"/>
      <c r="C185" s="138"/>
      <c r="D185" s="138"/>
      <c r="E185" s="138"/>
      <c r="F185" s="138"/>
      <c r="G185" s="138"/>
      <c r="H185" s="138"/>
      <c r="I185" s="138"/>
      <c r="J185" s="138"/>
      <c r="K185" s="138"/>
    </row>
    <row r="186" spans="1:11" ht="20.25">
      <c r="A186" s="138"/>
      <c r="B186" s="138"/>
      <c r="C186" s="138"/>
      <c r="D186" s="138"/>
      <c r="E186" s="138"/>
      <c r="F186" s="138"/>
      <c r="G186" s="138"/>
      <c r="H186" s="138"/>
      <c r="I186" s="138"/>
      <c r="J186" s="138"/>
      <c r="K186" s="138"/>
    </row>
    <row r="187" spans="1:11" ht="20.25">
      <c r="A187" s="138"/>
      <c r="B187" s="138"/>
      <c r="C187" s="138"/>
      <c r="D187" s="138"/>
      <c r="E187" s="138"/>
      <c r="F187" s="138"/>
      <c r="G187" s="138"/>
      <c r="H187" s="138"/>
      <c r="I187" s="138"/>
      <c r="J187" s="138"/>
      <c r="K187" s="138"/>
    </row>
    <row r="188" spans="1:11" ht="20.25">
      <c r="A188" s="138"/>
      <c r="B188" s="138"/>
      <c r="C188" s="138"/>
      <c r="D188" s="138"/>
      <c r="E188" s="138"/>
      <c r="F188" s="138"/>
      <c r="G188" s="138"/>
      <c r="H188" s="138"/>
      <c r="I188" s="138"/>
      <c r="J188" s="138"/>
      <c r="K188" s="138"/>
    </row>
    <row r="189" spans="1:11" ht="20.25">
      <c r="A189" s="138"/>
      <c r="B189" s="138"/>
      <c r="C189" s="138"/>
      <c r="D189" s="138"/>
      <c r="E189" s="138"/>
      <c r="F189" s="138"/>
      <c r="G189" s="138"/>
      <c r="H189" s="138"/>
      <c r="I189" s="138"/>
      <c r="J189" s="138"/>
      <c r="K189" s="138"/>
    </row>
    <row r="190" spans="1:11" ht="20.25">
      <c r="A190" s="138"/>
      <c r="B190" s="138"/>
      <c r="C190" s="138"/>
      <c r="D190" s="138"/>
      <c r="E190" s="138"/>
      <c r="F190" s="138"/>
      <c r="G190" s="138"/>
      <c r="H190" s="138"/>
      <c r="I190" s="138"/>
      <c r="J190" s="138"/>
      <c r="K190" s="138"/>
    </row>
    <row r="191" spans="1:11" ht="20.25">
      <c r="A191" s="138"/>
      <c r="B191" s="138"/>
      <c r="C191" s="138"/>
      <c r="D191" s="138"/>
      <c r="E191" s="138"/>
      <c r="F191" s="138"/>
      <c r="G191" s="138"/>
      <c r="H191" s="138"/>
      <c r="I191" s="138"/>
      <c r="J191" s="138"/>
      <c r="K191" s="138"/>
    </row>
    <row r="192" spans="1:11" ht="20.25">
      <c r="A192" s="138"/>
      <c r="B192" s="138"/>
      <c r="C192" s="138"/>
      <c r="D192" s="138"/>
      <c r="E192" s="138"/>
      <c r="F192" s="138"/>
      <c r="G192" s="138"/>
      <c r="H192" s="138"/>
      <c r="I192" s="138"/>
      <c r="J192" s="138"/>
      <c r="K192" s="138"/>
    </row>
    <row r="193" spans="1:11" ht="20.25">
      <c r="A193" s="138"/>
      <c r="B193" s="138"/>
      <c r="C193" s="138"/>
      <c r="D193" s="138"/>
      <c r="E193" s="138"/>
      <c r="F193" s="138"/>
      <c r="G193" s="138"/>
      <c r="H193" s="138"/>
      <c r="I193" s="138"/>
      <c r="J193" s="138"/>
      <c r="K193" s="138"/>
    </row>
    <row r="194" spans="1:11" ht="20.25">
      <c r="A194" s="138"/>
      <c r="B194" s="138"/>
      <c r="C194" s="138"/>
      <c r="D194" s="138"/>
      <c r="E194" s="138"/>
      <c r="F194" s="138"/>
      <c r="G194" s="138"/>
      <c r="H194" s="138"/>
      <c r="I194" s="138"/>
      <c r="J194" s="138"/>
      <c r="K194" s="138"/>
    </row>
    <row r="195" spans="1:11" ht="20.25">
      <c r="A195" s="138"/>
      <c r="B195" s="138"/>
      <c r="C195" s="138"/>
      <c r="D195" s="138"/>
      <c r="E195" s="138"/>
      <c r="F195" s="138"/>
      <c r="G195" s="138"/>
      <c r="H195" s="138"/>
      <c r="I195" s="138"/>
      <c r="J195" s="138"/>
      <c r="K195" s="138"/>
    </row>
    <row r="196" spans="1:11" ht="20.25">
      <c r="A196" s="138"/>
      <c r="B196" s="138"/>
      <c r="C196" s="138"/>
      <c r="D196" s="138"/>
      <c r="E196" s="138"/>
      <c r="F196" s="138"/>
      <c r="G196" s="138"/>
      <c r="H196" s="138"/>
      <c r="I196" s="138"/>
      <c r="J196" s="138"/>
      <c r="K196" s="138"/>
    </row>
    <row r="197" spans="1:11" ht="20.25">
      <c r="A197" s="138"/>
      <c r="B197" s="138"/>
      <c r="C197" s="138"/>
      <c r="D197" s="138"/>
      <c r="E197" s="138"/>
      <c r="F197" s="138"/>
      <c r="G197" s="138"/>
      <c r="H197" s="138"/>
      <c r="I197" s="138"/>
      <c r="J197" s="138"/>
      <c r="K197" s="138"/>
    </row>
    <row r="198" spans="1:11" ht="20.25">
      <c r="A198" s="138"/>
      <c r="B198" s="138"/>
      <c r="C198" s="138"/>
      <c r="D198" s="138"/>
      <c r="E198" s="138"/>
      <c r="F198" s="138"/>
      <c r="G198" s="138"/>
      <c r="H198" s="138"/>
      <c r="I198" s="138"/>
      <c r="J198" s="138"/>
      <c r="K198" s="138"/>
    </row>
    <row r="199" spans="1:11" ht="20.25">
      <c r="A199" s="138"/>
      <c r="B199" s="138"/>
      <c r="C199" s="138"/>
      <c r="D199" s="138"/>
      <c r="E199" s="138"/>
      <c r="F199" s="138"/>
      <c r="G199" s="138"/>
      <c r="H199" s="138"/>
      <c r="I199" s="138"/>
      <c r="J199" s="138"/>
      <c r="K199" s="138"/>
    </row>
    <row r="200" spans="1:11" ht="20.25">
      <c r="A200" s="138"/>
      <c r="B200" s="138"/>
      <c r="C200" s="138"/>
      <c r="D200" s="138"/>
      <c r="E200" s="138"/>
      <c r="F200" s="138"/>
      <c r="G200" s="138"/>
      <c r="H200" s="138"/>
      <c r="I200" s="138"/>
      <c r="J200" s="138"/>
      <c r="K200" s="138"/>
    </row>
    <row r="201" spans="1:11" ht="20.25">
      <c r="A201" s="138"/>
      <c r="B201" s="138"/>
      <c r="C201" s="138"/>
      <c r="D201" s="138"/>
      <c r="E201" s="138"/>
      <c r="F201" s="138"/>
      <c r="G201" s="138"/>
      <c r="H201" s="138"/>
      <c r="I201" s="138"/>
      <c r="J201" s="138"/>
      <c r="K201" s="138"/>
    </row>
    <row r="202" spans="1:11" ht="20.25">
      <c r="A202" s="138"/>
      <c r="B202" s="138"/>
      <c r="C202" s="138"/>
      <c r="D202" s="138"/>
      <c r="E202" s="138"/>
      <c r="F202" s="138"/>
      <c r="G202" s="138"/>
      <c r="H202" s="138"/>
      <c r="I202" s="138"/>
      <c r="J202" s="138"/>
      <c r="K202" s="138"/>
    </row>
    <row r="203" spans="1:11" ht="20.25">
      <c r="A203" s="138"/>
      <c r="B203" s="138"/>
      <c r="C203" s="138"/>
      <c r="D203" s="138"/>
      <c r="E203" s="138"/>
      <c r="F203" s="138"/>
      <c r="G203" s="138"/>
      <c r="H203" s="138"/>
      <c r="I203" s="138"/>
      <c r="J203" s="138"/>
      <c r="K203" s="138"/>
    </row>
    <row r="204" spans="1:11" ht="20.25">
      <c r="A204" s="138"/>
      <c r="B204" s="138"/>
      <c r="C204" s="138"/>
      <c r="D204" s="138"/>
      <c r="E204" s="138"/>
      <c r="F204" s="138"/>
      <c r="G204" s="138"/>
      <c r="H204" s="138"/>
      <c r="I204" s="138"/>
      <c r="J204" s="138"/>
      <c r="K204" s="138"/>
    </row>
    <row r="205" spans="1:11" ht="20.25">
      <c r="A205" s="138"/>
      <c r="B205" s="138"/>
      <c r="C205" s="138"/>
      <c r="D205" s="138"/>
      <c r="E205" s="138"/>
      <c r="F205" s="138"/>
      <c r="G205" s="138"/>
      <c r="H205" s="138"/>
      <c r="I205" s="138"/>
      <c r="J205" s="138"/>
      <c r="K205" s="138"/>
    </row>
    <row r="206" spans="1:11" ht="20.25">
      <c r="A206" s="138"/>
      <c r="B206" s="138"/>
      <c r="C206" s="138"/>
      <c r="D206" s="138"/>
      <c r="E206" s="138"/>
      <c r="F206" s="138"/>
      <c r="G206" s="138"/>
      <c r="H206" s="138"/>
      <c r="I206" s="138"/>
      <c r="J206" s="138"/>
      <c r="K206" s="138"/>
    </row>
    <row r="207" spans="1:11" ht="20.25">
      <c r="A207" s="138"/>
      <c r="B207" s="138"/>
      <c r="C207" s="138"/>
      <c r="D207" s="138"/>
      <c r="E207" s="138"/>
      <c r="F207" s="138"/>
      <c r="G207" s="138"/>
      <c r="H207" s="138"/>
      <c r="I207" s="138"/>
      <c r="J207" s="138"/>
      <c r="K207" s="138"/>
    </row>
    <row r="208" spans="1:11" ht="20.25">
      <c r="A208" s="138"/>
      <c r="B208" s="138"/>
      <c r="C208" s="138"/>
      <c r="D208" s="138"/>
      <c r="E208" s="138"/>
      <c r="F208" s="138"/>
      <c r="G208" s="138"/>
      <c r="H208" s="138"/>
      <c r="I208" s="138"/>
      <c r="J208" s="138"/>
      <c r="K208" s="138"/>
    </row>
    <row r="209" spans="1:11" ht="20.25">
      <c r="A209" s="138"/>
      <c r="B209" s="138"/>
      <c r="C209" s="138"/>
      <c r="D209" s="138"/>
      <c r="E209" s="138"/>
      <c r="F209" s="138"/>
      <c r="G209" s="138"/>
      <c r="H209" s="138"/>
      <c r="I209" s="138"/>
      <c r="J209" s="138"/>
      <c r="K209" s="138"/>
    </row>
    <row r="210" spans="1:11" ht="20.25">
      <c r="A210" s="138"/>
      <c r="B210" s="138"/>
      <c r="C210" s="138"/>
      <c r="D210" s="138"/>
      <c r="E210" s="138"/>
      <c r="F210" s="138"/>
      <c r="G210" s="138"/>
      <c r="H210" s="138"/>
      <c r="I210" s="138"/>
      <c r="J210" s="138"/>
      <c r="K210" s="138"/>
    </row>
    <row r="211" spans="1:11" ht="20.25">
      <c r="A211" s="138"/>
      <c r="B211" s="138"/>
      <c r="C211" s="138"/>
      <c r="D211" s="138"/>
      <c r="E211" s="138"/>
      <c r="F211" s="138"/>
      <c r="G211" s="138"/>
      <c r="H211" s="138"/>
      <c r="I211" s="138"/>
      <c r="J211" s="138"/>
      <c r="K211" s="138"/>
    </row>
    <row r="212" spans="1:11" ht="20.25">
      <c r="A212" s="138"/>
      <c r="B212" s="138"/>
      <c r="C212" s="138"/>
      <c r="D212" s="138"/>
      <c r="E212" s="138"/>
      <c r="F212" s="138"/>
      <c r="G212" s="138"/>
      <c r="H212" s="138"/>
      <c r="I212" s="138"/>
      <c r="J212" s="138"/>
      <c r="K212" s="138"/>
    </row>
    <row r="213" spans="1:11" ht="20.25">
      <c r="A213" s="138"/>
      <c r="B213" s="138"/>
      <c r="C213" s="138"/>
      <c r="D213" s="138"/>
      <c r="E213" s="138"/>
      <c r="F213" s="138"/>
      <c r="G213" s="138"/>
      <c r="H213" s="138"/>
      <c r="I213" s="138"/>
      <c r="J213" s="138"/>
      <c r="K213" s="138"/>
    </row>
    <row r="214" spans="1:11" ht="20.25">
      <c r="A214" s="138"/>
      <c r="B214" s="138"/>
      <c r="C214" s="138"/>
      <c r="D214" s="138"/>
      <c r="E214" s="138"/>
      <c r="F214" s="138"/>
      <c r="G214" s="138"/>
      <c r="H214" s="138"/>
      <c r="I214" s="138"/>
      <c r="J214" s="138"/>
      <c r="K214" s="138"/>
    </row>
    <row r="215" spans="1:11" ht="20.25">
      <c r="A215" s="138"/>
      <c r="B215" s="138"/>
      <c r="C215" s="138"/>
      <c r="D215" s="138"/>
      <c r="E215" s="138"/>
      <c r="F215" s="138"/>
      <c r="G215" s="138"/>
      <c r="H215" s="138"/>
      <c r="I215" s="138"/>
      <c r="J215" s="138"/>
      <c r="K215" s="138"/>
    </row>
    <row r="216" spans="1:11" ht="20.25">
      <c r="A216" s="138"/>
      <c r="B216" s="138"/>
      <c r="C216" s="138"/>
      <c r="D216" s="138"/>
      <c r="E216" s="138"/>
      <c r="F216" s="138"/>
      <c r="G216" s="138"/>
      <c r="H216" s="138"/>
      <c r="I216" s="138"/>
      <c r="J216" s="138"/>
      <c r="K216" s="138"/>
    </row>
    <row r="217" spans="1:11" ht="20.25">
      <c r="A217" s="138"/>
      <c r="B217" s="138"/>
      <c r="C217" s="138"/>
      <c r="D217" s="138"/>
      <c r="E217" s="138"/>
      <c r="F217" s="138"/>
      <c r="G217" s="138"/>
      <c r="H217" s="138"/>
      <c r="I217" s="138"/>
      <c r="J217" s="138"/>
      <c r="K217" s="138"/>
    </row>
    <row r="218" spans="1:11" ht="20.25">
      <c r="A218" s="138"/>
      <c r="B218" s="138"/>
      <c r="C218" s="138"/>
      <c r="D218" s="138"/>
      <c r="E218" s="138"/>
      <c r="F218" s="138"/>
      <c r="G218" s="138"/>
      <c r="H218" s="138"/>
      <c r="I218" s="138"/>
      <c r="J218" s="138"/>
      <c r="K218" s="138"/>
    </row>
    <row r="219" spans="1:11" ht="20.25">
      <c r="A219" s="138"/>
      <c r="B219" s="138"/>
      <c r="C219" s="138"/>
      <c r="D219" s="138"/>
      <c r="E219" s="138"/>
      <c r="F219" s="138"/>
      <c r="G219" s="138"/>
      <c r="H219" s="138"/>
      <c r="I219" s="138"/>
      <c r="J219" s="138"/>
      <c r="K219" s="138"/>
    </row>
    <row r="220" spans="1:11" ht="20.25">
      <c r="A220" s="138"/>
      <c r="B220" s="138"/>
      <c r="C220" s="138"/>
      <c r="D220" s="138"/>
      <c r="E220" s="138"/>
      <c r="F220" s="138"/>
      <c r="G220" s="138"/>
      <c r="H220" s="138"/>
      <c r="I220" s="138"/>
      <c r="J220" s="138"/>
      <c r="K220" s="138"/>
    </row>
    <row r="221" spans="1:11" ht="20.25">
      <c r="A221" s="138"/>
      <c r="B221" s="138"/>
      <c r="C221" s="138"/>
      <c r="D221" s="138"/>
      <c r="E221" s="138"/>
      <c r="F221" s="138"/>
      <c r="G221" s="138"/>
      <c r="H221" s="138"/>
      <c r="I221" s="138"/>
      <c r="J221" s="138"/>
      <c r="K221" s="138"/>
    </row>
    <row r="222" spans="1:11" ht="20.25">
      <c r="A222" s="138"/>
      <c r="B222" s="138"/>
      <c r="C222" s="138"/>
      <c r="D222" s="138"/>
      <c r="E222" s="138"/>
      <c r="F222" s="138"/>
      <c r="G222" s="138"/>
      <c r="H222" s="138"/>
      <c r="I222" s="138"/>
      <c r="J222" s="138"/>
      <c r="K222" s="138"/>
    </row>
    <row r="223" spans="1:11" ht="20.25">
      <c r="A223" s="138"/>
      <c r="B223" s="138"/>
      <c r="C223" s="138"/>
      <c r="D223" s="138"/>
      <c r="E223" s="138"/>
      <c r="F223" s="138"/>
      <c r="G223" s="138"/>
      <c r="H223" s="138"/>
      <c r="I223" s="138"/>
      <c r="J223" s="138"/>
      <c r="K223" s="138"/>
    </row>
    <row r="224" spans="1:11" ht="20.25">
      <c r="A224" s="138"/>
      <c r="B224" s="138"/>
      <c r="C224" s="138"/>
      <c r="D224" s="138"/>
      <c r="E224" s="138"/>
      <c r="F224" s="138"/>
      <c r="G224" s="138"/>
      <c r="H224" s="138"/>
      <c r="I224" s="138"/>
      <c r="J224" s="138"/>
      <c r="K224" s="138"/>
    </row>
    <row r="225" spans="1:11" ht="20.25">
      <c r="A225" s="138"/>
      <c r="B225" s="138"/>
      <c r="C225" s="138"/>
      <c r="D225" s="138"/>
      <c r="E225" s="138"/>
      <c r="F225" s="138"/>
      <c r="G225" s="138"/>
      <c r="H225" s="138"/>
      <c r="I225" s="138"/>
      <c r="J225" s="138"/>
      <c r="K225" s="138"/>
    </row>
    <row r="226" spans="1:11" ht="20.25">
      <c r="A226" s="138"/>
      <c r="B226" s="138"/>
      <c r="C226" s="138"/>
      <c r="D226" s="138"/>
      <c r="E226" s="138"/>
      <c r="F226" s="138"/>
      <c r="G226" s="138"/>
      <c r="H226" s="138"/>
      <c r="I226" s="138"/>
      <c r="J226" s="138"/>
      <c r="K226" s="138"/>
    </row>
    <row r="227" spans="1:11" ht="20.25">
      <c r="A227" s="138"/>
      <c r="B227" s="138"/>
      <c r="C227" s="138"/>
      <c r="D227" s="138"/>
      <c r="E227" s="138"/>
      <c r="F227" s="138"/>
      <c r="G227" s="138"/>
      <c r="H227" s="138"/>
      <c r="I227" s="138"/>
      <c r="J227" s="138"/>
      <c r="K227" s="138"/>
    </row>
    <row r="228" spans="1:11" ht="20.25">
      <c r="A228" s="138"/>
      <c r="B228" s="138"/>
      <c r="C228" s="138"/>
      <c r="D228" s="138"/>
      <c r="E228" s="138"/>
      <c r="F228" s="138"/>
      <c r="G228" s="138"/>
      <c r="H228" s="138"/>
      <c r="I228" s="138"/>
      <c r="J228" s="138"/>
      <c r="K228" s="138"/>
    </row>
    <row r="229" spans="1:11" ht="20.25">
      <c r="A229" s="138"/>
      <c r="B229" s="138"/>
      <c r="C229" s="138"/>
      <c r="D229" s="138"/>
      <c r="E229" s="138"/>
      <c r="F229" s="138"/>
      <c r="G229" s="138"/>
      <c r="H229" s="138"/>
      <c r="I229" s="138"/>
      <c r="J229" s="138"/>
      <c r="K229" s="138"/>
    </row>
    <row r="230" spans="1:11" ht="20.25">
      <c r="A230" s="138"/>
      <c r="B230" s="138"/>
      <c r="C230" s="138"/>
      <c r="D230" s="138"/>
      <c r="E230" s="138"/>
      <c r="F230" s="138"/>
      <c r="G230" s="138"/>
      <c r="H230" s="138"/>
      <c r="I230" s="138"/>
      <c r="J230" s="138"/>
      <c r="K230" s="138"/>
    </row>
    <row r="231" spans="1:11" ht="20.25">
      <c r="A231" s="138"/>
      <c r="B231" s="138"/>
      <c r="C231" s="138"/>
      <c r="D231" s="138"/>
      <c r="E231" s="138"/>
      <c r="F231" s="138"/>
      <c r="G231" s="138"/>
      <c r="H231" s="138"/>
      <c r="I231" s="138"/>
      <c r="J231" s="138"/>
      <c r="K231" s="138"/>
    </row>
    <row r="232" spans="1:11" ht="20.25">
      <c r="A232" s="138"/>
      <c r="B232" s="138"/>
      <c r="C232" s="138"/>
      <c r="D232" s="138"/>
      <c r="E232" s="138"/>
      <c r="F232" s="138"/>
      <c r="G232" s="138"/>
      <c r="H232" s="138"/>
      <c r="I232" s="138"/>
      <c r="J232" s="138"/>
      <c r="K232" s="138"/>
    </row>
    <row r="233" spans="1:11" ht="20.25">
      <c r="A233" s="138"/>
      <c r="B233" s="138"/>
      <c r="C233" s="138"/>
      <c r="D233" s="138"/>
      <c r="E233" s="138"/>
      <c r="F233" s="138"/>
      <c r="G233" s="138"/>
      <c r="H233" s="138"/>
      <c r="I233" s="138"/>
      <c r="J233" s="138"/>
      <c r="K233" s="138"/>
    </row>
    <row r="234" spans="1:11" ht="20.25">
      <c r="A234" s="138"/>
      <c r="B234" s="138"/>
      <c r="C234" s="138"/>
      <c r="D234" s="138"/>
      <c r="E234" s="138"/>
      <c r="F234" s="138"/>
      <c r="G234" s="138"/>
      <c r="H234" s="138"/>
      <c r="I234" s="138"/>
      <c r="J234" s="138"/>
      <c r="K234" s="138"/>
    </row>
    <row r="235" spans="1:11" ht="20.25">
      <c r="A235" s="138"/>
      <c r="B235" s="138"/>
      <c r="C235" s="138"/>
      <c r="D235" s="138"/>
      <c r="E235" s="138"/>
      <c r="F235" s="138"/>
      <c r="G235" s="138"/>
      <c r="H235" s="138"/>
      <c r="I235" s="138"/>
      <c r="J235" s="138"/>
      <c r="K235" s="138"/>
    </row>
    <row r="236" spans="1:11" ht="20.25">
      <c r="A236" s="138"/>
      <c r="B236" s="138"/>
      <c r="C236" s="138"/>
      <c r="D236" s="138"/>
      <c r="E236" s="138"/>
      <c r="F236" s="138"/>
      <c r="G236" s="138"/>
      <c r="H236" s="138"/>
      <c r="I236" s="138"/>
      <c r="J236" s="138"/>
      <c r="K236" s="138"/>
    </row>
    <row r="237" spans="1:11" ht="20.25">
      <c r="A237" s="138"/>
      <c r="B237" s="138"/>
      <c r="C237" s="138"/>
      <c r="D237" s="138"/>
      <c r="E237" s="138"/>
      <c r="F237" s="138"/>
      <c r="G237" s="138"/>
      <c r="H237" s="138"/>
      <c r="I237" s="138"/>
      <c r="J237" s="138"/>
      <c r="K237" s="138"/>
    </row>
    <row r="238" spans="1:11" ht="20.25">
      <c r="A238" s="138"/>
      <c r="B238" s="138"/>
      <c r="C238" s="138"/>
      <c r="D238" s="138"/>
      <c r="E238" s="138"/>
      <c r="F238" s="138"/>
      <c r="G238" s="138"/>
      <c r="H238" s="138"/>
      <c r="I238" s="138"/>
      <c r="J238" s="138"/>
      <c r="K238" s="138"/>
    </row>
    <row r="239" spans="1:11" ht="20.25">
      <c r="A239" s="138"/>
      <c r="B239" s="138"/>
      <c r="C239" s="138"/>
      <c r="D239" s="138"/>
      <c r="E239" s="138"/>
      <c r="F239" s="138"/>
      <c r="G239" s="138"/>
      <c r="H239" s="138"/>
      <c r="I239" s="138"/>
      <c r="J239" s="138"/>
      <c r="K239" s="138"/>
    </row>
    <row r="240" spans="1:11" ht="20.25">
      <c r="A240" s="138"/>
      <c r="B240" s="138"/>
      <c r="C240" s="138"/>
      <c r="D240" s="138"/>
      <c r="E240" s="138"/>
      <c r="F240" s="138"/>
      <c r="G240" s="138"/>
      <c r="H240" s="138"/>
      <c r="I240" s="138"/>
      <c r="J240" s="138"/>
      <c r="K240" s="138"/>
    </row>
    <row r="241" spans="1:11" ht="20.25">
      <c r="A241" s="138"/>
      <c r="B241" s="138"/>
      <c r="C241" s="138"/>
      <c r="D241" s="138"/>
      <c r="E241" s="138"/>
      <c r="F241" s="138"/>
      <c r="G241" s="138"/>
      <c r="H241" s="138"/>
      <c r="I241" s="138"/>
      <c r="J241" s="138"/>
      <c r="K241" s="138"/>
    </row>
    <row r="242" spans="1:11" ht="20.25">
      <c r="A242" s="138"/>
      <c r="B242" s="138"/>
      <c r="C242" s="138"/>
      <c r="D242" s="138"/>
      <c r="E242" s="138"/>
      <c r="F242" s="138"/>
      <c r="G242" s="138"/>
      <c r="H242" s="138"/>
      <c r="I242" s="138"/>
      <c r="J242" s="138"/>
      <c r="K242" s="138"/>
    </row>
    <row r="243" spans="1:11" ht="20.25">
      <c r="A243" s="138"/>
      <c r="B243" s="138"/>
      <c r="C243" s="138"/>
      <c r="D243" s="138"/>
      <c r="E243" s="138"/>
      <c r="F243" s="138"/>
      <c r="G243" s="138"/>
      <c r="H243" s="138"/>
      <c r="I243" s="138"/>
      <c r="J243" s="138"/>
      <c r="K243" s="138"/>
    </row>
    <row r="244" spans="1:11" ht="20.25">
      <c r="A244" s="138"/>
      <c r="B244" s="138"/>
      <c r="C244" s="138"/>
      <c r="D244" s="138"/>
      <c r="E244" s="138"/>
      <c r="F244" s="138"/>
      <c r="G244" s="138"/>
      <c r="H244" s="138"/>
      <c r="I244" s="138"/>
      <c r="J244" s="138"/>
      <c r="K244" s="138"/>
    </row>
    <row r="245" spans="1:11" ht="20.25">
      <c r="A245" s="138"/>
      <c r="B245" s="138"/>
      <c r="C245" s="138"/>
      <c r="D245" s="138"/>
      <c r="E245" s="138"/>
      <c r="F245" s="138"/>
      <c r="G245" s="138"/>
      <c r="H245" s="138"/>
      <c r="I245" s="138"/>
      <c r="J245" s="138"/>
      <c r="K245" s="138"/>
    </row>
    <row r="246" spans="1:11" ht="20.25">
      <c r="A246" s="138"/>
      <c r="B246" s="138"/>
      <c r="C246" s="138"/>
      <c r="D246" s="138"/>
      <c r="E246" s="138"/>
      <c r="F246" s="138"/>
      <c r="G246" s="138"/>
      <c r="H246" s="138"/>
      <c r="I246" s="138"/>
      <c r="J246" s="138"/>
      <c r="K246" s="138"/>
    </row>
    <row r="247" spans="1:11" ht="20.25">
      <c r="A247" s="138"/>
      <c r="B247" s="138"/>
      <c r="C247" s="138"/>
      <c r="D247" s="138"/>
      <c r="E247" s="138"/>
      <c r="F247" s="138"/>
      <c r="G247" s="138"/>
      <c r="H247" s="138"/>
      <c r="I247" s="138"/>
      <c r="J247" s="138"/>
      <c r="K247" s="138"/>
    </row>
    <row r="248" spans="1:11" ht="20.25">
      <c r="A248" s="138"/>
      <c r="B248" s="138"/>
      <c r="C248" s="138"/>
      <c r="D248" s="138"/>
      <c r="E248" s="138"/>
      <c r="F248" s="138"/>
      <c r="G248" s="138"/>
      <c r="H248" s="138"/>
      <c r="I248" s="138"/>
      <c r="J248" s="138"/>
      <c r="K248" s="138"/>
    </row>
    <row r="249" spans="1:11" ht="20.25">
      <c r="A249" s="138"/>
      <c r="B249" s="138"/>
      <c r="C249" s="138"/>
      <c r="D249" s="138"/>
      <c r="E249" s="138"/>
      <c r="F249" s="138"/>
      <c r="G249" s="138"/>
      <c r="H249" s="138"/>
      <c r="I249" s="138"/>
      <c r="J249" s="138"/>
      <c r="K249" s="138"/>
    </row>
    <row r="250" spans="1:11" ht="20.25">
      <c r="A250" s="138"/>
      <c r="B250" s="138"/>
      <c r="C250" s="138"/>
      <c r="D250" s="138"/>
      <c r="E250" s="138"/>
      <c r="F250" s="138"/>
      <c r="G250" s="138"/>
      <c r="H250" s="138"/>
      <c r="I250" s="138"/>
      <c r="J250" s="138"/>
      <c r="K250" s="138"/>
    </row>
    <row r="251" spans="1:11" ht="20.25">
      <c r="A251" s="138"/>
      <c r="B251" s="138"/>
      <c r="C251" s="138"/>
      <c r="D251" s="138"/>
      <c r="E251" s="138"/>
      <c r="F251" s="138"/>
      <c r="G251" s="138"/>
      <c r="H251" s="138"/>
      <c r="I251" s="138"/>
      <c r="J251" s="138"/>
      <c r="K251" s="138"/>
    </row>
    <row r="252" spans="1:11" ht="20.25">
      <c r="A252" s="138"/>
      <c r="B252" s="138"/>
      <c r="C252" s="138"/>
      <c r="D252" s="138"/>
      <c r="E252" s="138"/>
      <c r="F252" s="138"/>
      <c r="G252" s="138"/>
      <c r="H252" s="138"/>
      <c r="I252" s="138"/>
      <c r="J252" s="138"/>
      <c r="K252" s="138"/>
    </row>
    <row r="253" spans="1:11" ht="20.25">
      <c r="A253" s="138"/>
      <c r="B253" s="138"/>
      <c r="C253" s="138"/>
      <c r="D253" s="138"/>
      <c r="E253" s="138"/>
      <c r="F253" s="138"/>
      <c r="G253" s="138"/>
      <c r="H253" s="138"/>
      <c r="I253" s="138"/>
      <c r="J253" s="138"/>
      <c r="K253" s="138"/>
    </row>
    <row r="254" spans="1:11" ht="20.25">
      <c r="A254" s="138"/>
      <c r="B254" s="138"/>
      <c r="C254" s="138"/>
      <c r="D254" s="138"/>
      <c r="E254" s="138"/>
      <c r="F254" s="138"/>
      <c r="G254" s="138"/>
      <c r="H254" s="138"/>
      <c r="I254" s="138"/>
      <c r="J254" s="138"/>
      <c r="K254" s="138"/>
    </row>
    <row r="255" spans="1:11" ht="20.25">
      <c r="A255" s="138"/>
      <c r="B255" s="138"/>
      <c r="C255" s="138"/>
      <c r="D255" s="138"/>
      <c r="E255" s="138"/>
      <c r="F255" s="138"/>
      <c r="G255" s="138"/>
      <c r="H255" s="138"/>
      <c r="I255" s="138"/>
      <c r="J255" s="138"/>
      <c r="K255" s="138"/>
    </row>
    <row r="256" spans="1:11" ht="20.25">
      <c r="A256" s="138"/>
      <c r="B256" s="138"/>
      <c r="C256" s="138"/>
      <c r="D256" s="138"/>
      <c r="E256" s="138"/>
      <c r="F256" s="138"/>
      <c r="G256" s="138"/>
      <c r="H256" s="138"/>
      <c r="I256" s="138"/>
      <c r="J256" s="138"/>
      <c r="K256" s="138"/>
    </row>
    <row r="257" spans="1:11" ht="20.25">
      <c r="A257" s="138"/>
      <c r="B257" s="138"/>
      <c r="C257" s="138"/>
      <c r="D257" s="138"/>
      <c r="E257" s="138"/>
      <c r="F257" s="138"/>
      <c r="G257" s="138"/>
      <c r="H257" s="138"/>
      <c r="I257" s="138"/>
      <c r="J257" s="138"/>
      <c r="K257" s="138"/>
    </row>
    <row r="258" spans="1:11" ht="20.25">
      <c r="A258" s="138"/>
      <c r="B258" s="138"/>
      <c r="C258" s="138"/>
      <c r="D258" s="138"/>
      <c r="E258" s="138"/>
      <c r="F258" s="138"/>
      <c r="G258" s="138"/>
      <c r="H258" s="138"/>
      <c r="I258" s="138"/>
      <c r="J258" s="138"/>
      <c r="K258" s="138"/>
    </row>
    <row r="259" spans="1:11" ht="20.25">
      <c r="A259" s="138"/>
      <c r="B259" s="138"/>
      <c r="C259" s="138"/>
      <c r="D259" s="138"/>
      <c r="E259" s="138"/>
      <c r="F259" s="138"/>
      <c r="G259" s="138"/>
      <c r="H259" s="138"/>
      <c r="I259" s="138"/>
      <c r="J259" s="138"/>
      <c r="K259" s="138"/>
    </row>
    <row r="260" spans="1:11" ht="20.25">
      <c r="A260" s="138"/>
      <c r="B260" s="138"/>
      <c r="C260" s="138"/>
      <c r="D260" s="138"/>
      <c r="E260" s="138"/>
      <c r="F260" s="138"/>
      <c r="G260" s="138"/>
      <c r="H260" s="138"/>
      <c r="I260" s="138"/>
      <c r="J260" s="138"/>
      <c r="K260" s="138"/>
    </row>
    <row r="261" spans="1:11" ht="20.25">
      <c r="A261" s="138"/>
      <c r="B261" s="138"/>
      <c r="C261" s="138"/>
      <c r="D261" s="138"/>
      <c r="E261" s="138"/>
      <c r="F261" s="138"/>
      <c r="G261" s="138"/>
      <c r="H261" s="138"/>
      <c r="I261" s="138"/>
      <c r="J261" s="138"/>
      <c r="K261" s="138"/>
    </row>
    <row r="262" spans="1:11" ht="20.25">
      <c r="A262" s="138"/>
      <c r="B262" s="138"/>
      <c r="C262" s="138"/>
      <c r="D262" s="138"/>
      <c r="E262" s="138"/>
      <c r="F262" s="138"/>
      <c r="G262" s="138"/>
      <c r="H262" s="138"/>
      <c r="I262" s="138"/>
      <c r="J262" s="138"/>
      <c r="K262" s="138"/>
    </row>
    <row r="263" spans="1:11" ht="20.25">
      <c r="A263" s="138"/>
      <c r="B263" s="138"/>
      <c r="C263" s="138"/>
      <c r="D263" s="138"/>
      <c r="E263" s="138"/>
      <c r="F263" s="138"/>
      <c r="G263" s="138"/>
      <c r="H263" s="138"/>
      <c r="I263" s="138"/>
      <c r="J263" s="138"/>
      <c r="K263" s="138"/>
    </row>
    <row r="264" spans="1:11" ht="20.25">
      <c r="A264" s="138"/>
      <c r="B264" s="138"/>
      <c r="C264" s="138"/>
      <c r="D264" s="138"/>
      <c r="E264" s="138"/>
      <c r="F264" s="138"/>
      <c r="G264" s="138"/>
      <c r="H264" s="138"/>
      <c r="I264" s="138"/>
      <c r="J264" s="138"/>
      <c r="K264" s="138"/>
    </row>
    <row r="265" spans="1:11" ht="20.25">
      <c r="A265" s="138"/>
      <c r="B265" s="138"/>
      <c r="C265" s="138"/>
      <c r="D265" s="138"/>
      <c r="E265" s="138"/>
      <c r="F265" s="138"/>
      <c r="G265" s="138"/>
      <c r="H265" s="138"/>
      <c r="I265" s="138"/>
      <c r="J265" s="138"/>
      <c r="K265" s="138"/>
    </row>
    <row r="266" spans="1:11" ht="20.25">
      <c r="A266" s="138"/>
      <c r="B266" s="138"/>
      <c r="C266" s="138"/>
      <c r="D266" s="138"/>
      <c r="E266" s="138"/>
      <c r="F266" s="138"/>
      <c r="G266" s="138"/>
      <c r="H266" s="138"/>
      <c r="I266" s="138"/>
      <c r="J266" s="138"/>
      <c r="K266" s="138"/>
    </row>
    <row r="267" spans="1:11" ht="20.25">
      <c r="A267" s="138"/>
      <c r="B267" s="138"/>
      <c r="C267" s="138"/>
      <c r="D267" s="138"/>
      <c r="E267" s="138"/>
      <c r="F267" s="138"/>
      <c r="G267" s="138"/>
      <c r="H267" s="138"/>
      <c r="I267" s="138"/>
      <c r="J267" s="138"/>
      <c r="K267" s="138"/>
    </row>
    <row r="268" spans="1:11" ht="20.25">
      <c r="A268" s="138"/>
      <c r="B268" s="138"/>
      <c r="C268" s="138"/>
      <c r="D268" s="138"/>
      <c r="E268" s="138"/>
      <c r="F268" s="138"/>
      <c r="G268" s="138"/>
      <c r="H268" s="138"/>
      <c r="I268" s="138"/>
      <c r="J268" s="138"/>
      <c r="K268" s="138"/>
    </row>
    <row r="269" spans="1:11" ht="20.25">
      <c r="A269" s="138"/>
      <c r="B269" s="138"/>
      <c r="C269" s="138"/>
      <c r="D269" s="138"/>
      <c r="E269" s="138"/>
      <c r="F269" s="138"/>
      <c r="G269" s="138"/>
      <c r="H269" s="138"/>
      <c r="I269" s="138"/>
      <c r="J269" s="138"/>
      <c r="K269" s="138"/>
    </row>
    <row r="270" spans="1:11" ht="20.25">
      <c r="A270" s="138"/>
      <c r="B270" s="138"/>
      <c r="C270" s="138"/>
      <c r="D270" s="138"/>
      <c r="E270" s="138"/>
      <c r="F270" s="138"/>
      <c r="G270" s="138"/>
      <c r="H270" s="138"/>
      <c r="I270" s="138"/>
      <c r="J270" s="138"/>
      <c r="K270" s="138"/>
    </row>
    <row r="271" spans="1:11" ht="20.25">
      <c r="A271" s="138"/>
      <c r="B271" s="138"/>
      <c r="C271" s="138"/>
      <c r="D271" s="138"/>
      <c r="E271" s="138"/>
      <c r="F271" s="138"/>
      <c r="G271" s="138"/>
      <c r="H271" s="138"/>
      <c r="I271" s="138"/>
      <c r="J271" s="138"/>
      <c r="K271" s="138"/>
    </row>
    <row r="272" spans="1:11" ht="20.25">
      <c r="A272" s="138"/>
      <c r="B272" s="138"/>
      <c r="C272" s="138"/>
      <c r="D272" s="138"/>
      <c r="E272" s="138"/>
      <c r="F272" s="138"/>
      <c r="G272" s="138"/>
      <c r="H272" s="138"/>
      <c r="I272" s="138"/>
      <c r="J272" s="138"/>
      <c r="K272" s="138"/>
    </row>
    <row r="273" spans="1:11" ht="20.25">
      <c r="A273" s="138"/>
      <c r="B273" s="138"/>
      <c r="C273" s="138"/>
      <c r="D273" s="138"/>
      <c r="E273" s="138"/>
      <c r="F273" s="138"/>
      <c r="G273" s="138"/>
      <c r="H273" s="138"/>
      <c r="I273" s="138"/>
      <c r="J273" s="138"/>
      <c r="K273" s="138"/>
    </row>
    <row r="274" spans="1:11" ht="20.25">
      <c r="A274" s="138"/>
      <c r="B274" s="138"/>
      <c r="C274" s="138"/>
      <c r="D274" s="138"/>
      <c r="E274" s="138"/>
      <c r="F274" s="138"/>
      <c r="G274" s="138"/>
      <c r="H274" s="138"/>
      <c r="I274" s="138"/>
      <c r="J274" s="138"/>
      <c r="K274" s="138"/>
    </row>
    <row r="275" spans="1:11" ht="20.25">
      <c r="A275" s="138"/>
      <c r="B275" s="138"/>
      <c r="C275" s="138"/>
      <c r="D275" s="138"/>
      <c r="E275" s="138"/>
      <c r="F275" s="138"/>
      <c r="G275" s="138"/>
      <c r="H275" s="138"/>
      <c r="I275" s="138"/>
      <c r="J275" s="138"/>
      <c r="K275" s="138"/>
    </row>
    <row r="276" spans="1:11" ht="20.25">
      <c r="A276" s="138"/>
      <c r="B276" s="138"/>
      <c r="C276" s="138"/>
      <c r="D276" s="138"/>
      <c r="E276" s="138"/>
      <c r="F276" s="138"/>
      <c r="G276" s="138"/>
      <c r="H276" s="138"/>
      <c r="I276" s="138"/>
      <c r="J276" s="138"/>
      <c r="K276" s="138"/>
    </row>
    <row r="277" spans="1:11" ht="20.25">
      <c r="A277" s="138"/>
      <c r="B277" s="138"/>
      <c r="C277" s="138"/>
      <c r="D277" s="138"/>
      <c r="E277" s="138"/>
      <c r="F277" s="138"/>
      <c r="G277" s="138"/>
      <c r="H277" s="138"/>
      <c r="I277" s="138"/>
      <c r="J277" s="138"/>
      <c r="K277" s="138"/>
    </row>
    <row r="278" spans="1:11" ht="20.25">
      <c r="A278" s="138"/>
      <c r="B278" s="138"/>
      <c r="C278" s="138"/>
      <c r="D278" s="138"/>
      <c r="E278" s="138"/>
      <c r="F278" s="138"/>
      <c r="G278" s="138"/>
      <c r="H278" s="138"/>
      <c r="I278" s="138"/>
      <c r="J278" s="138"/>
      <c r="K278" s="138"/>
    </row>
    <row r="279" spans="1:11" ht="20.25">
      <c r="A279" s="138"/>
      <c r="B279" s="138"/>
      <c r="C279" s="138"/>
      <c r="D279" s="138"/>
      <c r="E279" s="138"/>
      <c r="F279" s="138"/>
      <c r="G279" s="138"/>
      <c r="H279" s="138"/>
      <c r="I279" s="138"/>
      <c r="J279" s="138"/>
      <c r="K279" s="138"/>
    </row>
    <row r="280" spans="1:11" ht="20.25">
      <c r="A280" s="138"/>
      <c r="B280" s="138"/>
      <c r="C280" s="138"/>
      <c r="D280" s="138"/>
      <c r="E280" s="138"/>
      <c r="F280" s="138"/>
      <c r="G280" s="138"/>
      <c r="H280" s="138"/>
      <c r="I280" s="138"/>
      <c r="J280" s="138"/>
      <c r="K280" s="138"/>
    </row>
    <row r="281" spans="1:11" ht="20.25">
      <c r="A281" s="138"/>
      <c r="B281" s="138"/>
      <c r="C281" s="138"/>
      <c r="D281" s="138"/>
      <c r="E281" s="138"/>
      <c r="F281" s="138"/>
      <c r="G281" s="138"/>
      <c r="H281" s="138"/>
      <c r="I281" s="138"/>
      <c r="J281" s="138"/>
      <c r="K281" s="138"/>
    </row>
    <row r="282" spans="1:11" ht="20.25">
      <c r="A282" s="138"/>
      <c r="B282" s="138"/>
      <c r="C282" s="138"/>
      <c r="D282" s="138"/>
      <c r="E282" s="138"/>
      <c r="F282" s="138"/>
      <c r="G282" s="138"/>
      <c r="H282" s="138"/>
      <c r="I282" s="138"/>
      <c r="J282" s="138"/>
      <c r="K282" s="138"/>
    </row>
    <row r="283" spans="1:11" ht="20.25">
      <c r="A283" s="138"/>
      <c r="B283" s="138"/>
      <c r="C283" s="138"/>
      <c r="D283" s="138"/>
      <c r="E283" s="138"/>
      <c r="F283" s="138"/>
      <c r="G283" s="138"/>
      <c r="H283" s="138"/>
      <c r="I283" s="138"/>
      <c r="J283" s="138"/>
      <c r="K283" s="138"/>
    </row>
    <row r="284" spans="1:11" ht="20.25">
      <c r="A284" s="138"/>
      <c r="B284" s="138"/>
      <c r="C284" s="138"/>
      <c r="D284" s="138"/>
      <c r="E284" s="138"/>
      <c r="F284" s="138"/>
      <c r="G284" s="138"/>
      <c r="H284" s="138"/>
      <c r="I284" s="138"/>
      <c r="J284" s="138"/>
      <c r="K284" s="138"/>
    </row>
    <row r="285" spans="1:11" ht="20.25">
      <c r="A285" s="138"/>
      <c r="B285" s="138"/>
      <c r="C285" s="138"/>
      <c r="D285" s="138"/>
      <c r="E285" s="138"/>
      <c r="F285" s="138"/>
      <c r="G285" s="138"/>
      <c r="H285" s="138"/>
      <c r="I285" s="138"/>
      <c r="J285" s="138"/>
      <c r="K285" s="138"/>
    </row>
    <row r="286" spans="1:11" ht="20.25">
      <c r="A286" s="138"/>
      <c r="B286" s="138"/>
      <c r="C286" s="138"/>
      <c r="D286" s="138"/>
      <c r="E286" s="138"/>
      <c r="F286" s="138"/>
      <c r="G286" s="138"/>
      <c r="H286" s="138"/>
      <c r="I286" s="138"/>
      <c r="J286" s="138"/>
      <c r="K286" s="138"/>
    </row>
    <row r="287" spans="1:11" ht="20.25">
      <c r="A287" s="138"/>
      <c r="B287" s="138"/>
      <c r="C287" s="138"/>
      <c r="D287" s="138"/>
      <c r="E287" s="138"/>
      <c r="F287" s="138"/>
      <c r="G287" s="138"/>
      <c r="H287" s="138"/>
      <c r="I287" s="138"/>
      <c r="J287" s="138"/>
      <c r="K287" s="138"/>
    </row>
    <row r="288" spans="1:11" ht="20.25">
      <c r="A288" s="138"/>
      <c r="B288" s="138"/>
      <c r="C288" s="138"/>
      <c r="D288" s="138"/>
      <c r="E288" s="138"/>
      <c r="F288" s="138"/>
      <c r="G288" s="138"/>
      <c r="H288" s="138"/>
      <c r="I288" s="138"/>
      <c r="J288" s="138"/>
      <c r="K288" s="138"/>
    </row>
    <row r="289" spans="1:11" ht="20.25">
      <c r="A289" s="138"/>
      <c r="B289" s="138"/>
      <c r="C289" s="138"/>
      <c r="D289" s="138"/>
      <c r="E289" s="138"/>
      <c r="F289" s="138"/>
      <c r="G289" s="138"/>
      <c r="H289" s="138"/>
      <c r="I289" s="138"/>
      <c r="J289" s="138"/>
      <c r="K289" s="138"/>
    </row>
    <row r="290" spans="1:11" ht="20.25">
      <c r="A290" s="138"/>
      <c r="B290" s="138"/>
      <c r="C290" s="138"/>
      <c r="D290" s="138"/>
      <c r="E290" s="138"/>
      <c r="F290" s="138"/>
      <c r="G290" s="138"/>
      <c r="H290" s="138"/>
      <c r="I290" s="138"/>
      <c r="J290" s="138"/>
      <c r="K290" s="138"/>
    </row>
    <row r="291" spans="1:11" ht="20.25">
      <c r="A291" s="138"/>
      <c r="B291" s="138"/>
      <c r="C291" s="138"/>
      <c r="D291" s="138"/>
      <c r="E291" s="138"/>
      <c r="F291" s="138"/>
      <c r="G291" s="138"/>
      <c r="H291" s="138"/>
      <c r="I291" s="138"/>
      <c r="J291" s="138"/>
      <c r="K291" s="138"/>
    </row>
    <row r="292" spans="1:11" ht="20.25">
      <c r="A292" s="138"/>
      <c r="B292" s="138"/>
      <c r="C292" s="138"/>
      <c r="D292" s="138"/>
      <c r="E292" s="138"/>
      <c r="F292" s="138"/>
      <c r="G292" s="138"/>
      <c r="H292" s="138"/>
      <c r="I292" s="138"/>
      <c r="J292" s="138"/>
      <c r="K292" s="138"/>
    </row>
    <row r="293" spans="1:11" ht="20.25">
      <c r="A293" s="138"/>
      <c r="B293" s="138"/>
      <c r="C293" s="138"/>
      <c r="D293" s="138"/>
      <c r="E293" s="138"/>
      <c r="F293" s="138"/>
      <c r="G293" s="138"/>
      <c r="H293" s="138"/>
      <c r="I293" s="138"/>
      <c r="J293" s="138"/>
      <c r="K293" s="138"/>
    </row>
    <row r="294" spans="1:11" ht="20.25">
      <c r="A294" s="138"/>
      <c r="B294" s="138"/>
      <c r="C294" s="138"/>
      <c r="D294" s="138"/>
      <c r="E294" s="138"/>
      <c r="F294" s="138"/>
      <c r="G294" s="138"/>
      <c r="H294" s="138"/>
      <c r="I294" s="138"/>
      <c r="J294" s="138"/>
      <c r="K294" s="138"/>
    </row>
    <row r="295" spans="1:11" ht="20.25">
      <c r="A295" s="138"/>
      <c r="B295" s="138"/>
      <c r="C295" s="138"/>
      <c r="D295" s="138"/>
      <c r="E295" s="138"/>
      <c r="F295" s="138"/>
      <c r="G295" s="138"/>
      <c r="H295" s="138"/>
      <c r="I295" s="138"/>
      <c r="J295" s="138"/>
      <c r="K295" s="138"/>
    </row>
    <row r="296" spans="1:11" ht="20.25">
      <c r="A296" s="138"/>
      <c r="B296" s="138"/>
      <c r="C296" s="138"/>
      <c r="D296" s="138"/>
      <c r="E296" s="138"/>
      <c r="F296" s="138"/>
      <c r="G296" s="138"/>
      <c r="H296" s="138"/>
      <c r="I296" s="138"/>
      <c r="J296" s="138"/>
      <c r="K296" s="138"/>
    </row>
    <row r="297" spans="1:11" ht="20.25">
      <c r="A297" s="138"/>
      <c r="B297" s="138"/>
      <c r="C297" s="138"/>
      <c r="D297" s="138"/>
      <c r="E297" s="138"/>
      <c r="F297" s="138"/>
      <c r="G297" s="138"/>
      <c r="H297" s="138"/>
      <c r="I297" s="138"/>
      <c r="J297" s="138"/>
      <c r="K297" s="138"/>
    </row>
    <row r="298" spans="1:11" ht="20.25">
      <c r="A298" s="138"/>
      <c r="B298" s="138"/>
      <c r="C298" s="138"/>
      <c r="D298" s="138"/>
      <c r="E298" s="138"/>
      <c r="F298" s="138"/>
      <c r="G298" s="138"/>
      <c r="H298" s="138"/>
      <c r="I298" s="138"/>
      <c r="J298" s="138"/>
      <c r="K298" s="138"/>
    </row>
    <row r="299" spans="1:11" ht="20.25">
      <c r="A299" s="138"/>
      <c r="B299" s="138"/>
      <c r="C299" s="138"/>
      <c r="D299" s="138"/>
      <c r="E299" s="138"/>
      <c r="F299" s="138"/>
      <c r="G299" s="138"/>
      <c r="H299" s="138"/>
      <c r="I299" s="138"/>
      <c r="J299" s="138"/>
      <c r="K299" s="138"/>
    </row>
    <row r="300" spans="1:11" ht="20.25">
      <c r="A300" s="138"/>
      <c r="B300" s="138"/>
      <c r="C300" s="138"/>
      <c r="D300" s="138"/>
      <c r="E300" s="138"/>
      <c r="F300" s="138"/>
      <c r="G300" s="138"/>
      <c r="H300" s="138"/>
      <c r="I300" s="138"/>
      <c r="J300" s="138"/>
      <c r="K300" s="138"/>
    </row>
    <row r="301" spans="1:11" ht="20.25">
      <c r="A301" s="138"/>
      <c r="B301" s="138"/>
      <c r="C301" s="138"/>
      <c r="D301" s="138"/>
      <c r="E301" s="138"/>
      <c r="F301" s="138"/>
      <c r="G301" s="138"/>
      <c r="H301" s="138"/>
      <c r="I301" s="138"/>
      <c r="J301" s="138"/>
      <c r="K301" s="138"/>
    </row>
    <row r="302" spans="1:11" ht="20.25">
      <c r="A302" s="138"/>
      <c r="B302" s="138"/>
      <c r="C302" s="138"/>
      <c r="D302" s="138"/>
      <c r="E302" s="138"/>
      <c r="F302" s="138"/>
      <c r="G302" s="138"/>
      <c r="H302" s="138"/>
      <c r="I302" s="138"/>
      <c r="J302" s="138"/>
      <c r="K302" s="138"/>
    </row>
    <row r="303" spans="1:11" ht="20.25">
      <c r="A303" s="138"/>
      <c r="B303" s="138"/>
      <c r="C303" s="138"/>
      <c r="D303" s="138"/>
      <c r="E303" s="138"/>
      <c r="F303" s="138"/>
      <c r="G303" s="138"/>
      <c r="H303" s="138"/>
      <c r="I303" s="138"/>
      <c r="J303" s="138"/>
      <c r="K303" s="138"/>
    </row>
    <row r="304" spans="1:11" ht="20.25">
      <c r="A304" s="138"/>
      <c r="B304" s="138"/>
      <c r="C304" s="138"/>
      <c r="D304" s="138"/>
      <c r="E304" s="138"/>
      <c r="F304" s="138"/>
      <c r="G304" s="138"/>
      <c r="H304" s="138"/>
      <c r="I304" s="138"/>
      <c r="J304" s="138"/>
      <c r="K304" s="138"/>
    </row>
    <row r="305" spans="1:11" ht="20.25">
      <c r="A305" s="138"/>
      <c r="B305" s="138"/>
      <c r="C305" s="138"/>
      <c r="D305" s="138"/>
      <c r="E305" s="138"/>
      <c r="F305" s="138"/>
      <c r="G305" s="138"/>
      <c r="H305" s="138"/>
      <c r="I305" s="138"/>
      <c r="J305" s="138"/>
      <c r="K305" s="138"/>
    </row>
    <row r="306" spans="1:11" ht="20.25">
      <c r="A306" s="138"/>
      <c r="B306" s="138"/>
      <c r="C306" s="138"/>
      <c r="D306" s="138"/>
      <c r="E306" s="138"/>
      <c r="F306" s="138"/>
      <c r="G306" s="138"/>
      <c r="H306" s="138"/>
      <c r="I306" s="138"/>
      <c r="J306" s="138"/>
      <c r="K306" s="138"/>
    </row>
    <row r="307" spans="1:11" ht="20.25">
      <c r="A307" s="138"/>
      <c r="B307" s="138"/>
      <c r="C307" s="138"/>
      <c r="D307" s="138"/>
      <c r="E307" s="138"/>
      <c r="F307" s="138"/>
      <c r="G307" s="138"/>
      <c r="H307" s="138"/>
      <c r="I307" s="138"/>
      <c r="J307" s="138"/>
      <c r="K307" s="138"/>
    </row>
    <row r="308" spans="1:11" ht="20.25">
      <c r="A308" s="138"/>
      <c r="B308" s="138"/>
      <c r="C308" s="138"/>
      <c r="D308" s="138"/>
      <c r="E308" s="138"/>
      <c r="F308" s="138"/>
      <c r="G308" s="138"/>
      <c r="H308" s="138"/>
      <c r="I308" s="138"/>
      <c r="J308" s="138"/>
      <c r="K308" s="138"/>
    </row>
    <row r="309" spans="1:11" ht="20.25">
      <c r="A309" s="138"/>
      <c r="B309" s="138"/>
      <c r="C309" s="138"/>
      <c r="D309" s="138"/>
      <c r="E309" s="138"/>
      <c r="F309" s="138"/>
      <c r="G309" s="138"/>
      <c r="H309" s="138"/>
      <c r="I309" s="138"/>
      <c r="J309" s="138"/>
      <c r="K309" s="138"/>
    </row>
    <row r="310" spans="1:11" ht="20.25">
      <c r="A310" s="138"/>
      <c r="B310" s="138"/>
      <c r="C310" s="138"/>
      <c r="D310" s="138"/>
      <c r="E310" s="138"/>
      <c r="F310" s="138"/>
      <c r="G310" s="138"/>
      <c r="H310" s="138"/>
      <c r="I310" s="138"/>
      <c r="J310" s="138"/>
      <c r="K310" s="138"/>
    </row>
    <row r="311" spans="1:11" ht="20.25">
      <c r="A311" s="138"/>
      <c r="B311" s="138"/>
      <c r="C311" s="138"/>
      <c r="D311" s="138"/>
      <c r="E311" s="138"/>
      <c r="F311" s="138"/>
      <c r="G311" s="138"/>
      <c r="H311" s="138"/>
      <c r="I311" s="138"/>
      <c r="J311" s="138"/>
      <c r="K311" s="138"/>
    </row>
    <row r="312" spans="1:11" ht="20.25">
      <c r="A312" s="138"/>
      <c r="B312" s="138"/>
      <c r="C312" s="138"/>
      <c r="D312" s="138"/>
      <c r="E312" s="138"/>
      <c r="F312" s="138"/>
      <c r="G312" s="138"/>
      <c r="H312" s="138"/>
      <c r="I312" s="138"/>
      <c r="J312" s="138"/>
      <c r="K312" s="138"/>
    </row>
    <row r="313" spans="1:11" ht="20.25">
      <c r="A313" s="138"/>
      <c r="B313" s="138"/>
      <c r="C313" s="138"/>
      <c r="D313" s="138"/>
      <c r="E313" s="138"/>
      <c r="F313" s="138"/>
      <c r="G313" s="138"/>
      <c r="H313" s="138"/>
      <c r="I313" s="138"/>
      <c r="J313" s="138"/>
      <c r="K313" s="138"/>
    </row>
    <row r="314" spans="1:11" ht="20.25">
      <c r="A314" s="138"/>
      <c r="B314" s="138"/>
      <c r="C314" s="138"/>
      <c r="D314" s="138"/>
      <c r="E314" s="138"/>
      <c r="F314" s="138"/>
      <c r="G314" s="138"/>
      <c r="H314" s="138"/>
      <c r="I314" s="138"/>
      <c r="J314" s="138"/>
      <c r="K314" s="138"/>
    </row>
    <row r="315" spans="1:11" ht="20.25">
      <c r="A315" s="138"/>
      <c r="B315" s="138"/>
      <c r="C315" s="138"/>
      <c r="D315" s="138"/>
      <c r="E315" s="138"/>
      <c r="F315" s="138"/>
      <c r="G315" s="138"/>
      <c r="H315" s="138"/>
      <c r="I315" s="138"/>
      <c r="J315" s="138"/>
      <c r="K315" s="138"/>
    </row>
    <row r="316" spans="1:11" ht="20.25">
      <c r="A316" s="138"/>
      <c r="B316" s="138"/>
      <c r="C316" s="138"/>
      <c r="D316" s="138"/>
      <c r="E316" s="138"/>
      <c r="F316" s="138"/>
      <c r="G316" s="138"/>
      <c r="H316" s="138"/>
      <c r="I316" s="138"/>
      <c r="J316" s="138"/>
      <c r="K316" s="138"/>
    </row>
    <row r="317" spans="1:11" ht="20.25">
      <c r="A317" s="138"/>
      <c r="B317" s="138"/>
      <c r="C317" s="138"/>
      <c r="D317" s="138"/>
      <c r="E317" s="138"/>
      <c r="F317" s="138"/>
      <c r="G317" s="138"/>
      <c r="H317" s="138"/>
      <c r="I317" s="138"/>
      <c r="J317" s="138"/>
      <c r="K317" s="138"/>
    </row>
    <row r="318" spans="1:11" ht="20.25">
      <c r="A318" s="138"/>
      <c r="B318" s="138"/>
      <c r="C318" s="138"/>
      <c r="D318" s="138"/>
      <c r="E318" s="138"/>
      <c r="F318" s="138"/>
      <c r="G318" s="138"/>
      <c r="H318" s="138"/>
      <c r="I318" s="138"/>
      <c r="J318" s="138"/>
      <c r="K318" s="138"/>
    </row>
    <row r="319" spans="1:11" ht="20.25">
      <c r="A319" s="138"/>
      <c r="B319" s="138"/>
      <c r="C319" s="138"/>
      <c r="D319" s="138"/>
      <c r="E319" s="138"/>
      <c r="F319" s="138"/>
      <c r="G319" s="138"/>
      <c r="H319" s="138"/>
      <c r="I319" s="138"/>
      <c r="J319" s="138"/>
      <c r="K319" s="138"/>
    </row>
    <row r="320" spans="1:11" ht="20.25">
      <c r="A320" s="138"/>
      <c r="B320" s="138"/>
      <c r="C320" s="138"/>
      <c r="D320" s="138"/>
      <c r="E320" s="138"/>
      <c r="F320" s="138"/>
      <c r="G320" s="138"/>
      <c r="H320" s="138"/>
      <c r="I320" s="138"/>
      <c r="J320" s="138"/>
      <c r="K320" s="138"/>
    </row>
    <row r="321" spans="1:11" ht="20.25">
      <c r="A321" s="138"/>
      <c r="B321" s="138"/>
      <c r="C321" s="138"/>
      <c r="D321" s="138"/>
      <c r="E321" s="138"/>
      <c r="F321" s="138"/>
      <c r="G321" s="138"/>
      <c r="H321" s="138"/>
      <c r="I321" s="138"/>
      <c r="J321" s="138"/>
      <c r="K321" s="138"/>
    </row>
    <row r="322" spans="1:11" ht="20.25">
      <c r="A322" s="138"/>
      <c r="B322" s="138"/>
      <c r="C322" s="138"/>
      <c r="D322" s="138"/>
      <c r="E322" s="138"/>
      <c r="F322" s="138"/>
      <c r="G322" s="138"/>
      <c r="H322" s="138"/>
      <c r="I322" s="138"/>
      <c r="J322" s="138"/>
      <c r="K322" s="138"/>
    </row>
    <row r="323" spans="1:11" ht="20.25">
      <c r="A323" s="138"/>
      <c r="B323" s="138"/>
      <c r="C323" s="138"/>
      <c r="D323" s="138"/>
      <c r="E323" s="138"/>
      <c r="F323" s="138"/>
      <c r="G323" s="138"/>
      <c r="H323" s="138"/>
      <c r="I323" s="138"/>
      <c r="J323" s="138"/>
      <c r="K323" s="138"/>
    </row>
    <row r="324" spans="1:11" ht="20.25">
      <c r="A324" s="138"/>
      <c r="B324" s="138"/>
      <c r="C324" s="138"/>
      <c r="D324" s="138"/>
      <c r="E324" s="138"/>
      <c r="F324" s="138"/>
      <c r="G324" s="138"/>
      <c r="H324" s="138"/>
      <c r="I324" s="138"/>
      <c r="J324" s="138"/>
      <c r="K324" s="138"/>
    </row>
    <row r="325" spans="1:11" ht="20.25">
      <c r="A325" s="138"/>
      <c r="B325" s="138"/>
      <c r="C325" s="138"/>
      <c r="D325" s="138"/>
      <c r="E325" s="138"/>
      <c r="F325" s="138"/>
      <c r="G325" s="138"/>
      <c r="H325" s="138"/>
      <c r="I325" s="138"/>
      <c r="J325" s="138"/>
      <c r="K325" s="138"/>
    </row>
    <row r="326" spans="1:11" ht="20.25">
      <c r="A326" s="138"/>
      <c r="B326" s="138"/>
      <c r="C326" s="138"/>
      <c r="D326" s="138"/>
      <c r="E326" s="138"/>
      <c r="F326" s="138"/>
      <c r="G326" s="138"/>
      <c r="H326" s="138"/>
      <c r="I326" s="138"/>
      <c r="J326" s="138"/>
      <c r="K326" s="138"/>
    </row>
    <row r="327" spans="1:11" ht="20.25">
      <c r="A327" s="138"/>
      <c r="B327" s="138"/>
      <c r="C327" s="138"/>
      <c r="D327" s="138"/>
      <c r="E327" s="138"/>
      <c r="F327" s="138"/>
      <c r="G327" s="138"/>
      <c r="H327" s="138"/>
      <c r="I327" s="138"/>
      <c r="J327" s="138"/>
      <c r="K327" s="138"/>
    </row>
    <row r="328" spans="1:11" ht="20.25">
      <c r="A328" s="138"/>
      <c r="B328" s="138"/>
      <c r="C328" s="138"/>
      <c r="D328" s="138"/>
      <c r="E328" s="138"/>
      <c r="F328" s="138"/>
      <c r="G328" s="138"/>
      <c r="H328" s="138"/>
      <c r="I328" s="138"/>
      <c r="J328" s="138"/>
      <c r="K328" s="138"/>
    </row>
    <row r="329" spans="1:11" ht="20.25">
      <c r="A329" s="138"/>
      <c r="B329" s="138"/>
      <c r="C329" s="138"/>
      <c r="D329" s="138"/>
      <c r="E329" s="138"/>
      <c r="F329" s="138"/>
      <c r="G329" s="138"/>
      <c r="H329" s="138"/>
      <c r="I329" s="138"/>
      <c r="J329" s="138"/>
      <c r="K329" s="138"/>
    </row>
    <row r="330" spans="1:11" ht="20.25">
      <c r="A330" s="138"/>
      <c r="B330" s="138"/>
      <c r="C330" s="138"/>
      <c r="D330" s="138"/>
      <c r="E330" s="138"/>
      <c r="F330" s="138"/>
      <c r="G330" s="138"/>
      <c r="H330" s="138"/>
      <c r="I330" s="138"/>
      <c r="J330" s="138"/>
      <c r="K330" s="138"/>
    </row>
    <row r="331" spans="1:11" ht="20.25">
      <c r="A331" s="138"/>
      <c r="B331" s="138"/>
      <c r="C331" s="138"/>
      <c r="D331" s="138"/>
      <c r="E331" s="138"/>
      <c r="F331" s="138"/>
      <c r="G331" s="138"/>
      <c r="H331" s="138"/>
      <c r="I331" s="138"/>
      <c r="J331" s="138"/>
      <c r="K331" s="138"/>
    </row>
    <row r="332" spans="1:11" ht="20.25">
      <c r="A332" s="138"/>
      <c r="B332" s="138"/>
      <c r="C332" s="138"/>
      <c r="D332" s="138"/>
      <c r="E332" s="138"/>
      <c r="F332" s="138"/>
      <c r="G332" s="138"/>
      <c r="H332" s="138"/>
      <c r="I332" s="138"/>
      <c r="J332" s="138"/>
      <c r="K332" s="138"/>
    </row>
    <row r="333" spans="1:11" ht="20.25">
      <c r="A333" s="138"/>
      <c r="B333" s="138"/>
      <c r="C333" s="138"/>
      <c r="D333" s="138"/>
      <c r="E333" s="138"/>
      <c r="F333" s="138"/>
      <c r="G333" s="138"/>
      <c r="H333" s="138"/>
      <c r="I333" s="138"/>
      <c r="J333" s="138"/>
      <c r="K333" s="138"/>
    </row>
    <row r="334" spans="1:11" ht="20.25">
      <c r="A334" s="138"/>
      <c r="B334" s="138"/>
      <c r="C334" s="138"/>
      <c r="D334" s="138"/>
      <c r="E334" s="138"/>
      <c r="F334" s="138"/>
      <c r="G334" s="138"/>
      <c r="H334" s="138"/>
      <c r="I334" s="138"/>
      <c r="J334" s="138"/>
      <c r="K334" s="138"/>
    </row>
    <row r="335" spans="1:11" ht="20.25">
      <c r="A335" s="138"/>
      <c r="B335" s="138"/>
      <c r="C335" s="138"/>
      <c r="D335" s="138"/>
      <c r="E335" s="138"/>
      <c r="F335" s="138"/>
      <c r="G335" s="138"/>
      <c r="H335" s="138"/>
      <c r="I335" s="138"/>
      <c r="J335" s="138"/>
      <c r="K335" s="138"/>
    </row>
    <row r="336" spans="1:11" ht="20.25">
      <c r="A336" s="138"/>
      <c r="B336" s="138"/>
      <c r="C336" s="138"/>
      <c r="D336" s="138"/>
      <c r="E336" s="138"/>
      <c r="F336" s="138"/>
      <c r="G336" s="138"/>
      <c r="H336" s="138"/>
      <c r="I336" s="138"/>
      <c r="J336" s="138"/>
      <c r="K336" s="138"/>
    </row>
    <row r="337" spans="1:11" ht="20.25">
      <c r="A337" s="138"/>
      <c r="B337" s="138"/>
      <c r="C337" s="138"/>
      <c r="D337" s="138"/>
      <c r="E337" s="138"/>
      <c r="F337" s="138"/>
      <c r="G337" s="138"/>
      <c r="H337" s="138"/>
      <c r="I337" s="138"/>
      <c r="J337" s="138"/>
      <c r="K337" s="138"/>
    </row>
    <row r="338" spans="1:11" ht="20.25">
      <c r="A338" s="138"/>
      <c r="B338" s="138"/>
      <c r="C338" s="138"/>
      <c r="D338" s="138"/>
      <c r="E338" s="138"/>
      <c r="F338" s="138"/>
      <c r="G338" s="138"/>
      <c r="H338" s="138"/>
      <c r="I338" s="138"/>
      <c r="J338" s="138"/>
      <c r="K338" s="138"/>
    </row>
    <row r="339" spans="1:11" ht="20.25">
      <c r="A339" s="138"/>
      <c r="B339" s="138"/>
      <c r="C339" s="138"/>
      <c r="D339" s="138"/>
      <c r="E339" s="138"/>
      <c r="F339" s="138"/>
      <c r="G339" s="138"/>
      <c r="H339" s="138"/>
      <c r="I339" s="138"/>
      <c r="J339" s="138"/>
      <c r="K339" s="138"/>
    </row>
    <row r="340" spans="1:11" ht="20.25">
      <c r="A340" s="138"/>
      <c r="B340" s="138"/>
      <c r="C340" s="138"/>
      <c r="D340" s="138"/>
      <c r="E340" s="138"/>
      <c r="F340" s="138"/>
      <c r="G340" s="138"/>
      <c r="H340" s="138"/>
      <c r="I340" s="138"/>
      <c r="J340" s="138"/>
      <c r="K340" s="138"/>
    </row>
    <row r="341" spans="1:11" ht="20.25">
      <c r="A341" s="138"/>
      <c r="B341" s="138"/>
      <c r="C341" s="138"/>
      <c r="D341" s="138"/>
      <c r="E341" s="138"/>
      <c r="F341" s="138"/>
      <c r="G341" s="138"/>
      <c r="H341" s="138"/>
      <c r="I341" s="138"/>
      <c r="J341" s="138"/>
      <c r="K341" s="138"/>
    </row>
    <row r="342" spans="1:11" ht="20.25">
      <c r="A342" s="138"/>
      <c r="B342" s="138"/>
      <c r="C342" s="138"/>
      <c r="D342" s="138"/>
      <c r="E342" s="138"/>
      <c r="F342" s="138"/>
      <c r="G342" s="138"/>
      <c r="H342" s="138"/>
      <c r="I342" s="138"/>
      <c r="J342" s="138"/>
      <c r="K342" s="138"/>
    </row>
    <row r="343" spans="1:11" ht="20.25">
      <c r="A343" s="138"/>
      <c r="B343" s="138"/>
      <c r="C343" s="138"/>
      <c r="D343" s="138"/>
      <c r="E343" s="138"/>
      <c r="F343" s="138"/>
      <c r="G343" s="138"/>
      <c r="H343" s="138"/>
      <c r="I343" s="138"/>
      <c r="J343" s="138"/>
      <c r="K343" s="138"/>
    </row>
    <row r="344" spans="1:11" ht="20.25">
      <c r="A344" s="138"/>
      <c r="B344" s="138"/>
      <c r="C344" s="138"/>
      <c r="D344" s="138"/>
      <c r="E344" s="138"/>
      <c r="F344" s="138"/>
      <c r="G344" s="138"/>
      <c r="H344" s="138"/>
      <c r="I344" s="138"/>
      <c r="J344" s="138"/>
      <c r="K344" s="138"/>
    </row>
    <row r="345" spans="1:11" ht="20.25">
      <c r="A345" s="138"/>
      <c r="B345" s="138"/>
      <c r="C345" s="138"/>
      <c r="D345" s="138"/>
      <c r="E345" s="138"/>
      <c r="F345" s="138"/>
      <c r="G345" s="138"/>
      <c r="H345" s="138"/>
      <c r="I345" s="138"/>
      <c r="J345" s="138"/>
      <c r="K345" s="138"/>
    </row>
    <row r="346" spans="1:11" ht="20.25">
      <c r="A346" s="138"/>
      <c r="B346" s="138"/>
      <c r="C346" s="138"/>
      <c r="D346" s="138"/>
      <c r="E346" s="138"/>
      <c r="F346" s="138"/>
      <c r="G346" s="138"/>
      <c r="H346" s="138"/>
      <c r="I346" s="138"/>
      <c r="J346" s="138"/>
      <c r="K346" s="138"/>
    </row>
    <row r="347" spans="1:11" ht="20.25">
      <c r="A347" s="138"/>
      <c r="B347" s="138"/>
      <c r="C347" s="138"/>
      <c r="D347" s="138"/>
      <c r="E347" s="138"/>
      <c r="F347" s="138"/>
      <c r="G347" s="138"/>
      <c r="H347" s="138"/>
      <c r="I347" s="138"/>
      <c r="J347" s="138"/>
      <c r="K347" s="138"/>
    </row>
    <row r="348" spans="1:11" ht="20.25">
      <c r="A348" s="138"/>
      <c r="B348" s="138"/>
      <c r="C348" s="138"/>
      <c r="D348" s="138"/>
      <c r="E348" s="138"/>
      <c r="F348" s="138"/>
      <c r="G348" s="138"/>
      <c r="H348" s="138"/>
      <c r="I348" s="138"/>
      <c r="J348" s="138"/>
      <c r="K348" s="138"/>
    </row>
    <row r="349" spans="1:11" ht="20.25">
      <c r="A349" s="138"/>
      <c r="B349" s="138"/>
      <c r="C349" s="138"/>
      <c r="D349" s="138"/>
      <c r="E349" s="138"/>
      <c r="F349" s="138"/>
      <c r="G349" s="138"/>
      <c r="H349" s="138"/>
      <c r="I349" s="138"/>
      <c r="J349" s="138"/>
      <c r="K349" s="138"/>
    </row>
    <row r="350" spans="1:11" ht="20.25">
      <c r="A350" s="138"/>
      <c r="B350" s="138"/>
      <c r="C350" s="138"/>
      <c r="D350" s="138"/>
      <c r="E350" s="138"/>
      <c r="F350" s="138"/>
      <c r="G350" s="138"/>
      <c r="H350" s="138"/>
      <c r="I350" s="138"/>
      <c r="J350" s="138"/>
      <c r="K350" s="138"/>
    </row>
    <row r="351" spans="1:11" ht="20.25">
      <c r="A351" s="138"/>
      <c r="B351" s="138"/>
      <c r="C351" s="138"/>
      <c r="D351" s="138"/>
      <c r="E351" s="138"/>
      <c r="F351" s="138"/>
      <c r="G351" s="138"/>
      <c r="H351" s="138"/>
      <c r="I351" s="138"/>
      <c r="J351" s="138"/>
      <c r="K351" s="138"/>
    </row>
    <row r="352" spans="1:11" ht="20.25">
      <c r="A352" s="138"/>
      <c r="B352" s="138"/>
      <c r="C352" s="138"/>
      <c r="D352" s="138"/>
      <c r="E352" s="138"/>
      <c r="F352" s="138"/>
      <c r="G352" s="138"/>
      <c r="H352" s="138"/>
      <c r="I352" s="138"/>
      <c r="J352" s="138"/>
      <c r="K352" s="138"/>
    </row>
    <row r="353" spans="1:11" ht="20.25">
      <c r="A353" s="138"/>
      <c r="B353" s="138"/>
      <c r="C353" s="138"/>
      <c r="D353" s="138"/>
      <c r="E353" s="138"/>
      <c r="F353" s="138"/>
      <c r="G353" s="138"/>
      <c r="H353" s="138"/>
      <c r="I353" s="138"/>
      <c r="J353" s="138"/>
      <c r="K353" s="138"/>
    </row>
    <row r="354" spans="1:11" ht="20.25">
      <c r="A354" s="138"/>
      <c r="B354" s="138"/>
      <c r="C354" s="138"/>
      <c r="D354" s="138"/>
      <c r="E354" s="138"/>
      <c r="F354" s="138"/>
      <c r="G354" s="138"/>
      <c r="H354" s="138"/>
      <c r="I354" s="138"/>
      <c r="J354" s="138"/>
      <c r="K354" s="138"/>
    </row>
    <row r="355" spans="1:11" ht="20.25">
      <c r="A355" s="138"/>
      <c r="B355" s="138"/>
      <c r="C355" s="138"/>
      <c r="D355" s="138"/>
      <c r="E355" s="138"/>
      <c r="F355" s="138"/>
      <c r="G355" s="138"/>
      <c r="H355" s="138"/>
      <c r="I355" s="138"/>
      <c r="J355" s="138"/>
      <c r="K355" s="138"/>
    </row>
    <row r="356" spans="1:11" ht="20.25">
      <c r="A356" s="138"/>
      <c r="B356" s="138"/>
      <c r="C356" s="138"/>
      <c r="D356" s="138"/>
      <c r="E356" s="138"/>
      <c r="F356" s="138"/>
      <c r="G356" s="138"/>
      <c r="H356" s="138"/>
      <c r="I356" s="138"/>
      <c r="J356" s="138"/>
      <c r="K356" s="138"/>
    </row>
    <row r="357" spans="1:11" ht="20.25">
      <c r="A357" s="138"/>
      <c r="B357" s="138"/>
      <c r="C357" s="138"/>
      <c r="D357" s="138"/>
      <c r="E357" s="138"/>
      <c r="F357" s="138"/>
      <c r="G357" s="138"/>
      <c r="H357" s="138"/>
      <c r="I357" s="138"/>
      <c r="J357" s="138"/>
      <c r="K357" s="138"/>
    </row>
    <row r="358" spans="1:11" ht="20.25">
      <c r="A358" s="138"/>
      <c r="B358" s="138"/>
      <c r="C358" s="138"/>
      <c r="D358" s="138"/>
      <c r="E358" s="138"/>
      <c r="F358" s="138"/>
      <c r="G358" s="138"/>
      <c r="H358" s="138"/>
      <c r="I358" s="138"/>
      <c r="J358" s="138"/>
      <c r="K358" s="138"/>
    </row>
    <row r="359" spans="1:11" ht="20.25">
      <c r="A359" s="138"/>
      <c r="B359" s="138"/>
      <c r="C359" s="138"/>
      <c r="D359" s="138"/>
      <c r="E359" s="138"/>
      <c r="F359" s="138"/>
      <c r="G359" s="138"/>
      <c r="H359" s="138"/>
      <c r="I359" s="138"/>
      <c r="J359" s="138"/>
      <c r="K359" s="138"/>
    </row>
    <row r="360" spans="1:11" ht="20.25">
      <c r="A360" s="138"/>
      <c r="B360" s="138"/>
      <c r="C360" s="138"/>
      <c r="D360" s="138"/>
      <c r="E360" s="138"/>
      <c r="F360" s="138"/>
      <c r="G360" s="138"/>
      <c r="H360" s="138"/>
      <c r="I360" s="138"/>
      <c r="J360" s="138"/>
      <c r="K360" s="138"/>
    </row>
    <row r="361" spans="1:11" ht="20.25">
      <c r="A361" s="138"/>
      <c r="B361" s="138"/>
      <c r="C361" s="138"/>
      <c r="D361" s="138"/>
      <c r="E361" s="138"/>
      <c r="F361" s="138"/>
      <c r="G361" s="138"/>
      <c r="H361" s="138"/>
      <c r="I361" s="138"/>
      <c r="J361" s="138"/>
      <c r="K361" s="138"/>
    </row>
    <row r="362" spans="1:11" ht="20.25">
      <c r="A362" s="138"/>
      <c r="B362" s="138"/>
      <c r="C362" s="138"/>
      <c r="D362" s="138"/>
      <c r="E362" s="138"/>
      <c r="F362" s="138"/>
      <c r="G362" s="138"/>
      <c r="H362" s="138"/>
      <c r="I362" s="138"/>
      <c r="J362" s="138"/>
      <c r="K362" s="138"/>
    </row>
    <row r="363" spans="1:11" ht="20.25">
      <c r="A363" s="138"/>
      <c r="B363" s="138"/>
      <c r="C363" s="138"/>
      <c r="D363" s="138"/>
      <c r="E363" s="138"/>
      <c r="F363" s="138"/>
      <c r="G363" s="138"/>
      <c r="H363" s="138"/>
      <c r="I363" s="138"/>
      <c r="J363" s="138"/>
      <c r="K363" s="138"/>
    </row>
    <row r="364" spans="1:11" ht="20.25">
      <c r="A364" s="138"/>
      <c r="B364" s="138"/>
      <c r="C364" s="138"/>
      <c r="D364" s="138"/>
      <c r="E364" s="138"/>
      <c r="F364" s="138"/>
      <c r="G364" s="138"/>
      <c r="H364" s="138"/>
      <c r="I364" s="138"/>
      <c r="J364" s="138"/>
      <c r="K364" s="138"/>
    </row>
    <row r="365" spans="1:11" ht="20.25">
      <c r="A365" s="138"/>
      <c r="B365" s="138"/>
      <c r="C365" s="138"/>
      <c r="D365" s="138"/>
      <c r="E365" s="138"/>
      <c r="F365" s="138"/>
      <c r="G365" s="138"/>
      <c r="H365" s="138"/>
      <c r="I365" s="138"/>
      <c r="J365" s="138"/>
      <c r="K365" s="138"/>
    </row>
    <row r="366" spans="1:11" ht="20.25">
      <c r="A366" s="138"/>
      <c r="B366" s="138"/>
      <c r="C366" s="138"/>
      <c r="D366" s="138"/>
      <c r="E366" s="138"/>
      <c r="F366" s="138"/>
      <c r="G366" s="138"/>
      <c r="H366" s="138"/>
      <c r="I366" s="138"/>
      <c r="J366" s="138"/>
      <c r="K366" s="138"/>
    </row>
    <row r="367" spans="1:11" ht="20.25">
      <c r="A367" s="138"/>
      <c r="B367" s="138"/>
      <c r="C367" s="138"/>
      <c r="D367" s="138"/>
      <c r="E367" s="138"/>
      <c r="F367" s="138"/>
      <c r="G367" s="138"/>
      <c r="H367" s="138"/>
      <c r="I367" s="138"/>
      <c r="J367" s="138"/>
      <c r="K367" s="138"/>
    </row>
    <row r="368" spans="1:11" ht="20.25">
      <c r="A368" s="138"/>
      <c r="B368" s="138"/>
      <c r="C368" s="138"/>
      <c r="D368" s="138"/>
      <c r="E368" s="138"/>
      <c r="F368" s="138"/>
      <c r="G368" s="138"/>
      <c r="H368" s="138"/>
      <c r="I368" s="138"/>
      <c r="J368" s="138"/>
      <c r="K368" s="138"/>
    </row>
    <row r="369" spans="1:11" ht="20.25">
      <c r="A369" s="138"/>
      <c r="B369" s="138"/>
      <c r="C369" s="138"/>
      <c r="D369" s="138"/>
      <c r="E369" s="138"/>
      <c r="F369" s="138"/>
      <c r="G369" s="138"/>
      <c r="H369" s="138"/>
      <c r="I369" s="138"/>
      <c r="J369" s="138"/>
      <c r="K369" s="138"/>
    </row>
    <row r="370" spans="1:11" ht="20.25">
      <c r="A370" s="138"/>
      <c r="B370" s="138"/>
      <c r="C370" s="138"/>
      <c r="D370" s="138"/>
      <c r="E370" s="138"/>
      <c r="F370" s="138"/>
      <c r="G370" s="138"/>
      <c r="H370" s="138"/>
      <c r="I370" s="138"/>
      <c r="J370" s="138"/>
      <c r="K370" s="138"/>
    </row>
    <row r="371" spans="1:11" ht="20.25">
      <c r="A371" s="138"/>
      <c r="B371" s="138"/>
      <c r="C371" s="138"/>
      <c r="D371" s="138"/>
      <c r="E371" s="138"/>
      <c r="F371" s="138"/>
      <c r="G371" s="138"/>
      <c r="H371" s="138"/>
      <c r="I371" s="138"/>
      <c r="J371" s="138"/>
      <c r="K371" s="138"/>
    </row>
    <row r="372" spans="1:11" ht="20.25">
      <c r="A372" s="138"/>
      <c r="B372" s="138"/>
      <c r="C372" s="138"/>
      <c r="D372" s="138"/>
      <c r="E372" s="138"/>
      <c r="F372" s="138"/>
      <c r="G372" s="138"/>
      <c r="H372" s="138"/>
      <c r="I372" s="138"/>
      <c r="J372" s="138"/>
      <c r="K372" s="138"/>
    </row>
    <row r="373" spans="1:11" ht="20.25">
      <c r="A373" s="138"/>
      <c r="B373" s="138"/>
      <c r="C373" s="138"/>
      <c r="D373" s="138"/>
      <c r="E373" s="138"/>
      <c r="F373" s="138"/>
      <c r="G373" s="138"/>
      <c r="H373" s="138"/>
      <c r="I373" s="138"/>
      <c r="J373" s="138"/>
      <c r="K373" s="138"/>
    </row>
    <row r="374" spans="1:11" ht="20.25">
      <c r="A374" s="138"/>
      <c r="B374" s="138"/>
      <c r="C374" s="138"/>
      <c r="D374" s="138"/>
      <c r="E374" s="138"/>
      <c r="F374" s="138"/>
      <c r="G374" s="138"/>
      <c r="H374" s="138"/>
      <c r="I374" s="138"/>
      <c r="J374" s="138"/>
      <c r="K374" s="138"/>
    </row>
    <row r="375" spans="1:11" ht="20.25">
      <c r="A375" s="138"/>
      <c r="B375" s="138"/>
      <c r="C375" s="138"/>
      <c r="D375" s="138"/>
      <c r="E375" s="138"/>
      <c r="F375" s="138"/>
      <c r="G375" s="138"/>
      <c r="H375" s="138"/>
      <c r="I375" s="138"/>
      <c r="J375" s="138"/>
      <c r="K375" s="138"/>
    </row>
    <row r="376" spans="1:11" ht="20.25">
      <c r="A376" s="138"/>
      <c r="B376" s="138"/>
      <c r="C376" s="138"/>
      <c r="D376" s="138"/>
      <c r="E376" s="138"/>
      <c r="F376" s="138"/>
      <c r="G376" s="138"/>
      <c r="H376" s="138"/>
      <c r="I376" s="138"/>
      <c r="J376" s="138"/>
      <c r="K376" s="138"/>
    </row>
    <row r="377" spans="1:11" ht="20.25">
      <c r="A377" s="138"/>
      <c r="B377" s="138"/>
      <c r="C377" s="138"/>
      <c r="D377" s="138"/>
      <c r="E377" s="138"/>
      <c r="F377" s="138"/>
      <c r="G377" s="138"/>
      <c r="H377" s="138"/>
      <c r="I377" s="138"/>
      <c r="J377" s="138"/>
      <c r="K377" s="138"/>
    </row>
    <row r="378" spans="1:11" ht="20.25">
      <c r="A378" s="138"/>
      <c r="B378" s="138"/>
      <c r="C378" s="138"/>
      <c r="D378" s="138"/>
      <c r="E378" s="138"/>
      <c r="F378" s="138"/>
      <c r="G378" s="138"/>
      <c r="H378" s="138"/>
      <c r="I378" s="138"/>
      <c r="J378" s="138"/>
      <c r="K378" s="138"/>
    </row>
    <row r="379" spans="1:11" ht="20.25">
      <c r="A379" s="138"/>
      <c r="B379" s="138"/>
      <c r="C379" s="138"/>
      <c r="D379" s="138"/>
      <c r="E379" s="138"/>
      <c r="F379" s="138"/>
      <c r="G379" s="138"/>
      <c r="H379" s="138"/>
      <c r="I379" s="138"/>
      <c r="J379" s="138"/>
      <c r="K379" s="138"/>
    </row>
    <row r="380" spans="1:11" ht="20.25">
      <c r="A380" s="138"/>
      <c r="B380" s="138"/>
      <c r="C380" s="138"/>
      <c r="D380" s="138"/>
      <c r="E380" s="138"/>
      <c r="F380" s="138"/>
      <c r="G380" s="138"/>
      <c r="H380" s="138"/>
      <c r="I380" s="138"/>
      <c r="J380" s="138"/>
      <c r="K380" s="138"/>
    </row>
    <row r="381" spans="1:11" ht="20.25">
      <c r="A381" s="138"/>
      <c r="B381" s="138"/>
      <c r="C381" s="138"/>
      <c r="D381" s="138"/>
      <c r="E381" s="138"/>
      <c r="F381" s="138"/>
      <c r="G381" s="138"/>
      <c r="H381" s="138"/>
      <c r="I381" s="138"/>
      <c r="J381" s="138"/>
      <c r="K381" s="138"/>
    </row>
    <row r="382" spans="1:11" ht="20.25">
      <c r="A382" s="138"/>
      <c r="B382" s="138"/>
      <c r="C382" s="138"/>
      <c r="D382" s="138"/>
      <c r="E382" s="138"/>
      <c r="F382" s="138"/>
      <c r="G382" s="138"/>
      <c r="H382" s="138"/>
      <c r="I382" s="138"/>
      <c r="J382" s="138"/>
      <c r="K382" s="138"/>
    </row>
    <row r="383" spans="1:11" ht="20.25">
      <c r="A383" s="138"/>
      <c r="B383" s="138"/>
      <c r="C383" s="138"/>
      <c r="D383" s="138"/>
      <c r="E383" s="138"/>
      <c r="F383" s="138"/>
      <c r="G383" s="138"/>
      <c r="H383" s="138"/>
      <c r="I383" s="138"/>
      <c r="J383" s="138"/>
      <c r="K383" s="138"/>
    </row>
    <row r="384" spans="1:11" ht="20.25">
      <c r="A384" s="138"/>
      <c r="B384" s="138"/>
      <c r="C384" s="138"/>
      <c r="D384" s="138"/>
      <c r="E384" s="138"/>
      <c r="F384" s="138"/>
      <c r="G384" s="138"/>
      <c r="H384" s="138"/>
      <c r="I384" s="138"/>
      <c r="J384" s="138"/>
      <c r="K384" s="138"/>
    </row>
    <row r="385" spans="1:11" ht="20.25">
      <c r="A385" s="138"/>
      <c r="B385" s="138"/>
      <c r="C385" s="138"/>
      <c r="D385" s="138"/>
      <c r="E385" s="138"/>
      <c r="F385" s="138"/>
      <c r="G385" s="138"/>
      <c r="H385" s="138"/>
      <c r="I385" s="138"/>
      <c r="J385" s="138"/>
      <c r="K385" s="138"/>
    </row>
    <row r="386" spans="1:11" ht="20.25">
      <c r="A386" s="138"/>
      <c r="B386" s="138"/>
      <c r="C386" s="138"/>
      <c r="D386" s="138"/>
      <c r="E386" s="138"/>
      <c r="F386" s="138"/>
      <c r="G386" s="138"/>
      <c r="H386" s="138"/>
      <c r="I386" s="138"/>
      <c r="J386" s="138"/>
      <c r="K386" s="138"/>
    </row>
    <row r="387" spans="1:11" ht="20.25">
      <c r="A387" s="138"/>
      <c r="B387" s="138"/>
      <c r="C387" s="138"/>
      <c r="D387" s="138"/>
      <c r="E387" s="138"/>
      <c r="F387" s="138"/>
      <c r="G387" s="138"/>
      <c r="H387" s="138"/>
      <c r="I387" s="138"/>
      <c r="J387" s="138"/>
      <c r="K387" s="138"/>
    </row>
    <row r="388" spans="1:11" ht="20.25">
      <c r="A388" s="138"/>
      <c r="B388" s="138"/>
      <c r="C388" s="138"/>
      <c r="D388" s="138"/>
      <c r="E388" s="138"/>
      <c r="F388" s="138"/>
      <c r="G388" s="138"/>
      <c r="H388" s="138"/>
      <c r="I388" s="138"/>
      <c r="J388" s="138"/>
      <c r="K388" s="138"/>
    </row>
    <row r="389" spans="1:11" ht="20.25">
      <c r="A389" s="138"/>
      <c r="B389" s="138"/>
      <c r="C389" s="138"/>
      <c r="D389" s="138"/>
      <c r="E389" s="138"/>
      <c r="F389" s="138"/>
      <c r="G389" s="138"/>
      <c r="H389" s="138"/>
      <c r="I389" s="138"/>
      <c r="J389" s="138"/>
      <c r="K389" s="138"/>
    </row>
    <row r="390" spans="1:11" ht="20.25">
      <c r="A390" s="138"/>
      <c r="B390" s="138"/>
      <c r="C390" s="138"/>
      <c r="D390" s="138"/>
      <c r="E390" s="138"/>
      <c r="F390" s="138"/>
      <c r="G390" s="138"/>
      <c r="H390" s="138"/>
      <c r="I390" s="138"/>
      <c r="J390" s="138"/>
      <c r="K390" s="138"/>
    </row>
    <row r="391" spans="1:11" ht="20.25">
      <c r="A391" s="138"/>
      <c r="B391" s="138"/>
      <c r="C391" s="138"/>
      <c r="D391" s="138"/>
      <c r="E391" s="138"/>
      <c r="F391" s="138"/>
      <c r="G391" s="138"/>
      <c r="H391" s="138"/>
      <c r="I391" s="138"/>
      <c r="J391" s="138"/>
      <c r="K391" s="138"/>
    </row>
    <row r="392" spans="1:11" ht="20.25">
      <c r="A392" s="138"/>
      <c r="B392" s="138"/>
      <c r="C392" s="138"/>
      <c r="D392" s="138"/>
      <c r="E392" s="138"/>
      <c r="F392" s="138"/>
      <c r="G392" s="138"/>
      <c r="H392" s="138"/>
      <c r="I392" s="138"/>
      <c r="J392" s="138"/>
      <c r="K392" s="138"/>
    </row>
    <row r="393" spans="1:11" ht="20.25">
      <c r="A393" s="138"/>
      <c r="B393" s="138"/>
      <c r="C393" s="138"/>
      <c r="D393" s="138"/>
      <c r="E393" s="138"/>
      <c r="F393" s="138"/>
      <c r="G393" s="138"/>
      <c r="H393" s="138"/>
      <c r="I393" s="138"/>
      <c r="J393" s="138"/>
      <c r="K393" s="138"/>
    </row>
    <row r="394" spans="1:11" ht="20.25">
      <c r="A394" s="138"/>
      <c r="B394" s="138"/>
      <c r="C394" s="138"/>
      <c r="D394" s="138"/>
      <c r="E394" s="138"/>
      <c r="F394" s="138"/>
      <c r="G394" s="138"/>
      <c r="H394" s="138"/>
      <c r="I394" s="138"/>
      <c r="J394" s="138"/>
      <c r="K394" s="138"/>
    </row>
    <row r="395" spans="1:11" ht="20.25">
      <c r="A395" s="138"/>
      <c r="B395" s="138"/>
      <c r="C395" s="138"/>
      <c r="D395" s="138"/>
      <c r="E395" s="138"/>
      <c r="F395" s="138"/>
      <c r="G395" s="138"/>
      <c r="H395" s="138"/>
      <c r="I395" s="138"/>
      <c r="J395" s="138"/>
      <c r="K395" s="138"/>
    </row>
    <row r="396" spans="1:11" ht="20.25">
      <c r="A396" s="138"/>
      <c r="B396" s="138"/>
      <c r="C396" s="138"/>
      <c r="D396" s="138"/>
      <c r="E396" s="138"/>
      <c r="F396" s="138"/>
      <c r="G396" s="138"/>
      <c r="H396" s="138"/>
      <c r="I396" s="138"/>
      <c r="J396" s="138"/>
      <c r="K396" s="138"/>
    </row>
    <row r="397" spans="1:11" ht="20.25">
      <c r="A397" s="138"/>
      <c r="B397" s="138"/>
      <c r="C397" s="138"/>
      <c r="D397" s="138"/>
      <c r="E397" s="138"/>
      <c r="F397" s="138"/>
      <c r="G397" s="138"/>
      <c r="H397" s="138"/>
      <c r="I397" s="138"/>
      <c r="J397" s="138"/>
      <c r="K397" s="138"/>
    </row>
    <row r="398" spans="1:11" ht="20.25">
      <c r="A398" s="138"/>
      <c r="B398" s="138"/>
      <c r="C398" s="138"/>
      <c r="D398" s="138"/>
      <c r="E398" s="138"/>
      <c r="F398" s="138"/>
      <c r="G398" s="138"/>
      <c r="H398" s="138"/>
      <c r="I398" s="138"/>
      <c r="J398" s="138"/>
      <c r="K398" s="138"/>
    </row>
    <row r="399" spans="1:11" ht="20.25">
      <c r="A399" s="138"/>
      <c r="B399" s="138"/>
      <c r="C399" s="138"/>
      <c r="D399" s="138"/>
      <c r="E399" s="138"/>
      <c r="F399" s="138"/>
      <c r="G399" s="138"/>
      <c r="H399" s="138"/>
      <c r="I399" s="138"/>
      <c r="J399" s="138"/>
      <c r="K399" s="138"/>
    </row>
    <row r="400" spans="1:11" ht="20.25">
      <c r="A400" s="138"/>
      <c r="B400" s="138"/>
      <c r="C400" s="138"/>
      <c r="D400" s="138"/>
      <c r="E400" s="138"/>
      <c r="F400" s="138"/>
      <c r="G400" s="138"/>
      <c r="H400" s="138"/>
      <c r="I400" s="138"/>
      <c r="J400" s="138"/>
      <c r="K400" s="138"/>
    </row>
    <row r="401" spans="1:11" ht="20.25">
      <c r="A401" s="138"/>
      <c r="B401" s="138"/>
      <c r="C401" s="138"/>
      <c r="D401" s="138"/>
      <c r="E401" s="138"/>
      <c r="F401" s="138"/>
      <c r="G401" s="138"/>
      <c r="H401" s="138"/>
      <c r="I401" s="138"/>
      <c r="J401" s="138"/>
      <c r="K401" s="138"/>
    </row>
    <row r="402" spans="1:11" ht="20.25">
      <c r="A402" s="138"/>
      <c r="B402" s="138"/>
      <c r="C402" s="138"/>
      <c r="D402" s="138"/>
      <c r="E402" s="138"/>
      <c r="F402" s="138"/>
      <c r="G402" s="138"/>
      <c r="H402" s="138"/>
      <c r="I402" s="138"/>
      <c r="J402" s="138"/>
      <c r="K402" s="138"/>
    </row>
    <row r="403" spans="1:11" ht="20.25">
      <c r="A403" s="138"/>
      <c r="B403" s="138"/>
      <c r="C403" s="138"/>
      <c r="D403" s="138"/>
      <c r="E403" s="138"/>
      <c r="F403" s="138"/>
      <c r="G403" s="138"/>
      <c r="H403" s="138"/>
      <c r="I403" s="138"/>
      <c r="J403" s="138"/>
      <c r="K403" s="138"/>
    </row>
    <row r="404" spans="1:11" ht="20.25">
      <c r="A404" s="138"/>
      <c r="B404" s="138"/>
      <c r="C404" s="138"/>
      <c r="D404" s="138"/>
      <c r="E404" s="138"/>
      <c r="F404" s="138"/>
      <c r="G404" s="138"/>
      <c r="H404" s="138"/>
      <c r="I404" s="138"/>
      <c r="J404" s="138"/>
      <c r="K404" s="138"/>
    </row>
    <row r="405" spans="1:11" ht="20.25">
      <c r="A405" s="138"/>
      <c r="B405" s="138"/>
      <c r="C405" s="138"/>
      <c r="D405" s="138"/>
      <c r="E405" s="138"/>
      <c r="F405" s="138"/>
      <c r="G405" s="138"/>
      <c r="H405" s="138"/>
      <c r="I405" s="138"/>
      <c r="J405" s="138"/>
      <c r="K405" s="138"/>
    </row>
    <row r="406" spans="1:11" ht="20.25">
      <c r="A406" s="138"/>
      <c r="B406" s="138"/>
      <c r="C406" s="138"/>
      <c r="D406" s="138"/>
      <c r="E406" s="138"/>
      <c r="F406" s="138"/>
      <c r="G406" s="138"/>
      <c r="H406" s="138"/>
      <c r="I406" s="138"/>
      <c r="J406" s="138"/>
      <c r="K406" s="138"/>
    </row>
    <row r="407" spans="1:11" ht="20.25">
      <c r="A407" s="138"/>
      <c r="B407" s="138"/>
      <c r="C407" s="138"/>
      <c r="D407" s="138"/>
      <c r="E407" s="138"/>
      <c r="F407" s="138"/>
      <c r="G407" s="138"/>
      <c r="H407" s="138"/>
      <c r="I407" s="138"/>
      <c r="J407" s="138"/>
      <c r="K407" s="138"/>
    </row>
    <row r="408" spans="1:11" ht="20.25">
      <c r="A408" s="138"/>
      <c r="B408" s="138"/>
      <c r="C408" s="138"/>
      <c r="D408" s="138"/>
      <c r="E408" s="138"/>
      <c r="F408" s="138"/>
      <c r="G408" s="138"/>
      <c r="H408" s="138"/>
      <c r="I408" s="138"/>
      <c r="J408" s="138"/>
      <c r="K408" s="138"/>
    </row>
    <row r="409" spans="1:11" ht="20.25">
      <c r="A409" s="138"/>
      <c r="B409" s="138"/>
      <c r="C409" s="138"/>
      <c r="D409" s="138"/>
      <c r="E409" s="138"/>
      <c r="F409" s="138"/>
      <c r="G409" s="138"/>
      <c r="H409" s="138"/>
      <c r="I409" s="138"/>
      <c r="J409" s="138"/>
      <c r="K409" s="138"/>
    </row>
    <row r="410" spans="1:11" ht="20.25">
      <c r="A410" s="138"/>
      <c r="B410" s="138"/>
      <c r="C410" s="138"/>
      <c r="D410" s="138"/>
      <c r="E410" s="138"/>
      <c r="F410" s="138"/>
      <c r="G410" s="138"/>
      <c r="H410" s="138"/>
      <c r="I410" s="138"/>
      <c r="J410" s="138"/>
      <c r="K410" s="138"/>
    </row>
    <row r="411" spans="1:11" ht="20.25">
      <c r="A411" s="138"/>
      <c r="B411" s="138"/>
      <c r="C411" s="138"/>
      <c r="D411" s="138"/>
      <c r="E411" s="138"/>
      <c r="F411" s="138"/>
      <c r="G411" s="138"/>
      <c r="H411" s="138"/>
      <c r="I411" s="138"/>
      <c r="J411" s="138"/>
      <c r="K411" s="138"/>
    </row>
    <row r="412" spans="1:11" ht="20.25">
      <c r="A412" s="138"/>
      <c r="B412" s="138"/>
      <c r="C412" s="138"/>
      <c r="D412" s="138"/>
      <c r="E412" s="138"/>
      <c r="F412" s="138"/>
      <c r="G412" s="138"/>
      <c r="H412" s="138"/>
      <c r="I412" s="138"/>
      <c r="J412" s="138"/>
      <c r="K412" s="138"/>
    </row>
    <row r="413" spans="1:11" ht="20.25">
      <c r="A413" s="138"/>
      <c r="B413" s="138"/>
      <c r="C413" s="138"/>
      <c r="D413" s="138"/>
      <c r="E413" s="138"/>
      <c r="F413" s="138"/>
      <c r="G413" s="138"/>
      <c r="H413" s="138"/>
      <c r="I413" s="138"/>
      <c r="J413" s="138"/>
      <c r="K413" s="138"/>
    </row>
    <row r="414" spans="1:11" ht="20.25">
      <c r="A414" s="138"/>
      <c r="B414" s="138"/>
      <c r="C414" s="138"/>
      <c r="D414" s="138"/>
      <c r="E414" s="138"/>
      <c r="F414" s="138"/>
      <c r="G414" s="138"/>
      <c r="H414" s="138"/>
      <c r="I414" s="138"/>
      <c r="J414" s="138"/>
      <c r="K414" s="138"/>
    </row>
    <row r="415" spans="1:11" ht="20.25">
      <c r="A415" s="138"/>
      <c r="B415" s="138"/>
      <c r="C415" s="138"/>
      <c r="D415" s="138"/>
      <c r="E415" s="138"/>
      <c r="F415" s="138"/>
      <c r="G415" s="138"/>
      <c r="H415" s="138"/>
      <c r="I415" s="138"/>
      <c r="J415" s="138"/>
      <c r="K415" s="138"/>
    </row>
    <row r="416" spans="1:11" ht="20.25">
      <c r="A416" s="138"/>
      <c r="B416" s="138"/>
      <c r="C416" s="138"/>
      <c r="D416" s="138"/>
      <c r="E416" s="138"/>
      <c r="F416" s="138"/>
      <c r="G416" s="138"/>
      <c r="H416" s="138"/>
      <c r="I416" s="138"/>
      <c r="J416" s="138"/>
      <c r="K416" s="138"/>
    </row>
    <row r="417" spans="1:11" ht="20.25">
      <c r="A417" s="138"/>
      <c r="B417" s="138"/>
      <c r="C417" s="138"/>
      <c r="D417" s="138"/>
      <c r="E417" s="138"/>
      <c r="F417" s="138"/>
      <c r="G417" s="138"/>
      <c r="H417" s="138"/>
      <c r="I417" s="138"/>
      <c r="J417" s="138"/>
      <c r="K417" s="138"/>
    </row>
    <row r="418" spans="1:11" ht="20.25">
      <c r="A418" s="138"/>
      <c r="B418" s="138"/>
      <c r="C418" s="138"/>
      <c r="D418" s="138"/>
      <c r="E418" s="138"/>
      <c r="F418" s="138"/>
      <c r="G418" s="138"/>
      <c r="H418" s="138"/>
      <c r="I418" s="138"/>
      <c r="J418" s="138"/>
      <c r="K418" s="138"/>
    </row>
    <row r="419" spans="1:11" ht="20.25">
      <c r="A419" s="138"/>
      <c r="B419" s="138"/>
      <c r="C419" s="138"/>
      <c r="D419" s="138"/>
      <c r="E419" s="138"/>
      <c r="F419" s="138"/>
      <c r="G419" s="138"/>
      <c r="H419" s="138"/>
      <c r="I419" s="138"/>
      <c r="J419" s="138"/>
      <c r="K419" s="138"/>
    </row>
    <row r="420" spans="1:11" ht="20.25">
      <c r="A420" s="138"/>
      <c r="B420" s="138"/>
      <c r="C420" s="138"/>
      <c r="D420" s="138"/>
      <c r="E420" s="138"/>
      <c r="F420" s="138"/>
      <c r="G420" s="138"/>
      <c r="H420" s="138"/>
      <c r="I420" s="138"/>
      <c r="J420" s="138"/>
      <c r="K420" s="138"/>
    </row>
    <row r="421" spans="1:11" ht="20.25">
      <c r="A421" s="138"/>
      <c r="B421" s="138"/>
      <c r="C421" s="138"/>
      <c r="D421" s="138"/>
      <c r="E421" s="138"/>
      <c r="F421" s="138"/>
      <c r="G421" s="138"/>
      <c r="H421" s="138"/>
      <c r="I421" s="138"/>
      <c r="J421" s="138"/>
      <c r="K421" s="138"/>
    </row>
    <row r="422" spans="1:11" ht="20.25">
      <c r="A422" s="138"/>
      <c r="B422" s="138"/>
      <c r="C422" s="138"/>
      <c r="D422" s="138"/>
      <c r="E422" s="138"/>
      <c r="F422" s="138"/>
      <c r="G422" s="138"/>
      <c r="H422" s="138"/>
      <c r="I422" s="138"/>
      <c r="J422" s="138"/>
      <c r="K422" s="138"/>
    </row>
    <row r="423" spans="1:11" ht="20.25">
      <c r="A423" s="138"/>
      <c r="B423" s="138"/>
      <c r="C423" s="138"/>
      <c r="D423" s="138"/>
      <c r="E423" s="138"/>
      <c r="F423" s="138"/>
      <c r="G423" s="138"/>
      <c r="H423" s="138"/>
      <c r="I423" s="138"/>
      <c r="J423" s="138"/>
      <c r="K423" s="138"/>
    </row>
    <row r="424" spans="1:11" ht="20.25">
      <c r="A424" s="138"/>
      <c r="B424" s="138"/>
      <c r="C424" s="138"/>
      <c r="D424" s="138"/>
      <c r="E424" s="138"/>
      <c r="F424" s="138"/>
      <c r="G424" s="138"/>
      <c r="H424" s="138"/>
      <c r="I424" s="138"/>
      <c r="J424" s="138"/>
      <c r="K424" s="138"/>
    </row>
    <row r="425" spans="1:11" ht="20.25">
      <c r="A425" s="138"/>
      <c r="B425" s="138"/>
      <c r="C425" s="138"/>
      <c r="D425" s="138"/>
      <c r="E425" s="138"/>
      <c r="F425" s="138"/>
      <c r="G425" s="138"/>
      <c r="H425" s="138"/>
      <c r="I425" s="138"/>
      <c r="J425" s="138"/>
      <c r="K425" s="138"/>
    </row>
    <row r="426" spans="1:11" ht="20.25">
      <c r="A426" s="138"/>
      <c r="B426" s="138"/>
      <c r="C426" s="138"/>
      <c r="D426" s="138"/>
      <c r="E426" s="138"/>
      <c r="F426" s="138"/>
      <c r="G426" s="138"/>
      <c r="H426" s="138"/>
      <c r="I426" s="138"/>
      <c r="J426" s="138"/>
      <c r="K426" s="138"/>
    </row>
    <row r="427" spans="1:11" ht="20.25">
      <c r="A427" s="138"/>
      <c r="B427" s="138"/>
      <c r="C427" s="138"/>
      <c r="D427" s="138"/>
      <c r="E427" s="138"/>
      <c r="F427" s="138"/>
      <c r="G427" s="138"/>
      <c r="H427" s="138"/>
      <c r="I427" s="138"/>
      <c r="J427" s="138"/>
      <c r="K427" s="138"/>
    </row>
    <row r="428" spans="1:11" ht="20.25">
      <c r="A428" s="138"/>
      <c r="B428" s="138"/>
      <c r="C428" s="138"/>
      <c r="D428" s="138"/>
      <c r="E428" s="138"/>
      <c r="F428" s="138"/>
      <c r="G428" s="138"/>
      <c r="H428" s="138"/>
      <c r="I428" s="138"/>
      <c r="J428" s="138"/>
      <c r="K428" s="138"/>
    </row>
    <row r="429" spans="1:11" ht="20.25">
      <c r="A429" s="138"/>
      <c r="B429" s="138"/>
      <c r="C429" s="138"/>
      <c r="D429" s="138"/>
      <c r="E429" s="138"/>
      <c r="F429" s="138"/>
      <c r="G429" s="138"/>
      <c r="H429" s="138"/>
      <c r="I429" s="138"/>
      <c r="J429" s="138"/>
      <c r="K429" s="138"/>
    </row>
    <row r="430" spans="1:11" ht="20.25">
      <c r="A430" s="138"/>
      <c r="B430" s="138"/>
      <c r="C430" s="138"/>
      <c r="D430" s="138"/>
      <c r="E430" s="138"/>
      <c r="F430" s="138"/>
      <c r="G430" s="138"/>
      <c r="H430" s="138"/>
      <c r="I430" s="138"/>
      <c r="J430" s="138"/>
      <c r="K430" s="138"/>
    </row>
    <row r="431" spans="1:11" ht="20.25">
      <c r="A431" s="138"/>
      <c r="B431" s="138"/>
      <c r="C431" s="138"/>
      <c r="D431" s="138"/>
      <c r="E431" s="138"/>
      <c r="F431" s="138"/>
      <c r="G431" s="138"/>
      <c r="H431" s="138"/>
      <c r="I431" s="138"/>
      <c r="J431" s="138"/>
      <c r="K431" s="138"/>
    </row>
    <row r="432" spans="1:11" ht="20.25">
      <c r="A432" s="138"/>
      <c r="B432" s="138"/>
      <c r="C432" s="138"/>
      <c r="D432" s="138"/>
      <c r="E432" s="138"/>
      <c r="F432" s="138"/>
      <c r="G432" s="138"/>
      <c r="H432" s="138"/>
      <c r="I432" s="138"/>
      <c r="J432" s="138"/>
      <c r="K432" s="138"/>
    </row>
    <row r="433" spans="1:11" ht="20.25">
      <c r="A433" s="138"/>
      <c r="B433" s="138"/>
      <c r="C433" s="138"/>
      <c r="D433" s="138"/>
      <c r="E433" s="138"/>
      <c r="F433" s="138"/>
      <c r="G433" s="138"/>
      <c r="H433" s="138"/>
      <c r="I433" s="138"/>
      <c r="J433" s="138"/>
      <c r="K433" s="138"/>
    </row>
    <row r="434" spans="1:11" ht="20.25">
      <c r="A434" s="138"/>
      <c r="B434" s="138"/>
      <c r="C434" s="138"/>
      <c r="D434" s="138"/>
      <c r="E434" s="138"/>
      <c r="F434" s="138"/>
      <c r="G434" s="138"/>
      <c r="H434" s="138"/>
      <c r="I434" s="138"/>
      <c r="J434" s="138"/>
      <c r="K434" s="138"/>
    </row>
    <row r="435" spans="1:11" ht="20.25">
      <c r="A435" s="138"/>
      <c r="B435" s="138"/>
      <c r="C435" s="138"/>
      <c r="D435" s="138"/>
      <c r="E435" s="138"/>
      <c r="F435" s="138"/>
      <c r="G435" s="138"/>
      <c r="H435" s="138"/>
      <c r="I435" s="138"/>
      <c r="J435" s="138"/>
      <c r="K435" s="138"/>
    </row>
    <row r="436" spans="1:11" ht="20.25">
      <c r="A436" s="138"/>
      <c r="B436" s="138"/>
      <c r="C436" s="138"/>
      <c r="D436" s="138"/>
      <c r="E436" s="138"/>
      <c r="F436" s="138"/>
      <c r="G436" s="138"/>
      <c r="H436" s="138"/>
      <c r="I436" s="138"/>
      <c r="J436" s="138"/>
      <c r="K436" s="138"/>
    </row>
    <row r="437" spans="1:11" ht="20.25">
      <c r="A437" s="138"/>
      <c r="B437" s="138"/>
      <c r="C437" s="138"/>
      <c r="D437" s="138"/>
      <c r="E437" s="138"/>
      <c r="F437" s="138"/>
      <c r="G437" s="138"/>
      <c r="H437" s="138"/>
      <c r="I437" s="138"/>
      <c r="J437" s="138"/>
      <c r="K437" s="138"/>
    </row>
    <row r="438" spans="1:11" ht="20.25">
      <c r="A438" s="138"/>
      <c r="B438" s="138"/>
      <c r="C438" s="138"/>
      <c r="D438" s="138"/>
      <c r="E438" s="138"/>
      <c r="F438" s="138"/>
      <c r="G438" s="138"/>
      <c r="H438" s="138"/>
      <c r="I438" s="138"/>
      <c r="J438" s="138"/>
      <c r="K438" s="138"/>
    </row>
    <row r="439" spans="1:11" ht="20.25">
      <c r="A439" s="138"/>
      <c r="B439" s="138"/>
      <c r="C439" s="138"/>
      <c r="D439" s="138"/>
      <c r="E439" s="138"/>
      <c r="F439" s="138"/>
      <c r="G439" s="138"/>
      <c r="H439" s="138"/>
      <c r="I439" s="138"/>
      <c r="J439" s="138"/>
      <c r="K439" s="138"/>
    </row>
    <row r="440" spans="1:11" ht="20.25">
      <c r="A440" s="138"/>
      <c r="B440" s="138"/>
      <c r="C440" s="138"/>
      <c r="D440" s="138"/>
      <c r="E440" s="138"/>
      <c r="F440" s="138"/>
      <c r="G440" s="138"/>
      <c r="H440" s="138"/>
      <c r="I440" s="138"/>
      <c r="J440" s="138"/>
      <c r="K440" s="138"/>
    </row>
    <row r="441" spans="1:11" ht="20.25">
      <c r="A441" s="138"/>
      <c r="B441" s="138"/>
      <c r="C441" s="138"/>
      <c r="D441" s="138"/>
      <c r="E441" s="138"/>
      <c r="F441" s="138"/>
      <c r="G441" s="138"/>
      <c r="H441" s="138"/>
      <c r="I441" s="138"/>
      <c r="J441" s="138"/>
      <c r="K441" s="138"/>
    </row>
    <row r="442" spans="1:11" ht="20.25">
      <c r="A442" s="138"/>
      <c r="B442" s="138"/>
      <c r="C442" s="138"/>
      <c r="D442" s="138"/>
      <c r="E442" s="138"/>
      <c r="F442" s="138"/>
      <c r="G442" s="138"/>
      <c r="H442" s="138"/>
      <c r="I442" s="138"/>
      <c r="J442" s="138"/>
      <c r="K442" s="138"/>
    </row>
    <row r="443" spans="1:11" ht="20.25">
      <c r="A443" s="138"/>
      <c r="B443" s="138"/>
      <c r="C443" s="138"/>
      <c r="D443" s="138"/>
      <c r="E443" s="138"/>
      <c r="F443" s="138"/>
      <c r="G443" s="138"/>
      <c r="H443" s="138"/>
      <c r="I443" s="138"/>
      <c r="J443" s="138"/>
      <c r="K443" s="138"/>
    </row>
    <row r="444" spans="1:11" ht="20.25">
      <c r="A444" s="138"/>
      <c r="B444" s="138"/>
      <c r="C444" s="138"/>
      <c r="D444" s="138"/>
      <c r="E444" s="138"/>
      <c r="F444" s="138"/>
      <c r="G444" s="138"/>
      <c r="H444" s="138"/>
      <c r="I444" s="138"/>
      <c r="J444" s="138"/>
      <c r="K444" s="138"/>
    </row>
    <row r="445" spans="1:11" ht="20.25">
      <c r="A445" s="138"/>
      <c r="B445" s="138"/>
      <c r="C445" s="138"/>
      <c r="D445" s="138"/>
      <c r="E445" s="138"/>
      <c r="F445" s="138"/>
      <c r="G445" s="138"/>
      <c r="H445" s="138"/>
      <c r="I445" s="138"/>
      <c r="J445" s="138"/>
      <c r="K445" s="138"/>
    </row>
    <row r="446" spans="1:11" ht="20.25">
      <c r="A446" s="138"/>
      <c r="B446" s="138"/>
      <c r="C446" s="138"/>
      <c r="D446" s="138"/>
      <c r="E446" s="138"/>
      <c r="F446" s="138"/>
      <c r="G446" s="138"/>
      <c r="H446" s="138"/>
      <c r="I446" s="138"/>
      <c r="J446" s="138"/>
      <c r="K446" s="138"/>
    </row>
    <row r="447" spans="1:11" ht="20.25">
      <c r="A447" s="138"/>
      <c r="B447" s="138"/>
      <c r="C447" s="138"/>
      <c r="D447" s="138"/>
      <c r="E447" s="138"/>
      <c r="F447" s="138"/>
      <c r="G447" s="138"/>
      <c r="H447" s="138"/>
      <c r="I447" s="138"/>
      <c r="J447" s="138"/>
      <c r="K447" s="138"/>
    </row>
    <row r="448" spans="1:11" ht="20.25">
      <c r="A448" s="138"/>
      <c r="B448" s="138"/>
      <c r="C448" s="138"/>
      <c r="D448" s="138"/>
      <c r="E448" s="138"/>
      <c r="F448" s="138"/>
      <c r="G448" s="138"/>
      <c r="H448" s="138"/>
      <c r="I448" s="138"/>
      <c r="J448" s="138"/>
      <c r="K448" s="138"/>
    </row>
    <row r="449" spans="1:11" ht="20.25">
      <c r="A449" s="138"/>
      <c r="B449" s="138"/>
      <c r="C449" s="138"/>
      <c r="D449" s="138"/>
      <c r="E449" s="138"/>
      <c r="F449" s="138"/>
      <c r="G449" s="138"/>
      <c r="H449" s="138"/>
      <c r="I449" s="138"/>
      <c r="J449" s="138"/>
      <c r="K449" s="138"/>
    </row>
    <row r="450" spans="1:11" ht="20.25">
      <c r="A450" s="138"/>
      <c r="B450" s="138"/>
      <c r="C450" s="138"/>
      <c r="D450" s="138"/>
      <c r="E450" s="138"/>
      <c r="F450" s="138"/>
      <c r="G450" s="138"/>
      <c r="H450" s="138"/>
      <c r="I450" s="138"/>
      <c r="J450" s="138"/>
      <c r="K450" s="138"/>
    </row>
    <row r="451" spans="1:11" ht="20.25">
      <c r="A451" s="138"/>
      <c r="B451" s="138"/>
      <c r="C451" s="138"/>
      <c r="D451" s="138"/>
      <c r="E451" s="138"/>
      <c r="F451" s="138"/>
      <c r="G451" s="138"/>
      <c r="H451" s="138"/>
      <c r="I451" s="138"/>
      <c r="J451" s="138"/>
      <c r="K451" s="138"/>
    </row>
    <row r="452" spans="1:11" ht="20.25">
      <c r="A452" s="138"/>
      <c r="B452" s="138"/>
      <c r="C452" s="138"/>
      <c r="D452" s="138"/>
      <c r="E452" s="138"/>
      <c r="F452" s="138"/>
      <c r="G452" s="138"/>
      <c r="H452" s="138"/>
      <c r="I452" s="138"/>
      <c r="J452" s="138"/>
      <c r="K452" s="138"/>
    </row>
    <row r="453" spans="1:11" ht="20.25">
      <c r="A453" s="138"/>
      <c r="B453" s="138"/>
      <c r="C453" s="138"/>
      <c r="D453" s="138"/>
      <c r="E453" s="138"/>
      <c r="F453" s="138"/>
      <c r="G453" s="138"/>
      <c r="H453" s="138"/>
      <c r="I453" s="138"/>
      <c r="J453" s="138"/>
      <c r="K453" s="138"/>
    </row>
    <row r="454" spans="1:11" ht="20.25">
      <c r="A454" s="138"/>
      <c r="B454" s="138"/>
      <c r="C454" s="138"/>
      <c r="D454" s="138"/>
      <c r="E454" s="138"/>
      <c r="F454" s="138"/>
      <c r="G454" s="138"/>
      <c r="H454" s="138"/>
      <c r="I454" s="138"/>
      <c r="J454" s="138"/>
      <c r="K454" s="138"/>
    </row>
    <row r="455" spans="1:11" ht="20.25">
      <c r="A455" s="138"/>
      <c r="B455" s="138"/>
      <c r="C455" s="138"/>
      <c r="D455" s="138"/>
      <c r="E455" s="138"/>
      <c r="F455" s="138"/>
      <c r="G455" s="138"/>
      <c r="H455" s="138"/>
      <c r="I455" s="138"/>
      <c r="J455" s="138"/>
      <c r="K455" s="138"/>
    </row>
    <row r="456" spans="1:11" ht="20.25">
      <c r="A456" s="138"/>
      <c r="B456" s="138"/>
      <c r="C456" s="138"/>
      <c r="D456" s="138"/>
      <c r="E456" s="138"/>
      <c r="F456" s="138"/>
      <c r="G456" s="138"/>
      <c r="H456" s="138"/>
      <c r="I456" s="138"/>
      <c r="J456" s="138"/>
      <c r="K456" s="138"/>
    </row>
    <row r="457" spans="1:11" ht="20.25">
      <c r="A457" s="138"/>
      <c r="B457" s="138"/>
      <c r="C457" s="138"/>
      <c r="D457" s="138"/>
      <c r="E457" s="138"/>
      <c r="F457" s="138"/>
      <c r="G457" s="138"/>
      <c r="H457" s="138"/>
      <c r="I457" s="138"/>
      <c r="J457" s="138"/>
      <c r="K457" s="138"/>
    </row>
    <row r="458" spans="1:11" ht="20.25">
      <c r="A458" s="138"/>
      <c r="B458" s="138"/>
      <c r="C458" s="138"/>
      <c r="D458" s="138"/>
      <c r="E458" s="138"/>
      <c r="F458" s="138"/>
      <c r="G458" s="138"/>
      <c r="H458" s="138"/>
      <c r="I458" s="138"/>
      <c r="J458" s="138"/>
      <c r="K458" s="138"/>
    </row>
    <row r="459" spans="1:11" ht="20.25">
      <c r="A459" s="138"/>
      <c r="B459" s="138"/>
      <c r="C459" s="138"/>
      <c r="D459" s="138"/>
      <c r="E459" s="138"/>
      <c r="F459" s="138"/>
      <c r="G459" s="138"/>
      <c r="H459" s="138"/>
      <c r="I459" s="138"/>
      <c r="J459" s="138"/>
      <c r="K459" s="138"/>
    </row>
    <row r="460" spans="1:11" ht="20.25">
      <c r="A460" s="138"/>
      <c r="B460" s="138"/>
      <c r="C460" s="138"/>
      <c r="D460" s="138"/>
      <c r="E460" s="138"/>
      <c r="F460" s="138"/>
      <c r="G460" s="138"/>
      <c r="H460" s="138"/>
      <c r="I460" s="138"/>
      <c r="J460" s="138"/>
      <c r="K460" s="138"/>
    </row>
    <row r="461" spans="1:11" ht="20.25">
      <c r="A461" s="138"/>
      <c r="B461" s="138"/>
      <c r="C461" s="138"/>
      <c r="D461" s="138"/>
      <c r="E461" s="138"/>
      <c r="F461" s="138"/>
      <c r="G461" s="138"/>
      <c r="H461" s="138"/>
      <c r="I461" s="138"/>
      <c r="J461" s="138"/>
      <c r="K461" s="138"/>
    </row>
    <row r="462" spans="1:11" ht="20.25">
      <c r="A462" s="138"/>
      <c r="B462" s="138"/>
      <c r="C462" s="138"/>
      <c r="D462" s="138"/>
      <c r="E462" s="138"/>
      <c r="F462" s="138"/>
      <c r="G462" s="138"/>
      <c r="H462" s="138"/>
      <c r="I462" s="138"/>
      <c r="J462" s="138"/>
      <c r="K462" s="138"/>
    </row>
    <row r="463" spans="1:11" ht="20.25">
      <c r="A463" s="138"/>
      <c r="B463" s="138"/>
      <c r="C463" s="138"/>
      <c r="D463" s="138"/>
      <c r="E463" s="138"/>
      <c r="F463" s="138"/>
      <c r="G463" s="138"/>
      <c r="H463" s="138"/>
      <c r="I463" s="138"/>
      <c r="J463" s="138"/>
      <c r="K463" s="138"/>
    </row>
    <row r="464" spans="1:11" ht="20.25">
      <c r="A464" s="138"/>
      <c r="B464" s="138"/>
      <c r="C464" s="138"/>
      <c r="D464" s="138"/>
      <c r="E464" s="138"/>
      <c r="F464" s="138"/>
      <c r="G464" s="138"/>
      <c r="H464" s="138"/>
      <c r="I464" s="138"/>
      <c r="J464" s="138"/>
      <c r="K464" s="138"/>
    </row>
    <row r="465" spans="1:11" ht="20.25">
      <c r="A465" s="138"/>
      <c r="B465" s="138"/>
      <c r="C465" s="138"/>
      <c r="D465" s="138"/>
      <c r="E465" s="138"/>
      <c r="F465" s="138"/>
      <c r="G465" s="138"/>
      <c r="H465" s="138"/>
      <c r="I465" s="138"/>
      <c r="J465" s="138"/>
      <c r="K465" s="138"/>
    </row>
    <row r="466" spans="1:11" ht="20.25">
      <c r="A466" s="138"/>
      <c r="B466" s="138"/>
      <c r="C466" s="138"/>
      <c r="D466" s="138"/>
      <c r="E466" s="138"/>
      <c r="F466" s="138"/>
      <c r="G466" s="138"/>
      <c r="H466" s="138"/>
      <c r="I466" s="138"/>
      <c r="J466" s="138"/>
      <c r="K466" s="138"/>
    </row>
    <row r="467" spans="1:11" ht="20.25">
      <c r="A467" s="138"/>
      <c r="B467" s="138"/>
      <c r="C467" s="138"/>
      <c r="D467" s="138"/>
      <c r="E467" s="138"/>
      <c r="F467" s="138"/>
      <c r="G467" s="138"/>
      <c r="H467" s="138"/>
      <c r="I467" s="138"/>
      <c r="J467" s="138"/>
      <c r="K467" s="138"/>
    </row>
    <row r="468" spans="1:11" ht="20.25">
      <c r="A468" s="138"/>
      <c r="B468" s="138"/>
      <c r="C468" s="138"/>
      <c r="D468" s="138"/>
      <c r="E468" s="138"/>
      <c r="F468" s="138"/>
      <c r="G468" s="138"/>
      <c r="H468" s="138"/>
      <c r="I468" s="138"/>
      <c r="J468" s="138"/>
      <c r="K468" s="138"/>
    </row>
    <row r="469" spans="1:11" ht="20.25">
      <c r="A469" s="138"/>
      <c r="B469" s="138"/>
      <c r="C469" s="138"/>
      <c r="D469" s="138"/>
      <c r="E469" s="138"/>
      <c r="F469" s="138"/>
      <c r="G469" s="138"/>
      <c r="H469" s="138"/>
      <c r="I469" s="138"/>
      <c r="J469" s="138"/>
      <c r="K469" s="138"/>
    </row>
    <row r="470" spans="1:11" ht="20.25">
      <c r="A470" s="138"/>
      <c r="B470" s="138"/>
      <c r="C470" s="138"/>
      <c r="D470" s="138"/>
      <c r="E470" s="138"/>
      <c r="F470" s="138"/>
      <c r="G470" s="138"/>
      <c r="H470" s="138"/>
      <c r="I470" s="138"/>
      <c r="J470" s="138"/>
      <c r="K470" s="138"/>
    </row>
    <row r="471" spans="1:11" ht="20.25">
      <c r="A471" s="138"/>
      <c r="B471" s="138"/>
      <c r="C471" s="138"/>
      <c r="D471" s="138"/>
      <c r="E471" s="138"/>
      <c r="F471" s="138"/>
      <c r="G471" s="138"/>
      <c r="H471" s="138"/>
      <c r="I471" s="138"/>
      <c r="J471" s="138"/>
      <c r="K471" s="138"/>
    </row>
    <row r="472" spans="1:11" ht="20.25">
      <c r="A472" s="138"/>
      <c r="B472" s="138"/>
      <c r="C472" s="138"/>
      <c r="D472" s="138"/>
      <c r="E472" s="138"/>
      <c r="F472" s="138"/>
      <c r="G472" s="138"/>
      <c r="H472" s="138"/>
      <c r="I472" s="138"/>
      <c r="J472" s="138"/>
      <c r="K472" s="138"/>
    </row>
    <row r="473" spans="1:11" ht="20.25">
      <c r="A473" s="138"/>
      <c r="B473" s="138"/>
      <c r="C473" s="138"/>
      <c r="D473" s="138"/>
      <c r="E473" s="138"/>
      <c r="F473" s="138"/>
      <c r="G473" s="138"/>
      <c r="H473" s="138"/>
      <c r="I473" s="138"/>
      <c r="J473" s="138"/>
      <c r="K473" s="138"/>
    </row>
    <row r="474" spans="1:11" ht="20.25">
      <c r="A474" s="138"/>
      <c r="B474" s="138"/>
      <c r="C474" s="138"/>
      <c r="D474" s="138"/>
      <c r="E474" s="138"/>
      <c r="F474" s="138"/>
      <c r="G474" s="138"/>
      <c r="H474" s="138"/>
      <c r="I474" s="138"/>
      <c r="J474" s="138"/>
      <c r="K474" s="138"/>
    </row>
    <row r="475" spans="1:11" ht="20.25">
      <c r="A475" s="138"/>
      <c r="B475" s="138"/>
      <c r="C475" s="138"/>
      <c r="D475" s="138"/>
      <c r="E475" s="138"/>
      <c r="F475" s="138"/>
      <c r="G475" s="138"/>
      <c r="H475" s="138"/>
      <c r="I475" s="138"/>
      <c r="J475" s="138"/>
      <c r="K475" s="138"/>
    </row>
    <row r="476" spans="1:11" ht="20.25">
      <c r="A476" s="138"/>
      <c r="B476" s="138"/>
      <c r="C476" s="138"/>
      <c r="D476" s="138"/>
      <c r="E476" s="138"/>
      <c r="F476" s="138"/>
      <c r="G476" s="138"/>
      <c r="H476" s="138"/>
      <c r="I476" s="138"/>
      <c r="J476" s="138"/>
      <c r="K476" s="138"/>
    </row>
    <row r="477" spans="1:11" ht="20.25">
      <c r="A477" s="138"/>
      <c r="B477" s="138"/>
      <c r="C477" s="138"/>
      <c r="D477" s="138"/>
      <c r="E477" s="138"/>
      <c r="F477" s="138"/>
      <c r="G477" s="138"/>
      <c r="H477" s="138"/>
      <c r="I477" s="138"/>
      <c r="J477" s="138"/>
      <c r="K477" s="138"/>
    </row>
    <row r="478" spans="1:11" ht="20.25">
      <c r="A478" s="138"/>
      <c r="B478" s="138"/>
      <c r="C478" s="138"/>
      <c r="D478" s="138"/>
      <c r="E478" s="138"/>
      <c r="F478" s="138"/>
      <c r="G478" s="138"/>
      <c r="H478" s="138"/>
      <c r="I478" s="138"/>
      <c r="J478" s="138"/>
      <c r="K478" s="138"/>
    </row>
    <row r="479" spans="1:11" ht="20.25">
      <c r="A479" s="138"/>
      <c r="B479" s="138"/>
      <c r="C479" s="138"/>
      <c r="D479" s="138"/>
      <c r="E479" s="138"/>
      <c r="F479" s="138"/>
      <c r="G479" s="138"/>
      <c r="H479" s="138"/>
      <c r="I479" s="138"/>
      <c r="J479" s="138"/>
      <c r="K479" s="138"/>
    </row>
    <row r="480" spans="1:11" ht="20.25">
      <c r="A480" s="138"/>
      <c r="B480" s="138"/>
      <c r="C480" s="138"/>
      <c r="D480" s="138"/>
      <c r="E480" s="138"/>
      <c r="F480" s="138"/>
      <c r="G480" s="138"/>
      <c r="H480" s="138"/>
      <c r="I480" s="138"/>
      <c r="J480" s="138"/>
      <c r="K480" s="138"/>
    </row>
    <row r="481" spans="1:11" ht="20.25">
      <c r="A481" s="138"/>
      <c r="B481" s="138"/>
      <c r="C481" s="138"/>
      <c r="D481" s="138"/>
      <c r="E481" s="138"/>
      <c r="F481" s="138"/>
      <c r="G481" s="138"/>
      <c r="H481" s="138"/>
      <c r="I481" s="138"/>
      <c r="J481" s="138"/>
      <c r="K481" s="138"/>
    </row>
    <row r="482" spans="1:11" ht="20.25">
      <c r="A482" s="138"/>
      <c r="B482" s="138"/>
      <c r="C482" s="138"/>
      <c r="D482" s="138"/>
      <c r="E482" s="138"/>
      <c r="F482" s="138"/>
      <c r="G482" s="138"/>
      <c r="H482" s="138"/>
      <c r="I482" s="138"/>
      <c r="J482" s="138"/>
      <c r="K482" s="138"/>
    </row>
    <row r="483" spans="1:11" ht="20.25">
      <c r="A483" s="138"/>
      <c r="B483" s="138"/>
      <c r="C483" s="138"/>
      <c r="D483" s="138"/>
      <c r="E483" s="138"/>
      <c r="F483" s="138"/>
      <c r="G483" s="138"/>
      <c r="H483" s="138"/>
      <c r="I483" s="138"/>
      <c r="J483" s="138"/>
      <c r="K483" s="138"/>
    </row>
    <row r="484" spans="1:11" ht="20.25">
      <c r="A484" s="138"/>
      <c r="B484" s="138"/>
      <c r="C484" s="138"/>
      <c r="D484" s="138"/>
      <c r="E484" s="138"/>
      <c r="F484" s="138"/>
      <c r="G484" s="138"/>
      <c r="H484" s="138"/>
      <c r="I484" s="138"/>
      <c r="J484" s="138"/>
      <c r="K484" s="138"/>
    </row>
    <row r="485" spans="1:11" ht="20.25">
      <c r="A485" s="138"/>
      <c r="B485" s="138"/>
      <c r="C485" s="138"/>
      <c r="D485" s="138"/>
      <c r="E485" s="138"/>
      <c r="F485" s="138"/>
      <c r="G485" s="138"/>
      <c r="H485" s="138"/>
      <c r="I485" s="138"/>
      <c r="J485" s="138"/>
      <c r="K485" s="138"/>
    </row>
    <row r="486" spans="1:11" ht="20.25">
      <c r="A486" s="138"/>
      <c r="B486" s="138"/>
      <c r="C486" s="138"/>
      <c r="D486" s="138"/>
      <c r="E486" s="138"/>
      <c r="F486" s="138"/>
      <c r="G486" s="138"/>
      <c r="H486" s="138"/>
      <c r="I486" s="138"/>
      <c r="J486" s="138"/>
      <c r="K486" s="138"/>
    </row>
    <row r="487" spans="1:11" ht="20.25">
      <c r="A487" s="138"/>
      <c r="B487" s="138"/>
      <c r="C487" s="138"/>
      <c r="D487" s="138"/>
      <c r="E487" s="138"/>
      <c r="F487" s="138"/>
      <c r="G487" s="138"/>
      <c r="H487" s="138"/>
      <c r="I487" s="138"/>
      <c r="J487" s="138"/>
      <c r="K487" s="138"/>
    </row>
    <row r="488" spans="1:11" ht="20.25">
      <c r="A488" s="138"/>
      <c r="B488" s="138"/>
      <c r="C488" s="138"/>
      <c r="D488" s="138"/>
      <c r="E488" s="138"/>
      <c r="F488" s="138"/>
      <c r="G488" s="138"/>
      <c r="H488" s="138"/>
      <c r="I488" s="138"/>
      <c r="J488" s="138"/>
      <c r="K488" s="138"/>
    </row>
    <row r="489" spans="1:11" ht="20.25">
      <c r="A489" s="138"/>
      <c r="B489" s="138"/>
      <c r="C489" s="138"/>
      <c r="D489" s="138"/>
      <c r="E489" s="138"/>
      <c r="F489" s="138"/>
      <c r="G489" s="138"/>
      <c r="H489" s="138"/>
      <c r="I489" s="138"/>
      <c r="J489" s="138"/>
      <c r="K489" s="138"/>
    </row>
    <row r="490" spans="1:11" ht="20.25">
      <c r="A490" s="138"/>
      <c r="B490" s="138"/>
      <c r="C490" s="138"/>
      <c r="D490" s="138"/>
      <c r="E490" s="138"/>
      <c r="F490" s="138"/>
      <c r="G490" s="138"/>
      <c r="H490" s="138"/>
      <c r="I490" s="138"/>
      <c r="J490" s="138"/>
      <c r="K490" s="138"/>
    </row>
    <row r="491" spans="1:11" ht="20.25">
      <c r="A491" s="138"/>
      <c r="B491" s="138"/>
      <c r="C491" s="138"/>
      <c r="D491" s="138"/>
      <c r="E491" s="138"/>
      <c r="F491" s="138"/>
      <c r="G491" s="138"/>
      <c r="H491" s="138"/>
      <c r="I491" s="138"/>
      <c r="J491" s="138"/>
      <c r="K491" s="138"/>
    </row>
    <row r="492" spans="1:11" ht="20.25">
      <c r="A492" s="138"/>
      <c r="B492" s="138"/>
      <c r="C492" s="138"/>
      <c r="D492" s="138"/>
      <c r="E492" s="138"/>
      <c r="F492" s="138"/>
      <c r="G492" s="138"/>
      <c r="H492" s="138"/>
      <c r="I492" s="138"/>
      <c r="J492" s="138"/>
      <c r="K492" s="138"/>
    </row>
    <row r="493" spans="1:11" ht="20.25">
      <c r="A493" s="138"/>
      <c r="B493" s="138"/>
      <c r="C493" s="138"/>
      <c r="D493" s="138"/>
      <c r="E493" s="138"/>
      <c r="F493" s="138"/>
      <c r="G493" s="138"/>
      <c r="H493" s="138"/>
      <c r="I493" s="138"/>
      <c r="J493" s="138"/>
      <c r="K493" s="138"/>
    </row>
    <row r="494" spans="1:11" ht="20.25">
      <c r="A494" s="138"/>
      <c r="B494" s="138"/>
      <c r="C494" s="138"/>
      <c r="D494" s="138"/>
      <c r="E494" s="138"/>
      <c r="F494" s="138"/>
      <c r="G494" s="138"/>
      <c r="H494" s="138"/>
      <c r="I494" s="138"/>
      <c r="J494" s="138"/>
      <c r="K494" s="138"/>
    </row>
    <row r="495" spans="1:11" ht="20.25">
      <c r="A495" s="138"/>
      <c r="B495" s="138"/>
      <c r="C495" s="138"/>
      <c r="D495" s="138"/>
      <c r="E495" s="138"/>
      <c r="F495" s="138"/>
      <c r="G495" s="138"/>
      <c r="H495" s="138"/>
      <c r="I495" s="138"/>
      <c r="J495" s="138"/>
      <c r="K495" s="138"/>
    </row>
    <row r="496" spans="1:11" ht="20.25">
      <c r="A496" s="138"/>
      <c r="B496" s="138"/>
      <c r="C496" s="138"/>
      <c r="D496" s="138"/>
      <c r="E496" s="138"/>
      <c r="F496" s="138"/>
      <c r="G496" s="138"/>
      <c r="H496" s="138"/>
      <c r="I496" s="138"/>
      <c r="J496" s="138"/>
      <c r="K496" s="138"/>
    </row>
    <row r="497" spans="1:11" ht="20.25">
      <c r="A497" s="138"/>
      <c r="B497" s="138"/>
      <c r="C497" s="138"/>
      <c r="D497" s="138"/>
      <c r="E497" s="138"/>
      <c r="F497" s="138"/>
      <c r="G497" s="138"/>
      <c r="H497" s="138"/>
      <c r="I497" s="138"/>
      <c r="J497" s="138"/>
      <c r="K497" s="138"/>
    </row>
    <row r="498" spans="1:11" ht="20.25">
      <c r="A498" s="138"/>
      <c r="B498" s="138"/>
      <c r="C498" s="138"/>
      <c r="D498" s="138"/>
      <c r="E498" s="138"/>
      <c r="F498" s="138"/>
      <c r="G498" s="138"/>
      <c r="H498" s="138"/>
      <c r="I498" s="138"/>
      <c r="J498" s="138"/>
      <c r="K498" s="138"/>
    </row>
    <row r="499" spans="1:11" ht="20.25">
      <c r="A499" s="138"/>
      <c r="B499" s="138"/>
      <c r="C499" s="138"/>
      <c r="D499" s="138"/>
      <c r="E499" s="138"/>
      <c r="F499" s="138"/>
      <c r="G499" s="138"/>
      <c r="H499" s="138"/>
      <c r="I499" s="138"/>
      <c r="J499" s="138"/>
      <c r="K499" s="138"/>
    </row>
    <row r="500" spans="1:11" ht="20.25">
      <c r="A500" s="138"/>
      <c r="B500" s="138"/>
      <c r="C500" s="138"/>
      <c r="D500" s="138"/>
      <c r="E500" s="138"/>
      <c r="F500" s="138"/>
      <c r="G500" s="138"/>
      <c r="H500" s="138"/>
      <c r="I500" s="138"/>
      <c r="J500" s="138"/>
      <c r="K500" s="138"/>
    </row>
    <row r="501" spans="1:11" ht="20.25">
      <c r="A501" s="138"/>
      <c r="B501" s="138"/>
      <c r="C501" s="138"/>
      <c r="D501" s="138"/>
      <c r="E501" s="138"/>
      <c r="F501" s="138"/>
      <c r="G501" s="138"/>
      <c r="H501" s="138"/>
      <c r="I501" s="138"/>
      <c r="J501" s="138"/>
      <c r="K501" s="138"/>
    </row>
    <row r="502" spans="1:11" ht="20.25">
      <c r="A502" s="138"/>
      <c r="B502" s="138"/>
      <c r="C502" s="138"/>
      <c r="D502" s="138"/>
      <c r="E502" s="138"/>
      <c r="F502" s="138"/>
      <c r="G502" s="138"/>
      <c r="H502" s="138"/>
      <c r="I502" s="138"/>
      <c r="J502" s="138"/>
      <c r="K502" s="138"/>
    </row>
    <row r="503" spans="1:11" ht="20.25">
      <c r="A503" s="138"/>
      <c r="B503" s="138"/>
      <c r="C503" s="138"/>
      <c r="D503" s="138"/>
      <c r="E503" s="138"/>
      <c r="F503" s="138"/>
      <c r="G503" s="138"/>
      <c r="H503" s="138"/>
      <c r="I503" s="138"/>
      <c r="J503" s="138"/>
      <c r="K503" s="138"/>
    </row>
    <row r="504" spans="1:11" ht="20.25">
      <c r="A504" s="138"/>
      <c r="B504" s="138"/>
      <c r="C504" s="138"/>
      <c r="D504" s="138"/>
      <c r="E504" s="138"/>
      <c r="F504" s="138"/>
      <c r="G504" s="138"/>
      <c r="H504" s="138"/>
      <c r="I504" s="138"/>
      <c r="J504" s="138"/>
      <c r="K504" s="138"/>
    </row>
    <row r="505" spans="1:11" ht="20.25">
      <c r="A505" s="138"/>
      <c r="B505" s="138"/>
      <c r="C505" s="138"/>
      <c r="D505" s="138"/>
      <c r="E505" s="138"/>
      <c r="F505" s="138"/>
      <c r="G505" s="138"/>
      <c r="H505" s="138"/>
      <c r="I505" s="138"/>
      <c r="J505" s="138"/>
      <c r="K505" s="138"/>
    </row>
    <row r="506" spans="1:11" ht="20.25">
      <c r="A506" s="138"/>
      <c r="B506" s="138"/>
      <c r="C506" s="138"/>
      <c r="D506" s="138"/>
      <c r="E506" s="138"/>
      <c r="F506" s="138"/>
      <c r="G506" s="138"/>
      <c r="H506" s="138"/>
      <c r="I506" s="138"/>
      <c r="J506" s="138"/>
      <c r="K506" s="138"/>
    </row>
    <row r="507" spans="1:11" ht="20.25">
      <c r="A507" s="138"/>
      <c r="B507" s="138"/>
      <c r="C507" s="138"/>
      <c r="D507" s="138"/>
      <c r="E507" s="138"/>
      <c r="F507" s="138"/>
      <c r="G507" s="138"/>
      <c r="H507" s="138"/>
      <c r="I507" s="138"/>
      <c r="J507" s="138"/>
      <c r="K507" s="138"/>
    </row>
    <row r="508" spans="1:11" ht="20.25">
      <c r="A508" s="138"/>
      <c r="B508" s="138"/>
      <c r="C508" s="138"/>
      <c r="D508" s="138"/>
      <c r="E508" s="138"/>
      <c r="F508" s="138"/>
      <c r="G508" s="138"/>
      <c r="H508" s="138"/>
      <c r="I508" s="138"/>
      <c r="J508" s="138"/>
      <c r="K508" s="138"/>
    </row>
    <row r="509" spans="1:11" ht="20.25">
      <c r="A509" s="138"/>
      <c r="B509" s="138"/>
      <c r="C509" s="138"/>
      <c r="D509" s="138"/>
      <c r="E509" s="138"/>
      <c r="F509" s="138"/>
      <c r="G509" s="138"/>
      <c r="H509" s="138"/>
      <c r="I509" s="138"/>
      <c r="J509" s="138"/>
      <c r="K509" s="138"/>
    </row>
    <row r="510" spans="1:11" ht="20.25">
      <c r="A510" s="138"/>
      <c r="B510" s="138"/>
      <c r="C510" s="138"/>
      <c r="D510" s="138"/>
      <c r="E510" s="138"/>
      <c r="F510" s="138"/>
      <c r="G510" s="138"/>
      <c r="H510" s="138"/>
      <c r="I510" s="138"/>
      <c r="J510" s="138"/>
      <c r="K510" s="138"/>
    </row>
    <row r="511" spans="1:11" ht="20.25">
      <c r="A511" s="138"/>
      <c r="B511" s="138"/>
      <c r="C511" s="138"/>
      <c r="D511" s="138"/>
      <c r="E511" s="138"/>
      <c r="F511" s="138"/>
      <c r="G511" s="138"/>
      <c r="H511" s="138"/>
      <c r="I511" s="138"/>
      <c r="J511" s="138"/>
      <c r="K511" s="138"/>
    </row>
    <row r="512" spans="1:11" ht="20.25">
      <c r="A512" s="138"/>
      <c r="B512" s="138"/>
      <c r="C512" s="138"/>
      <c r="D512" s="138"/>
      <c r="E512" s="138"/>
      <c r="F512" s="138"/>
      <c r="G512" s="138"/>
      <c r="H512" s="138"/>
      <c r="I512" s="138"/>
      <c r="J512" s="138"/>
      <c r="K512" s="138"/>
    </row>
    <row r="513" spans="1:11" ht="20.25">
      <c r="A513" s="138"/>
      <c r="B513" s="138"/>
      <c r="C513" s="138"/>
      <c r="D513" s="138"/>
      <c r="E513" s="138"/>
      <c r="F513" s="138"/>
      <c r="G513" s="138"/>
      <c r="H513" s="138"/>
      <c r="I513" s="138"/>
      <c r="J513" s="138"/>
      <c r="K513" s="138"/>
    </row>
    <row r="514" spans="1:11" ht="20.25">
      <c r="A514" s="138"/>
      <c r="B514" s="138"/>
      <c r="C514" s="138"/>
      <c r="D514" s="138"/>
      <c r="E514" s="138"/>
      <c r="F514" s="138"/>
      <c r="G514" s="138"/>
      <c r="H514" s="138"/>
      <c r="I514" s="138"/>
      <c r="J514" s="138"/>
      <c r="K514" s="138"/>
    </row>
    <row r="515" spans="1:11" ht="20.25">
      <c r="A515" s="138"/>
      <c r="B515" s="138"/>
      <c r="C515" s="138"/>
      <c r="D515" s="138"/>
      <c r="E515" s="138"/>
      <c r="F515" s="138"/>
      <c r="G515" s="138"/>
      <c r="H515" s="138"/>
      <c r="I515" s="138"/>
      <c r="J515" s="138"/>
      <c r="K515" s="138"/>
    </row>
    <row r="516" spans="1:11" ht="20.25">
      <c r="A516" s="138"/>
      <c r="B516" s="138"/>
      <c r="C516" s="138"/>
      <c r="D516" s="138"/>
      <c r="E516" s="138"/>
      <c r="F516" s="138"/>
      <c r="G516" s="138"/>
      <c r="H516" s="138"/>
      <c r="I516" s="138"/>
      <c r="J516" s="138"/>
      <c r="K516" s="138"/>
    </row>
    <row r="517" spans="1:11" ht="20.25">
      <c r="A517" s="138"/>
      <c r="B517" s="138"/>
      <c r="C517" s="138"/>
      <c r="D517" s="138"/>
      <c r="E517" s="138"/>
      <c r="F517" s="138"/>
      <c r="G517" s="138"/>
      <c r="H517" s="138"/>
      <c r="I517" s="138"/>
      <c r="J517" s="138"/>
      <c r="K517" s="138"/>
    </row>
    <row r="518" spans="1:11" ht="20.25">
      <c r="A518" s="138"/>
      <c r="B518" s="138"/>
      <c r="C518" s="138"/>
      <c r="D518" s="138"/>
      <c r="E518" s="138"/>
      <c r="F518" s="138"/>
      <c r="G518" s="138"/>
      <c r="H518" s="138"/>
      <c r="I518" s="138"/>
      <c r="J518" s="138"/>
      <c r="K518" s="138"/>
    </row>
    <row r="519" spans="1:11" ht="20.25">
      <c r="A519" s="138"/>
      <c r="B519" s="138"/>
      <c r="C519" s="138"/>
      <c r="D519" s="138"/>
      <c r="E519" s="138"/>
      <c r="F519" s="138"/>
      <c r="G519" s="138"/>
      <c r="H519" s="138"/>
      <c r="I519" s="138"/>
      <c r="J519" s="138"/>
      <c r="K519" s="138"/>
    </row>
    <row r="520" spans="1:11" ht="20.25">
      <c r="A520" s="138"/>
      <c r="B520" s="138"/>
      <c r="C520" s="138"/>
      <c r="D520" s="138"/>
      <c r="E520" s="138"/>
      <c r="F520" s="138"/>
      <c r="G520" s="138"/>
      <c r="H520" s="138"/>
      <c r="I520" s="138"/>
      <c r="J520" s="138"/>
      <c r="K520" s="138"/>
    </row>
    <row r="521" spans="1:11" ht="20.25">
      <c r="A521" s="138"/>
      <c r="B521" s="138"/>
      <c r="C521" s="138"/>
      <c r="D521" s="138"/>
      <c r="E521" s="138"/>
      <c r="F521" s="138"/>
      <c r="G521" s="138"/>
      <c r="H521" s="138"/>
      <c r="I521" s="138"/>
      <c r="J521" s="138"/>
      <c r="K521" s="138"/>
    </row>
    <row r="522" spans="1:11" ht="20.25">
      <c r="A522" s="138"/>
      <c r="B522" s="138"/>
      <c r="C522" s="138"/>
      <c r="D522" s="138"/>
      <c r="E522" s="138"/>
      <c r="F522" s="138"/>
      <c r="G522" s="138"/>
      <c r="H522" s="138"/>
      <c r="I522" s="138"/>
      <c r="J522" s="138"/>
      <c r="K522" s="138"/>
    </row>
    <row r="523" spans="1:11" ht="20.25">
      <c r="A523" s="138"/>
      <c r="B523" s="138"/>
      <c r="C523" s="138"/>
      <c r="D523" s="138"/>
      <c r="E523" s="138"/>
      <c r="F523" s="138"/>
      <c r="G523" s="138"/>
      <c r="H523" s="138"/>
      <c r="I523" s="138"/>
      <c r="J523" s="138"/>
      <c r="K523" s="138"/>
    </row>
    <row r="524" spans="1:11" ht="20.25">
      <c r="A524" s="138"/>
      <c r="B524" s="138"/>
      <c r="C524" s="138"/>
      <c r="D524" s="138"/>
      <c r="E524" s="138"/>
      <c r="F524" s="138"/>
      <c r="G524" s="138"/>
      <c r="H524" s="138"/>
      <c r="I524" s="138"/>
      <c r="J524" s="138"/>
      <c r="K524" s="138"/>
    </row>
    <row r="525" spans="1:11" ht="20.25">
      <c r="A525" s="138"/>
      <c r="B525" s="138"/>
      <c r="C525" s="138"/>
      <c r="D525" s="138"/>
      <c r="E525" s="138"/>
      <c r="F525" s="138"/>
      <c r="G525" s="138"/>
      <c r="H525" s="138"/>
      <c r="I525" s="138"/>
      <c r="J525" s="138"/>
      <c r="K525" s="138"/>
    </row>
    <row r="526" spans="1:11" ht="20.25">
      <c r="A526" s="138"/>
      <c r="B526" s="138"/>
      <c r="C526" s="138"/>
      <c r="D526" s="138"/>
      <c r="E526" s="138"/>
      <c r="F526" s="138"/>
      <c r="G526" s="138"/>
      <c r="H526" s="138"/>
      <c r="I526" s="138"/>
      <c r="J526" s="138"/>
      <c r="K526" s="138"/>
    </row>
    <row r="527" spans="1:11" ht="20.25">
      <c r="A527" s="138"/>
      <c r="B527" s="138"/>
      <c r="C527" s="138"/>
      <c r="D527" s="138"/>
      <c r="E527" s="138"/>
      <c r="F527" s="138"/>
      <c r="G527" s="138"/>
      <c r="H527" s="138"/>
      <c r="I527" s="138"/>
      <c r="J527" s="138"/>
      <c r="K527" s="138"/>
    </row>
    <row r="528" spans="1:11" ht="20.25">
      <c r="A528" s="138"/>
      <c r="B528" s="138"/>
      <c r="C528" s="138"/>
      <c r="D528" s="138"/>
      <c r="E528" s="138"/>
      <c r="F528" s="138"/>
      <c r="G528" s="138"/>
      <c r="H528" s="138"/>
      <c r="I528" s="138"/>
      <c r="J528" s="138"/>
      <c r="K528" s="138"/>
    </row>
    <row r="529" spans="1:11" ht="20.25">
      <c r="A529" s="138"/>
      <c r="B529" s="138"/>
      <c r="C529" s="138"/>
      <c r="D529" s="138"/>
      <c r="E529" s="138"/>
      <c r="F529" s="138"/>
      <c r="G529" s="138"/>
      <c r="H529" s="138"/>
      <c r="I529" s="138"/>
      <c r="J529" s="138"/>
      <c r="K529" s="138"/>
    </row>
    <row r="530" spans="1:11" ht="20.25">
      <c r="A530" s="138"/>
      <c r="B530" s="138"/>
      <c r="C530" s="138"/>
      <c r="D530" s="138"/>
      <c r="E530" s="138"/>
      <c r="F530" s="138"/>
      <c r="G530" s="138"/>
      <c r="H530" s="138"/>
      <c r="I530" s="138"/>
      <c r="J530" s="138"/>
      <c r="K530" s="138"/>
    </row>
    <row r="531" spans="1:11" ht="20.25">
      <c r="A531" s="138"/>
      <c r="B531" s="138"/>
      <c r="C531" s="138"/>
      <c r="D531" s="138"/>
      <c r="E531" s="138"/>
      <c r="F531" s="138"/>
      <c r="G531" s="138"/>
      <c r="H531" s="138"/>
      <c r="I531" s="138"/>
      <c r="J531" s="138"/>
      <c r="K531" s="138"/>
    </row>
    <row r="532" spans="1:11" ht="20.25">
      <c r="A532" s="138"/>
      <c r="B532" s="138"/>
      <c r="C532" s="138"/>
      <c r="D532" s="138"/>
      <c r="E532" s="138"/>
      <c r="F532" s="138"/>
      <c r="G532" s="138"/>
      <c r="H532" s="138"/>
      <c r="I532" s="138"/>
      <c r="J532" s="138"/>
      <c r="K532" s="138"/>
    </row>
    <row r="533" spans="1:11" ht="20.25">
      <c r="A533" s="138"/>
      <c r="B533" s="138"/>
      <c r="C533" s="138"/>
      <c r="D533" s="138"/>
      <c r="E533" s="138"/>
      <c r="F533" s="138"/>
      <c r="G533" s="138"/>
      <c r="H533" s="138"/>
      <c r="I533" s="138"/>
      <c r="J533" s="138"/>
      <c r="K533" s="138"/>
    </row>
    <row r="534" spans="1:11" ht="20.25">
      <c r="A534" s="138"/>
      <c r="B534" s="138"/>
      <c r="C534" s="138"/>
      <c r="D534" s="138"/>
      <c r="E534" s="138"/>
      <c r="F534" s="138"/>
      <c r="G534" s="138"/>
      <c r="H534" s="138"/>
      <c r="I534" s="138"/>
      <c r="J534" s="138"/>
      <c r="K534" s="138"/>
    </row>
    <row r="535" spans="1:11" ht="20.25">
      <c r="A535" s="138"/>
      <c r="B535" s="138"/>
      <c r="C535" s="138"/>
      <c r="D535" s="138"/>
      <c r="E535" s="138"/>
      <c r="F535" s="138"/>
      <c r="G535" s="138"/>
      <c r="H535" s="138"/>
      <c r="I535" s="138"/>
      <c r="J535" s="138"/>
      <c r="K535" s="138"/>
    </row>
    <row r="536" spans="1:11" ht="20.25">
      <c r="A536" s="138"/>
      <c r="B536" s="138"/>
      <c r="C536" s="138"/>
      <c r="D536" s="138"/>
      <c r="E536" s="138"/>
      <c r="F536" s="138"/>
      <c r="G536" s="138"/>
      <c r="H536" s="138"/>
      <c r="I536" s="138"/>
      <c r="J536" s="138"/>
      <c r="K536" s="138"/>
    </row>
    <row r="537" spans="1:11" ht="20.25">
      <c r="A537" s="138"/>
      <c r="B537" s="138"/>
      <c r="C537" s="138"/>
      <c r="D537" s="138"/>
      <c r="E537" s="138"/>
      <c r="F537" s="138"/>
      <c r="G537" s="138"/>
      <c r="H537" s="138"/>
      <c r="I537" s="138"/>
      <c r="J537" s="138"/>
      <c r="K537" s="138"/>
    </row>
    <row r="538" spans="1:11" ht="20.25">
      <c r="A538" s="138"/>
      <c r="B538" s="138"/>
      <c r="C538" s="138"/>
      <c r="D538" s="138"/>
      <c r="E538" s="138"/>
      <c r="F538" s="138"/>
      <c r="G538" s="138"/>
      <c r="H538" s="138"/>
      <c r="I538" s="138"/>
      <c r="J538" s="138"/>
      <c r="K538" s="138"/>
    </row>
    <row r="539" spans="1:11" ht="20.25">
      <c r="A539" s="138"/>
      <c r="B539" s="138"/>
      <c r="C539" s="138"/>
      <c r="D539" s="138"/>
      <c r="E539" s="138"/>
      <c r="F539" s="138"/>
      <c r="G539" s="138"/>
      <c r="H539" s="138"/>
      <c r="I539" s="138"/>
      <c r="J539" s="138"/>
      <c r="K539" s="138"/>
    </row>
    <row r="540" spans="1:11" ht="20.25">
      <c r="A540" s="138"/>
      <c r="B540" s="138"/>
      <c r="C540" s="138"/>
      <c r="D540" s="138"/>
      <c r="E540" s="138"/>
      <c r="F540" s="138"/>
      <c r="G540" s="138"/>
      <c r="H540" s="138"/>
      <c r="I540" s="138"/>
      <c r="J540" s="138"/>
      <c r="K540" s="138"/>
    </row>
    <row r="541" spans="1:11" ht="20.25">
      <c r="A541" s="138"/>
      <c r="B541" s="138"/>
      <c r="C541" s="138"/>
      <c r="D541" s="138"/>
      <c r="E541" s="138"/>
      <c r="F541" s="138"/>
      <c r="G541" s="138"/>
      <c r="H541" s="138"/>
      <c r="I541" s="138"/>
      <c r="J541" s="138"/>
      <c r="K541" s="138"/>
    </row>
    <row r="542" spans="1:11" ht="20.25">
      <c r="A542" s="138"/>
      <c r="B542" s="138"/>
      <c r="C542" s="138"/>
      <c r="D542" s="138"/>
      <c r="E542" s="138"/>
      <c r="F542" s="138"/>
      <c r="G542" s="138"/>
      <c r="H542" s="138"/>
      <c r="I542" s="138"/>
      <c r="J542" s="138"/>
      <c r="K542" s="138"/>
    </row>
    <row r="543" spans="1:11" ht="20.25">
      <c r="A543" s="138"/>
      <c r="B543" s="138"/>
      <c r="C543" s="138"/>
      <c r="D543" s="138"/>
      <c r="E543" s="138"/>
      <c r="F543" s="138"/>
      <c r="G543" s="138"/>
      <c r="H543" s="138"/>
      <c r="I543" s="138"/>
      <c r="J543" s="138"/>
      <c r="K543" s="138"/>
    </row>
    <row r="544" spans="1:11" ht="20.25">
      <c r="A544" s="138"/>
      <c r="B544" s="138"/>
      <c r="C544" s="138"/>
      <c r="D544" s="138"/>
      <c r="E544" s="138"/>
      <c r="F544" s="138"/>
      <c r="G544" s="138"/>
      <c r="H544" s="138"/>
      <c r="I544" s="138"/>
      <c r="J544" s="138"/>
      <c r="K544" s="138"/>
    </row>
    <row r="545" spans="1:11" ht="20.25">
      <c r="A545" s="138"/>
      <c r="B545" s="138"/>
      <c r="C545" s="138"/>
      <c r="D545" s="138"/>
      <c r="E545" s="138"/>
      <c r="F545" s="138"/>
      <c r="G545" s="138"/>
      <c r="H545" s="138"/>
      <c r="I545" s="138"/>
      <c r="J545" s="138"/>
      <c r="K545" s="138"/>
    </row>
    <row r="546" spans="1:11" ht="20.25">
      <c r="A546" s="138"/>
      <c r="B546" s="138"/>
      <c r="C546" s="138"/>
      <c r="D546" s="138"/>
      <c r="E546" s="138"/>
      <c r="F546" s="138"/>
      <c r="G546" s="138"/>
      <c r="H546" s="138"/>
      <c r="I546" s="138"/>
      <c r="J546" s="138"/>
      <c r="K546" s="138"/>
    </row>
    <row r="547" spans="1:11" ht="20.25">
      <c r="A547" s="138"/>
      <c r="B547" s="138"/>
      <c r="C547" s="138"/>
      <c r="D547" s="138"/>
      <c r="E547" s="138"/>
      <c r="F547" s="138"/>
      <c r="G547" s="138"/>
      <c r="H547" s="138"/>
      <c r="I547" s="138"/>
      <c r="J547" s="138"/>
      <c r="K547" s="138"/>
    </row>
    <row r="548" spans="1:11" ht="20.25">
      <c r="A548" s="138"/>
      <c r="B548" s="138"/>
      <c r="C548" s="138"/>
      <c r="D548" s="138"/>
      <c r="E548" s="138"/>
      <c r="F548" s="138"/>
      <c r="G548" s="138"/>
      <c r="H548" s="138"/>
      <c r="I548" s="138"/>
      <c r="J548" s="138"/>
      <c r="K548" s="138"/>
    </row>
    <row r="549" spans="1:11" ht="20.25">
      <c r="A549" s="138"/>
      <c r="B549" s="138"/>
      <c r="C549" s="138"/>
      <c r="D549" s="138"/>
      <c r="E549" s="138"/>
      <c r="F549" s="138"/>
      <c r="G549" s="138"/>
      <c r="H549" s="138"/>
      <c r="I549" s="138"/>
      <c r="J549" s="138"/>
      <c r="K549" s="138"/>
    </row>
    <row r="550" spans="1:11" ht="20.25">
      <c r="A550" s="138"/>
      <c r="B550" s="138"/>
      <c r="C550" s="138"/>
      <c r="D550" s="138"/>
      <c r="E550" s="138"/>
      <c r="F550" s="138"/>
      <c r="G550" s="138"/>
      <c r="H550" s="138"/>
      <c r="I550" s="138"/>
      <c r="J550" s="138"/>
      <c r="K550" s="138"/>
    </row>
    <row r="551" spans="1:11" ht="20.25">
      <c r="A551" s="138"/>
      <c r="B551" s="138"/>
      <c r="C551" s="138"/>
      <c r="D551" s="138"/>
      <c r="E551" s="138"/>
      <c r="F551" s="138"/>
      <c r="G551" s="138"/>
      <c r="H551" s="138"/>
      <c r="I551" s="138"/>
      <c r="J551" s="138"/>
      <c r="K551" s="138"/>
    </row>
    <row r="552" spans="1:11" ht="20.25">
      <c r="A552" s="138"/>
      <c r="B552" s="138"/>
      <c r="C552" s="138"/>
      <c r="D552" s="138"/>
      <c r="E552" s="138"/>
      <c r="F552" s="138"/>
      <c r="G552" s="138"/>
      <c r="H552" s="138"/>
      <c r="I552" s="138"/>
      <c r="J552" s="138"/>
      <c r="K552" s="138"/>
    </row>
    <row r="553" spans="1:11" ht="20.25">
      <c r="A553" s="138"/>
      <c r="B553" s="138"/>
      <c r="C553" s="138"/>
      <c r="D553" s="138"/>
      <c r="E553" s="138"/>
      <c r="F553" s="138"/>
      <c r="G553" s="138"/>
      <c r="H553" s="138"/>
      <c r="I553" s="138"/>
      <c r="J553" s="138"/>
      <c r="K553" s="138"/>
    </row>
    <row r="554" spans="1:11" ht="20.25">
      <c r="A554" s="138"/>
      <c r="B554" s="138"/>
      <c r="C554" s="138"/>
      <c r="D554" s="138"/>
      <c r="E554" s="138"/>
      <c r="F554" s="138"/>
      <c r="G554" s="138"/>
      <c r="H554" s="138"/>
      <c r="I554" s="138"/>
      <c r="J554" s="138"/>
      <c r="K554" s="138"/>
    </row>
    <row r="555" spans="1:11" ht="20.25">
      <c r="A555" s="138"/>
      <c r="B555" s="138"/>
      <c r="C555" s="138"/>
      <c r="D555" s="138"/>
      <c r="E555" s="138"/>
      <c r="F555" s="138"/>
      <c r="G555" s="138"/>
      <c r="H555" s="138"/>
      <c r="I555" s="138"/>
      <c r="J555" s="138"/>
      <c r="K555" s="138"/>
    </row>
    <row r="556" spans="1:11" ht="20.25">
      <c r="A556" s="138"/>
      <c r="B556" s="138"/>
      <c r="C556" s="138"/>
      <c r="D556" s="138"/>
      <c r="E556" s="138"/>
      <c r="F556" s="138"/>
      <c r="G556" s="138"/>
      <c r="H556" s="138"/>
      <c r="I556" s="138"/>
      <c r="J556" s="138"/>
      <c r="K556" s="138"/>
    </row>
    <row r="557" spans="1:11" ht="20.25">
      <c r="A557" s="138"/>
      <c r="B557" s="138"/>
      <c r="C557" s="138"/>
      <c r="D557" s="138"/>
      <c r="E557" s="138"/>
      <c r="F557" s="138"/>
      <c r="G557" s="138"/>
      <c r="H557" s="138"/>
      <c r="I557" s="138"/>
      <c r="J557" s="138"/>
      <c r="K557" s="138"/>
    </row>
    <row r="558" spans="1:11" ht="20.25">
      <c r="A558" s="138"/>
      <c r="B558" s="138"/>
      <c r="C558" s="138"/>
      <c r="D558" s="138"/>
      <c r="E558" s="138"/>
      <c r="F558" s="138"/>
      <c r="G558" s="138"/>
      <c r="H558" s="138"/>
      <c r="I558" s="138"/>
      <c r="J558" s="138"/>
      <c r="K558" s="138"/>
    </row>
    <row r="559" spans="1:11" ht="20.25">
      <c r="A559" s="138"/>
      <c r="B559" s="138"/>
      <c r="C559" s="138"/>
      <c r="D559" s="138"/>
      <c r="E559" s="138"/>
      <c r="F559" s="138"/>
      <c r="G559" s="138"/>
      <c r="H559" s="138"/>
      <c r="I559" s="138"/>
      <c r="J559" s="138"/>
      <c r="K559" s="138"/>
    </row>
    <row r="560" spans="1:11" ht="20.25">
      <c r="A560" s="138"/>
      <c r="B560" s="138"/>
      <c r="C560" s="138"/>
      <c r="D560" s="138"/>
      <c r="E560" s="138"/>
      <c r="F560" s="138"/>
      <c r="G560" s="138"/>
      <c r="H560" s="138"/>
      <c r="I560" s="138"/>
      <c r="J560" s="138"/>
      <c r="K560" s="138"/>
    </row>
    <row r="561" spans="1:11" ht="20.25">
      <c r="A561" s="138"/>
      <c r="B561" s="138"/>
      <c r="C561" s="138"/>
      <c r="D561" s="138"/>
      <c r="E561" s="138"/>
      <c r="F561" s="138"/>
      <c r="G561" s="138"/>
      <c r="H561" s="138"/>
      <c r="I561" s="138"/>
      <c r="J561" s="138"/>
      <c r="K561" s="138"/>
    </row>
    <row r="562" spans="1:11" ht="20.25">
      <c r="A562" s="138"/>
      <c r="B562" s="138"/>
      <c r="C562" s="138"/>
      <c r="D562" s="138"/>
      <c r="E562" s="138"/>
      <c r="F562" s="138"/>
      <c r="G562" s="138"/>
      <c r="H562" s="138"/>
      <c r="I562" s="138"/>
      <c r="J562" s="138"/>
      <c r="K562" s="138"/>
    </row>
    <row r="563" spans="1:11" ht="20.25">
      <c r="A563" s="138"/>
      <c r="B563" s="138"/>
      <c r="C563" s="138"/>
      <c r="D563" s="138"/>
      <c r="E563" s="138"/>
      <c r="F563" s="138"/>
      <c r="G563" s="138"/>
      <c r="H563" s="138"/>
      <c r="I563" s="138"/>
      <c r="J563" s="138"/>
      <c r="K563" s="138"/>
    </row>
    <row r="564" spans="1:11" ht="20.25">
      <c r="A564" s="138"/>
      <c r="B564" s="138"/>
      <c r="C564" s="138"/>
      <c r="D564" s="138"/>
      <c r="E564" s="138"/>
      <c r="F564" s="138"/>
      <c r="G564" s="138"/>
      <c r="H564" s="138"/>
      <c r="I564" s="138"/>
      <c r="J564" s="138"/>
      <c r="K564" s="138"/>
    </row>
    <row r="565" spans="1:11" ht="20.25">
      <c r="A565" s="138"/>
      <c r="B565" s="138"/>
      <c r="C565" s="138"/>
      <c r="D565" s="138"/>
      <c r="E565" s="138"/>
      <c r="F565" s="138"/>
      <c r="G565" s="138"/>
      <c r="H565" s="138"/>
      <c r="I565" s="138"/>
      <c r="J565" s="138"/>
      <c r="K565" s="138"/>
    </row>
    <row r="566" spans="1:11" ht="20.25">
      <c r="A566" s="138"/>
      <c r="B566" s="138"/>
      <c r="C566" s="138"/>
      <c r="D566" s="138"/>
      <c r="E566" s="138"/>
      <c r="F566" s="138"/>
      <c r="G566" s="138"/>
      <c r="H566" s="138"/>
      <c r="I566" s="138"/>
      <c r="J566" s="138"/>
      <c r="K566" s="138"/>
    </row>
    <row r="567" spans="1:11" ht="20.25">
      <c r="A567" s="138"/>
      <c r="B567" s="138"/>
      <c r="C567" s="138"/>
      <c r="D567" s="138"/>
      <c r="E567" s="138"/>
      <c r="F567" s="138"/>
      <c r="G567" s="138"/>
      <c r="H567" s="138"/>
      <c r="I567" s="138"/>
      <c r="J567" s="138"/>
      <c r="K567" s="138"/>
    </row>
    <row r="568" spans="1:11" ht="20.25">
      <c r="A568" s="138"/>
      <c r="B568" s="138"/>
      <c r="C568" s="138"/>
      <c r="D568" s="138"/>
      <c r="E568" s="138"/>
      <c r="F568" s="138"/>
      <c r="G568" s="138"/>
      <c r="H568" s="138"/>
      <c r="I568" s="138"/>
      <c r="J568" s="138"/>
      <c r="K568" s="138"/>
    </row>
    <row r="569" spans="1:11" ht="20.25">
      <c r="A569" s="138"/>
      <c r="B569" s="138"/>
      <c r="C569" s="138"/>
      <c r="D569" s="138"/>
      <c r="E569" s="138"/>
      <c r="F569" s="138"/>
      <c r="G569" s="138"/>
      <c r="H569" s="138"/>
      <c r="I569" s="138"/>
      <c r="J569" s="138"/>
      <c r="K569" s="138"/>
    </row>
    <row r="570" spans="1:11" ht="20.25">
      <c r="A570" s="138"/>
      <c r="B570" s="138"/>
      <c r="C570" s="138"/>
      <c r="D570" s="138"/>
      <c r="E570" s="138"/>
      <c r="F570" s="138"/>
      <c r="G570" s="138"/>
      <c r="H570" s="138"/>
      <c r="I570" s="138"/>
      <c r="J570" s="138"/>
      <c r="K570" s="138"/>
    </row>
    <row r="571" spans="1:11" ht="20.25">
      <c r="A571" s="138"/>
      <c r="B571" s="138"/>
      <c r="C571" s="138"/>
      <c r="D571" s="138"/>
      <c r="E571" s="138"/>
      <c r="F571" s="138"/>
      <c r="G571" s="138"/>
      <c r="H571" s="138"/>
      <c r="I571" s="138"/>
      <c r="J571" s="138"/>
      <c r="K571" s="138"/>
    </row>
    <row r="572" spans="1:11" ht="20.25">
      <c r="A572" s="138"/>
      <c r="B572" s="138"/>
      <c r="C572" s="138"/>
      <c r="D572" s="138"/>
      <c r="E572" s="138"/>
      <c r="F572" s="138"/>
      <c r="G572" s="138"/>
      <c r="H572" s="138"/>
      <c r="I572" s="138"/>
      <c r="J572" s="138"/>
      <c r="K572" s="138"/>
    </row>
    <row r="573" spans="1:11" ht="20.25">
      <c r="A573" s="138"/>
      <c r="B573" s="138"/>
      <c r="C573" s="138"/>
      <c r="D573" s="138"/>
      <c r="E573" s="138"/>
      <c r="F573" s="138"/>
      <c r="G573" s="138"/>
      <c r="H573" s="138"/>
      <c r="I573" s="138"/>
      <c r="J573" s="138"/>
      <c r="K573" s="138"/>
    </row>
    <row r="574" spans="1:11" ht="20.25">
      <c r="A574" s="138"/>
      <c r="B574" s="138"/>
      <c r="C574" s="138"/>
      <c r="D574" s="138"/>
      <c r="E574" s="138"/>
      <c r="F574" s="138"/>
      <c r="G574" s="138"/>
      <c r="H574" s="138"/>
      <c r="I574" s="138"/>
      <c r="J574" s="138"/>
      <c r="K574" s="138"/>
    </row>
    <row r="575" spans="1:11" ht="20.25">
      <c r="A575" s="138"/>
      <c r="B575" s="138"/>
      <c r="C575" s="138"/>
      <c r="D575" s="138"/>
      <c r="E575" s="138"/>
      <c r="F575" s="138"/>
      <c r="G575" s="138"/>
      <c r="H575" s="138"/>
      <c r="I575" s="138"/>
      <c r="J575" s="138"/>
      <c r="K575" s="138"/>
    </row>
    <row r="576" spans="1:11" ht="20.25">
      <c r="A576" s="138"/>
      <c r="B576" s="138"/>
      <c r="C576" s="138"/>
      <c r="D576" s="138"/>
      <c r="E576" s="138"/>
      <c r="F576" s="138"/>
      <c r="G576" s="138"/>
      <c r="H576" s="138"/>
      <c r="I576" s="138"/>
      <c r="J576" s="138"/>
      <c r="K576" s="138"/>
    </row>
    <row r="577" spans="1:11" ht="20.25">
      <c r="A577" s="138"/>
      <c r="B577" s="138"/>
      <c r="C577" s="138"/>
      <c r="D577" s="138"/>
      <c r="E577" s="138"/>
      <c r="F577" s="138"/>
      <c r="G577" s="138"/>
      <c r="H577" s="138"/>
      <c r="I577" s="138"/>
      <c r="J577" s="138"/>
      <c r="K577" s="138"/>
    </row>
    <row r="578" spans="1:11" ht="20.25">
      <c r="A578" s="138"/>
      <c r="B578" s="138"/>
      <c r="C578" s="138"/>
      <c r="D578" s="138"/>
      <c r="E578" s="138"/>
      <c r="F578" s="138"/>
      <c r="G578" s="138"/>
      <c r="H578" s="138"/>
      <c r="I578" s="138"/>
      <c r="J578" s="138"/>
      <c r="K578" s="138"/>
    </row>
    <row r="579" spans="1:11" ht="20.25">
      <c r="A579" s="138"/>
      <c r="B579" s="138"/>
      <c r="C579" s="138"/>
      <c r="D579" s="138"/>
      <c r="E579" s="138"/>
      <c r="F579" s="138"/>
      <c r="G579" s="138"/>
      <c r="H579" s="138"/>
      <c r="I579" s="138"/>
      <c r="J579" s="138"/>
      <c r="K579" s="138"/>
    </row>
    <row r="580" spans="1:11" ht="20.25">
      <c r="A580" s="138"/>
      <c r="B580" s="138"/>
      <c r="C580" s="138"/>
      <c r="D580" s="138"/>
      <c r="E580" s="138"/>
      <c r="F580" s="138"/>
      <c r="G580" s="138"/>
      <c r="H580" s="138"/>
      <c r="I580" s="138"/>
      <c r="J580" s="138"/>
      <c r="K580" s="138"/>
    </row>
    <row r="581" spans="1:11" ht="20.25">
      <c r="A581" s="138"/>
      <c r="B581" s="138"/>
      <c r="C581" s="138"/>
      <c r="D581" s="138"/>
      <c r="E581" s="138"/>
      <c r="F581" s="138"/>
      <c r="G581" s="138"/>
      <c r="H581" s="138"/>
      <c r="I581" s="138"/>
      <c r="J581" s="138"/>
      <c r="K581" s="138"/>
    </row>
    <row r="582" spans="1:11" ht="20.25">
      <c r="A582" s="138"/>
      <c r="B582" s="138"/>
      <c r="C582" s="138"/>
      <c r="D582" s="138"/>
      <c r="E582" s="138"/>
      <c r="F582" s="138"/>
      <c r="G582" s="138"/>
      <c r="H582" s="138"/>
      <c r="I582" s="138"/>
      <c r="J582" s="138"/>
      <c r="K582" s="138"/>
    </row>
    <row r="583" spans="1:11" ht="20.25">
      <c r="A583" s="138"/>
      <c r="B583" s="138"/>
      <c r="C583" s="138"/>
      <c r="D583" s="138"/>
      <c r="E583" s="138"/>
      <c r="F583" s="138"/>
      <c r="G583" s="138"/>
      <c r="H583" s="138"/>
      <c r="I583" s="138"/>
      <c r="J583" s="138"/>
      <c r="K583" s="138"/>
    </row>
    <row r="584" spans="1:11" ht="20.25">
      <c r="A584" s="138"/>
      <c r="B584" s="138"/>
      <c r="C584" s="138"/>
      <c r="D584" s="138"/>
      <c r="E584" s="138"/>
      <c r="F584" s="138"/>
      <c r="G584" s="138"/>
      <c r="H584" s="138"/>
      <c r="I584" s="138"/>
      <c r="J584" s="138"/>
      <c r="K584" s="138"/>
    </row>
    <row r="585" spans="1:11" ht="20.25">
      <c r="A585" s="138"/>
      <c r="B585" s="138"/>
      <c r="C585" s="138"/>
      <c r="D585" s="138"/>
      <c r="E585" s="138"/>
      <c r="F585" s="138"/>
      <c r="G585" s="138"/>
      <c r="H585" s="138"/>
      <c r="I585" s="138"/>
      <c r="J585" s="138"/>
      <c r="K585" s="138"/>
    </row>
    <row r="586" spans="1:11" ht="20.25">
      <c r="A586" s="138"/>
      <c r="B586" s="138"/>
      <c r="C586" s="138"/>
      <c r="D586" s="138"/>
      <c r="E586" s="138"/>
      <c r="F586" s="138"/>
      <c r="G586" s="138"/>
      <c r="H586" s="138"/>
      <c r="I586" s="138"/>
      <c r="J586" s="138"/>
      <c r="K586" s="138"/>
    </row>
    <row r="587" spans="1:11" ht="20.25">
      <c r="A587" s="138"/>
      <c r="B587" s="138"/>
      <c r="C587" s="138"/>
      <c r="D587" s="138"/>
      <c r="E587" s="138"/>
      <c r="F587" s="138"/>
      <c r="G587" s="138"/>
      <c r="H587" s="138"/>
      <c r="I587" s="138"/>
      <c r="J587" s="138"/>
      <c r="K587" s="138"/>
    </row>
    <row r="588" spans="1:11" ht="20.25">
      <c r="A588" s="138"/>
      <c r="B588" s="138"/>
      <c r="C588" s="138"/>
      <c r="D588" s="138"/>
      <c r="E588" s="138"/>
      <c r="F588" s="138"/>
      <c r="G588" s="138"/>
      <c r="H588" s="138"/>
      <c r="I588" s="138"/>
      <c r="J588" s="138"/>
      <c r="K588" s="138"/>
    </row>
    <row r="589" spans="1:11" ht="20.25">
      <c r="A589" s="138"/>
      <c r="B589" s="138"/>
      <c r="C589" s="138"/>
      <c r="D589" s="138"/>
      <c r="E589" s="138"/>
      <c r="F589" s="138"/>
      <c r="G589" s="138"/>
      <c r="H589" s="138"/>
      <c r="I589" s="138"/>
      <c r="J589" s="138"/>
      <c r="K589" s="138"/>
    </row>
    <row r="590" spans="1:11" ht="20.25">
      <c r="A590" s="138"/>
      <c r="B590" s="138"/>
      <c r="C590" s="138"/>
      <c r="D590" s="138"/>
      <c r="E590" s="138"/>
      <c r="F590" s="138"/>
      <c r="G590" s="138"/>
      <c r="H590" s="138"/>
      <c r="I590" s="138"/>
      <c r="J590" s="138"/>
      <c r="K590" s="138"/>
    </row>
    <row r="591" spans="1:11" ht="20.25">
      <c r="A591" s="138"/>
      <c r="B591" s="138"/>
      <c r="C591" s="138"/>
      <c r="D591" s="138"/>
      <c r="E591" s="138"/>
      <c r="F591" s="138"/>
      <c r="G591" s="138"/>
      <c r="H591" s="138"/>
      <c r="I591" s="138"/>
      <c r="J591" s="138"/>
      <c r="K591" s="138"/>
    </row>
    <row r="592" spans="1:11" ht="20.25">
      <c r="A592" s="138"/>
      <c r="B592" s="138"/>
      <c r="C592" s="138"/>
      <c r="D592" s="138"/>
      <c r="E592" s="138"/>
      <c r="F592" s="138"/>
      <c r="G592" s="138"/>
      <c r="H592" s="138"/>
      <c r="I592" s="138"/>
      <c r="J592" s="138"/>
      <c r="K592" s="138"/>
    </row>
    <row r="593" spans="1:11" ht="20.25">
      <c r="A593" s="138"/>
      <c r="B593" s="138"/>
      <c r="C593" s="138"/>
      <c r="D593" s="138"/>
      <c r="E593" s="138"/>
      <c r="F593" s="138"/>
      <c r="G593" s="138"/>
      <c r="H593" s="138"/>
      <c r="I593" s="138"/>
      <c r="J593" s="138"/>
      <c r="K593" s="138"/>
    </row>
    <row r="594" spans="1:11" ht="20.25">
      <c r="A594" s="138"/>
      <c r="B594" s="138"/>
      <c r="C594" s="138"/>
      <c r="D594" s="138"/>
      <c r="E594" s="138"/>
      <c r="F594" s="138"/>
      <c r="G594" s="138"/>
      <c r="H594" s="138"/>
      <c r="I594" s="138"/>
      <c r="J594" s="138"/>
      <c r="K594" s="138"/>
    </row>
    <row r="595" spans="1:11" ht="20.25">
      <c r="A595" s="138"/>
      <c r="B595" s="138"/>
      <c r="C595" s="138"/>
      <c r="D595" s="138"/>
      <c r="E595" s="138"/>
      <c r="F595" s="138"/>
      <c r="G595" s="138"/>
      <c r="H595" s="138"/>
      <c r="I595" s="138"/>
      <c r="J595" s="138"/>
      <c r="K595" s="138"/>
    </row>
    <row r="596" spans="1:11" ht="20.25">
      <c r="A596" s="138"/>
      <c r="B596" s="138"/>
      <c r="C596" s="138"/>
      <c r="D596" s="138"/>
      <c r="E596" s="138"/>
      <c r="F596" s="138"/>
      <c r="G596" s="138"/>
      <c r="H596" s="138"/>
      <c r="I596" s="138"/>
      <c r="J596" s="138"/>
      <c r="K596" s="138"/>
    </row>
    <row r="597" spans="1:11" ht="20.25">
      <c r="A597" s="138"/>
      <c r="B597" s="138"/>
      <c r="C597" s="138"/>
      <c r="D597" s="138"/>
      <c r="E597" s="138"/>
      <c r="F597" s="138"/>
      <c r="G597" s="138"/>
      <c r="H597" s="138"/>
      <c r="I597" s="138"/>
      <c r="J597" s="138"/>
      <c r="K597" s="138"/>
    </row>
    <row r="598" spans="1:11" ht="20.25">
      <c r="A598" s="138"/>
      <c r="B598" s="138"/>
      <c r="C598" s="138"/>
      <c r="D598" s="138"/>
      <c r="E598" s="138"/>
      <c r="F598" s="138"/>
      <c r="G598" s="138"/>
      <c r="H598" s="138"/>
      <c r="I598" s="138"/>
      <c r="J598" s="138"/>
      <c r="K598" s="138"/>
    </row>
    <row r="599" spans="1:11" ht="20.25">
      <c r="A599" s="138"/>
      <c r="B599" s="138"/>
      <c r="C599" s="138"/>
      <c r="D599" s="138"/>
      <c r="E599" s="138"/>
      <c r="F599" s="138"/>
      <c r="G599" s="138"/>
      <c r="H599" s="138"/>
      <c r="I599" s="138"/>
      <c r="J599" s="138"/>
      <c r="K599" s="138"/>
    </row>
    <row r="600" spans="1:11" ht="20.25">
      <c r="A600" s="138"/>
      <c r="B600" s="138"/>
      <c r="C600" s="138"/>
      <c r="D600" s="138"/>
      <c r="E600" s="138"/>
      <c r="F600" s="138"/>
      <c r="G600" s="138"/>
      <c r="H600" s="138"/>
      <c r="I600" s="138"/>
      <c r="J600" s="138"/>
      <c r="K600" s="138"/>
    </row>
    <row r="601" spans="1:11" ht="20.25">
      <c r="A601" s="138"/>
      <c r="B601" s="138"/>
      <c r="C601" s="138"/>
      <c r="D601" s="138"/>
      <c r="E601" s="138"/>
      <c r="F601" s="138"/>
      <c r="G601" s="138"/>
      <c r="H601" s="138"/>
      <c r="I601" s="138"/>
      <c r="J601" s="138"/>
      <c r="K601" s="138"/>
    </row>
    <row r="602" spans="1:11" ht="20.25">
      <c r="A602" s="138"/>
      <c r="B602" s="138"/>
      <c r="C602" s="138"/>
      <c r="D602" s="138"/>
      <c r="E602" s="138"/>
      <c r="F602" s="138"/>
      <c r="G602" s="138"/>
      <c r="H602" s="138"/>
      <c r="I602" s="138"/>
      <c r="J602" s="138"/>
      <c r="K602" s="138"/>
    </row>
    <row r="603" spans="1:11" ht="20.25">
      <c r="A603" s="138"/>
      <c r="B603" s="138"/>
      <c r="C603" s="138"/>
      <c r="D603" s="138"/>
      <c r="E603" s="138"/>
      <c r="F603" s="138"/>
      <c r="G603" s="138"/>
      <c r="H603" s="138"/>
      <c r="I603" s="138"/>
      <c r="J603" s="138"/>
      <c r="K603" s="138"/>
    </row>
    <row r="604" spans="1:11" ht="20.25">
      <c r="A604" s="138"/>
      <c r="B604" s="138"/>
      <c r="C604" s="138"/>
      <c r="D604" s="138"/>
      <c r="E604" s="138"/>
      <c r="F604" s="138"/>
      <c r="G604" s="138"/>
      <c r="H604" s="138"/>
      <c r="I604" s="138"/>
      <c r="J604" s="138"/>
      <c r="K604" s="138"/>
    </row>
    <row r="605" spans="1:11" ht="20.25">
      <c r="A605" s="138"/>
      <c r="B605" s="138"/>
      <c r="C605" s="138"/>
      <c r="D605" s="138"/>
      <c r="E605" s="138"/>
      <c r="F605" s="138"/>
      <c r="G605" s="138"/>
      <c r="H605" s="138"/>
      <c r="I605" s="138"/>
      <c r="J605" s="138"/>
      <c r="K605" s="138"/>
    </row>
    <row r="606" spans="1:11" ht="20.25">
      <c r="A606" s="138"/>
      <c r="B606" s="138"/>
      <c r="C606" s="138"/>
      <c r="D606" s="138"/>
      <c r="E606" s="138"/>
      <c r="F606" s="138"/>
      <c r="G606" s="138"/>
      <c r="H606" s="138"/>
      <c r="I606" s="138"/>
      <c r="J606" s="138"/>
      <c r="K606" s="138"/>
    </row>
    <row r="607" spans="1:11" ht="20.25">
      <c r="A607" s="138"/>
      <c r="B607" s="138"/>
      <c r="C607" s="138"/>
      <c r="D607" s="138"/>
      <c r="E607" s="138"/>
      <c r="F607" s="138"/>
      <c r="G607" s="138"/>
      <c r="H607" s="138"/>
      <c r="I607" s="138"/>
      <c r="J607" s="138"/>
      <c r="K607" s="138"/>
    </row>
    <row r="608" spans="1:11" ht="20.25">
      <c r="A608" s="138"/>
      <c r="B608" s="138"/>
      <c r="C608" s="138"/>
      <c r="D608" s="138"/>
      <c r="E608" s="138"/>
      <c r="F608" s="138"/>
      <c r="G608" s="138"/>
      <c r="H608" s="138"/>
      <c r="I608" s="138"/>
      <c r="J608" s="138"/>
      <c r="K608" s="138"/>
    </row>
    <row r="609" spans="1:11" ht="20.25">
      <c r="A609" s="138"/>
      <c r="B609" s="138"/>
      <c r="C609" s="138"/>
      <c r="D609" s="138"/>
      <c r="E609" s="138"/>
      <c r="F609" s="138"/>
      <c r="G609" s="138"/>
      <c r="H609" s="138"/>
      <c r="I609" s="138"/>
      <c r="J609" s="138"/>
      <c r="K609" s="138"/>
    </row>
    <row r="610" spans="1:11" ht="20.25">
      <c r="A610" s="138"/>
      <c r="B610" s="138"/>
      <c r="C610" s="138"/>
      <c r="D610" s="138"/>
      <c r="E610" s="138"/>
      <c r="F610" s="138"/>
      <c r="G610" s="138"/>
      <c r="H610" s="138"/>
      <c r="I610" s="138"/>
      <c r="J610" s="138"/>
      <c r="K610" s="138"/>
    </row>
    <row r="611" spans="1:11" ht="20.25">
      <c r="A611" s="138"/>
      <c r="B611" s="138"/>
      <c r="C611" s="138"/>
      <c r="D611" s="138"/>
      <c r="E611" s="138"/>
      <c r="F611" s="138"/>
      <c r="G611" s="138"/>
      <c r="H611" s="138"/>
      <c r="I611" s="138"/>
      <c r="J611" s="138"/>
      <c r="K611" s="138"/>
    </row>
    <row r="612" spans="1:11" ht="20.25">
      <c r="A612" s="138"/>
      <c r="B612" s="138"/>
      <c r="C612" s="138"/>
      <c r="D612" s="138"/>
      <c r="E612" s="138"/>
      <c r="F612" s="138"/>
      <c r="G612" s="138"/>
      <c r="H612" s="138"/>
      <c r="I612" s="138"/>
      <c r="J612" s="138"/>
      <c r="K612" s="138"/>
    </row>
    <row r="613" spans="1:11" ht="20.25">
      <c r="A613" s="138"/>
      <c r="B613" s="138"/>
      <c r="C613" s="138"/>
      <c r="D613" s="138"/>
      <c r="E613" s="138"/>
      <c r="F613" s="138"/>
      <c r="G613" s="138"/>
      <c r="H613" s="138"/>
      <c r="I613" s="138"/>
      <c r="J613" s="138"/>
      <c r="K613" s="138"/>
    </row>
    <row r="614" spans="1:11" ht="20.25">
      <c r="A614" s="138"/>
      <c r="B614" s="138"/>
      <c r="C614" s="138"/>
      <c r="D614" s="138"/>
      <c r="E614" s="138"/>
      <c r="F614" s="138"/>
      <c r="G614" s="138"/>
      <c r="H614" s="138"/>
      <c r="I614" s="138"/>
      <c r="J614" s="138"/>
      <c r="K614" s="138"/>
    </row>
    <row r="615" spans="1:11" ht="20.25">
      <c r="A615" s="138"/>
      <c r="B615" s="138"/>
      <c r="C615" s="138"/>
      <c r="D615" s="138"/>
      <c r="E615" s="138"/>
      <c r="F615" s="138"/>
      <c r="G615" s="138"/>
      <c r="H615" s="138"/>
      <c r="I615" s="138"/>
      <c r="J615" s="138"/>
      <c r="K615" s="138"/>
    </row>
    <row r="616" spans="1:11" ht="20.25">
      <c r="A616" s="138"/>
      <c r="B616" s="138"/>
      <c r="C616" s="138"/>
      <c r="D616" s="138"/>
      <c r="E616" s="138"/>
      <c r="F616" s="138"/>
      <c r="G616" s="138"/>
      <c r="H616" s="138"/>
      <c r="I616" s="138"/>
      <c r="J616" s="138"/>
      <c r="K616" s="138"/>
    </row>
    <row r="617" spans="1:11" ht="20.25">
      <c r="A617" s="138"/>
      <c r="B617" s="138"/>
      <c r="C617" s="138"/>
      <c r="D617" s="138"/>
      <c r="E617" s="138"/>
      <c r="F617" s="138"/>
      <c r="G617" s="138"/>
      <c r="H617" s="138"/>
      <c r="I617" s="138"/>
      <c r="J617" s="138"/>
      <c r="K617" s="138"/>
    </row>
    <row r="618" spans="1:11" ht="20.25">
      <c r="A618" s="138"/>
      <c r="B618" s="138"/>
      <c r="C618" s="138"/>
      <c r="D618" s="138"/>
      <c r="E618" s="138"/>
      <c r="F618" s="138"/>
      <c r="G618" s="138"/>
      <c r="H618" s="138"/>
      <c r="I618" s="138"/>
      <c r="J618" s="138"/>
      <c r="K618" s="138"/>
    </row>
    <row r="619" spans="1:11" ht="20.25">
      <c r="A619" s="138"/>
      <c r="B619" s="138"/>
      <c r="C619" s="138"/>
      <c r="D619" s="138"/>
      <c r="E619" s="138"/>
      <c r="F619" s="138"/>
      <c r="G619" s="138"/>
      <c r="H619" s="138"/>
      <c r="I619" s="138"/>
      <c r="J619" s="138"/>
      <c r="K619" s="138"/>
    </row>
    <row r="620" spans="1:11" ht="20.25">
      <c r="A620" s="138"/>
      <c r="B620" s="138"/>
      <c r="C620" s="138"/>
      <c r="D620" s="138"/>
      <c r="E620" s="138"/>
      <c r="F620" s="138"/>
      <c r="G620" s="138"/>
      <c r="H620" s="138"/>
      <c r="I620" s="138"/>
      <c r="J620" s="138"/>
      <c r="K620" s="138"/>
    </row>
    <row r="621" spans="1:11" ht="20.25">
      <c r="A621" s="138"/>
      <c r="B621" s="138"/>
      <c r="C621" s="138"/>
      <c r="D621" s="138"/>
      <c r="E621" s="138"/>
      <c r="F621" s="138"/>
      <c r="G621" s="138"/>
      <c r="H621" s="138"/>
      <c r="I621" s="138"/>
      <c r="J621" s="138"/>
      <c r="K621" s="138"/>
    </row>
    <row r="622" spans="1:11" ht="20.25">
      <c r="A622" s="138"/>
      <c r="B622" s="138"/>
      <c r="C622" s="138"/>
      <c r="D622" s="138"/>
      <c r="E622" s="138"/>
      <c r="F622" s="138"/>
      <c r="G622" s="138"/>
      <c r="H622" s="138"/>
      <c r="I622" s="138"/>
      <c r="J622" s="138"/>
      <c r="K622" s="138"/>
    </row>
    <row r="623" spans="1:11" ht="20.25">
      <c r="A623" s="138"/>
      <c r="B623" s="138"/>
      <c r="C623" s="138"/>
      <c r="D623" s="138"/>
      <c r="E623" s="138"/>
      <c r="F623" s="138"/>
      <c r="G623" s="138"/>
      <c r="H623" s="138"/>
      <c r="I623" s="138"/>
      <c r="J623" s="138"/>
      <c r="K623" s="138"/>
    </row>
    <row r="624" spans="1:11" ht="20.25">
      <c r="A624" s="138"/>
      <c r="B624" s="138"/>
      <c r="C624" s="138"/>
      <c r="D624" s="138"/>
      <c r="E624" s="138"/>
      <c r="F624" s="138"/>
      <c r="G624" s="138"/>
      <c r="H624" s="138"/>
      <c r="I624" s="138"/>
      <c r="J624" s="138"/>
      <c r="K624" s="138"/>
    </row>
    <row r="625" spans="1:11" ht="20.25">
      <c r="A625" s="138"/>
      <c r="B625" s="138"/>
      <c r="C625" s="138"/>
      <c r="D625" s="138"/>
      <c r="E625" s="138"/>
      <c r="F625" s="138"/>
      <c r="G625" s="138"/>
      <c r="H625" s="138"/>
      <c r="I625" s="138"/>
      <c r="J625" s="138"/>
      <c r="K625" s="138"/>
    </row>
    <row r="626" spans="1:11" ht="20.25">
      <c r="A626" s="138"/>
      <c r="B626" s="138"/>
      <c r="C626" s="138"/>
      <c r="D626" s="138"/>
      <c r="E626" s="138"/>
      <c r="F626" s="138"/>
      <c r="G626" s="138"/>
      <c r="H626" s="138"/>
      <c r="I626" s="138"/>
      <c r="J626" s="138"/>
      <c r="K626" s="138"/>
    </row>
    <row r="627" spans="1:11" ht="20.25">
      <c r="A627" s="138"/>
      <c r="B627" s="138"/>
      <c r="C627" s="138"/>
      <c r="D627" s="138"/>
      <c r="E627" s="138"/>
      <c r="F627" s="138"/>
      <c r="G627" s="138"/>
      <c r="H627" s="138"/>
      <c r="I627" s="138"/>
      <c r="J627" s="138"/>
      <c r="K627" s="138"/>
    </row>
    <row r="628" spans="1:11" ht="20.25">
      <c r="A628" s="138"/>
      <c r="B628" s="138"/>
      <c r="C628" s="138"/>
      <c r="D628" s="138"/>
      <c r="E628" s="138"/>
      <c r="F628" s="138"/>
      <c r="G628" s="138"/>
      <c r="H628" s="138"/>
      <c r="I628" s="138"/>
      <c r="J628" s="138"/>
      <c r="K628" s="138"/>
    </row>
    <row r="629" spans="1:11" ht="20.25">
      <c r="A629" s="138"/>
      <c r="B629" s="138"/>
      <c r="C629" s="138"/>
      <c r="D629" s="138"/>
      <c r="E629" s="138"/>
      <c r="F629" s="138"/>
      <c r="G629" s="138"/>
      <c r="H629" s="138"/>
      <c r="I629" s="138"/>
      <c r="J629" s="138"/>
      <c r="K629" s="138"/>
    </row>
    <row r="630" spans="1:11" ht="20.25">
      <c r="A630" s="138"/>
      <c r="B630" s="138"/>
      <c r="C630" s="138"/>
      <c r="D630" s="138"/>
      <c r="E630" s="138"/>
      <c r="F630" s="138"/>
      <c r="G630" s="138"/>
      <c r="H630" s="138"/>
      <c r="I630" s="138"/>
      <c r="J630" s="138"/>
      <c r="K630" s="138"/>
    </row>
    <row r="631" spans="1:11" ht="20.25">
      <c r="A631" s="138"/>
      <c r="B631" s="138"/>
      <c r="C631" s="138"/>
      <c r="D631" s="138"/>
      <c r="E631" s="138"/>
      <c r="F631" s="138"/>
      <c r="G631" s="138"/>
      <c r="H631" s="138"/>
      <c r="I631" s="138"/>
      <c r="J631" s="138"/>
      <c r="K631" s="138"/>
    </row>
    <row r="632" spans="1:11" ht="20.25">
      <c r="A632" s="138"/>
      <c r="B632" s="138"/>
      <c r="C632" s="138"/>
      <c r="D632" s="138"/>
      <c r="E632" s="138"/>
      <c r="F632" s="138"/>
      <c r="G632" s="138"/>
      <c r="H632" s="138"/>
      <c r="I632" s="138"/>
      <c r="J632" s="138"/>
      <c r="K632" s="138"/>
    </row>
    <row r="633" spans="1:11" ht="20.25">
      <c r="A633" s="138"/>
      <c r="B633" s="138"/>
      <c r="C633" s="138"/>
      <c r="D633" s="138"/>
      <c r="E633" s="138"/>
      <c r="F633" s="138"/>
      <c r="G633" s="138"/>
      <c r="H633" s="138"/>
      <c r="I633" s="138"/>
      <c r="J633" s="138"/>
      <c r="K633" s="138"/>
    </row>
    <row r="634" spans="1:11" ht="20.25">
      <c r="A634" s="138"/>
      <c r="B634" s="138"/>
      <c r="C634" s="138"/>
      <c r="D634" s="138"/>
      <c r="E634" s="138"/>
      <c r="F634" s="138"/>
      <c r="G634" s="138"/>
      <c r="H634" s="138"/>
      <c r="I634" s="138"/>
      <c r="J634" s="138"/>
      <c r="K634" s="138"/>
    </row>
    <row r="635" spans="1:11" ht="20.25">
      <c r="A635" s="138"/>
      <c r="B635" s="138"/>
      <c r="C635" s="138"/>
      <c r="D635" s="138"/>
      <c r="E635" s="138"/>
      <c r="F635" s="138"/>
      <c r="G635" s="138"/>
      <c r="H635" s="138"/>
      <c r="I635" s="138"/>
      <c r="J635" s="138"/>
      <c r="K635" s="138"/>
    </row>
    <row r="636" spans="1:11" ht="20.25">
      <c r="A636" s="138"/>
      <c r="B636" s="138"/>
      <c r="C636" s="138"/>
      <c r="D636" s="138"/>
      <c r="E636" s="138"/>
      <c r="F636" s="138"/>
      <c r="G636" s="138"/>
      <c r="H636" s="138"/>
      <c r="I636" s="138"/>
      <c r="J636" s="138"/>
      <c r="K636" s="138"/>
    </row>
    <row r="637" spans="1:11" ht="20.25">
      <c r="A637" s="138"/>
      <c r="B637" s="138"/>
      <c r="C637" s="138"/>
      <c r="D637" s="138"/>
      <c r="E637" s="138"/>
      <c r="F637" s="138"/>
      <c r="G637" s="138"/>
      <c r="H637" s="138"/>
      <c r="I637" s="138"/>
      <c r="J637" s="138"/>
      <c r="K637" s="138"/>
    </row>
    <row r="638" spans="1:11" ht="20.25">
      <c r="A638" s="138"/>
      <c r="B638" s="138"/>
      <c r="C638" s="138"/>
      <c r="D638" s="138"/>
      <c r="E638" s="138"/>
      <c r="F638" s="138"/>
      <c r="G638" s="138"/>
      <c r="H638" s="138"/>
      <c r="I638" s="138"/>
      <c r="J638" s="138"/>
      <c r="K638" s="138"/>
    </row>
    <row r="639" spans="1:11" ht="20.25">
      <c r="A639" s="138"/>
      <c r="B639" s="138"/>
      <c r="C639" s="138"/>
      <c r="D639" s="138"/>
      <c r="E639" s="138"/>
      <c r="F639" s="138"/>
      <c r="G639" s="138"/>
      <c r="H639" s="138"/>
      <c r="I639" s="138"/>
      <c r="J639" s="138"/>
      <c r="K639" s="138"/>
    </row>
    <row r="640" spans="1:11" ht="20.25">
      <c r="A640" s="138"/>
      <c r="B640" s="138"/>
      <c r="C640" s="138"/>
      <c r="D640" s="138"/>
      <c r="E640" s="138"/>
      <c r="F640" s="138"/>
      <c r="G640" s="138"/>
      <c r="H640" s="138"/>
      <c r="I640" s="138"/>
      <c r="J640" s="138"/>
      <c r="K640" s="138"/>
    </row>
    <row r="641" spans="1:11" ht="20.25">
      <c r="A641" s="138"/>
      <c r="B641" s="138"/>
      <c r="C641" s="138"/>
      <c r="D641" s="138"/>
      <c r="E641" s="138"/>
      <c r="F641" s="138"/>
      <c r="G641" s="138"/>
      <c r="H641" s="138"/>
      <c r="I641" s="138"/>
      <c r="J641" s="138"/>
      <c r="K641" s="138"/>
    </row>
    <row r="642" spans="1:11" ht="20.25">
      <c r="A642" s="138"/>
      <c r="B642" s="138"/>
      <c r="C642" s="138"/>
      <c r="D642" s="138"/>
      <c r="E642" s="138"/>
      <c r="F642" s="138"/>
      <c r="G642" s="138"/>
      <c r="H642" s="138"/>
      <c r="I642" s="138"/>
      <c r="J642" s="138"/>
      <c r="K642" s="138"/>
    </row>
    <row r="643" spans="1:11" ht="20.25">
      <c r="A643" s="138"/>
      <c r="B643" s="138"/>
      <c r="C643" s="138"/>
      <c r="D643" s="138"/>
      <c r="E643" s="138"/>
      <c r="F643" s="138"/>
      <c r="G643" s="138"/>
      <c r="H643" s="138"/>
      <c r="I643" s="138"/>
      <c r="J643" s="138"/>
      <c r="K643" s="138"/>
    </row>
    <row r="644" spans="1:11" ht="20.25">
      <c r="A644" s="138"/>
      <c r="B644" s="138"/>
      <c r="C644" s="138"/>
      <c r="D644" s="138"/>
      <c r="E644" s="138"/>
      <c r="F644" s="138"/>
      <c r="G644" s="138"/>
      <c r="H644" s="138"/>
      <c r="I644" s="138"/>
      <c r="J644" s="138"/>
      <c r="K644" s="138"/>
    </row>
    <row r="645" spans="1:11" ht="20.25">
      <c r="A645" s="138"/>
      <c r="B645" s="138"/>
      <c r="C645" s="138"/>
      <c r="D645" s="138"/>
      <c r="E645" s="138"/>
      <c r="F645" s="138"/>
      <c r="G645" s="138"/>
      <c r="H645" s="138"/>
      <c r="I645" s="138"/>
      <c r="J645" s="138"/>
      <c r="K645" s="138"/>
    </row>
    <row r="646" spans="1:11" ht="20.25">
      <c r="A646" s="138"/>
      <c r="B646" s="138"/>
      <c r="C646" s="138"/>
      <c r="D646" s="138"/>
      <c r="E646" s="138"/>
      <c r="F646" s="138"/>
      <c r="G646" s="138"/>
      <c r="H646" s="138"/>
      <c r="I646" s="138"/>
      <c r="J646" s="138"/>
      <c r="K646" s="138"/>
    </row>
    <row r="647" spans="1:11" ht="20.25">
      <c r="A647" s="138"/>
      <c r="B647" s="138"/>
      <c r="C647" s="138"/>
      <c r="D647" s="138"/>
      <c r="E647" s="138"/>
      <c r="F647" s="138"/>
      <c r="G647" s="138"/>
      <c r="H647" s="138"/>
      <c r="I647" s="138"/>
      <c r="J647" s="138"/>
      <c r="K647" s="138"/>
    </row>
    <row r="648" spans="1:11" ht="20.25">
      <c r="A648" s="138"/>
      <c r="B648" s="138"/>
      <c r="C648" s="138"/>
      <c r="D648" s="138"/>
      <c r="E648" s="138"/>
      <c r="F648" s="138"/>
      <c r="G648" s="138"/>
      <c r="H648" s="138"/>
      <c r="I648" s="138"/>
      <c r="J648" s="138"/>
      <c r="K648" s="138"/>
    </row>
    <row r="649" spans="1:11" ht="20.25">
      <c r="A649" s="138"/>
      <c r="B649" s="138"/>
      <c r="C649" s="138"/>
      <c r="D649" s="138"/>
      <c r="E649" s="138"/>
      <c r="F649" s="138"/>
      <c r="G649" s="138"/>
      <c r="H649" s="138"/>
      <c r="I649" s="138"/>
      <c r="J649" s="138"/>
      <c r="K649" s="138"/>
    </row>
    <row r="650" spans="1:11" ht="20.25">
      <c r="A650" s="138"/>
      <c r="B650" s="138"/>
      <c r="C650" s="138"/>
      <c r="D650" s="138"/>
      <c r="E650" s="138"/>
      <c r="F650" s="138"/>
      <c r="G650" s="138"/>
      <c r="H650" s="138"/>
      <c r="I650" s="138"/>
      <c r="J650" s="138"/>
      <c r="K650" s="138"/>
    </row>
    <row r="651" spans="1:11" ht="20.25">
      <c r="A651" s="138"/>
      <c r="B651" s="138"/>
      <c r="C651" s="138"/>
      <c r="D651" s="138"/>
      <c r="E651" s="138"/>
      <c r="F651" s="138"/>
      <c r="G651" s="138"/>
      <c r="H651" s="138"/>
      <c r="I651" s="138"/>
      <c r="J651" s="138"/>
      <c r="K651" s="138"/>
    </row>
    <row r="652" spans="1:11" ht="20.25">
      <c r="A652" s="138"/>
      <c r="B652" s="138"/>
      <c r="C652" s="138"/>
      <c r="D652" s="138"/>
      <c r="E652" s="138"/>
      <c r="F652" s="138"/>
      <c r="G652" s="138"/>
      <c r="H652" s="138"/>
      <c r="I652" s="138"/>
      <c r="J652" s="138"/>
      <c r="K652" s="138"/>
    </row>
    <row r="653" spans="1:11" ht="20.25">
      <c r="A653" s="138"/>
      <c r="B653" s="138"/>
      <c r="C653" s="138"/>
      <c r="D653" s="138"/>
      <c r="E653" s="138"/>
      <c r="F653" s="138"/>
      <c r="G653" s="138"/>
      <c r="H653" s="138"/>
      <c r="I653" s="138"/>
      <c r="J653" s="138"/>
      <c r="K653" s="138"/>
    </row>
    <row r="654" spans="1:11" ht="20.25">
      <c r="A654" s="138"/>
      <c r="B654" s="138"/>
      <c r="C654" s="138"/>
      <c r="D654" s="138"/>
      <c r="E654" s="138"/>
      <c r="F654" s="138"/>
      <c r="G654" s="138"/>
      <c r="H654" s="138"/>
      <c r="I654" s="138"/>
      <c r="J654" s="138"/>
      <c r="K654" s="138"/>
    </row>
    <row r="655" spans="1:11" ht="20.25">
      <c r="A655" s="138"/>
      <c r="B655" s="138"/>
      <c r="C655" s="138"/>
      <c r="D655" s="138"/>
      <c r="E655" s="138"/>
      <c r="F655" s="138"/>
      <c r="G655" s="138"/>
      <c r="H655" s="138"/>
      <c r="I655" s="138"/>
      <c r="J655" s="138"/>
      <c r="K655" s="138"/>
    </row>
    <row r="656" spans="1:11" ht="20.25">
      <c r="A656" s="138"/>
      <c r="B656" s="138"/>
      <c r="C656" s="138"/>
      <c r="D656" s="138"/>
      <c r="E656" s="138"/>
      <c r="F656" s="138"/>
      <c r="G656" s="138"/>
      <c r="H656" s="138"/>
      <c r="I656" s="138"/>
      <c r="J656" s="138"/>
      <c r="K656" s="138"/>
    </row>
    <row r="657" spans="1:11" ht="20.25">
      <c r="A657" s="138"/>
      <c r="B657" s="138"/>
      <c r="C657" s="138"/>
      <c r="D657" s="138"/>
      <c r="E657" s="138"/>
      <c r="F657" s="138"/>
      <c r="G657" s="138"/>
      <c r="H657" s="138"/>
      <c r="I657" s="138"/>
      <c r="J657" s="138"/>
      <c r="K657" s="138"/>
    </row>
    <row r="658" spans="1:11" ht="20.25">
      <c r="A658" s="138"/>
      <c r="B658" s="138"/>
      <c r="C658" s="138"/>
      <c r="D658" s="138"/>
      <c r="E658" s="138"/>
      <c r="F658" s="138"/>
      <c r="G658" s="138"/>
      <c r="H658" s="138"/>
      <c r="I658" s="138"/>
      <c r="J658" s="138"/>
      <c r="K658" s="138"/>
    </row>
    <row r="659" spans="1:11" ht="20.25">
      <c r="A659" s="138"/>
      <c r="B659" s="138"/>
      <c r="C659" s="138"/>
      <c r="D659" s="138"/>
      <c r="E659" s="138"/>
      <c r="F659" s="138"/>
      <c r="G659" s="138"/>
      <c r="H659" s="138"/>
      <c r="I659" s="138"/>
      <c r="J659" s="138"/>
      <c r="K659" s="138"/>
    </row>
    <row r="660" spans="1:11" ht="20.25">
      <c r="A660" s="138"/>
      <c r="B660" s="138"/>
      <c r="C660" s="138"/>
      <c r="D660" s="138"/>
      <c r="E660" s="138"/>
      <c r="F660" s="138"/>
      <c r="G660" s="138"/>
      <c r="H660" s="138"/>
      <c r="I660" s="138"/>
      <c r="J660" s="138"/>
      <c r="K660" s="138"/>
    </row>
    <row r="661" spans="1:11" ht="20.25">
      <c r="A661" s="138"/>
      <c r="B661" s="138"/>
      <c r="C661" s="138"/>
      <c r="D661" s="138"/>
      <c r="E661" s="138"/>
      <c r="F661" s="138"/>
      <c r="G661" s="138"/>
      <c r="H661" s="138"/>
      <c r="I661" s="138"/>
      <c r="J661" s="138"/>
      <c r="K661" s="138"/>
    </row>
    <row r="662" spans="1:11" ht="20.25">
      <c r="A662" s="138"/>
      <c r="B662" s="138"/>
      <c r="C662" s="138"/>
      <c r="D662" s="138"/>
      <c r="E662" s="138"/>
      <c r="F662" s="138"/>
      <c r="G662" s="138"/>
      <c r="H662" s="138"/>
      <c r="I662" s="138"/>
      <c r="J662" s="138"/>
      <c r="K662" s="138"/>
    </row>
    <row r="663" spans="1:11" ht="20.25">
      <c r="A663" s="138"/>
      <c r="B663" s="138"/>
      <c r="C663" s="138"/>
      <c r="D663" s="138"/>
      <c r="E663" s="138"/>
      <c r="F663" s="138"/>
      <c r="G663" s="138"/>
      <c r="H663" s="138"/>
      <c r="I663" s="138"/>
      <c r="J663" s="138"/>
      <c r="K663" s="138"/>
    </row>
    <row r="664" spans="1:11" ht="20.25">
      <c r="A664" s="138"/>
      <c r="B664" s="138"/>
      <c r="C664" s="138"/>
      <c r="D664" s="138"/>
      <c r="E664" s="138"/>
      <c r="F664" s="138"/>
      <c r="G664" s="138"/>
      <c r="H664" s="138"/>
      <c r="I664" s="138"/>
      <c r="J664" s="138"/>
      <c r="K664" s="138"/>
    </row>
    <row r="665" spans="1:11" ht="20.25">
      <c r="A665" s="138"/>
      <c r="B665" s="138"/>
      <c r="C665" s="138"/>
      <c r="D665" s="138"/>
      <c r="E665" s="138"/>
      <c r="F665" s="138"/>
      <c r="G665" s="138"/>
      <c r="H665" s="138"/>
      <c r="I665" s="138"/>
      <c r="J665" s="138"/>
      <c r="K665" s="138"/>
    </row>
    <row r="666" spans="1:11" ht="20.25">
      <c r="A666" s="138"/>
      <c r="B666" s="138"/>
      <c r="C666" s="138"/>
      <c r="D666" s="138"/>
      <c r="E666" s="138"/>
      <c r="F666" s="138"/>
      <c r="G666" s="138"/>
      <c r="H666" s="138"/>
      <c r="I666" s="138"/>
      <c r="J666" s="138"/>
      <c r="K666" s="138"/>
    </row>
    <row r="667" spans="1:11" ht="20.25">
      <c r="A667" s="138"/>
      <c r="B667" s="138"/>
      <c r="C667" s="138"/>
      <c r="D667" s="138"/>
      <c r="E667" s="138"/>
      <c r="F667" s="138"/>
      <c r="G667" s="138"/>
      <c r="H667" s="138"/>
      <c r="I667" s="138"/>
      <c r="J667" s="138"/>
      <c r="K667" s="138"/>
    </row>
    <row r="668" spans="1:11" ht="20.25">
      <c r="A668" s="138"/>
      <c r="B668" s="138"/>
      <c r="C668" s="138"/>
      <c r="D668" s="138"/>
      <c r="E668" s="138"/>
      <c r="F668" s="138"/>
      <c r="G668" s="138"/>
      <c r="H668" s="138"/>
      <c r="I668" s="138"/>
      <c r="J668" s="138"/>
      <c r="K668" s="138"/>
    </row>
    <row r="669" spans="1:11" ht="20.25">
      <c r="A669" s="138"/>
      <c r="B669" s="138"/>
      <c r="C669" s="138"/>
      <c r="D669" s="138"/>
      <c r="E669" s="138"/>
      <c r="F669" s="138"/>
      <c r="G669" s="138"/>
      <c r="H669" s="138"/>
      <c r="I669" s="138"/>
      <c r="J669" s="138"/>
      <c r="K669" s="138"/>
    </row>
    <row r="670" spans="1:11" ht="20.25">
      <c r="A670" s="138"/>
      <c r="B670" s="138"/>
      <c r="C670" s="138"/>
      <c r="D670" s="138"/>
      <c r="E670" s="138"/>
      <c r="F670" s="138"/>
      <c r="G670" s="138"/>
      <c r="H670" s="138"/>
      <c r="I670" s="138"/>
      <c r="J670" s="138"/>
      <c r="K670" s="138"/>
    </row>
    <row r="671" spans="1:11" ht="20.25">
      <c r="A671" s="138"/>
      <c r="B671" s="138"/>
      <c r="C671" s="138"/>
      <c r="D671" s="138"/>
      <c r="E671" s="138"/>
      <c r="F671" s="138"/>
      <c r="G671" s="138"/>
      <c r="H671" s="138"/>
      <c r="I671" s="138"/>
      <c r="J671" s="138"/>
      <c r="K671" s="138"/>
    </row>
    <row r="672" spans="1:11" ht="20.25">
      <c r="A672" s="138"/>
      <c r="B672" s="138"/>
      <c r="C672" s="138"/>
      <c r="D672" s="138"/>
      <c r="E672" s="138"/>
      <c r="F672" s="138"/>
      <c r="G672" s="138"/>
      <c r="H672" s="138"/>
      <c r="I672" s="138"/>
      <c r="J672" s="138"/>
      <c r="K672" s="138"/>
    </row>
    <row r="673" spans="1:11" ht="20.25">
      <c r="A673" s="138"/>
      <c r="B673" s="138"/>
      <c r="C673" s="138"/>
      <c r="D673" s="138"/>
      <c r="E673" s="138"/>
      <c r="F673" s="138"/>
      <c r="G673" s="138"/>
      <c r="H673" s="138"/>
      <c r="I673" s="138"/>
      <c r="J673" s="138"/>
      <c r="K673" s="138"/>
    </row>
    <row r="674" spans="1:11" ht="20.25">
      <c r="A674" s="138"/>
      <c r="B674" s="138"/>
      <c r="C674" s="138"/>
      <c r="D674" s="138"/>
      <c r="E674" s="138"/>
      <c r="F674" s="138"/>
      <c r="G674" s="138"/>
      <c r="H674" s="138"/>
      <c r="I674" s="138"/>
      <c r="J674" s="138"/>
      <c r="K674" s="138"/>
    </row>
    <row r="675" spans="1:11" ht="20.25">
      <c r="A675" s="138"/>
      <c r="B675" s="138"/>
      <c r="C675" s="138"/>
      <c r="D675" s="138"/>
      <c r="E675" s="138"/>
      <c r="F675" s="138"/>
      <c r="G675" s="138"/>
      <c r="H675" s="138"/>
      <c r="I675" s="138"/>
      <c r="J675" s="138"/>
      <c r="K675" s="138"/>
    </row>
    <row r="676" spans="1:11" ht="20.25">
      <c r="A676" s="138"/>
      <c r="B676" s="138"/>
      <c r="C676" s="138"/>
      <c r="D676" s="138"/>
      <c r="E676" s="138"/>
      <c r="F676" s="138"/>
      <c r="G676" s="138"/>
      <c r="H676" s="138"/>
      <c r="I676" s="138"/>
      <c r="J676" s="138"/>
      <c r="K676" s="138"/>
    </row>
    <row r="677" spans="1:11" ht="20.25">
      <c r="A677" s="138"/>
      <c r="B677" s="138"/>
      <c r="C677" s="138"/>
      <c r="D677" s="138"/>
      <c r="E677" s="138"/>
      <c r="F677" s="138"/>
      <c r="G677" s="138"/>
      <c r="H677" s="138"/>
      <c r="I677" s="138"/>
      <c r="J677" s="138"/>
      <c r="K677" s="138"/>
    </row>
    <row r="678" spans="1:11" ht="20.25">
      <c r="A678" s="138"/>
      <c r="B678" s="138"/>
      <c r="C678" s="138"/>
      <c r="D678" s="138"/>
      <c r="E678" s="138"/>
      <c r="F678" s="138"/>
      <c r="G678" s="138"/>
      <c r="H678" s="138"/>
      <c r="I678" s="138"/>
      <c r="J678" s="138"/>
      <c r="K678" s="138"/>
    </row>
    <row r="679" spans="1:11" ht="20.25">
      <c r="A679" s="138"/>
      <c r="B679" s="138"/>
      <c r="C679" s="138"/>
      <c r="D679" s="138"/>
      <c r="E679" s="138"/>
      <c r="F679" s="138"/>
      <c r="G679" s="138"/>
      <c r="H679" s="138"/>
      <c r="I679" s="138"/>
      <c r="J679" s="138"/>
      <c r="K679" s="138"/>
    </row>
    <row r="680" spans="1:11" ht="20.25">
      <c r="A680" s="138"/>
      <c r="B680" s="138"/>
      <c r="C680" s="138"/>
      <c r="D680" s="138"/>
      <c r="E680" s="138"/>
      <c r="F680" s="138"/>
      <c r="G680" s="138"/>
      <c r="H680" s="138"/>
      <c r="I680" s="138"/>
      <c r="J680" s="138"/>
      <c r="K680" s="138"/>
    </row>
    <row r="681" spans="1:11" ht="20.25">
      <c r="A681" s="138"/>
      <c r="B681" s="138"/>
      <c r="C681" s="138"/>
      <c r="D681" s="138"/>
      <c r="E681" s="138"/>
      <c r="F681" s="138"/>
      <c r="G681" s="138"/>
      <c r="H681" s="138"/>
      <c r="I681" s="138"/>
      <c r="J681" s="138"/>
      <c r="K681" s="138"/>
    </row>
    <row r="682" spans="1:11" ht="20.25">
      <c r="A682" s="138"/>
      <c r="B682" s="138"/>
      <c r="C682" s="138"/>
      <c r="D682" s="138"/>
      <c r="E682" s="138"/>
      <c r="F682" s="138"/>
      <c r="G682" s="138"/>
      <c r="H682" s="138"/>
      <c r="I682" s="138"/>
      <c r="J682" s="138"/>
      <c r="K682" s="138"/>
    </row>
    <row r="683" spans="1:11" ht="20.25">
      <c r="A683" s="138"/>
      <c r="B683" s="138"/>
      <c r="C683" s="138"/>
      <c r="D683" s="138"/>
      <c r="E683" s="138"/>
      <c r="F683" s="138"/>
      <c r="G683" s="138"/>
      <c r="H683" s="138"/>
      <c r="I683" s="138"/>
      <c r="J683" s="138"/>
      <c r="K683" s="138"/>
    </row>
    <row r="684" spans="1:11" ht="20.25">
      <c r="A684" s="138"/>
      <c r="B684" s="138"/>
      <c r="C684" s="138"/>
      <c r="D684" s="138"/>
      <c r="E684" s="138"/>
      <c r="F684" s="138"/>
      <c r="G684" s="138"/>
      <c r="H684" s="138"/>
      <c r="I684" s="138"/>
      <c r="J684" s="138"/>
      <c r="K684" s="138"/>
    </row>
    <row r="685" spans="1:11" ht="20.25">
      <c r="A685" s="138"/>
      <c r="B685" s="138"/>
      <c r="C685" s="138"/>
      <c r="D685" s="138"/>
      <c r="E685" s="138"/>
      <c r="F685" s="138"/>
      <c r="G685" s="138"/>
      <c r="H685" s="138"/>
      <c r="I685" s="138"/>
      <c r="J685" s="138"/>
      <c r="K685" s="138"/>
    </row>
    <row r="686" spans="1:11" ht="20.25">
      <c r="A686" s="138"/>
      <c r="B686" s="138"/>
      <c r="C686" s="138"/>
      <c r="D686" s="138"/>
      <c r="E686" s="138"/>
      <c r="F686" s="138"/>
      <c r="G686" s="138"/>
      <c r="H686" s="138"/>
      <c r="I686" s="138"/>
      <c r="J686" s="138"/>
      <c r="K686" s="138"/>
    </row>
    <row r="687" spans="1:11" ht="20.25">
      <c r="A687" s="138"/>
      <c r="B687" s="138"/>
      <c r="C687" s="138"/>
      <c r="D687" s="138"/>
      <c r="E687" s="138"/>
      <c r="F687" s="138"/>
      <c r="G687" s="138"/>
      <c r="H687" s="138"/>
      <c r="I687" s="138"/>
      <c r="J687" s="138"/>
      <c r="K687" s="138"/>
    </row>
    <row r="688" spans="1:11" ht="20.25">
      <c r="A688" s="138"/>
      <c r="B688" s="138"/>
      <c r="C688" s="138"/>
      <c r="D688" s="138"/>
      <c r="E688" s="138"/>
      <c r="F688" s="138"/>
      <c r="G688" s="138"/>
      <c r="H688" s="138"/>
      <c r="I688" s="138"/>
      <c r="J688" s="138"/>
      <c r="K688" s="138"/>
    </row>
    <row r="689" spans="1:11" ht="20.25">
      <c r="A689" s="138"/>
      <c r="B689" s="138"/>
      <c r="C689" s="138"/>
      <c r="D689" s="138"/>
      <c r="E689" s="138"/>
      <c r="F689" s="138"/>
      <c r="G689" s="138"/>
      <c r="H689" s="138"/>
      <c r="I689" s="138"/>
      <c r="J689" s="138"/>
      <c r="K689" s="138"/>
    </row>
    <row r="690" spans="1:11" ht="20.25">
      <c r="A690" s="138"/>
      <c r="B690" s="138"/>
      <c r="C690" s="138"/>
      <c r="D690" s="138"/>
      <c r="E690" s="138"/>
      <c r="F690" s="138"/>
      <c r="G690" s="138"/>
      <c r="H690" s="138"/>
      <c r="I690" s="138"/>
      <c r="J690" s="138"/>
      <c r="K690" s="138"/>
    </row>
    <row r="691" spans="1:11" ht="20.25">
      <c r="A691" s="138"/>
      <c r="B691" s="138"/>
      <c r="C691" s="138"/>
      <c r="D691" s="138"/>
      <c r="E691" s="138"/>
      <c r="F691" s="138"/>
      <c r="G691" s="138"/>
      <c r="H691" s="138"/>
      <c r="I691" s="138"/>
      <c r="J691" s="138"/>
      <c r="K691" s="138"/>
    </row>
    <row r="692" spans="1:11" ht="20.25">
      <c r="A692" s="138"/>
      <c r="B692" s="138"/>
      <c r="C692" s="138"/>
      <c r="D692" s="138"/>
      <c r="E692" s="138"/>
      <c r="F692" s="138"/>
      <c r="G692" s="138"/>
      <c r="H692" s="138"/>
      <c r="I692" s="138"/>
      <c r="J692" s="138"/>
      <c r="K692" s="138"/>
    </row>
    <row r="693" spans="1:11" ht="20.25">
      <c r="A693" s="138"/>
      <c r="B693" s="138"/>
      <c r="C693" s="138"/>
      <c r="D693" s="138"/>
      <c r="E693" s="138"/>
      <c r="F693" s="138"/>
      <c r="G693" s="138"/>
      <c r="H693" s="138"/>
      <c r="I693" s="138"/>
      <c r="J693" s="138"/>
      <c r="K693" s="138"/>
    </row>
    <row r="694" spans="1:11" ht="20.25">
      <c r="A694" s="138"/>
      <c r="B694" s="138"/>
      <c r="C694" s="138"/>
      <c r="D694" s="138"/>
      <c r="E694" s="138"/>
      <c r="F694" s="138"/>
      <c r="G694" s="138"/>
      <c r="H694" s="138"/>
      <c r="I694" s="138"/>
      <c r="J694" s="138"/>
      <c r="K694" s="138"/>
    </row>
    <row r="695" spans="1:11" ht="20.25">
      <c r="A695" s="138"/>
      <c r="B695" s="138"/>
      <c r="C695" s="138"/>
      <c r="D695" s="138"/>
      <c r="E695" s="138"/>
      <c r="F695" s="138"/>
      <c r="G695" s="138"/>
      <c r="H695" s="138"/>
      <c r="I695" s="138"/>
      <c r="J695" s="138"/>
      <c r="K695" s="138"/>
    </row>
    <row r="696" spans="1:11" ht="20.25">
      <c r="A696" s="138"/>
      <c r="B696" s="138"/>
      <c r="C696" s="138"/>
      <c r="D696" s="138"/>
      <c r="E696" s="138"/>
      <c r="F696" s="138"/>
      <c r="G696" s="138"/>
      <c r="H696" s="138"/>
      <c r="I696" s="138"/>
      <c r="J696" s="138"/>
      <c r="K696" s="138"/>
    </row>
    <row r="697" spans="1:11" ht="20.25">
      <c r="A697" s="138"/>
      <c r="B697" s="138"/>
      <c r="C697" s="138"/>
      <c r="D697" s="138"/>
      <c r="E697" s="138"/>
      <c r="F697" s="138"/>
      <c r="G697" s="138"/>
      <c r="H697" s="138"/>
      <c r="I697" s="138"/>
      <c r="J697" s="138"/>
      <c r="K697" s="138"/>
    </row>
    <row r="698" spans="1:11" ht="20.25">
      <c r="A698" s="138"/>
      <c r="B698" s="138"/>
      <c r="C698" s="138"/>
      <c r="D698" s="138"/>
      <c r="E698" s="138"/>
      <c r="F698" s="138"/>
      <c r="G698" s="138"/>
      <c r="H698" s="138"/>
      <c r="I698" s="138"/>
      <c r="J698" s="138"/>
      <c r="K698" s="138"/>
    </row>
    <row r="699" spans="1:11" ht="20.25">
      <c r="A699" s="138"/>
      <c r="B699" s="138"/>
      <c r="C699" s="138"/>
      <c r="D699" s="138"/>
      <c r="E699" s="138"/>
      <c r="F699" s="138"/>
      <c r="G699" s="138"/>
      <c r="H699" s="138"/>
      <c r="I699" s="138"/>
      <c r="J699" s="138"/>
      <c r="K699" s="138"/>
    </row>
    <row r="700" spans="1:11" ht="20.25">
      <c r="A700" s="138"/>
      <c r="B700" s="138"/>
      <c r="C700" s="138"/>
      <c r="D700" s="138"/>
      <c r="E700" s="138"/>
      <c r="F700" s="138"/>
      <c r="G700" s="138"/>
      <c r="H700" s="138"/>
      <c r="I700" s="138"/>
      <c r="J700" s="138"/>
      <c r="K700" s="138"/>
    </row>
    <row r="701" spans="1:11" ht="20.25">
      <c r="A701" s="138"/>
      <c r="B701" s="138"/>
      <c r="C701" s="138"/>
      <c r="D701" s="138"/>
      <c r="E701" s="138"/>
      <c r="F701" s="138"/>
      <c r="G701" s="138"/>
      <c r="H701" s="138"/>
      <c r="I701" s="138"/>
      <c r="J701" s="138"/>
      <c r="K701" s="138"/>
    </row>
    <row r="702" spans="1:11" ht="20.25">
      <c r="A702" s="138"/>
      <c r="B702" s="138"/>
      <c r="C702" s="138"/>
      <c r="D702" s="138"/>
      <c r="E702" s="138"/>
      <c r="F702" s="138"/>
      <c r="G702" s="138"/>
      <c r="H702" s="138"/>
      <c r="I702" s="138"/>
      <c r="J702" s="138"/>
      <c r="K702" s="138"/>
    </row>
    <row r="703" spans="1:11" ht="20.25">
      <c r="A703" s="138"/>
      <c r="B703" s="138"/>
      <c r="C703" s="138"/>
      <c r="D703" s="138"/>
      <c r="E703" s="138"/>
      <c r="F703" s="138"/>
      <c r="G703" s="138"/>
      <c r="H703" s="138"/>
      <c r="I703" s="138"/>
      <c r="J703" s="138"/>
      <c r="K703" s="138"/>
    </row>
    <row r="704" spans="1:11" ht="20.25">
      <c r="A704" s="138"/>
      <c r="B704" s="138"/>
      <c r="C704" s="138"/>
      <c r="D704" s="138"/>
      <c r="E704" s="138"/>
      <c r="F704" s="138"/>
      <c r="G704" s="138"/>
      <c r="H704" s="138"/>
      <c r="I704" s="138"/>
      <c r="J704" s="138"/>
      <c r="K704" s="138"/>
    </row>
    <row r="705" spans="1:11" ht="20.25">
      <c r="A705" s="138"/>
      <c r="B705" s="138"/>
      <c r="C705" s="138"/>
      <c r="D705" s="138"/>
      <c r="E705" s="138"/>
      <c r="F705" s="138"/>
      <c r="G705" s="138"/>
      <c r="H705" s="138"/>
      <c r="I705" s="138"/>
      <c r="J705" s="138"/>
      <c r="K705" s="138"/>
    </row>
    <row r="706" spans="1:11" ht="20.25">
      <c r="A706" s="138"/>
      <c r="B706" s="138"/>
      <c r="C706" s="138"/>
      <c r="D706" s="138"/>
      <c r="E706" s="138"/>
      <c r="F706" s="138"/>
      <c r="G706" s="138"/>
      <c r="H706" s="138"/>
      <c r="I706" s="138"/>
      <c r="J706" s="138"/>
      <c r="K706" s="138"/>
    </row>
    <row r="707" spans="1:11" ht="20.25">
      <c r="A707" s="138"/>
      <c r="B707" s="138"/>
      <c r="C707" s="138"/>
      <c r="D707" s="138"/>
      <c r="E707" s="138"/>
      <c r="F707" s="138"/>
      <c r="G707" s="138"/>
      <c r="H707" s="138"/>
      <c r="I707" s="138"/>
      <c r="J707" s="138"/>
      <c r="K707" s="138"/>
    </row>
    <row r="708" spans="1:11" ht="20.25">
      <c r="A708" s="138"/>
      <c r="B708" s="138"/>
      <c r="C708" s="138"/>
      <c r="D708" s="138"/>
      <c r="E708" s="138"/>
      <c r="F708" s="138"/>
      <c r="G708" s="138"/>
      <c r="H708" s="138"/>
      <c r="I708" s="138"/>
      <c r="J708" s="138"/>
      <c r="K708" s="138"/>
    </row>
    <row r="709" spans="1:11" ht="20.25">
      <c r="A709" s="138"/>
      <c r="B709" s="138"/>
      <c r="C709" s="138"/>
      <c r="D709" s="138"/>
      <c r="E709" s="138"/>
      <c r="F709" s="138"/>
      <c r="G709" s="138"/>
      <c r="H709" s="138"/>
      <c r="I709" s="138"/>
      <c r="J709" s="138"/>
      <c r="K709" s="138"/>
    </row>
    <row r="710" spans="1:11" ht="20.25">
      <c r="A710" s="138"/>
      <c r="B710" s="138"/>
      <c r="C710" s="138"/>
      <c r="D710" s="138"/>
      <c r="E710" s="138"/>
      <c r="F710" s="138"/>
      <c r="G710" s="138"/>
      <c r="H710" s="138"/>
      <c r="I710" s="138"/>
      <c r="J710" s="138"/>
      <c r="K710" s="138"/>
    </row>
    <row r="711" spans="1:11" ht="20.25">
      <c r="A711" s="138"/>
      <c r="B711" s="138"/>
      <c r="C711" s="138"/>
      <c r="D711" s="138"/>
      <c r="E711" s="138"/>
      <c r="F711" s="138"/>
      <c r="G711" s="138"/>
      <c r="H711" s="138"/>
      <c r="I711" s="138"/>
      <c r="J711" s="138"/>
      <c r="K711" s="138"/>
    </row>
    <row r="712" spans="1:11" ht="20.25">
      <c r="A712" s="138"/>
      <c r="B712" s="138"/>
      <c r="C712" s="138"/>
      <c r="D712" s="138"/>
      <c r="E712" s="138"/>
      <c r="F712" s="138"/>
      <c r="G712" s="138"/>
      <c r="H712" s="138"/>
      <c r="I712" s="138"/>
      <c r="J712" s="138"/>
      <c r="K712" s="138"/>
    </row>
    <row r="713" spans="1:11" ht="20.25">
      <c r="A713" s="138"/>
      <c r="B713" s="138"/>
      <c r="C713" s="138"/>
      <c r="D713" s="138"/>
      <c r="E713" s="138"/>
      <c r="F713" s="138"/>
      <c r="G713" s="138"/>
      <c r="H713" s="138"/>
      <c r="I713" s="138"/>
      <c r="J713" s="138"/>
      <c r="K713" s="138"/>
    </row>
    <row r="714" spans="1:11" ht="20.25">
      <c r="A714" s="138"/>
      <c r="B714" s="138"/>
      <c r="C714" s="138"/>
      <c r="D714" s="138"/>
      <c r="E714" s="138"/>
      <c r="F714" s="138"/>
      <c r="G714" s="138"/>
      <c r="H714" s="138"/>
      <c r="I714" s="138"/>
      <c r="J714" s="138"/>
      <c r="K714" s="138"/>
    </row>
    <row r="715" spans="1:11" ht="20.25">
      <c r="A715" s="138"/>
      <c r="B715" s="138"/>
      <c r="C715" s="138"/>
      <c r="D715" s="138"/>
      <c r="E715" s="138"/>
      <c r="F715" s="138"/>
      <c r="G715" s="138"/>
      <c r="H715" s="138"/>
      <c r="I715" s="138"/>
      <c r="J715" s="138"/>
      <c r="K715" s="138"/>
    </row>
    <row r="716" spans="1:11" ht="20.25">
      <c r="A716" s="138"/>
      <c r="B716" s="138"/>
      <c r="C716" s="138"/>
      <c r="D716" s="138"/>
      <c r="E716" s="138"/>
      <c r="F716" s="138"/>
      <c r="G716" s="138"/>
      <c r="H716" s="138"/>
      <c r="I716" s="138"/>
      <c r="J716" s="138"/>
      <c r="K716" s="138"/>
    </row>
    <row r="717" spans="1:11" ht="20.25">
      <c r="A717" s="138"/>
      <c r="B717" s="138"/>
      <c r="C717" s="138"/>
      <c r="D717" s="138"/>
      <c r="E717" s="138"/>
      <c r="F717" s="138"/>
      <c r="G717" s="138"/>
      <c r="H717" s="138"/>
      <c r="I717" s="138"/>
      <c r="J717" s="138"/>
      <c r="K717" s="138"/>
    </row>
    <row r="718" spans="1:11" ht="20.25">
      <c r="A718" s="138"/>
      <c r="B718" s="138"/>
      <c r="C718" s="138"/>
      <c r="D718" s="138"/>
      <c r="E718" s="138"/>
      <c r="F718" s="138"/>
      <c r="G718" s="138"/>
      <c r="H718" s="138"/>
      <c r="I718" s="138"/>
      <c r="J718" s="138"/>
      <c r="K718" s="138"/>
    </row>
    <row r="719" spans="1:11" ht="20.25">
      <c r="A719" s="138"/>
      <c r="B719" s="138"/>
      <c r="C719" s="138"/>
      <c r="D719" s="138"/>
      <c r="E719" s="138"/>
      <c r="F719" s="138"/>
      <c r="G719" s="138"/>
      <c r="H719" s="138"/>
      <c r="I719" s="138"/>
      <c r="J719" s="138"/>
      <c r="K719" s="138"/>
    </row>
    <row r="720" spans="1:11" ht="20.25">
      <c r="A720" s="138"/>
      <c r="B720" s="138"/>
      <c r="C720" s="138"/>
      <c r="D720" s="138"/>
      <c r="E720" s="138"/>
      <c r="F720" s="138"/>
      <c r="G720" s="138"/>
      <c r="H720" s="138"/>
      <c r="I720" s="138"/>
      <c r="J720" s="138"/>
      <c r="K720" s="138"/>
    </row>
    <row r="721" spans="1:11" ht="20.25">
      <c r="A721" s="138"/>
      <c r="B721" s="138"/>
      <c r="C721" s="138"/>
      <c r="D721" s="138"/>
      <c r="E721" s="138"/>
      <c r="F721" s="138"/>
      <c r="G721" s="138"/>
      <c r="H721" s="138"/>
      <c r="I721" s="138"/>
      <c r="J721" s="138"/>
      <c r="K721" s="138"/>
    </row>
    <row r="722" spans="1:11" ht="20.25">
      <c r="A722" s="138"/>
      <c r="B722" s="138"/>
      <c r="C722" s="138"/>
      <c r="D722" s="138"/>
      <c r="E722" s="138"/>
      <c r="F722" s="138"/>
      <c r="G722" s="138"/>
      <c r="H722" s="138"/>
      <c r="I722" s="138"/>
      <c r="J722" s="138"/>
      <c r="K722" s="138"/>
    </row>
    <row r="723" spans="1:11" ht="20.25">
      <c r="A723" s="138"/>
      <c r="B723" s="138"/>
      <c r="C723" s="138"/>
      <c r="D723" s="138"/>
      <c r="E723" s="138"/>
      <c r="F723" s="138"/>
      <c r="G723" s="138"/>
      <c r="H723" s="138"/>
      <c r="I723" s="138"/>
      <c r="J723" s="138"/>
      <c r="K723" s="138"/>
    </row>
    <row r="724" spans="1:11" ht="20.25">
      <c r="A724" s="138"/>
      <c r="B724" s="138"/>
      <c r="C724" s="138"/>
      <c r="D724" s="138"/>
      <c r="E724" s="138"/>
      <c r="F724" s="138"/>
      <c r="G724" s="138"/>
      <c r="H724" s="138"/>
      <c r="I724" s="138"/>
      <c r="J724" s="138"/>
      <c r="K724" s="138"/>
    </row>
    <row r="725" spans="1:11" ht="20.25">
      <c r="A725" s="138"/>
      <c r="B725" s="138"/>
      <c r="C725" s="138"/>
      <c r="D725" s="138"/>
      <c r="E725" s="138"/>
      <c r="F725" s="138"/>
      <c r="G725" s="138"/>
      <c r="H725" s="138"/>
      <c r="I725" s="138"/>
      <c r="J725" s="138"/>
      <c r="K725" s="138"/>
    </row>
    <row r="726" spans="1:11" ht="20.25">
      <c r="A726" s="138"/>
      <c r="B726" s="138"/>
      <c r="C726" s="138"/>
      <c r="D726" s="138"/>
      <c r="E726" s="138"/>
      <c r="F726" s="138"/>
      <c r="G726" s="138"/>
      <c r="H726" s="138"/>
      <c r="I726" s="138"/>
      <c r="J726" s="138"/>
      <c r="K726" s="138"/>
    </row>
    <row r="727" spans="1:11" ht="20.25">
      <c r="A727" s="138"/>
      <c r="B727" s="138"/>
      <c r="C727" s="138"/>
      <c r="D727" s="138"/>
      <c r="E727" s="138"/>
      <c r="F727" s="138"/>
      <c r="G727" s="138"/>
      <c r="H727" s="138"/>
      <c r="I727" s="138"/>
      <c r="J727" s="138"/>
      <c r="K727" s="138"/>
    </row>
    <row r="728" spans="1:11" ht="20.25">
      <c r="A728" s="138"/>
      <c r="B728" s="138"/>
      <c r="C728" s="138"/>
      <c r="D728" s="138"/>
      <c r="E728" s="138"/>
      <c r="F728" s="138"/>
      <c r="G728" s="138"/>
      <c r="H728" s="138"/>
      <c r="I728" s="138"/>
      <c r="J728" s="138"/>
      <c r="K728" s="138"/>
    </row>
    <row r="729" spans="1:11" ht="20.25">
      <c r="A729" s="138"/>
      <c r="B729" s="138"/>
      <c r="C729" s="138"/>
      <c r="D729" s="138"/>
      <c r="E729" s="138"/>
      <c r="F729" s="138"/>
      <c r="G729" s="138"/>
      <c r="H729" s="138"/>
      <c r="I729" s="138"/>
      <c r="J729" s="138"/>
      <c r="K729" s="138"/>
    </row>
    <row r="730" spans="1:11" ht="20.25">
      <c r="A730" s="138"/>
      <c r="B730" s="138"/>
      <c r="C730" s="138"/>
      <c r="D730" s="138"/>
      <c r="E730" s="138"/>
      <c r="F730" s="138"/>
      <c r="G730" s="138"/>
      <c r="H730" s="138"/>
      <c r="I730" s="138"/>
      <c r="J730" s="138"/>
      <c r="K730" s="138"/>
    </row>
    <row r="731" spans="1:11" ht="20.25">
      <c r="A731" s="138"/>
      <c r="B731" s="138"/>
      <c r="C731" s="138"/>
      <c r="D731" s="138"/>
      <c r="E731" s="138"/>
      <c r="F731" s="138"/>
      <c r="G731" s="138"/>
      <c r="H731" s="138"/>
      <c r="I731" s="138"/>
      <c r="J731" s="138"/>
      <c r="K731" s="138"/>
    </row>
    <row r="732" spans="1:11" ht="20.25">
      <c r="A732" s="138"/>
      <c r="B732" s="138"/>
      <c r="C732" s="138"/>
      <c r="D732" s="138"/>
      <c r="E732" s="138"/>
      <c r="F732" s="138"/>
      <c r="G732" s="138"/>
      <c r="H732" s="138"/>
      <c r="I732" s="138"/>
      <c r="J732" s="138"/>
      <c r="K732" s="138"/>
    </row>
    <row r="733" spans="1:11" ht="20.25">
      <c r="A733" s="138"/>
      <c r="B733" s="138"/>
      <c r="C733" s="138"/>
      <c r="D733" s="138"/>
      <c r="E733" s="138"/>
      <c r="F733" s="138"/>
      <c r="G733" s="138"/>
      <c r="H733" s="138"/>
      <c r="I733" s="138"/>
      <c r="J733" s="138"/>
      <c r="K733" s="138"/>
    </row>
    <row r="734" spans="1:11" ht="20.25">
      <c r="A734" s="138"/>
      <c r="B734" s="138"/>
      <c r="C734" s="138"/>
      <c r="D734" s="138"/>
      <c r="E734" s="138"/>
      <c r="F734" s="138"/>
      <c r="G734" s="138"/>
      <c r="H734" s="138"/>
      <c r="I734" s="138"/>
      <c r="J734" s="138"/>
      <c r="K734" s="138"/>
    </row>
    <row r="735" spans="1:11" ht="20.25">
      <c r="A735" s="138"/>
      <c r="B735" s="138"/>
      <c r="C735" s="138"/>
      <c r="D735" s="138"/>
      <c r="E735" s="138"/>
      <c r="F735" s="138"/>
      <c r="G735" s="138"/>
      <c r="H735" s="138"/>
      <c r="I735" s="138"/>
      <c r="J735" s="138"/>
      <c r="K735" s="138"/>
    </row>
    <row r="736" spans="1:11" ht="20.25">
      <c r="A736" s="138"/>
      <c r="B736" s="138"/>
      <c r="C736" s="138"/>
      <c r="D736" s="138"/>
      <c r="E736" s="138"/>
      <c r="F736" s="138"/>
      <c r="G736" s="138"/>
      <c r="H736" s="138"/>
      <c r="I736" s="138"/>
      <c r="J736" s="138"/>
      <c r="K736" s="138"/>
    </row>
    <row r="737" spans="1:11" ht="20.25">
      <c r="A737" s="138"/>
      <c r="B737" s="138"/>
      <c r="C737" s="138"/>
      <c r="D737" s="138"/>
      <c r="E737" s="138"/>
      <c r="F737" s="138"/>
      <c r="G737" s="138"/>
      <c r="H737" s="138"/>
      <c r="I737" s="138"/>
      <c r="J737" s="138"/>
      <c r="K737" s="138"/>
    </row>
    <row r="738" spans="1:11" ht="20.25">
      <c r="A738" s="138"/>
      <c r="B738" s="138"/>
      <c r="C738" s="138"/>
      <c r="D738" s="138"/>
      <c r="E738" s="138"/>
      <c r="F738" s="138"/>
      <c r="G738" s="138"/>
      <c r="H738" s="138"/>
      <c r="I738" s="138"/>
      <c r="J738" s="138"/>
      <c r="K738" s="138"/>
    </row>
    <row r="739" spans="1:11" ht="20.25">
      <c r="A739" s="138"/>
      <c r="B739" s="138"/>
      <c r="C739" s="138"/>
      <c r="D739" s="138"/>
      <c r="E739" s="138"/>
      <c r="F739" s="138"/>
      <c r="G739" s="138"/>
      <c r="H739" s="138"/>
      <c r="I739" s="138"/>
      <c r="J739" s="138"/>
      <c r="K739" s="138"/>
    </row>
    <row r="740" spans="1:11" ht="20.25">
      <c r="A740" s="138"/>
      <c r="B740" s="138"/>
      <c r="C740" s="138"/>
      <c r="D740" s="138"/>
      <c r="E740" s="138"/>
      <c r="F740" s="138"/>
      <c r="G740" s="138"/>
      <c r="H740" s="138"/>
      <c r="I740" s="138"/>
      <c r="J740" s="138"/>
      <c r="K740" s="138"/>
    </row>
    <row r="741" spans="1:11" ht="20.25">
      <c r="A741" s="138"/>
      <c r="B741" s="138"/>
      <c r="C741" s="138"/>
      <c r="D741" s="138"/>
      <c r="E741" s="138"/>
      <c r="F741" s="138"/>
      <c r="G741" s="138"/>
      <c r="H741" s="138"/>
      <c r="I741" s="138"/>
      <c r="J741" s="138"/>
      <c r="K741" s="138"/>
    </row>
    <row r="742" spans="1:11" ht="20.25">
      <c r="A742" s="138"/>
      <c r="B742" s="138"/>
      <c r="C742" s="138"/>
      <c r="D742" s="138"/>
      <c r="E742" s="138"/>
      <c r="F742" s="138"/>
      <c r="G742" s="138"/>
      <c r="H742" s="138"/>
      <c r="I742" s="138"/>
      <c r="J742" s="138"/>
      <c r="K742" s="138"/>
    </row>
    <row r="743" spans="1:11" ht="20.25">
      <c r="A743" s="138"/>
      <c r="B743" s="138"/>
      <c r="C743" s="138"/>
      <c r="D743" s="138"/>
      <c r="E743" s="138"/>
      <c r="F743" s="138"/>
      <c r="G743" s="138"/>
      <c r="H743" s="138"/>
      <c r="I743" s="138"/>
      <c r="J743" s="138"/>
      <c r="K743" s="138"/>
    </row>
    <row r="744" spans="1:11" ht="20.25">
      <c r="A744" s="138"/>
      <c r="B744" s="138"/>
      <c r="C744" s="138"/>
      <c r="D744" s="138"/>
      <c r="E744" s="138"/>
      <c r="F744" s="138"/>
      <c r="G744" s="138"/>
      <c r="H744" s="138"/>
      <c r="I744" s="138"/>
      <c r="J744" s="138"/>
      <c r="K744" s="138"/>
    </row>
    <row r="745" spans="1:11" ht="20.25">
      <c r="A745" s="138"/>
      <c r="B745" s="138"/>
      <c r="C745" s="138"/>
      <c r="D745" s="138"/>
      <c r="E745" s="138"/>
      <c r="F745" s="138"/>
      <c r="G745" s="138"/>
      <c r="H745" s="138"/>
      <c r="I745" s="138"/>
      <c r="J745" s="138"/>
      <c r="K745" s="138"/>
    </row>
    <row r="746" spans="1:11" ht="20.25">
      <c r="A746" s="138"/>
      <c r="B746" s="138"/>
      <c r="C746" s="138"/>
      <c r="D746" s="138"/>
      <c r="E746" s="138"/>
      <c r="F746" s="138"/>
      <c r="G746" s="138"/>
      <c r="H746" s="138"/>
      <c r="I746" s="138"/>
      <c r="J746" s="138"/>
      <c r="K746" s="138"/>
    </row>
    <row r="747" spans="1:11" ht="20.25">
      <c r="A747" s="138"/>
      <c r="B747" s="138"/>
      <c r="C747" s="138"/>
      <c r="D747" s="138"/>
      <c r="E747" s="138"/>
      <c r="F747" s="138"/>
      <c r="G747" s="138"/>
      <c r="H747" s="138"/>
      <c r="I747" s="138"/>
      <c r="J747" s="138"/>
      <c r="K747" s="138"/>
    </row>
    <row r="748" spans="1:11" ht="20.25">
      <c r="A748" s="138"/>
      <c r="B748" s="138"/>
      <c r="C748" s="138"/>
      <c r="D748" s="138"/>
      <c r="E748" s="138"/>
      <c r="F748" s="138"/>
      <c r="G748" s="138"/>
      <c r="H748" s="138"/>
      <c r="I748" s="138"/>
      <c r="J748" s="138"/>
      <c r="K748" s="138"/>
    </row>
    <row r="749" spans="1:11" ht="20.25">
      <c r="A749" s="138"/>
      <c r="B749" s="138"/>
      <c r="C749" s="138"/>
      <c r="D749" s="138"/>
      <c r="E749" s="138"/>
      <c r="F749" s="138"/>
      <c r="G749" s="138"/>
      <c r="H749" s="138"/>
      <c r="I749" s="138"/>
      <c r="J749" s="138"/>
      <c r="K749" s="138"/>
    </row>
    <row r="750" spans="1:11" ht="20.25">
      <c r="A750" s="138"/>
      <c r="B750" s="138"/>
      <c r="C750" s="138"/>
      <c r="D750" s="138"/>
      <c r="E750" s="138"/>
      <c r="F750" s="138"/>
      <c r="G750" s="138"/>
      <c r="H750" s="138"/>
      <c r="I750" s="138"/>
      <c r="J750" s="138"/>
      <c r="K750" s="138"/>
    </row>
    <row r="751" spans="1:11" ht="20.25">
      <c r="A751" s="138"/>
      <c r="B751" s="138"/>
      <c r="C751" s="138"/>
      <c r="D751" s="138"/>
      <c r="E751" s="138"/>
      <c r="F751" s="138"/>
      <c r="G751" s="138"/>
      <c r="H751" s="138"/>
      <c r="I751" s="138"/>
      <c r="J751" s="138"/>
      <c r="K751" s="138"/>
    </row>
    <row r="752" spans="1:11" ht="20.25">
      <c r="A752" s="138"/>
      <c r="B752" s="138"/>
      <c r="C752" s="138"/>
      <c r="D752" s="138"/>
      <c r="E752" s="138"/>
      <c r="F752" s="138"/>
      <c r="G752" s="138"/>
      <c r="H752" s="138"/>
      <c r="I752" s="138"/>
      <c r="J752" s="138"/>
      <c r="K752" s="138"/>
    </row>
    <row r="753" spans="1:11" ht="20.25">
      <c r="A753" s="138"/>
      <c r="B753" s="138"/>
      <c r="C753" s="138"/>
      <c r="D753" s="138"/>
      <c r="E753" s="138"/>
      <c r="F753" s="138"/>
      <c r="G753" s="138"/>
      <c r="H753" s="138"/>
      <c r="I753" s="138"/>
      <c r="J753" s="138"/>
      <c r="K753" s="138"/>
    </row>
    <row r="754" spans="1:11" ht="20.25">
      <c r="A754" s="138"/>
      <c r="B754" s="138"/>
      <c r="C754" s="138"/>
      <c r="D754" s="138"/>
      <c r="E754" s="138"/>
      <c r="F754" s="138"/>
      <c r="G754" s="138"/>
      <c r="H754" s="138"/>
      <c r="I754" s="138"/>
      <c r="J754" s="138"/>
      <c r="K754" s="138"/>
    </row>
    <row r="755" spans="1:11" ht="20.25">
      <c r="A755" s="138"/>
      <c r="B755" s="138"/>
      <c r="C755" s="138"/>
      <c r="D755" s="138"/>
      <c r="E755" s="138"/>
      <c r="F755" s="138"/>
      <c r="G755" s="138"/>
      <c r="H755" s="138"/>
      <c r="I755" s="138"/>
      <c r="J755" s="138"/>
      <c r="K755" s="138"/>
    </row>
    <row r="756" spans="1:11" ht="20.25">
      <c r="A756" s="138"/>
      <c r="B756" s="138"/>
      <c r="C756" s="138"/>
      <c r="D756" s="138"/>
      <c r="E756" s="138"/>
      <c r="F756" s="138"/>
      <c r="G756" s="138"/>
      <c r="H756" s="138"/>
      <c r="I756" s="138"/>
      <c r="J756" s="138"/>
      <c r="K756" s="138"/>
    </row>
    <row r="757" spans="1:11" ht="20.25">
      <c r="A757" s="138"/>
      <c r="B757" s="138"/>
      <c r="C757" s="138"/>
      <c r="D757" s="138"/>
      <c r="E757" s="138"/>
      <c r="F757" s="138"/>
      <c r="G757" s="138"/>
      <c r="H757" s="138"/>
      <c r="I757" s="138"/>
      <c r="J757" s="138"/>
      <c r="K757" s="138"/>
    </row>
    <row r="758" spans="1:11" ht="20.25">
      <c r="A758" s="138"/>
      <c r="B758" s="138"/>
      <c r="C758" s="138"/>
      <c r="D758" s="138"/>
      <c r="E758" s="138"/>
      <c r="F758" s="138"/>
      <c r="G758" s="138"/>
      <c r="H758" s="138"/>
      <c r="I758" s="138"/>
      <c r="J758" s="138"/>
      <c r="K758" s="138"/>
    </row>
    <row r="759" spans="1:11" ht="20.25">
      <c r="A759" s="138"/>
      <c r="B759" s="138"/>
      <c r="C759" s="138"/>
      <c r="D759" s="138"/>
      <c r="E759" s="138"/>
      <c r="F759" s="138"/>
      <c r="G759" s="138"/>
      <c r="H759" s="138"/>
      <c r="I759" s="138"/>
      <c r="J759" s="138"/>
      <c r="K759" s="138"/>
    </row>
    <row r="760" spans="1:11" ht="20.25">
      <c r="A760" s="138"/>
      <c r="B760" s="138"/>
      <c r="C760" s="138"/>
      <c r="D760" s="138"/>
      <c r="E760" s="138"/>
      <c r="F760" s="138"/>
      <c r="G760" s="138"/>
      <c r="H760" s="138"/>
      <c r="I760" s="138"/>
      <c r="J760" s="138"/>
      <c r="K760" s="138"/>
    </row>
    <row r="761" spans="1:11" ht="20.25">
      <c r="A761" s="138"/>
      <c r="B761" s="138"/>
      <c r="C761" s="138"/>
      <c r="D761" s="138"/>
      <c r="E761" s="138"/>
      <c r="F761" s="138"/>
      <c r="G761" s="138"/>
      <c r="H761" s="138"/>
      <c r="I761" s="138"/>
      <c r="J761" s="138"/>
      <c r="K761" s="138"/>
    </row>
    <row r="762" spans="1:11" ht="20.25">
      <c r="A762" s="138"/>
      <c r="B762" s="138"/>
      <c r="C762" s="138"/>
      <c r="D762" s="138"/>
      <c r="E762" s="138"/>
      <c r="F762" s="138"/>
      <c r="G762" s="138"/>
      <c r="H762" s="138"/>
      <c r="I762" s="138"/>
      <c r="J762" s="138"/>
      <c r="K762" s="138"/>
    </row>
    <row r="763" spans="1:11" ht="20.25">
      <c r="A763" s="138"/>
      <c r="B763" s="138"/>
      <c r="C763" s="138"/>
      <c r="D763" s="138"/>
      <c r="E763" s="138"/>
      <c r="F763" s="138"/>
      <c r="G763" s="138"/>
      <c r="H763" s="138"/>
      <c r="I763" s="138"/>
      <c r="J763" s="138"/>
      <c r="K763" s="138"/>
    </row>
    <row r="764" spans="1:11" ht="20.25">
      <c r="A764" s="138"/>
      <c r="B764" s="138"/>
      <c r="C764" s="138"/>
      <c r="D764" s="138"/>
      <c r="E764" s="138"/>
      <c r="F764" s="138"/>
      <c r="G764" s="138"/>
      <c r="H764" s="138"/>
      <c r="I764" s="138"/>
      <c r="J764" s="138"/>
      <c r="K764" s="138"/>
    </row>
    <row r="765" spans="1:11" ht="20.25">
      <c r="A765" s="138"/>
      <c r="B765" s="138"/>
      <c r="C765" s="138"/>
      <c r="D765" s="138"/>
      <c r="E765" s="138"/>
      <c r="F765" s="138"/>
      <c r="G765" s="138"/>
      <c r="H765" s="138"/>
      <c r="I765" s="138"/>
      <c r="J765" s="138"/>
      <c r="K765" s="138"/>
    </row>
    <row r="766" spans="1:11" ht="20.25">
      <c r="A766" s="138"/>
      <c r="B766" s="138"/>
      <c r="C766" s="138"/>
      <c r="D766" s="138"/>
      <c r="E766" s="138"/>
      <c r="F766" s="138"/>
      <c r="G766" s="138"/>
      <c r="H766" s="138"/>
      <c r="I766" s="138"/>
      <c r="J766" s="138"/>
      <c r="K766" s="138"/>
    </row>
    <row r="767" spans="1:11" ht="20.25">
      <c r="A767" s="138"/>
      <c r="B767" s="138"/>
      <c r="C767" s="138"/>
      <c r="D767" s="138"/>
      <c r="E767" s="138"/>
      <c r="F767" s="138"/>
      <c r="G767" s="138"/>
      <c r="H767" s="138"/>
      <c r="I767" s="138"/>
      <c r="J767" s="138"/>
      <c r="K767" s="138"/>
    </row>
    <row r="768" spans="1:11" ht="20.25">
      <c r="A768" s="138"/>
      <c r="B768" s="138"/>
      <c r="C768" s="138"/>
      <c r="D768" s="138"/>
      <c r="E768" s="138"/>
      <c r="F768" s="138"/>
      <c r="G768" s="138"/>
      <c r="H768" s="138"/>
      <c r="I768" s="138"/>
      <c r="J768" s="138"/>
      <c r="K768" s="138"/>
    </row>
    <row r="769" spans="1:11" ht="20.25">
      <c r="A769" s="138"/>
      <c r="B769" s="138"/>
      <c r="C769" s="138"/>
      <c r="D769" s="138"/>
      <c r="E769" s="138"/>
      <c r="F769" s="138"/>
      <c r="G769" s="138"/>
      <c r="H769" s="138"/>
      <c r="I769" s="138"/>
      <c r="J769" s="138"/>
      <c r="K769" s="138"/>
    </row>
    <row r="770" spans="1:11" ht="20.25">
      <c r="A770" s="138"/>
      <c r="B770" s="138"/>
      <c r="C770" s="138"/>
      <c r="D770" s="138"/>
      <c r="E770" s="138"/>
      <c r="F770" s="138"/>
      <c r="G770" s="138"/>
      <c r="H770" s="138"/>
      <c r="I770" s="138"/>
      <c r="J770" s="138"/>
      <c r="K770" s="138"/>
    </row>
    <row r="771" spans="1:11" ht="20.25">
      <c r="A771" s="138"/>
      <c r="B771" s="138"/>
      <c r="C771" s="138"/>
      <c r="D771" s="138"/>
      <c r="E771" s="138"/>
      <c r="F771" s="138"/>
      <c r="G771" s="138"/>
      <c r="H771" s="138"/>
      <c r="I771" s="138"/>
      <c r="J771" s="138"/>
      <c r="K771" s="138"/>
    </row>
  </sheetData>
  <protectedRanges>
    <protectedRange sqref="A1:K9 A13:K59" name="区域1"/>
  </protectedRanges>
  <mergeCells count="112">
    <mergeCell ref="F2:K2"/>
    <mergeCell ref="A3:K3"/>
    <mergeCell ref="A4:B4"/>
    <mergeCell ref="C4:E4"/>
    <mergeCell ref="F4:G4"/>
    <mergeCell ref="H4:I4"/>
    <mergeCell ref="B8:D8"/>
    <mergeCell ref="E8:G8"/>
    <mergeCell ref="H8:K8"/>
    <mergeCell ref="H9:I9"/>
    <mergeCell ref="A5:B5"/>
    <mergeCell ref="C5:E5"/>
    <mergeCell ref="F5:G5"/>
    <mergeCell ref="H5:I5"/>
    <mergeCell ref="A6:B6"/>
    <mergeCell ref="C6:I6"/>
    <mergeCell ref="H10:K10"/>
    <mergeCell ref="H14:I14"/>
    <mergeCell ref="J14:K14"/>
    <mergeCell ref="H15:I15"/>
    <mergeCell ref="J15:K15"/>
    <mergeCell ref="H16:I16"/>
    <mergeCell ref="J16:K16"/>
    <mergeCell ref="H12:I12"/>
    <mergeCell ref="J12:K12"/>
    <mergeCell ref="H13:I13"/>
    <mergeCell ref="J13:K13"/>
    <mergeCell ref="H11:K11"/>
    <mergeCell ref="H20:I20"/>
    <mergeCell ref="J20:K20"/>
    <mergeCell ref="H21:I21"/>
    <mergeCell ref="J21:K21"/>
    <mergeCell ref="H22:I22"/>
    <mergeCell ref="J22:K22"/>
    <mergeCell ref="H17:I17"/>
    <mergeCell ref="J17:K17"/>
    <mergeCell ref="H18:I18"/>
    <mergeCell ref="J18:K18"/>
    <mergeCell ref="H19:I19"/>
    <mergeCell ref="J19:K19"/>
    <mergeCell ref="H26:I26"/>
    <mergeCell ref="J26:K26"/>
    <mergeCell ref="H27:I27"/>
    <mergeCell ref="J27:K27"/>
    <mergeCell ref="H28:I28"/>
    <mergeCell ref="J28:K28"/>
    <mergeCell ref="H23:I23"/>
    <mergeCell ref="J23:K23"/>
    <mergeCell ref="H24:I24"/>
    <mergeCell ref="J24:K24"/>
    <mergeCell ref="H25:I25"/>
    <mergeCell ref="J25:K25"/>
    <mergeCell ref="H32:I32"/>
    <mergeCell ref="J32:K32"/>
    <mergeCell ref="H33:I33"/>
    <mergeCell ref="J33:K33"/>
    <mergeCell ref="H34:I34"/>
    <mergeCell ref="J34:K34"/>
    <mergeCell ref="H29:I29"/>
    <mergeCell ref="J29:K29"/>
    <mergeCell ref="H30:I30"/>
    <mergeCell ref="J30:K30"/>
    <mergeCell ref="H31:I31"/>
    <mergeCell ref="J31:K31"/>
    <mergeCell ref="H38:I38"/>
    <mergeCell ref="J38:K38"/>
    <mergeCell ref="H39:I39"/>
    <mergeCell ref="J39:K39"/>
    <mergeCell ref="H40:I40"/>
    <mergeCell ref="J40:K40"/>
    <mergeCell ref="H35:I35"/>
    <mergeCell ref="J35:K35"/>
    <mergeCell ref="H36:I36"/>
    <mergeCell ref="J36:K36"/>
    <mergeCell ref="H37:I37"/>
    <mergeCell ref="J37:K37"/>
    <mergeCell ref="H44:I44"/>
    <mergeCell ref="J44:K44"/>
    <mergeCell ref="H45:I45"/>
    <mergeCell ref="J45:K45"/>
    <mergeCell ref="H46:I46"/>
    <mergeCell ref="J46:K46"/>
    <mergeCell ref="H41:I41"/>
    <mergeCell ref="J41:K41"/>
    <mergeCell ref="H42:I42"/>
    <mergeCell ref="J42:K42"/>
    <mergeCell ref="H43:I43"/>
    <mergeCell ref="J43:K43"/>
    <mergeCell ref="A50:A51"/>
    <mergeCell ref="B50:B51"/>
    <mergeCell ref="C50:C51"/>
    <mergeCell ref="D50:D51"/>
    <mergeCell ref="H50:I50"/>
    <mergeCell ref="J50:K50"/>
    <mergeCell ref="H51:I51"/>
    <mergeCell ref="J51:K51"/>
    <mergeCell ref="H47:I47"/>
    <mergeCell ref="J47:K47"/>
    <mergeCell ref="H48:I48"/>
    <mergeCell ref="J48:K48"/>
    <mergeCell ref="H49:I49"/>
    <mergeCell ref="J49:K49"/>
    <mergeCell ref="A56:K56"/>
    <mergeCell ref="B58:C58"/>
    <mergeCell ref="F58:G58"/>
    <mergeCell ref="B59:C59"/>
    <mergeCell ref="H52:I52"/>
    <mergeCell ref="J52:K52"/>
    <mergeCell ref="H53:I53"/>
    <mergeCell ref="J53:K53"/>
    <mergeCell ref="A54:K54"/>
    <mergeCell ref="B55:I55"/>
  </mergeCells>
  <phoneticPr fontId="49" type="noConversion"/>
  <dataValidations count="3">
    <dataValidation type="list" allowBlank="1" showInputMessage="1" showErrorMessage="1" sqref="F4:G4 JB4:JC4 SX4:SY4 ACT4:ACU4 AMP4:AMQ4 AWL4:AWM4 BGH4:BGI4 BQD4:BQE4 BZZ4:CAA4 CJV4:CJW4 CTR4:CTS4 DDN4:DDO4 DNJ4:DNK4 DXF4:DXG4 EHB4:EHC4 EQX4:EQY4 FAT4:FAU4 FKP4:FKQ4 FUL4:FUM4 GEH4:GEI4 GOD4:GOE4 GXZ4:GYA4 HHV4:HHW4 HRR4:HRS4 IBN4:IBO4 ILJ4:ILK4 IVF4:IVG4 JFB4:JFC4 JOX4:JOY4 JYT4:JYU4 KIP4:KIQ4 KSL4:KSM4 LCH4:LCI4 LMD4:LME4 LVZ4:LWA4 MFV4:MFW4 MPR4:MPS4 MZN4:MZO4 NJJ4:NJK4 NTF4:NTG4 ODB4:ODC4 OMX4:OMY4 OWT4:OWU4 PGP4:PGQ4 PQL4:PQM4 QAH4:QAI4 QKD4:QKE4 QTZ4:QUA4 RDV4:RDW4 RNR4:RNS4 RXN4:RXO4 SHJ4:SHK4 SRF4:SRG4 TBB4:TBC4 TKX4:TKY4 TUT4:TUU4 UEP4:UEQ4 UOL4:UOM4 UYH4:UYI4 VID4:VIE4 VRZ4:VSA4 WBV4:WBW4 WLR4:WLS4 WVN4:WVO4 F65540:G65540 JB65540:JC65540 SX65540:SY65540 ACT65540:ACU65540 AMP65540:AMQ65540 AWL65540:AWM65540 BGH65540:BGI65540 BQD65540:BQE65540 BZZ65540:CAA65540 CJV65540:CJW65540 CTR65540:CTS65540 DDN65540:DDO65540 DNJ65540:DNK65540 DXF65540:DXG65540 EHB65540:EHC65540 EQX65540:EQY65540 FAT65540:FAU65540 FKP65540:FKQ65540 FUL65540:FUM65540 GEH65540:GEI65540 GOD65540:GOE65540 GXZ65540:GYA65540 HHV65540:HHW65540 HRR65540:HRS65540 IBN65540:IBO65540 ILJ65540:ILK65540 IVF65540:IVG65540 JFB65540:JFC65540 JOX65540:JOY65540 JYT65540:JYU65540 KIP65540:KIQ65540 KSL65540:KSM65540 LCH65540:LCI65540 LMD65540:LME65540 LVZ65540:LWA65540 MFV65540:MFW65540 MPR65540:MPS65540 MZN65540:MZO65540 NJJ65540:NJK65540 NTF65540:NTG65540 ODB65540:ODC65540 OMX65540:OMY65540 OWT65540:OWU65540 PGP65540:PGQ65540 PQL65540:PQM65540 QAH65540:QAI65540 QKD65540:QKE65540 QTZ65540:QUA65540 RDV65540:RDW65540 RNR65540:RNS65540 RXN65540:RXO65540 SHJ65540:SHK65540 SRF65540:SRG65540 TBB65540:TBC65540 TKX65540:TKY65540 TUT65540:TUU65540 UEP65540:UEQ65540 UOL65540:UOM65540 UYH65540:UYI65540 VID65540:VIE65540 VRZ65540:VSA65540 WBV65540:WBW65540 WLR65540:WLS65540 WVN65540:WVO65540 F131076:G131076 JB131076:JC131076 SX131076:SY131076 ACT131076:ACU131076 AMP131076:AMQ131076 AWL131076:AWM131076 BGH131076:BGI131076 BQD131076:BQE131076 BZZ131076:CAA131076 CJV131076:CJW131076 CTR131076:CTS131076 DDN131076:DDO131076 DNJ131076:DNK131076 DXF131076:DXG131076 EHB131076:EHC131076 EQX131076:EQY131076 FAT131076:FAU131076 FKP131076:FKQ131076 FUL131076:FUM131076 GEH131076:GEI131076 GOD131076:GOE131076 GXZ131076:GYA131076 HHV131076:HHW131076 HRR131076:HRS131076 IBN131076:IBO131076 ILJ131076:ILK131076 IVF131076:IVG131076 JFB131076:JFC131076 JOX131076:JOY131076 JYT131076:JYU131076 KIP131076:KIQ131076 KSL131076:KSM131076 LCH131076:LCI131076 LMD131076:LME131076 LVZ131076:LWA131076 MFV131076:MFW131076 MPR131076:MPS131076 MZN131076:MZO131076 NJJ131076:NJK131076 NTF131076:NTG131076 ODB131076:ODC131076 OMX131076:OMY131076 OWT131076:OWU131076 PGP131076:PGQ131076 PQL131076:PQM131076 QAH131076:QAI131076 QKD131076:QKE131076 QTZ131076:QUA131076 RDV131076:RDW131076 RNR131076:RNS131076 RXN131076:RXO131076 SHJ131076:SHK131076 SRF131076:SRG131076 TBB131076:TBC131076 TKX131076:TKY131076 TUT131076:TUU131076 UEP131076:UEQ131076 UOL131076:UOM131076 UYH131076:UYI131076 VID131076:VIE131076 VRZ131076:VSA131076 WBV131076:WBW131076 WLR131076:WLS131076 WVN131076:WVO131076 F196612:G196612 JB196612:JC196612 SX196612:SY196612 ACT196612:ACU196612 AMP196612:AMQ196612 AWL196612:AWM196612 BGH196612:BGI196612 BQD196612:BQE196612 BZZ196612:CAA196612 CJV196612:CJW196612 CTR196612:CTS196612 DDN196612:DDO196612 DNJ196612:DNK196612 DXF196612:DXG196612 EHB196612:EHC196612 EQX196612:EQY196612 FAT196612:FAU196612 FKP196612:FKQ196612 FUL196612:FUM196612 GEH196612:GEI196612 GOD196612:GOE196612 GXZ196612:GYA196612 HHV196612:HHW196612 HRR196612:HRS196612 IBN196612:IBO196612 ILJ196612:ILK196612 IVF196612:IVG196612 JFB196612:JFC196612 JOX196612:JOY196612 JYT196612:JYU196612 KIP196612:KIQ196612 KSL196612:KSM196612 LCH196612:LCI196612 LMD196612:LME196612 LVZ196612:LWA196612 MFV196612:MFW196612 MPR196612:MPS196612 MZN196612:MZO196612 NJJ196612:NJK196612 NTF196612:NTG196612 ODB196612:ODC196612 OMX196612:OMY196612 OWT196612:OWU196612 PGP196612:PGQ196612 PQL196612:PQM196612 QAH196612:QAI196612 QKD196612:QKE196612 QTZ196612:QUA196612 RDV196612:RDW196612 RNR196612:RNS196612 RXN196612:RXO196612 SHJ196612:SHK196612 SRF196612:SRG196612 TBB196612:TBC196612 TKX196612:TKY196612 TUT196612:TUU196612 UEP196612:UEQ196612 UOL196612:UOM196612 UYH196612:UYI196612 VID196612:VIE196612 VRZ196612:VSA196612 WBV196612:WBW196612 WLR196612:WLS196612 WVN196612:WVO196612 F262148:G262148 JB262148:JC262148 SX262148:SY262148 ACT262148:ACU262148 AMP262148:AMQ262148 AWL262148:AWM262148 BGH262148:BGI262148 BQD262148:BQE262148 BZZ262148:CAA262148 CJV262148:CJW262148 CTR262148:CTS262148 DDN262148:DDO262148 DNJ262148:DNK262148 DXF262148:DXG262148 EHB262148:EHC262148 EQX262148:EQY262148 FAT262148:FAU262148 FKP262148:FKQ262148 FUL262148:FUM262148 GEH262148:GEI262148 GOD262148:GOE262148 GXZ262148:GYA262148 HHV262148:HHW262148 HRR262148:HRS262148 IBN262148:IBO262148 ILJ262148:ILK262148 IVF262148:IVG262148 JFB262148:JFC262148 JOX262148:JOY262148 JYT262148:JYU262148 KIP262148:KIQ262148 KSL262148:KSM262148 LCH262148:LCI262148 LMD262148:LME262148 LVZ262148:LWA262148 MFV262148:MFW262148 MPR262148:MPS262148 MZN262148:MZO262148 NJJ262148:NJK262148 NTF262148:NTG262148 ODB262148:ODC262148 OMX262148:OMY262148 OWT262148:OWU262148 PGP262148:PGQ262148 PQL262148:PQM262148 QAH262148:QAI262148 QKD262148:QKE262148 QTZ262148:QUA262148 RDV262148:RDW262148 RNR262148:RNS262148 RXN262148:RXO262148 SHJ262148:SHK262148 SRF262148:SRG262148 TBB262148:TBC262148 TKX262148:TKY262148 TUT262148:TUU262148 UEP262148:UEQ262148 UOL262148:UOM262148 UYH262148:UYI262148 VID262148:VIE262148 VRZ262148:VSA262148 WBV262148:WBW262148 WLR262148:WLS262148 WVN262148:WVO262148 F327684:G327684 JB327684:JC327684 SX327684:SY327684 ACT327684:ACU327684 AMP327684:AMQ327684 AWL327684:AWM327684 BGH327684:BGI327684 BQD327684:BQE327684 BZZ327684:CAA327684 CJV327684:CJW327684 CTR327684:CTS327684 DDN327684:DDO327684 DNJ327684:DNK327684 DXF327684:DXG327684 EHB327684:EHC327684 EQX327684:EQY327684 FAT327684:FAU327684 FKP327684:FKQ327684 FUL327684:FUM327684 GEH327684:GEI327684 GOD327684:GOE327684 GXZ327684:GYA327684 HHV327684:HHW327684 HRR327684:HRS327684 IBN327684:IBO327684 ILJ327684:ILK327684 IVF327684:IVG327684 JFB327684:JFC327684 JOX327684:JOY327684 JYT327684:JYU327684 KIP327684:KIQ327684 KSL327684:KSM327684 LCH327684:LCI327684 LMD327684:LME327684 LVZ327684:LWA327684 MFV327684:MFW327684 MPR327684:MPS327684 MZN327684:MZO327684 NJJ327684:NJK327684 NTF327684:NTG327684 ODB327684:ODC327684 OMX327684:OMY327684 OWT327684:OWU327684 PGP327684:PGQ327684 PQL327684:PQM327684 QAH327684:QAI327684 QKD327684:QKE327684 QTZ327684:QUA327684 RDV327684:RDW327684 RNR327684:RNS327684 RXN327684:RXO327684 SHJ327684:SHK327684 SRF327684:SRG327684 TBB327684:TBC327684 TKX327684:TKY327684 TUT327684:TUU327684 UEP327684:UEQ327684 UOL327684:UOM327684 UYH327684:UYI327684 VID327684:VIE327684 VRZ327684:VSA327684 WBV327684:WBW327684 WLR327684:WLS327684 WVN327684:WVO327684 F393220:G393220 JB393220:JC393220 SX393220:SY393220 ACT393220:ACU393220 AMP393220:AMQ393220 AWL393220:AWM393220 BGH393220:BGI393220 BQD393220:BQE393220 BZZ393220:CAA393220 CJV393220:CJW393220 CTR393220:CTS393220 DDN393220:DDO393220 DNJ393220:DNK393220 DXF393220:DXG393220 EHB393220:EHC393220 EQX393220:EQY393220 FAT393220:FAU393220 FKP393220:FKQ393220 FUL393220:FUM393220 GEH393220:GEI393220 GOD393220:GOE393220 GXZ393220:GYA393220 HHV393220:HHW393220 HRR393220:HRS393220 IBN393220:IBO393220 ILJ393220:ILK393220 IVF393220:IVG393220 JFB393220:JFC393220 JOX393220:JOY393220 JYT393220:JYU393220 KIP393220:KIQ393220 KSL393220:KSM393220 LCH393220:LCI393220 LMD393220:LME393220 LVZ393220:LWA393220 MFV393220:MFW393220 MPR393220:MPS393220 MZN393220:MZO393220 NJJ393220:NJK393220 NTF393220:NTG393220 ODB393220:ODC393220 OMX393220:OMY393220 OWT393220:OWU393220 PGP393220:PGQ393220 PQL393220:PQM393220 QAH393220:QAI393220 QKD393220:QKE393220 QTZ393220:QUA393220 RDV393220:RDW393220 RNR393220:RNS393220 RXN393220:RXO393220 SHJ393220:SHK393220 SRF393220:SRG393220 TBB393220:TBC393220 TKX393220:TKY393220 TUT393220:TUU393220 UEP393220:UEQ393220 UOL393220:UOM393220 UYH393220:UYI393220 VID393220:VIE393220 VRZ393220:VSA393220 WBV393220:WBW393220 WLR393220:WLS393220 WVN393220:WVO393220 F458756:G458756 JB458756:JC458756 SX458756:SY458756 ACT458756:ACU458756 AMP458756:AMQ458756 AWL458756:AWM458756 BGH458756:BGI458756 BQD458756:BQE458756 BZZ458756:CAA458756 CJV458756:CJW458756 CTR458756:CTS458756 DDN458756:DDO458756 DNJ458756:DNK458756 DXF458756:DXG458756 EHB458756:EHC458756 EQX458756:EQY458756 FAT458756:FAU458756 FKP458756:FKQ458756 FUL458756:FUM458756 GEH458756:GEI458756 GOD458756:GOE458756 GXZ458756:GYA458756 HHV458756:HHW458756 HRR458756:HRS458756 IBN458756:IBO458756 ILJ458756:ILK458756 IVF458756:IVG458756 JFB458756:JFC458756 JOX458756:JOY458756 JYT458756:JYU458756 KIP458756:KIQ458756 KSL458756:KSM458756 LCH458756:LCI458756 LMD458756:LME458756 LVZ458756:LWA458756 MFV458756:MFW458756 MPR458756:MPS458756 MZN458756:MZO458756 NJJ458756:NJK458756 NTF458756:NTG458756 ODB458756:ODC458756 OMX458756:OMY458756 OWT458756:OWU458756 PGP458756:PGQ458756 PQL458756:PQM458756 QAH458756:QAI458756 QKD458756:QKE458756 QTZ458756:QUA458756 RDV458756:RDW458756 RNR458756:RNS458756 RXN458756:RXO458756 SHJ458756:SHK458756 SRF458756:SRG458756 TBB458756:TBC458756 TKX458756:TKY458756 TUT458756:TUU458756 UEP458756:UEQ458756 UOL458756:UOM458756 UYH458756:UYI458756 VID458756:VIE458756 VRZ458756:VSA458756 WBV458756:WBW458756 WLR458756:WLS458756 WVN458756:WVO458756 F524292:G524292 JB524292:JC524292 SX524292:SY524292 ACT524292:ACU524292 AMP524292:AMQ524292 AWL524292:AWM524292 BGH524292:BGI524292 BQD524292:BQE524292 BZZ524292:CAA524292 CJV524292:CJW524292 CTR524292:CTS524292 DDN524292:DDO524292 DNJ524292:DNK524292 DXF524292:DXG524292 EHB524292:EHC524292 EQX524292:EQY524292 FAT524292:FAU524292 FKP524292:FKQ524292 FUL524292:FUM524292 GEH524292:GEI524292 GOD524292:GOE524292 GXZ524292:GYA524292 HHV524292:HHW524292 HRR524292:HRS524292 IBN524292:IBO524292 ILJ524292:ILK524292 IVF524292:IVG524292 JFB524292:JFC524292 JOX524292:JOY524292 JYT524292:JYU524292 KIP524292:KIQ524292 KSL524292:KSM524292 LCH524292:LCI524292 LMD524292:LME524292 LVZ524292:LWA524292 MFV524292:MFW524292 MPR524292:MPS524292 MZN524292:MZO524292 NJJ524292:NJK524292 NTF524292:NTG524292 ODB524292:ODC524292 OMX524292:OMY524292 OWT524292:OWU524292 PGP524292:PGQ524292 PQL524292:PQM524292 QAH524292:QAI524292 QKD524292:QKE524292 QTZ524292:QUA524292 RDV524292:RDW524292 RNR524292:RNS524292 RXN524292:RXO524292 SHJ524292:SHK524292 SRF524292:SRG524292 TBB524292:TBC524292 TKX524292:TKY524292 TUT524292:TUU524292 UEP524292:UEQ524292 UOL524292:UOM524292 UYH524292:UYI524292 VID524292:VIE524292 VRZ524292:VSA524292 WBV524292:WBW524292 WLR524292:WLS524292 WVN524292:WVO524292 F589828:G589828 JB589828:JC589828 SX589828:SY589828 ACT589828:ACU589828 AMP589828:AMQ589828 AWL589828:AWM589828 BGH589828:BGI589828 BQD589828:BQE589828 BZZ589828:CAA589828 CJV589828:CJW589828 CTR589828:CTS589828 DDN589828:DDO589828 DNJ589828:DNK589828 DXF589828:DXG589828 EHB589828:EHC589828 EQX589828:EQY589828 FAT589828:FAU589828 FKP589828:FKQ589828 FUL589828:FUM589828 GEH589828:GEI589828 GOD589828:GOE589828 GXZ589828:GYA589828 HHV589828:HHW589828 HRR589828:HRS589828 IBN589828:IBO589828 ILJ589828:ILK589828 IVF589828:IVG589828 JFB589828:JFC589828 JOX589828:JOY589828 JYT589828:JYU589828 KIP589828:KIQ589828 KSL589828:KSM589828 LCH589828:LCI589828 LMD589828:LME589828 LVZ589828:LWA589828 MFV589828:MFW589828 MPR589828:MPS589828 MZN589828:MZO589828 NJJ589828:NJK589828 NTF589828:NTG589828 ODB589828:ODC589828 OMX589828:OMY589828 OWT589828:OWU589828 PGP589828:PGQ589828 PQL589828:PQM589828 QAH589828:QAI589828 QKD589828:QKE589828 QTZ589828:QUA589828 RDV589828:RDW589828 RNR589828:RNS589828 RXN589828:RXO589828 SHJ589828:SHK589828 SRF589828:SRG589828 TBB589828:TBC589828 TKX589828:TKY589828 TUT589828:TUU589828 UEP589828:UEQ589828 UOL589828:UOM589828 UYH589828:UYI589828 VID589828:VIE589828 VRZ589828:VSA589828 WBV589828:WBW589828 WLR589828:WLS589828 WVN589828:WVO589828 F655364:G655364 JB655364:JC655364 SX655364:SY655364 ACT655364:ACU655364 AMP655364:AMQ655364 AWL655364:AWM655364 BGH655364:BGI655364 BQD655364:BQE655364 BZZ655364:CAA655364 CJV655364:CJW655364 CTR655364:CTS655364 DDN655364:DDO655364 DNJ655364:DNK655364 DXF655364:DXG655364 EHB655364:EHC655364 EQX655364:EQY655364 FAT655364:FAU655364 FKP655364:FKQ655364 FUL655364:FUM655364 GEH655364:GEI655364 GOD655364:GOE655364 GXZ655364:GYA655364 HHV655364:HHW655364 HRR655364:HRS655364 IBN655364:IBO655364 ILJ655364:ILK655364 IVF655364:IVG655364 JFB655364:JFC655364 JOX655364:JOY655364 JYT655364:JYU655364 KIP655364:KIQ655364 KSL655364:KSM655364 LCH655364:LCI655364 LMD655364:LME655364 LVZ655364:LWA655364 MFV655364:MFW655364 MPR655364:MPS655364 MZN655364:MZO655364 NJJ655364:NJK655364 NTF655364:NTG655364 ODB655364:ODC655364 OMX655364:OMY655364 OWT655364:OWU655364 PGP655364:PGQ655364 PQL655364:PQM655364 QAH655364:QAI655364 QKD655364:QKE655364 QTZ655364:QUA655364 RDV655364:RDW655364 RNR655364:RNS655364 RXN655364:RXO655364 SHJ655364:SHK655364 SRF655364:SRG655364 TBB655364:TBC655364 TKX655364:TKY655364 TUT655364:TUU655364 UEP655364:UEQ655364 UOL655364:UOM655364 UYH655364:UYI655364 VID655364:VIE655364 VRZ655364:VSA655364 WBV655364:WBW655364 WLR655364:WLS655364 WVN655364:WVO655364 F720900:G720900 JB720900:JC720900 SX720900:SY720900 ACT720900:ACU720900 AMP720900:AMQ720900 AWL720900:AWM720900 BGH720900:BGI720900 BQD720900:BQE720900 BZZ720900:CAA720900 CJV720900:CJW720900 CTR720900:CTS720900 DDN720900:DDO720900 DNJ720900:DNK720900 DXF720900:DXG720900 EHB720900:EHC720900 EQX720900:EQY720900 FAT720900:FAU720900 FKP720900:FKQ720900 FUL720900:FUM720900 GEH720900:GEI720900 GOD720900:GOE720900 GXZ720900:GYA720900 HHV720900:HHW720900 HRR720900:HRS720900 IBN720900:IBO720900 ILJ720900:ILK720900 IVF720900:IVG720900 JFB720900:JFC720900 JOX720900:JOY720900 JYT720900:JYU720900 KIP720900:KIQ720900 KSL720900:KSM720900 LCH720900:LCI720900 LMD720900:LME720900 LVZ720900:LWA720900 MFV720900:MFW720900 MPR720900:MPS720900 MZN720900:MZO720900 NJJ720900:NJK720900 NTF720900:NTG720900 ODB720900:ODC720900 OMX720900:OMY720900 OWT720900:OWU720900 PGP720900:PGQ720900 PQL720900:PQM720900 QAH720900:QAI720900 QKD720900:QKE720900 QTZ720900:QUA720900 RDV720900:RDW720900 RNR720900:RNS720900 RXN720900:RXO720900 SHJ720900:SHK720900 SRF720900:SRG720900 TBB720900:TBC720900 TKX720900:TKY720900 TUT720900:TUU720900 UEP720900:UEQ720900 UOL720900:UOM720900 UYH720900:UYI720900 VID720900:VIE720900 VRZ720900:VSA720900 WBV720900:WBW720900 WLR720900:WLS720900 WVN720900:WVO720900 F786436:G786436 JB786436:JC786436 SX786436:SY786436 ACT786436:ACU786436 AMP786436:AMQ786436 AWL786436:AWM786436 BGH786436:BGI786436 BQD786436:BQE786436 BZZ786436:CAA786436 CJV786436:CJW786436 CTR786436:CTS786436 DDN786436:DDO786436 DNJ786436:DNK786436 DXF786436:DXG786436 EHB786436:EHC786436 EQX786436:EQY786436 FAT786436:FAU786436 FKP786436:FKQ786436 FUL786436:FUM786436 GEH786436:GEI786436 GOD786436:GOE786436 GXZ786436:GYA786436 HHV786436:HHW786436 HRR786436:HRS786436 IBN786436:IBO786436 ILJ786436:ILK786436 IVF786436:IVG786436 JFB786436:JFC786436 JOX786436:JOY786436 JYT786436:JYU786436 KIP786436:KIQ786436 KSL786436:KSM786436 LCH786436:LCI786436 LMD786436:LME786436 LVZ786436:LWA786436 MFV786436:MFW786436 MPR786436:MPS786436 MZN786436:MZO786436 NJJ786436:NJK786436 NTF786436:NTG786436 ODB786436:ODC786436 OMX786436:OMY786436 OWT786436:OWU786436 PGP786436:PGQ786436 PQL786436:PQM786436 QAH786436:QAI786436 QKD786436:QKE786436 QTZ786436:QUA786436 RDV786436:RDW786436 RNR786436:RNS786436 RXN786436:RXO786436 SHJ786436:SHK786436 SRF786436:SRG786436 TBB786436:TBC786436 TKX786436:TKY786436 TUT786436:TUU786436 UEP786436:UEQ786436 UOL786436:UOM786436 UYH786436:UYI786436 VID786436:VIE786436 VRZ786436:VSA786436 WBV786436:WBW786436 WLR786436:WLS786436 WVN786436:WVO786436 F851972:G851972 JB851972:JC851972 SX851972:SY851972 ACT851972:ACU851972 AMP851972:AMQ851972 AWL851972:AWM851972 BGH851972:BGI851972 BQD851972:BQE851972 BZZ851972:CAA851972 CJV851972:CJW851972 CTR851972:CTS851972 DDN851972:DDO851972 DNJ851972:DNK851972 DXF851972:DXG851972 EHB851972:EHC851972 EQX851972:EQY851972 FAT851972:FAU851972 FKP851972:FKQ851972 FUL851972:FUM851972 GEH851972:GEI851972 GOD851972:GOE851972 GXZ851972:GYA851972 HHV851972:HHW851972 HRR851972:HRS851972 IBN851972:IBO851972 ILJ851972:ILK851972 IVF851972:IVG851972 JFB851972:JFC851972 JOX851972:JOY851972 JYT851972:JYU851972 KIP851972:KIQ851972 KSL851972:KSM851972 LCH851972:LCI851972 LMD851972:LME851972 LVZ851972:LWA851972 MFV851972:MFW851972 MPR851972:MPS851972 MZN851972:MZO851972 NJJ851972:NJK851972 NTF851972:NTG851972 ODB851972:ODC851972 OMX851972:OMY851972 OWT851972:OWU851972 PGP851972:PGQ851972 PQL851972:PQM851972 QAH851972:QAI851972 QKD851972:QKE851972 QTZ851972:QUA851972 RDV851972:RDW851972 RNR851972:RNS851972 RXN851972:RXO851972 SHJ851972:SHK851972 SRF851972:SRG851972 TBB851972:TBC851972 TKX851972:TKY851972 TUT851972:TUU851972 UEP851972:UEQ851972 UOL851972:UOM851972 UYH851972:UYI851972 VID851972:VIE851972 VRZ851972:VSA851972 WBV851972:WBW851972 WLR851972:WLS851972 WVN851972:WVO851972 F917508:G917508 JB917508:JC917508 SX917508:SY917508 ACT917508:ACU917508 AMP917508:AMQ917508 AWL917508:AWM917508 BGH917508:BGI917508 BQD917508:BQE917508 BZZ917508:CAA917508 CJV917508:CJW917508 CTR917508:CTS917508 DDN917508:DDO917508 DNJ917508:DNK917508 DXF917508:DXG917508 EHB917508:EHC917508 EQX917508:EQY917508 FAT917508:FAU917508 FKP917508:FKQ917508 FUL917508:FUM917508 GEH917508:GEI917508 GOD917508:GOE917508 GXZ917508:GYA917508 HHV917508:HHW917508 HRR917508:HRS917508 IBN917508:IBO917508 ILJ917508:ILK917508 IVF917508:IVG917508 JFB917508:JFC917508 JOX917508:JOY917508 JYT917508:JYU917508 KIP917508:KIQ917508 KSL917508:KSM917508 LCH917508:LCI917508 LMD917508:LME917508 LVZ917508:LWA917508 MFV917508:MFW917508 MPR917508:MPS917508 MZN917508:MZO917508 NJJ917508:NJK917508 NTF917508:NTG917508 ODB917508:ODC917508 OMX917508:OMY917508 OWT917508:OWU917508 PGP917508:PGQ917508 PQL917508:PQM917508 QAH917508:QAI917508 QKD917508:QKE917508 QTZ917508:QUA917508 RDV917508:RDW917508 RNR917508:RNS917508 RXN917508:RXO917508 SHJ917508:SHK917508 SRF917508:SRG917508 TBB917508:TBC917508 TKX917508:TKY917508 TUT917508:TUU917508 UEP917508:UEQ917508 UOL917508:UOM917508 UYH917508:UYI917508 VID917508:VIE917508 VRZ917508:VSA917508 WBV917508:WBW917508 WLR917508:WLS917508 WVN917508:WVO917508 F983044:G983044 JB983044:JC983044 SX983044:SY983044 ACT983044:ACU983044 AMP983044:AMQ983044 AWL983044:AWM983044 BGH983044:BGI983044 BQD983044:BQE983044 BZZ983044:CAA983044 CJV983044:CJW983044 CTR983044:CTS983044 DDN983044:DDO983044 DNJ983044:DNK983044 DXF983044:DXG983044 EHB983044:EHC983044 EQX983044:EQY983044 FAT983044:FAU983044 FKP983044:FKQ983044 FUL983044:FUM983044 GEH983044:GEI983044 GOD983044:GOE983044 GXZ983044:GYA983044 HHV983044:HHW983044 HRR983044:HRS983044 IBN983044:IBO983044 ILJ983044:ILK983044 IVF983044:IVG983044 JFB983044:JFC983044 JOX983044:JOY983044 JYT983044:JYU983044 KIP983044:KIQ983044 KSL983044:KSM983044 LCH983044:LCI983044 LMD983044:LME983044 LVZ983044:LWA983044 MFV983044:MFW983044 MPR983044:MPS983044 MZN983044:MZO983044 NJJ983044:NJK983044 NTF983044:NTG983044 ODB983044:ODC983044 OMX983044:OMY983044 OWT983044:OWU983044 PGP983044:PGQ983044 PQL983044:PQM983044 QAH983044:QAI983044 QKD983044:QKE983044 QTZ983044:QUA983044 RDV983044:RDW983044 RNR983044:RNS983044 RXN983044:RXO983044 SHJ983044:SHK983044 SRF983044:SRG983044 TBB983044:TBC983044 TKX983044:TKY983044 TUT983044:TUU983044 UEP983044:UEQ983044 UOL983044:UOM983044 UYH983044:UYI983044 VID983044:VIE983044 VRZ983044:VSA983044 WBV983044:WBW983044 WLR983044:WLS983044 WVN983044:WVO983044">
      <formula1>$O$2:$O$3</formula1>
    </dataValidation>
    <dataValidation type="list" allowBlank="1" showInputMessage="1" showErrorMessage="1" sqref="WVS983046 JG6 TC6 ACY6 AMU6 AWQ6 BGM6 BQI6 CAE6 CKA6 CTW6 DDS6 DNO6 DXK6 EHG6 ERC6 FAY6 FKU6 FUQ6 GEM6 GOI6 GYE6 HIA6 HRW6 IBS6 ILO6 IVK6 JFG6 JPC6 JYY6 KIU6 KSQ6 LCM6 LMI6 LWE6 MGA6 MPW6 MZS6 NJO6 NTK6 ODG6 ONC6 OWY6 PGU6 PQQ6 QAM6 QKI6 QUE6 REA6 RNW6 RXS6 SHO6 SRK6 TBG6 TLC6 TUY6 UEU6 UOQ6 UYM6 VII6 VSE6 WCA6 WLW6 WVS6 K65542 JG65542 TC65542 ACY65542 AMU65542 AWQ65542 BGM65542 BQI65542 CAE65542 CKA65542 CTW65542 DDS65542 DNO65542 DXK65542 EHG65542 ERC65542 FAY65542 FKU65542 FUQ65542 GEM65542 GOI65542 GYE65542 HIA65542 HRW65542 IBS65542 ILO65542 IVK65542 JFG65542 JPC65542 JYY65542 KIU65542 KSQ65542 LCM65542 LMI65542 LWE65542 MGA65542 MPW65542 MZS65542 NJO65542 NTK65542 ODG65542 ONC65542 OWY65542 PGU65542 PQQ65542 QAM65542 QKI65542 QUE65542 REA65542 RNW65542 RXS65542 SHO65542 SRK65542 TBG65542 TLC65542 TUY65542 UEU65542 UOQ65542 UYM65542 VII65542 VSE65542 WCA65542 WLW65542 WVS65542 K131078 JG131078 TC131078 ACY131078 AMU131078 AWQ131078 BGM131078 BQI131078 CAE131078 CKA131078 CTW131078 DDS131078 DNO131078 DXK131078 EHG131078 ERC131078 FAY131078 FKU131078 FUQ131078 GEM131078 GOI131078 GYE131078 HIA131078 HRW131078 IBS131078 ILO131078 IVK131078 JFG131078 JPC131078 JYY131078 KIU131078 KSQ131078 LCM131078 LMI131078 LWE131078 MGA131078 MPW131078 MZS131078 NJO131078 NTK131078 ODG131078 ONC131078 OWY131078 PGU131078 PQQ131078 QAM131078 QKI131078 QUE131078 REA131078 RNW131078 RXS131078 SHO131078 SRK131078 TBG131078 TLC131078 TUY131078 UEU131078 UOQ131078 UYM131078 VII131078 VSE131078 WCA131078 WLW131078 WVS131078 K196614 JG196614 TC196614 ACY196614 AMU196614 AWQ196614 BGM196614 BQI196614 CAE196614 CKA196614 CTW196614 DDS196614 DNO196614 DXK196614 EHG196614 ERC196614 FAY196614 FKU196614 FUQ196614 GEM196614 GOI196614 GYE196614 HIA196614 HRW196614 IBS196614 ILO196614 IVK196614 JFG196614 JPC196614 JYY196614 KIU196614 KSQ196614 LCM196614 LMI196614 LWE196614 MGA196614 MPW196614 MZS196614 NJO196614 NTK196614 ODG196614 ONC196614 OWY196614 PGU196614 PQQ196614 QAM196614 QKI196614 QUE196614 REA196614 RNW196614 RXS196614 SHO196614 SRK196614 TBG196614 TLC196614 TUY196614 UEU196614 UOQ196614 UYM196614 VII196614 VSE196614 WCA196614 WLW196614 WVS196614 K262150 JG262150 TC262150 ACY262150 AMU262150 AWQ262150 BGM262150 BQI262150 CAE262150 CKA262150 CTW262150 DDS262150 DNO262150 DXK262150 EHG262150 ERC262150 FAY262150 FKU262150 FUQ262150 GEM262150 GOI262150 GYE262150 HIA262150 HRW262150 IBS262150 ILO262150 IVK262150 JFG262150 JPC262150 JYY262150 KIU262150 KSQ262150 LCM262150 LMI262150 LWE262150 MGA262150 MPW262150 MZS262150 NJO262150 NTK262150 ODG262150 ONC262150 OWY262150 PGU262150 PQQ262150 QAM262150 QKI262150 QUE262150 REA262150 RNW262150 RXS262150 SHO262150 SRK262150 TBG262150 TLC262150 TUY262150 UEU262150 UOQ262150 UYM262150 VII262150 VSE262150 WCA262150 WLW262150 WVS262150 K327686 JG327686 TC327686 ACY327686 AMU327686 AWQ327686 BGM327686 BQI327686 CAE327686 CKA327686 CTW327686 DDS327686 DNO327686 DXK327686 EHG327686 ERC327686 FAY327686 FKU327686 FUQ327686 GEM327686 GOI327686 GYE327686 HIA327686 HRW327686 IBS327686 ILO327686 IVK327686 JFG327686 JPC327686 JYY327686 KIU327686 KSQ327686 LCM327686 LMI327686 LWE327686 MGA327686 MPW327686 MZS327686 NJO327686 NTK327686 ODG327686 ONC327686 OWY327686 PGU327686 PQQ327686 QAM327686 QKI327686 QUE327686 REA327686 RNW327686 RXS327686 SHO327686 SRK327686 TBG327686 TLC327686 TUY327686 UEU327686 UOQ327686 UYM327686 VII327686 VSE327686 WCA327686 WLW327686 WVS327686 K393222 JG393222 TC393222 ACY393222 AMU393222 AWQ393222 BGM393222 BQI393222 CAE393222 CKA393222 CTW393222 DDS393222 DNO393222 DXK393222 EHG393222 ERC393222 FAY393222 FKU393222 FUQ393222 GEM393222 GOI393222 GYE393222 HIA393222 HRW393222 IBS393222 ILO393222 IVK393222 JFG393222 JPC393222 JYY393222 KIU393222 KSQ393222 LCM393222 LMI393222 LWE393222 MGA393222 MPW393222 MZS393222 NJO393222 NTK393222 ODG393222 ONC393222 OWY393222 PGU393222 PQQ393222 QAM393222 QKI393222 QUE393222 REA393222 RNW393222 RXS393222 SHO393222 SRK393222 TBG393222 TLC393222 TUY393222 UEU393222 UOQ393222 UYM393222 VII393222 VSE393222 WCA393222 WLW393222 WVS393222 K458758 JG458758 TC458758 ACY458758 AMU458758 AWQ458758 BGM458758 BQI458758 CAE458758 CKA458758 CTW458758 DDS458758 DNO458758 DXK458758 EHG458758 ERC458758 FAY458758 FKU458758 FUQ458758 GEM458758 GOI458758 GYE458758 HIA458758 HRW458758 IBS458758 ILO458758 IVK458758 JFG458758 JPC458758 JYY458758 KIU458758 KSQ458758 LCM458758 LMI458758 LWE458758 MGA458758 MPW458758 MZS458758 NJO458758 NTK458758 ODG458758 ONC458758 OWY458758 PGU458758 PQQ458758 QAM458758 QKI458758 QUE458758 REA458758 RNW458758 RXS458758 SHO458758 SRK458758 TBG458758 TLC458758 TUY458758 UEU458758 UOQ458758 UYM458758 VII458758 VSE458758 WCA458758 WLW458758 WVS458758 K524294 JG524294 TC524294 ACY524294 AMU524294 AWQ524294 BGM524294 BQI524294 CAE524294 CKA524294 CTW524294 DDS524294 DNO524294 DXK524294 EHG524294 ERC524294 FAY524294 FKU524294 FUQ524294 GEM524294 GOI524294 GYE524294 HIA524294 HRW524294 IBS524294 ILO524294 IVK524294 JFG524294 JPC524294 JYY524294 KIU524294 KSQ524294 LCM524294 LMI524294 LWE524294 MGA524294 MPW524294 MZS524294 NJO524294 NTK524294 ODG524294 ONC524294 OWY524294 PGU524294 PQQ524294 QAM524294 QKI524294 QUE524294 REA524294 RNW524294 RXS524294 SHO524294 SRK524294 TBG524294 TLC524294 TUY524294 UEU524294 UOQ524294 UYM524294 VII524294 VSE524294 WCA524294 WLW524294 WVS524294 K589830 JG589830 TC589830 ACY589830 AMU589830 AWQ589830 BGM589830 BQI589830 CAE589830 CKA589830 CTW589830 DDS589830 DNO589830 DXK589830 EHG589830 ERC589830 FAY589830 FKU589830 FUQ589830 GEM589830 GOI589830 GYE589830 HIA589830 HRW589830 IBS589830 ILO589830 IVK589830 JFG589830 JPC589830 JYY589830 KIU589830 KSQ589830 LCM589830 LMI589830 LWE589830 MGA589830 MPW589830 MZS589830 NJO589830 NTK589830 ODG589830 ONC589830 OWY589830 PGU589830 PQQ589830 QAM589830 QKI589830 QUE589830 REA589830 RNW589830 RXS589830 SHO589830 SRK589830 TBG589830 TLC589830 TUY589830 UEU589830 UOQ589830 UYM589830 VII589830 VSE589830 WCA589830 WLW589830 WVS589830 K655366 JG655366 TC655366 ACY655366 AMU655366 AWQ655366 BGM655366 BQI655366 CAE655366 CKA655366 CTW655366 DDS655366 DNO655366 DXK655366 EHG655366 ERC655366 FAY655366 FKU655366 FUQ655366 GEM655366 GOI655366 GYE655366 HIA655366 HRW655366 IBS655366 ILO655366 IVK655366 JFG655366 JPC655366 JYY655366 KIU655366 KSQ655366 LCM655366 LMI655366 LWE655366 MGA655366 MPW655366 MZS655366 NJO655366 NTK655366 ODG655366 ONC655366 OWY655366 PGU655366 PQQ655366 QAM655366 QKI655366 QUE655366 REA655366 RNW655366 RXS655366 SHO655366 SRK655366 TBG655366 TLC655366 TUY655366 UEU655366 UOQ655366 UYM655366 VII655366 VSE655366 WCA655366 WLW655366 WVS655366 K720902 JG720902 TC720902 ACY720902 AMU720902 AWQ720902 BGM720902 BQI720902 CAE720902 CKA720902 CTW720902 DDS720902 DNO720902 DXK720902 EHG720902 ERC720902 FAY720902 FKU720902 FUQ720902 GEM720902 GOI720902 GYE720902 HIA720902 HRW720902 IBS720902 ILO720902 IVK720902 JFG720902 JPC720902 JYY720902 KIU720902 KSQ720902 LCM720902 LMI720902 LWE720902 MGA720902 MPW720902 MZS720902 NJO720902 NTK720902 ODG720902 ONC720902 OWY720902 PGU720902 PQQ720902 QAM720902 QKI720902 QUE720902 REA720902 RNW720902 RXS720902 SHO720902 SRK720902 TBG720902 TLC720902 TUY720902 UEU720902 UOQ720902 UYM720902 VII720902 VSE720902 WCA720902 WLW720902 WVS720902 K786438 JG786438 TC786438 ACY786438 AMU786438 AWQ786438 BGM786438 BQI786438 CAE786438 CKA786438 CTW786438 DDS786438 DNO786438 DXK786438 EHG786438 ERC786438 FAY786438 FKU786438 FUQ786438 GEM786438 GOI786438 GYE786438 HIA786438 HRW786438 IBS786438 ILO786438 IVK786438 JFG786438 JPC786438 JYY786438 KIU786438 KSQ786438 LCM786438 LMI786438 LWE786438 MGA786438 MPW786438 MZS786438 NJO786438 NTK786438 ODG786438 ONC786438 OWY786438 PGU786438 PQQ786438 QAM786438 QKI786438 QUE786438 REA786438 RNW786438 RXS786438 SHO786438 SRK786438 TBG786438 TLC786438 TUY786438 UEU786438 UOQ786438 UYM786438 VII786438 VSE786438 WCA786438 WLW786438 WVS786438 K851974 JG851974 TC851974 ACY851974 AMU851974 AWQ851974 BGM851974 BQI851974 CAE851974 CKA851974 CTW851974 DDS851974 DNO851974 DXK851974 EHG851974 ERC851974 FAY851974 FKU851974 FUQ851974 GEM851974 GOI851974 GYE851974 HIA851974 HRW851974 IBS851974 ILO851974 IVK851974 JFG851974 JPC851974 JYY851974 KIU851974 KSQ851974 LCM851974 LMI851974 LWE851974 MGA851974 MPW851974 MZS851974 NJO851974 NTK851974 ODG851974 ONC851974 OWY851974 PGU851974 PQQ851974 QAM851974 QKI851974 QUE851974 REA851974 RNW851974 RXS851974 SHO851974 SRK851974 TBG851974 TLC851974 TUY851974 UEU851974 UOQ851974 UYM851974 VII851974 VSE851974 WCA851974 WLW851974 WVS851974 K917510 JG917510 TC917510 ACY917510 AMU917510 AWQ917510 BGM917510 BQI917510 CAE917510 CKA917510 CTW917510 DDS917510 DNO917510 DXK917510 EHG917510 ERC917510 FAY917510 FKU917510 FUQ917510 GEM917510 GOI917510 GYE917510 HIA917510 HRW917510 IBS917510 ILO917510 IVK917510 JFG917510 JPC917510 JYY917510 KIU917510 KSQ917510 LCM917510 LMI917510 LWE917510 MGA917510 MPW917510 MZS917510 NJO917510 NTK917510 ODG917510 ONC917510 OWY917510 PGU917510 PQQ917510 QAM917510 QKI917510 QUE917510 REA917510 RNW917510 RXS917510 SHO917510 SRK917510 TBG917510 TLC917510 TUY917510 UEU917510 UOQ917510 UYM917510 VII917510 VSE917510 WCA917510 WLW917510 WVS917510 K983046 JG983046 TC983046 ACY983046 AMU983046 AWQ983046 BGM983046 BQI983046 CAE983046 CKA983046 CTW983046 DDS983046 DNO983046 DXK983046 EHG983046 ERC983046 FAY983046 FKU983046 FUQ983046 GEM983046 GOI983046 GYE983046 HIA983046 HRW983046 IBS983046 ILO983046 IVK983046 JFG983046 JPC983046 JYY983046 KIU983046 KSQ983046 LCM983046 LMI983046 LWE983046 MGA983046 MPW983046 MZS983046 NJO983046 NTK983046 ODG983046 ONC983046 OWY983046 PGU983046 PQQ983046 QAM983046 QKI983046 QUE983046 REA983046 RNW983046 RXS983046 SHO983046 SRK983046 TBG983046 TLC983046 TUY983046 UEU983046 UOQ983046 UYM983046 VII983046 VSE983046 WCA983046 WLW983046">
      <formula1>$M$2:$M$4</formula1>
    </dataValidation>
    <dataValidation type="list" allowBlank="1" showInputMessage="1" showErrorMessage="1" sqref="C6:I6 IY6:JE6 SU6:TA6 ACQ6:ACW6 AMM6:AMS6 AWI6:AWO6 BGE6:BGK6 BQA6:BQG6 BZW6:CAC6 CJS6:CJY6 CTO6:CTU6 DDK6:DDQ6 DNG6:DNM6 DXC6:DXI6 EGY6:EHE6 EQU6:ERA6 FAQ6:FAW6 FKM6:FKS6 FUI6:FUO6 GEE6:GEK6 GOA6:GOG6 GXW6:GYC6 HHS6:HHY6 HRO6:HRU6 IBK6:IBQ6 ILG6:ILM6 IVC6:IVI6 JEY6:JFE6 JOU6:JPA6 JYQ6:JYW6 KIM6:KIS6 KSI6:KSO6 LCE6:LCK6 LMA6:LMG6 LVW6:LWC6 MFS6:MFY6 MPO6:MPU6 MZK6:MZQ6 NJG6:NJM6 NTC6:NTI6 OCY6:ODE6 OMU6:ONA6 OWQ6:OWW6 PGM6:PGS6 PQI6:PQO6 QAE6:QAK6 QKA6:QKG6 QTW6:QUC6 RDS6:RDY6 RNO6:RNU6 RXK6:RXQ6 SHG6:SHM6 SRC6:SRI6 TAY6:TBE6 TKU6:TLA6 TUQ6:TUW6 UEM6:UES6 UOI6:UOO6 UYE6:UYK6 VIA6:VIG6 VRW6:VSC6 WBS6:WBY6 WLO6:WLU6 WVK6:WVQ6 C65542:I65542 IY65542:JE65542 SU65542:TA65542 ACQ65542:ACW65542 AMM65542:AMS65542 AWI65542:AWO65542 BGE65542:BGK65542 BQA65542:BQG65542 BZW65542:CAC65542 CJS65542:CJY65542 CTO65542:CTU65542 DDK65542:DDQ65542 DNG65542:DNM65542 DXC65542:DXI65542 EGY65542:EHE65542 EQU65542:ERA65542 FAQ65542:FAW65542 FKM65542:FKS65542 FUI65542:FUO65542 GEE65542:GEK65542 GOA65542:GOG65542 GXW65542:GYC65542 HHS65542:HHY65542 HRO65542:HRU65542 IBK65542:IBQ65542 ILG65542:ILM65542 IVC65542:IVI65542 JEY65542:JFE65542 JOU65542:JPA65542 JYQ65542:JYW65542 KIM65542:KIS65542 KSI65542:KSO65542 LCE65542:LCK65542 LMA65542:LMG65542 LVW65542:LWC65542 MFS65542:MFY65542 MPO65542:MPU65542 MZK65542:MZQ65542 NJG65542:NJM65542 NTC65542:NTI65542 OCY65542:ODE65542 OMU65542:ONA65542 OWQ65542:OWW65542 PGM65542:PGS65542 PQI65542:PQO65542 QAE65542:QAK65542 QKA65542:QKG65542 QTW65542:QUC65542 RDS65542:RDY65542 RNO65542:RNU65542 RXK65542:RXQ65542 SHG65542:SHM65542 SRC65542:SRI65542 TAY65542:TBE65542 TKU65542:TLA65542 TUQ65542:TUW65542 UEM65542:UES65542 UOI65542:UOO65542 UYE65542:UYK65542 VIA65542:VIG65542 VRW65542:VSC65542 WBS65542:WBY65542 WLO65542:WLU65542 WVK65542:WVQ65542 C131078:I131078 IY131078:JE131078 SU131078:TA131078 ACQ131078:ACW131078 AMM131078:AMS131078 AWI131078:AWO131078 BGE131078:BGK131078 BQA131078:BQG131078 BZW131078:CAC131078 CJS131078:CJY131078 CTO131078:CTU131078 DDK131078:DDQ131078 DNG131078:DNM131078 DXC131078:DXI131078 EGY131078:EHE131078 EQU131078:ERA131078 FAQ131078:FAW131078 FKM131078:FKS131078 FUI131078:FUO131078 GEE131078:GEK131078 GOA131078:GOG131078 GXW131078:GYC131078 HHS131078:HHY131078 HRO131078:HRU131078 IBK131078:IBQ131078 ILG131078:ILM131078 IVC131078:IVI131078 JEY131078:JFE131078 JOU131078:JPA131078 JYQ131078:JYW131078 KIM131078:KIS131078 KSI131078:KSO131078 LCE131078:LCK131078 LMA131078:LMG131078 LVW131078:LWC131078 MFS131078:MFY131078 MPO131078:MPU131078 MZK131078:MZQ131078 NJG131078:NJM131078 NTC131078:NTI131078 OCY131078:ODE131078 OMU131078:ONA131078 OWQ131078:OWW131078 PGM131078:PGS131078 PQI131078:PQO131078 QAE131078:QAK131078 QKA131078:QKG131078 QTW131078:QUC131078 RDS131078:RDY131078 RNO131078:RNU131078 RXK131078:RXQ131078 SHG131078:SHM131078 SRC131078:SRI131078 TAY131078:TBE131078 TKU131078:TLA131078 TUQ131078:TUW131078 UEM131078:UES131078 UOI131078:UOO131078 UYE131078:UYK131078 VIA131078:VIG131078 VRW131078:VSC131078 WBS131078:WBY131078 WLO131078:WLU131078 WVK131078:WVQ131078 C196614:I196614 IY196614:JE196614 SU196614:TA196614 ACQ196614:ACW196614 AMM196614:AMS196614 AWI196614:AWO196614 BGE196614:BGK196614 BQA196614:BQG196614 BZW196614:CAC196614 CJS196614:CJY196614 CTO196614:CTU196614 DDK196614:DDQ196614 DNG196614:DNM196614 DXC196614:DXI196614 EGY196614:EHE196614 EQU196614:ERA196614 FAQ196614:FAW196614 FKM196614:FKS196614 FUI196614:FUO196614 GEE196614:GEK196614 GOA196614:GOG196614 GXW196614:GYC196614 HHS196614:HHY196614 HRO196614:HRU196614 IBK196614:IBQ196614 ILG196614:ILM196614 IVC196614:IVI196614 JEY196614:JFE196614 JOU196614:JPA196614 JYQ196614:JYW196614 KIM196614:KIS196614 KSI196614:KSO196614 LCE196614:LCK196614 LMA196614:LMG196614 LVW196614:LWC196614 MFS196614:MFY196614 MPO196614:MPU196614 MZK196614:MZQ196614 NJG196614:NJM196614 NTC196614:NTI196614 OCY196614:ODE196614 OMU196614:ONA196614 OWQ196614:OWW196614 PGM196614:PGS196614 PQI196614:PQO196614 QAE196614:QAK196614 QKA196614:QKG196614 QTW196614:QUC196614 RDS196614:RDY196614 RNO196614:RNU196614 RXK196614:RXQ196614 SHG196614:SHM196614 SRC196614:SRI196614 TAY196614:TBE196614 TKU196614:TLA196614 TUQ196614:TUW196614 UEM196614:UES196614 UOI196614:UOO196614 UYE196614:UYK196614 VIA196614:VIG196614 VRW196614:VSC196614 WBS196614:WBY196614 WLO196614:WLU196614 WVK196614:WVQ196614 C262150:I262150 IY262150:JE262150 SU262150:TA262150 ACQ262150:ACW262150 AMM262150:AMS262150 AWI262150:AWO262150 BGE262150:BGK262150 BQA262150:BQG262150 BZW262150:CAC262150 CJS262150:CJY262150 CTO262150:CTU262150 DDK262150:DDQ262150 DNG262150:DNM262150 DXC262150:DXI262150 EGY262150:EHE262150 EQU262150:ERA262150 FAQ262150:FAW262150 FKM262150:FKS262150 FUI262150:FUO262150 GEE262150:GEK262150 GOA262150:GOG262150 GXW262150:GYC262150 HHS262150:HHY262150 HRO262150:HRU262150 IBK262150:IBQ262150 ILG262150:ILM262150 IVC262150:IVI262150 JEY262150:JFE262150 JOU262150:JPA262150 JYQ262150:JYW262150 KIM262150:KIS262150 KSI262150:KSO262150 LCE262150:LCK262150 LMA262150:LMG262150 LVW262150:LWC262150 MFS262150:MFY262150 MPO262150:MPU262150 MZK262150:MZQ262150 NJG262150:NJM262150 NTC262150:NTI262150 OCY262150:ODE262150 OMU262150:ONA262150 OWQ262150:OWW262150 PGM262150:PGS262150 PQI262150:PQO262150 QAE262150:QAK262150 QKA262150:QKG262150 QTW262150:QUC262150 RDS262150:RDY262150 RNO262150:RNU262150 RXK262150:RXQ262150 SHG262150:SHM262150 SRC262150:SRI262150 TAY262150:TBE262150 TKU262150:TLA262150 TUQ262150:TUW262150 UEM262150:UES262150 UOI262150:UOO262150 UYE262150:UYK262150 VIA262150:VIG262150 VRW262150:VSC262150 WBS262150:WBY262150 WLO262150:WLU262150 WVK262150:WVQ262150 C327686:I327686 IY327686:JE327686 SU327686:TA327686 ACQ327686:ACW327686 AMM327686:AMS327686 AWI327686:AWO327686 BGE327686:BGK327686 BQA327686:BQG327686 BZW327686:CAC327686 CJS327686:CJY327686 CTO327686:CTU327686 DDK327686:DDQ327686 DNG327686:DNM327686 DXC327686:DXI327686 EGY327686:EHE327686 EQU327686:ERA327686 FAQ327686:FAW327686 FKM327686:FKS327686 FUI327686:FUO327686 GEE327686:GEK327686 GOA327686:GOG327686 GXW327686:GYC327686 HHS327686:HHY327686 HRO327686:HRU327686 IBK327686:IBQ327686 ILG327686:ILM327686 IVC327686:IVI327686 JEY327686:JFE327686 JOU327686:JPA327686 JYQ327686:JYW327686 KIM327686:KIS327686 KSI327686:KSO327686 LCE327686:LCK327686 LMA327686:LMG327686 LVW327686:LWC327686 MFS327686:MFY327686 MPO327686:MPU327686 MZK327686:MZQ327686 NJG327686:NJM327686 NTC327686:NTI327686 OCY327686:ODE327686 OMU327686:ONA327686 OWQ327686:OWW327686 PGM327686:PGS327686 PQI327686:PQO327686 QAE327686:QAK327686 QKA327686:QKG327686 QTW327686:QUC327686 RDS327686:RDY327686 RNO327686:RNU327686 RXK327686:RXQ327686 SHG327686:SHM327686 SRC327686:SRI327686 TAY327686:TBE327686 TKU327686:TLA327686 TUQ327686:TUW327686 UEM327686:UES327686 UOI327686:UOO327686 UYE327686:UYK327686 VIA327686:VIG327686 VRW327686:VSC327686 WBS327686:WBY327686 WLO327686:WLU327686 WVK327686:WVQ327686 C393222:I393222 IY393222:JE393222 SU393222:TA393222 ACQ393222:ACW393222 AMM393222:AMS393222 AWI393222:AWO393222 BGE393222:BGK393222 BQA393222:BQG393222 BZW393222:CAC393222 CJS393222:CJY393222 CTO393222:CTU393222 DDK393222:DDQ393222 DNG393222:DNM393222 DXC393222:DXI393222 EGY393222:EHE393222 EQU393222:ERA393222 FAQ393222:FAW393222 FKM393222:FKS393222 FUI393222:FUO393222 GEE393222:GEK393222 GOA393222:GOG393222 GXW393222:GYC393222 HHS393222:HHY393222 HRO393222:HRU393222 IBK393222:IBQ393222 ILG393222:ILM393222 IVC393222:IVI393222 JEY393222:JFE393222 JOU393222:JPA393222 JYQ393222:JYW393222 KIM393222:KIS393222 KSI393222:KSO393222 LCE393222:LCK393222 LMA393222:LMG393222 LVW393222:LWC393222 MFS393222:MFY393222 MPO393222:MPU393222 MZK393222:MZQ393222 NJG393222:NJM393222 NTC393222:NTI393222 OCY393222:ODE393222 OMU393222:ONA393222 OWQ393222:OWW393222 PGM393222:PGS393222 PQI393222:PQO393222 QAE393222:QAK393222 QKA393222:QKG393222 QTW393222:QUC393222 RDS393222:RDY393222 RNO393222:RNU393222 RXK393222:RXQ393222 SHG393222:SHM393222 SRC393222:SRI393222 TAY393222:TBE393222 TKU393222:TLA393222 TUQ393222:TUW393222 UEM393222:UES393222 UOI393222:UOO393222 UYE393222:UYK393222 VIA393222:VIG393222 VRW393222:VSC393222 WBS393222:WBY393222 WLO393222:WLU393222 WVK393222:WVQ393222 C458758:I458758 IY458758:JE458758 SU458758:TA458758 ACQ458758:ACW458758 AMM458758:AMS458758 AWI458758:AWO458758 BGE458758:BGK458758 BQA458758:BQG458758 BZW458758:CAC458758 CJS458758:CJY458758 CTO458758:CTU458758 DDK458758:DDQ458758 DNG458758:DNM458758 DXC458758:DXI458758 EGY458758:EHE458758 EQU458758:ERA458758 FAQ458758:FAW458758 FKM458758:FKS458758 FUI458758:FUO458758 GEE458758:GEK458758 GOA458758:GOG458758 GXW458758:GYC458758 HHS458758:HHY458758 HRO458758:HRU458758 IBK458758:IBQ458758 ILG458758:ILM458758 IVC458758:IVI458758 JEY458758:JFE458758 JOU458758:JPA458758 JYQ458758:JYW458758 KIM458758:KIS458758 KSI458758:KSO458758 LCE458758:LCK458758 LMA458758:LMG458758 LVW458758:LWC458758 MFS458758:MFY458758 MPO458758:MPU458758 MZK458758:MZQ458758 NJG458758:NJM458758 NTC458758:NTI458758 OCY458758:ODE458758 OMU458758:ONA458758 OWQ458758:OWW458758 PGM458758:PGS458758 PQI458758:PQO458758 QAE458758:QAK458758 QKA458758:QKG458758 QTW458758:QUC458758 RDS458758:RDY458758 RNO458758:RNU458758 RXK458758:RXQ458758 SHG458758:SHM458758 SRC458758:SRI458758 TAY458758:TBE458758 TKU458758:TLA458758 TUQ458758:TUW458758 UEM458758:UES458758 UOI458758:UOO458758 UYE458758:UYK458758 VIA458758:VIG458758 VRW458758:VSC458758 WBS458758:WBY458758 WLO458758:WLU458758 WVK458758:WVQ458758 C524294:I524294 IY524294:JE524294 SU524294:TA524294 ACQ524294:ACW524294 AMM524294:AMS524294 AWI524294:AWO524294 BGE524294:BGK524294 BQA524294:BQG524294 BZW524294:CAC524294 CJS524294:CJY524294 CTO524294:CTU524294 DDK524294:DDQ524294 DNG524294:DNM524294 DXC524294:DXI524294 EGY524294:EHE524294 EQU524294:ERA524294 FAQ524294:FAW524294 FKM524294:FKS524294 FUI524294:FUO524294 GEE524294:GEK524294 GOA524294:GOG524294 GXW524294:GYC524294 HHS524294:HHY524294 HRO524294:HRU524294 IBK524294:IBQ524294 ILG524294:ILM524294 IVC524294:IVI524294 JEY524294:JFE524294 JOU524294:JPA524294 JYQ524294:JYW524294 KIM524294:KIS524294 KSI524294:KSO524294 LCE524294:LCK524294 LMA524294:LMG524294 LVW524294:LWC524294 MFS524294:MFY524294 MPO524294:MPU524294 MZK524294:MZQ524294 NJG524294:NJM524294 NTC524294:NTI524294 OCY524294:ODE524294 OMU524294:ONA524294 OWQ524294:OWW524294 PGM524294:PGS524294 PQI524294:PQO524294 QAE524294:QAK524294 QKA524294:QKG524294 QTW524294:QUC524294 RDS524294:RDY524294 RNO524294:RNU524294 RXK524294:RXQ524294 SHG524294:SHM524294 SRC524294:SRI524294 TAY524294:TBE524294 TKU524294:TLA524294 TUQ524294:TUW524294 UEM524294:UES524294 UOI524294:UOO524294 UYE524294:UYK524294 VIA524294:VIG524294 VRW524294:VSC524294 WBS524294:WBY524294 WLO524294:WLU524294 WVK524294:WVQ524294 C589830:I589830 IY589830:JE589830 SU589830:TA589830 ACQ589830:ACW589830 AMM589830:AMS589830 AWI589830:AWO589830 BGE589830:BGK589830 BQA589830:BQG589830 BZW589830:CAC589830 CJS589830:CJY589830 CTO589830:CTU589830 DDK589830:DDQ589830 DNG589830:DNM589830 DXC589830:DXI589830 EGY589830:EHE589830 EQU589830:ERA589830 FAQ589830:FAW589830 FKM589830:FKS589830 FUI589830:FUO589830 GEE589830:GEK589830 GOA589830:GOG589830 GXW589830:GYC589830 HHS589830:HHY589830 HRO589830:HRU589830 IBK589830:IBQ589830 ILG589830:ILM589830 IVC589830:IVI589830 JEY589830:JFE589830 JOU589830:JPA589830 JYQ589830:JYW589830 KIM589830:KIS589830 KSI589830:KSO589830 LCE589830:LCK589830 LMA589830:LMG589830 LVW589830:LWC589830 MFS589830:MFY589830 MPO589830:MPU589830 MZK589830:MZQ589830 NJG589830:NJM589830 NTC589830:NTI589830 OCY589830:ODE589830 OMU589830:ONA589830 OWQ589830:OWW589830 PGM589830:PGS589830 PQI589830:PQO589830 QAE589830:QAK589830 QKA589830:QKG589830 QTW589830:QUC589830 RDS589830:RDY589830 RNO589830:RNU589830 RXK589830:RXQ589830 SHG589830:SHM589830 SRC589830:SRI589830 TAY589830:TBE589830 TKU589830:TLA589830 TUQ589830:TUW589830 UEM589830:UES589830 UOI589830:UOO589830 UYE589830:UYK589830 VIA589830:VIG589830 VRW589830:VSC589830 WBS589830:WBY589830 WLO589830:WLU589830 WVK589830:WVQ589830 C655366:I655366 IY655366:JE655366 SU655366:TA655366 ACQ655366:ACW655366 AMM655366:AMS655366 AWI655366:AWO655366 BGE655366:BGK655366 BQA655366:BQG655366 BZW655366:CAC655366 CJS655366:CJY655366 CTO655366:CTU655366 DDK655366:DDQ655366 DNG655366:DNM655366 DXC655366:DXI655366 EGY655366:EHE655366 EQU655366:ERA655366 FAQ655366:FAW655366 FKM655366:FKS655366 FUI655366:FUO655366 GEE655366:GEK655366 GOA655366:GOG655366 GXW655366:GYC655366 HHS655366:HHY655366 HRO655366:HRU655366 IBK655366:IBQ655366 ILG655366:ILM655366 IVC655366:IVI655366 JEY655366:JFE655366 JOU655366:JPA655366 JYQ655366:JYW655366 KIM655366:KIS655366 KSI655366:KSO655366 LCE655366:LCK655366 LMA655366:LMG655366 LVW655366:LWC655366 MFS655366:MFY655366 MPO655366:MPU655366 MZK655366:MZQ655366 NJG655366:NJM655366 NTC655366:NTI655366 OCY655366:ODE655366 OMU655366:ONA655366 OWQ655366:OWW655366 PGM655366:PGS655366 PQI655366:PQO655366 QAE655366:QAK655366 QKA655366:QKG655366 QTW655366:QUC655366 RDS655366:RDY655366 RNO655366:RNU655366 RXK655366:RXQ655366 SHG655366:SHM655366 SRC655366:SRI655366 TAY655366:TBE655366 TKU655366:TLA655366 TUQ655366:TUW655366 UEM655366:UES655366 UOI655366:UOO655366 UYE655366:UYK655366 VIA655366:VIG655366 VRW655366:VSC655366 WBS655366:WBY655366 WLO655366:WLU655366 WVK655366:WVQ655366 C720902:I720902 IY720902:JE720902 SU720902:TA720902 ACQ720902:ACW720902 AMM720902:AMS720902 AWI720902:AWO720902 BGE720902:BGK720902 BQA720902:BQG720902 BZW720902:CAC720902 CJS720902:CJY720902 CTO720902:CTU720902 DDK720902:DDQ720902 DNG720902:DNM720902 DXC720902:DXI720902 EGY720902:EHE720902 EQU720902:ERA720902 FAQ720902:FAW720902 FKM720902:FKS720902 FUI720902:FUO720902 GEE720902:GEK720902 GOA720902:GOG720902 GXW720902:GYC720902 HHS720902:HHY720902 HRO720902:HRU720902 IBK720902:IBQ720902 ILG720902:ILM720902 IVC720902:IVI720902 JEY720902:JFE720902 JOU720902:JPA720902 JYQ720902:JYW720902 KIM720902:KIS720902 KSI720902:KSO720902 LCE720902:LCK720902 LMA720902:LMG720902 LVW720902:LWC720902 MFS720902:MFY720902 MPO720902:MPU720902 MZK720902:MZQ720902 NJG720902:NJM720902 NTC720902:NTI720902 OCY720902:ODE720902 OMU720902:ONA720902 OWQ720902:OWW720902 PGM720902:PGS720902 PQI720902:PQO720902 QAE720902:QAK720902 QKA720902:QKG720902 QTW720902:QUC720902 RDS720902:RDY720902 RNO720902:RNU720902 RXK720902:RXQ720902 SHG720902:SHM720902 SRC720902:SRI720902 TAY720902:TBE720902 TKU720902:TLA720902 TUQ720902:TUW720902 UEM720902:UES720902 UOI720902:UOO720902 UYE720902:UYK720902 VIA720902:VIG720902 VRW720902:VSC720902 WBS720902:WBY720902 WLO720902:WLU720902 WVK720902:WVQ720902 C786438:I786438 IY786438:JE786438 SU786438:TA786438 ACQ786438:ACW786438 AMM786438:AMS786438 AWI786438:AWO786438 BGE786438:BGK786438 BQA786438:BQG786438 BZW786438:CAC786438 CJS786438:CJY786438 CTO786438:CTU786438 DDK786438:DDQ786438 DNG786438:DNM786438 DXC786438:DXI786438 EGY786438:EHE786438 EQU786438:ERA786438 FAQ786438:FAW786438 FKM786438:FKS786438 FUI786438:FUO786438 GEE786438:GEK786438 GOA786438:GOG786438 GXW786438:GYC786438 HHS786438:HHY786438 HRO786438:HRU786438 IBK786438:IBQ786438 ILG786438:ILM786438 IVC786438:IVI786438 JEY786438:JFE786438 JOU786438:JPA786438 JYQ786438:JYW786438 KIM786438:KIS786438 KSI786438:KSO786438 LCE786438:LCK786438 LMA786438:LMG786438 LVW786438:LWC786438 MFS786438:MFY786438 MPO786438:MPU786438 MZK786438:MZQ786438 NJG786438:NJM786438 NTC786438:NTI786438 OCY786438:ODE786438 OMU786438:ONA786438 OWQ786438:OWW786438 PGM786438:PGS786438 PQI786438:PQO786438 QAE786438:QAK786438 QKA786438:QKG786438 QTW786438:QUC786438 RDS786438:RDY786438 RNO786438:RNU786438 RXK786438:RXQ786438 SHG786438:SHM786438 SRC786438:SRI786438 TAY786438:TBE786438 TKU786438:TLA786438 TUQ786438:TUW786438 UEM786438:UES786438 UOI786438:UOO786438 UYE786438:UYK786438 VIA786438:VIG786438 VRW786438:VSC786438 WBS786438:WBY786438 WLO786438:WLU786438 WVK786438:WVQ786438 C851974:I851974 IY851974:JE851974 SU851974:TA851974 ACQ851974:ACW851974 AMM851974:AMS851974 AWI851974:AWO851974 BGE851974:BGK851974 BQA851974:BQG851974 BZW851974:CAC851974 CJS851974:CJY851974 CTO851974:CTU851974 DDK851974:DDQ851974 DNG851974:DNM851974 DXC851974:DXI851974 EGY851974:EHE851974 EQU851974:ERA851974 FAQ851974:FAW851974 FKM851974:FKS851974 FUI851974:FUO851974 GEE851974:GEK851974 GOA851974:GOG851974 GXW851974:GYC851974 HHS851974:HHY851974 HRO851974:HRU851974 IBK851974:IBQ851974 ILG851974:ILM851974 IVC851974:IVI851974 JEY851974:JFE851974 JOU851974:JPA851974 JYQ851974:JYW851974 KIM851974:KIS851974 KSI851974:KSO851974 LCE851974:LCK851974 LMA851974:LMG851974 LVW851974:LWC851974 MFS851974:MFY851974 MPO851974:MPU851974 MZK851974:MZQ851974 NJG851974:NJM851974 NTC851974:NTI851974 OCY851974:ODE851974 OMU851974:ONA851974 OWQ851974:OWW851974 PGM851974:PGS851974 PQI851974:PQO851974 QAE851974:QAK851974 QKA851974:QKG851974 QTW851974:QUC851974 RDS851974:RDY851974 RNO851974:RNU851974 RXK851974:RXQ851974 SHG851974:SHM851974 SRC851974:SRI851974 TAY851974:TBE851974 TKU851974:TLA851974 TUQ851974:TUW851974 UEM851974:UES851974 UOI851974:UOO851974 UYE851974:UYK851974 VIA851974:VIG851974 VRW851974:VSC851974 WBS851974:WBY851974 WLO851974:WLU851974 WVK851974:WVQ851974 C917510:I917510 IY917510:JE917510 SU917510:TA917510 ACQ917510:ACW917510 AMM917510:AMS917510 AWI917510:AWO917510 BGE917510:BGK917510 BQA917510:BQG917510 BZW917510:CAC917510 CJS917510:CJY917510 CTO917510:CTU917510 DDK917510:DDQ917510 DNG917510:DNM917510 DXC917510:DXI917510 EGY917510:EHE917510 EQU917510:ERA917510 FAQ917510:FAW917510 FKM917510:FKS917510 FUI917510:FUO917510 GEE917510:GEK917510 GOA917510:GOG917510 GXW917510:GYC917510 HHS917510:HHY917510 HRO917510:HRU917510 IBK917510:IBQ917510 ILG917510:ILM917510 IVC917510:IVI917510 JEY917510:JFE917510 JOU917510:JPA917510 JYQ917510:JYW917510 KIM917510:KIS917510 KSI917510:KSO917510 LCE917510:LCK917510 LMA917510:LMG917510 LVW917510:LWC917510 MFS917510:MFY917510 MPO917510:MPU917510 MZK917510:MZQ917510 NJG917510:NJM917510 NTC917510:NTI917510 OCY917510:ODE917510 OMU917510:ONA917510 OWQ917510:OWW917510 PGM917510:PGS917510 PQI917510:PQO917510 QAE917510:QAK917510 QKA917510:QKG917510 QTW917510:QUC917510 RDS917510:RDY917510 RNO917510:RNU917510 RXK917510:RXQ917510 SHG917510:SHM917510 SRC917510:SRI917510 TAY917510:TBE917510 TKU917510:TLA917510 TUQ917510:TUW917510 UEM917510:UES917510 UOI917510:UOO917510 UYE917510:UYK917510 VIA917510:VIG917510 VRW917510:VSC917510 WBS917510:WBY917510 WLO917510:WLU917510 WVK917510:WVQ917510 C983046:I983046 IY983046:JE983046 SU983046:TA983046 ACQ983046:ACW983046 AMM983046:AMS983046 AWI983046:AWO983046 BGE983046:BGK983046 BQA983046:BQG983046 BZW983046:CAC983046 CJS983046:CJY983046 CTO983046:CTU983046 DDK983046:DDQ983046 DNG983046:DNM983046 DXC983046:DXI983046 EGY983046:EHE983046 EQU983046:ERA983046 FAQ983046:FAW983046 FKM983046:FKS983046 FUI983046:FUO983046 GEE983046:GEK983046 GOA983046:GOG983046 GXW983046:GYC983046 HHS983046:HHY983046 HRO983046:HRU983046 IBK983046:IBQ983046 ILG983046:ILM983046 IVC983046:IVI983046 JEY983046:JFE983046 JOU983046:JPA983046 JYQ983046:JYW983046 KIM983046:KIS983046 KSI983046:KSO983046 LCE983046:LCK983046 LMA983046:LMG983046 LVW983046:LWC983046 MFS983046:MFY983046 MPO983046:MPU983046 MZK983046:MZQ983046 NJG983046:NJM983046 NTC983046:NTI983046 OCY983046:ODE983046 OMU983046:ONA983046 OWQ983046:OWW983046 PGM983046:PGS983046 PQI983046:PQO983046 QAE983046:QAK983046 QKA983046:QKG983046 QTW983046:QUC983046 RDS983046:RDY983046 RNO983046:RNU983046 RXK983046:RXQ983046 SHG983046:SHM983046 SRC983046:SRI983046 TAY983046:TBE983046 TKU983046:TLA983046 TUQ983046:TUW983046 UEM983046:UES983046 UOI983046:UOO983046 UYE983046:UYK983046 VIA983046:VIG983046 VRW983046:VSC983046 WBS983046:WBY983046 WLO983046:WLU983046 WVK983046:WVQ983046">
      <formula1>$M$5:$M$8</formula1>
    </dataValidation>
  </dataValidations>
  <printOptions horizontalCentered="1"/>
  <pageMargins left="0.39370078740157483" right="0.39370078740157483" top="0.43307086614173229" bottom="0.59055118110236227" header="0.51181102362204722" footer="0.39370078740157483"/>
  <pageSetup paperSize="9" scale="73" orientation="portrait" r:id="rId1"/>
  <headerFooter alignWithMargins="0"/>
</worksheet>
</file>

<file path=xl/worksheets/sheet14.xml><?xml version="1.0" encoding="utf-8"?>
<worksheet xmlns="http://schemas.openxmlformats.org/spreadsheetml/2006/main" xmlns:r="http://schemas.openxmlformats.org/officeDocument/2006/relationships">
  <sheetPr>
    <tabColor rgb="FFFF0000"/>
  </sheetPr>
  <dimension ref="A1:I47"/>
  <sheetViews>
    <sheetView view="pageBreakPreview" zoomScale="115" zoomScaleSheetLayoutView="115" workbookViewId="0">
      <selection activeCell="J3" sqref="J3:K3"/>
    </sheetView>
  </sheetViews>
  <sheetFormatPr defaultRowHeight="17.100000000000001" customHeight="1"/>
  <cols>
    <col min="1" max="1" width="9.625" style="191" customWidth="1"/>
    <col min="2" max="2" width="12.625" style="191" bestFit="1" customWidth="1"/>
    <col min="3" max="9" width="9.625" style="191" customWidth="1"/>
    <col min="10" max="256" width="9" style="191"/>
    <col min="257" max="257" width="9.625" style="191" customWidth="1"/>
    <col min="258" max="258" width="12.625" style="191" bestFit="1" customWidth="1"/>
    <col min="259" max="265" width="9.625" style="191" customWidth="1"/>
    <col min="266" max="512" width="9" style="191"/>
    <col min="513" max="513" width="9.625" style="191" customWidth="1"/>
    <col min="514" max="514" width="12.625" style="191" bestFit="1" customWidth="1"/>
    <col min="515" max="521" width="9.625" style="191" customWidth="1"/>
    <col min="522" max="768" width="9" style="191"/>
    <col min="769" max="769" width="9.625" style="191" customWidth="1"/>
    <col min="770" max="770" width="12.625" style="191" bestFit="1" customWidth="1"/>
    <col min="771" max="777" width="9.625" style="191" customWidth="1"/>
    <col min="778" max="1024" width="9" style="191"/>
    <col min="1025" max="1025" width="9.625" style="191" customWidth="1"/>
    <col min="1026" max="1026" width="12.625" style="191" bestFit="1" customWidth="1"/>
    <col min="1027" max="1033" width="9.625" style="191" customWidth="1"/>
    <col min="1034" max="1280" width="9" style="191"/>
    <col min="1281" max="1281" width="9.625" style="191" customWidth="1"/>
    <col min="1282" max="1282" width="12.625" style="191" bestFit="1" customWidth="1"/>
    <col min="1283" max="1289" width="9.625" style="191" customWidth="1"/>
    <col min="1290" max="1536" width="9" style="191"/>
    <col min="1537" max="1537" width="9.625" style="191" customWidth="1"/>
    <col min="1538" max="1538" width="12.625" style="191" bestFit="1" customWidth="1"/>
    <col min="1539" max="1545" width="9.625" style="191" customWidth="1"/>
    <col min="1546" max="1792" width="9" style="191"/>
    <col min="1793" max="1793" width="9.625" style="191" customWidth="1"/>
    <col min="1794" max="1794" width="12.625" style="191" bestFit="1" customWidth="1"/>
    <col min="1795" max="1801" width="9.625" style="191" customWidth="1"/>
    <col min="1802" max="2048" width="9" style="191"/>
    <col min="2049" max="2049" width="9.625" style="191" customWidth="1"/>
    <col min="2050" max="2050" width="12.625" style="191" bestFit="1" customWidth="1"/>
    <col min="2051" max="2057" width="9.625" style="191" customWidth="1"/>
    <col min="2058" max="2304" width="9" style="191"/>
    <col min="2305" max="2305" width="9.625" style="191" customWidth="1"/>
    <col min="2306" max="2306" width="12.625" style="191" bestFit="1" customWidth="1"/>
    <col min="2307" max="2313" width="9.625" style="191" customWidth="1"/>
    <col min="2314" max="2560" width="9" style="191"/>
    <col min="2561" max="2561" width="9.625" style="191" customWidth="1"/>
    <col min="2562" max="2562" width="12.625" style="191" bestFit="1" customWidth="1"/>
    <col min="2563" max="2569" width="9.625" style="191" customWidth="1"/>
    <col min="2570" max="2816" width="9" style="191"/>
    <col min="2817" max="2817" width="9.625" style="191" customWidth="1"/>
    <col min="2818" max="2818" width="12.625" style="191" bestFit="1" customWidth="1"/>
    <col min="2819" max="2825" width="9.625" style="191" customWidth="1"/>
    <col min="2826" max="3072" width="9" style="191"/>
    <col min="3073" max="3073" width="9.625" style="191" customWidth="1"/>
    <col min="3074" max="3074" width="12.625" style="191" bestFit="1" customWidth="1"/>
    <col min="3075" max="3081" width="9.625" style="191" customWidth="1"/>
    <col min="3082" max="3328" width="9" style="191"/>
    <col min="3329" max="3329" width="9.625" style="191" customWidth="1"/>
    <col min="3330" max="3330" width="12.625" style="191" bestFit="1" customWidth="1"/>
    <col min="3331" max="3337" width="9.625" style="191" customWidth="1"/>
    <col min="3338" max="3584" width="9" style="191"/>
    <col min="3585" max="3585" width="9.625" style="191" customWidth="1"/>
    <col min="3586" max="3586" width="12.625" style="191" bestFit="1" customWidth="1"/>
    <col min="3587" max="3593" width="9.625" style="191" customWidth="1"/>
    <col min="3594" max="3840" width="9" style="191"/>
    <col min="3841" max="3841" width="9.625" style="191" customWidth="1"/>
    <col min="3842" max="3842" width="12.625" style="191" bestFit="1" customWidth="1"/>
    <col min="3843" max="3849" width="9.625" style="191" customWidth="1"/>
    <col min="3850" max="4096" width="9" style="191"/>
    <col min="4097" max="4097" width="9.625" style="191" customWidth="1"/>
    <col min="4098" max="4098" width="12.625" style="191" bestFit="1" customWidth="1"/>
    <col min="4099" max="4105" width="9.625" style="191" customWidth="1"/>
    <col min="4106" max="4352" width="9" style="191"/>
    <col min="4353" max="4353" width="9.625" style="191" customWidth="1"/>
    <col min="4354" max="4354" width="12.625" style="191" bestFit="1" customWidth="1"/>
    <col min="4355" max="4361" width="9.625" style="191" customWidth="1"/>
    <col min="4362" max="4608" width="9" style="191"/>
    <col min="4609" max="4609" width="9.625" style="191" customWidth="1"/>
    <col min="4610" max="4610" width="12.625" style="191" bestFit="1" customWidth="1"/>
    <col min="4611" max="4617" width="9.625" style="191" customWidth="1"/>
    <col min="4618" max="4864" width="9" style="191"/>
    <col min="4865" max="4865" width="9.625" style="191" customWidth="1"/>
    <col min="4866" max="4866" width="12.625" style="191" bestFit="1" customWidth="1"/>
    <col min="4867" max="4873" width="9.625" style="191" customWidth="1"/>
    <col min="4874" max="5120" width="9" style="191"/>
    <col min="5121" max="5121" width="9.625" style="191" customWidth="1"/>
    <col min="5122" max="5122" width="12.625" style="191" bestFit="1" customWidth="1"/>
    <col min="5123" max="5129" width="9.625" style="191" customWidth="1"/>
    <col min="5130" max="5376" width="9" style="191"/>
    <col min="5377" max="5377" width="9.625" style="191" customWidth="1"/>
    <col min="5378" max="5378" width="12.625" style="191" bestFit="1" customWidth="1"/>
    <col min="5379" max="5385" width="9.625" style="191" customWidth="1"/>
    <col min="5386" max="5632" width="9" style="191"/>
    <col min="5633" max="5633" width="9.625" style="191" customWidth="1"/>
    <col min="5634" max="5634" width="12.625" style="191" bestFit="1" customWidth="1"/>
    <col min="5635" max="5641" width="9.625" style="191" customWidth="1"/>
    <col min="5642" max="5888" width="9" style="191"/>
    <col min="5889" max="5889" width="9.625" style="191" customWidth="1"/>
    <col min="5890" max="5890" width="12.625" style="191" bestFit="1" customWidth="1"/>
    <col min="5891" max="5897" width="9.625" style="191" customWidth="1"/>
    <col min="5898" max="6144" width="9" style="191"/>
    <col min="6145" max="6145" width="9.625" style="191" customWidth="1"/>
    <col min="6146" max="6146" width="12.625" style="191" bestFit="1" customWidth="1"/>
    <col min="6147" max="6153" width="9.625" style="191" customWidth="1"/>
    <col min="6154" max="6400" width="9" style="191"/>
    <col min="6401" max="6401" width="9.625" style="191" customWidth="1"/>
    <col min="6402" max="6402" width="12.625" style="191" bestFit="1" customWidth="1"/>
    <col min="6403" max="6409" width="9.625" style="191" customWidth="1"/>
    <col min="6410" max="6656" width="9" style="191"/>
    <col min="6657" max="6657" width="9.625" style="191" customWidth="1"/>
    <col min="6658" max="6658" width="12.625" style="191" bestFit="1" customWidth="1"/>
    <col min="6659" max="6665" width="9.625" style="191" customWidth="1"/>
    <col min="6666" max="6912" width="9" style="191"/>
    <col min="6913" max="6913" width="9.625" style="191" customWidth="1"/>
    <col min="6914" max="6914" width="12.625" style="191" bestFit="1" customWidth="1"/>
    <col min="6915" max="6921" width="9.625" style="191" customWidth="1"/>
    <col min="6922" max="7168" width="9" style="191"/>
    <col min="7169" max="7169" width="9.625" style="191" customWidth="1"/>
    <col min="7170" max="7170" width="12.625" style="191" bestFit="1" customWidth="1"/>
    <col min="7171" max="7177" width="9.625" style="191" customWidth="1"/>
    <col min="7178" max="7424" width="9" style="191"/>
    <col min="7425" max="7425" width="9.625" style="191" customWidth="1"/>
    <col min="7426" max="7426" width="12.625" style="191" bestFit="1" customWidth="1"/>
    <col min="7427" max="7433" width="9.625" style="191" customWidth="1"/>
    <col min="7434" max="7680" width="9" style="191"/>
    <col min="7681" max="7681" width="9.625" style="191" customWidth="1"/>
    <col min="7682" max="7682" width="12.625" style="191" bestFit="1" customWidth="1"/>
    <col min="7683" max="7689" width="9.625" style="191" customWidth="1"/>
    <col min="7690" max="7936" width="9" style="191"/>
    <col min="7937" max="7937" width="9.625" style="191" customWidth="1"/>
    <col min="7938" max="7938" width="12.625" style="191" bestFit="1" customWidth="1"/>
    <col min="7939" max="7945" width="9.625" style="191" customWidth="1"/>
    <col min="7946" max="8192" width="9" style="191"/>
    <col min="8193" max="8193" width="9.625" style="191" customWidth="1"/>
    <col min="8194" max="8194" width="12.625" style="191" bestFit="1" customWidth="1"/>
    <col min="8195" max="8201" width="9.625" style="191" customWidth="1"/>
    <col min="8202" max="8448" width="9" style="191"/>
    <col min="8449" max="8449" width="9.625" style="191" customWidth="1"/>
    <col min="8450" max="8450" width="12.625" style="191" bestFit="1" customWidth="1"/>
    <col min="8451" max="8457" width="9.625" style="191" customWidth="1"/>
    <col min="8458" max="8704" width="9" style="191"/>
    <col min="8705" max="8705" width="9.625" style="191" customWidth="1"/>
    <col min="8706" max="8706" width="12.625" style="191" bestFit="1" customWidth="1"/>
    <col min="8707" max="8713" width="9.625" style="191" customWidth="1"/>
    <col min="8714" max="8960" width="9" style="191"/>
    <col min="8961" max="8961" width="9.625" style="191" customWidth="1"/>
    <col min="8962" max="8962" width="12.625" style="191" bestFit="1" customWidth="1"/>
    <col min="8963" max="8969" width="9.625" style="191" customWidth="1"/>
    <col min="8970" max="9216" width="9" style="191"/>
    <col min="9217" max="9217" width="9.625" style="191" customWidth="1"/>
    <col min="9218" max="9218" width="12.625" style="191" bestFit="1" customWidth="1"/>
    <col min="9219" max="9225" width="9.625" style="191" customWidth="1"/>
    <col min="9226" max="9472" width="9" style="191"/>
    <col min="9473" max="9473" width="9.625" style="191" customWidth="1"/>
    <col min="9474" max="9474" width="12.625" style="191" bestFit="1" customWidth="1"/>
    <col min="9475" max="9481" width="9.625" style="191" customWidth="1"/>
    <col min="9482" max="9728" width="9" style="191"/>
    <col min="9729" max="9729" width="9.625" style="191" customWidth="1"/>
    <col min="9730" max="9730" width="12.625" style="191" bestFit="1" customWidth="1"/>
    <col min="9731" max="9737" width="9.625" style="191" customWidth="1"/>
    <col min="9738" max="9984" width="9" style="191"/>
    <col min="9985" max="9985" width="9.625" style="191" customWidth="1"/>
    <col min="9986" max="9986" width="12.625" style="191" bestFit="1" customWidth="1"/>
    <col min="9987" max="9993" width="9.625" style="191" customWidth="1"/>
    <col min="9994" max="10240" width="9" style="191"/>
    <col min="10241" max="10241" width="9.625" style="191" customWidth="1"/>
    <col min="10242" max="10242" width="12.625" style="191" bestFit="1" customWidth="1"/>
    <col min="10243" max="10249" width="9.625" style="191" customWidth="1"/>
    <col min="10250" max="10496" width="9" style="191"/>
    <col min="10497" max="10497" width="9.625" style="191" customWidth="1"/>
    <col min="10498" max="10498" width="12.625" style="191" bestFit="1" customWidth="1"/>
    <col min="10499" max="10505" width="9.625" style="191" customWidth="1"/>
    <col min="10506" max="10752" width="9" style="191"/>
    <col min="10753" max="10753" width="9.625" style="191" customWidth="1"/>
    <col min="10754" max="10754" width="12.625" style="191" bestFit="1" customWidth="1"/>
    <col min="10755" max="10761" width="9.625" style="191" customWidth="1"/>
    <col min="10762" max="11008" width="9" style="191"/>
    <col min="11009" max="11009" width="9.625" style="191" customWidth="1"/>
    <col min="11010" max="11010" width="12.625" style="191" bestFit="1" customWidth="1"/>
    <col min="11011" max="11017" width="9.625" style="191" customWidth="1"/>
    <col min="11018" max="11264" width="9" style="191"/>
    <col min="11265" max="11265" width="9.625" style="191" customWidth="1"/>
    <col min="11266" max="11266" width="12.625" style="191" bestFit="1" customWidth="1"/>
    <col min="11267" max="11273" width="9.625" style="191" customWidth="1"/>
    <col min="11274" max="11520" width="9" style="191"/>
    <col min="11521" max="11521" width="9.625" style="191" customWidth="1"/>
    <col min="11522" max="11522" width="12.625" style="191" bestFit="1" customWidth="1"/>
    <col min="11523" max="11529" width="9.625" style="191" customWidth="1"/>
    <col min="11530" max="11776" width="9" style="191"/>
    <col min="11777" max="11777" width="9.625" style="191" customWidth="1"/>
    <col min="11778" max="11778" width="12.625" style="191" bestFit="1" customWidth="1"/>
    <col min="11779" max="11785" width="9.625" style="191" customWidth="1"/>
    <col min="11786" max="12032" width="9" style="191"/>
    <col min="12033" max="12033" width="9.625" style="191" customWidth="1"/>
    <col min="12034" max="12034" width="12.625" style="191" bestFit="1" customWidth="1"/>
    <col min="12035" max="12041" width="9.625" style="191" customWidth="1"/>
    <col min="12042" max="12288" width="9" style="191"/>
    <col min="12289" max="12289" width="9.625" style="191" customWidth="1"/>
    <col min="12290" max="12290" width="12.625" style="191" bestFit="1" customWidth="1"/>
    <col min="12291" max="12297" width="9.625" style="191" customWidth="1"/>
    <col min="12298" max="12544" width="9" style="191"/>
    <col min="12545" max="12545" width="9.625" style="191" customWidth="1"/>
    <col min="12546" max="12546" width="12.625" style="191" bestFit="1" customWidth="1"/>
    <col min="12547" max="12553" width="9.625" style="191" customWidth="1"/>
    <col min="12554" max="12800" width="9" style="191"/>
    <col min="12801" max="12801" width="9.625" style="191" customWidth="1"/>
    <col min="12802" max="12802" width="12.625" style="191" bestFit="1" customWidth="1"/>
    <col min="12803" max="12809" width="9.625" style="191" customWidth="1"/>
    <col min="12810" max="13056" width="9" style="191"/>
    <col min="13057" max="13057" width="9.625" style="191" customWidth="1"/>
    <col min="13058" max="13058" width="12.625" style="191" bestFit="1" customWidth="1"/>
    <col min="13059" max="13065" width="9.625" style="191" customWidth="1"/>
    <col min="13066" max="13312" width="9" style="191"/>
    <col min="13313" max="13313" width="9.625" style="191" customWidth="1"/>
    <col min="13314" max="13314" width="12.625" style="191" bestFit="1" customWidth="1"/>
    <col min="13315" max="13321" width="9.625" style="191" customWidth="1"/>
    <col min="13322" max="13568" width="9" style="191"/>
    <col min="13569" max="13569" width="9.625" style="191" customWidth="1"/>
    <col min="13570" max="13570" width="12.625" style="191" bestFit="1" customWidth="1"/>
    <col min="13571" max="13577" width="9.625" style="191" customWidth="1"/>
    <col min="13578" max="13824" width="9" style="191"/>
    <col min="13825" max="13825" width="9.625" style="191" customWidth="1"/>
    <col min="13826" max="13826" width="12.625" style="191" bestFit="1" customWidth="1"/>
    <col min="13827" max="13833" width="9.625" style="191" customWidth="1"/>
    <col min="13834" max="14080" width="9" style="191"/>
    <col min="14081" max="14081" width="9.625" style="191" customWidth="1"/>
    <col min="14082" max="14082" width="12.625" style="191" bestFit="1" customWidth="1"/>
    <col min="14083" max="14089" width="9.625" style="191" customWidth="1"/>
    <col min="14090" max="14336" width="9" style="191"/>
    <col min="14337" max="14337" width="9.625" style="191" customWidth="1"/>
    <col min="14338" max="14338" width="12.625" style="191" bestFit="1" customWidth="1"/>
    <col min="14339" max="14345" width="9.625" style="191" customWidth="1"/>
    <col min="14346" max="14592" width="9" style="191"/>
    <col min="14593" max="14593" width="9.625" style="191" customWidth="1"/>
    <col min="14594" max="14594" width="12.625" style="191" bestFit="1" customWidth="1"/>
    <col min="14595" max="14601" width="9.625" style="191" customWidth="1"/>
    <col min="14602" max="14848" width="9" style="191"/>
    <col min="14849" max="14849" width="9.625" style="191" customWidth="1"/>
    <col min="14850" max="14850" width="12.625" style="191" bestFit="1" customWidth="1"/>
    <col min="14851" max="14857" width="9.625" style="191" customWidth="1"/>
    <col min="14858" max="15104" width="9" style="191"/>
    <col min="15105" max="15105" width="9.625" style="191" customWidth="1"/>
    <col min="15106" max="15106" width="12.625" style="191" bestFit="1" customWidth="1"/>
    <col min="15107" max="15113" width="9.625" style="191" customWidth="1"/>
    <col min="15114" max="15360" width="9" style="191"/>
    <col min="15361" max="15361" width="9.625" style="191" customWidth="1"/>
    <col min="15362" max="15362" width="12.625" style="191" bestFit="1" customWidth="1"/>
    <col min="15363" max="15369" width="9.625" style="191" customWidth="1"/>
    <col min="15370" max="15616" width="9" style="191"/>
    <col min="15617" max="15617" width="9.625" style="191" customWidth="1"/>
    <col min="15618" max="15618" width="12.625" style="191" bestFit="1" customWidth="1"/>
    <col min="15619" max="15625" width="9.625" style="191" customWidth="1"/>
    <col min="15626" max="15872" width="9" style="191"/>
    <col min="15873" max="15873" width="9.625" style="191" customWidth="1"/>
    <col min="15874" max="15874" width="12.625" style="191" bestFit="1" customWidth="1"/>
    <col min="15875" max="15881" width="9.625" style="191" customWidth="1"/>
    <col min="15882" max="16128" width="9" style="191"/>
    <col min="16129" max="16129" width="9.625" style="191" customWidth="1"/>
    <col min="16130" max="16130" width="12.625" style="191" bestFit="1" customWidth="1"/>
    <col min="16131" max="16137" width="9.625" style="191" customWidth="1"/>
    <col min="16138" max="16384" width="9" style="191"/>
  </cols>
  <sheetData>
    <row r="1" spans="1:9" ht="18" customHeight="1">
      <c r="A1" s="1060" t="s">
        <v>1280</v>
      </c>
      <c r="B1" s="1060"/>
      <c r="C1" s="1060"/>
      <c r="D1" s="1060"/>
      <c r="E1" s="1060"/>
      <c r="F1" s="1060"/>
      <c r="G1" s="1060"/>
      <c r="H1" s="1060"/>
      <c r="I1" s="622" t="e">
        <f>+#REF!</f>
        <v>#REF!</v>
      </c>
    </row>
    <row r="2" spans="1:9" ht="17.100000000000001" customHeight="1">
      <c r="A2" s="621" t="s">
        <v>1262</v>
      </c>
      <c r="B2" s="1061" t="e">
        <f>+#REF!</f>
        <v>#REF!</v>
      </c>
      <c r="C2" s="1061"/>
      <c r="D2" s="621" t="s">
        <v>1263</v>
      </c>
      <c r="E2" s="1061" t="e">
        <f>+#REF!</f>
        <v>#REF!</v>
      </c>
      <c r="F2" s="1061"/>
      <c r="G2" s="621"/>
      <c r="H2" s="624" t="s">
        <v>1264</v>
      </c>
      <c r="I2" s="623" t="e">
        <f>+#REF!</f>
        <v>#REF!</v>
      </c>
    </row>
    <row r="3" spans="1:9" ht="17.100000000000001" customHeight="1">
      <c r="A3" s="621" t="s">
        <v>1265</v>
      </c>
      <c r="B3" s="1055" t="e">
        <f>#REF!</f>
        <v>#REF!</v>
      </c>
      <c r="C3" s="1055"/>
      <c r="D3" s="621" t="s">
        <v>1266</v>
      </c>
      <c r="E3" s="1055" t="e">
        <f>#REF!</f>
        <v>#REF!</v>
      </c>
      <c r="F3" s="1055"/>
      <c r="G3" s="621" t="s">
        <v>1267</v>
      </c>
      <c r="H3" s="1056"/>
      <c r="I3" s="1055"/>
    </row>
    <row r="4" spans="1:9" ht="17.100000000000001" customHeight="1">
      <c r="A4" s="621" t="s">
        <v>1268</v>
      </c>
      <c r="B4" s="1053" t="e">
        <f>+#REF!</f>
        <v>#REF!</v>
      </c>
      <c r="C4" s="1053"/>
      <c r="D4" s="621" t="s">
        <v>1269</v>
      </c>
      <c r="E4" s="1054"/>
      <c r="F4" s="1054"/>
      <c r="G4" s="621" t="s">
        <v>1270</v>
      </c>
      <c r="H4" s="1055"/>
      <c r="I4" s="1055"/>
    </row>
    <row r="5" spans="1:9" ht="17.100000000000001" customHeight="1">
      <c r="A5" s="621" t="s">
        <v>1271</v>
      </c>
      <c r="B5" s="1055" t="e">
        <f>#REF!</f>
        <v>#REF!</v>
      </c>
      <c r="C5" s="1055"/>
      <c r="D5" s="621" t="str">
        <f>[8]下料单!M2</f>
        <v>版本型录号</v>
      </c>
      <c r="E5" s="1055" t="e">
        <f>#REF!</f>
        <v>#REF!</v>
      </c>
      <c r="F5" s="1055"/>
      <c r="G5" s="621" t="s">
        <v>1272</v>
      </c>
      <c r="H5" s="1056" t="e">
        <f>#REF!</f>
        <v>#REF!</v>
      </c>
      <c r="I5" s="1056"/>
    </row>
    <row r="6" spans="1:9" ht="17.100000000000001" customHeight="1">
      <c r="A6" s="194" t="s">
        <v>572</v>
      </c>
      <c r="B6" s="193" t="s">
        <v>573</v>
      </c>
      <c r="C6" s="193" t="s">
        <v>574</v>
      </c>
      <c r="D6" s="193" t="s">
        <v>575</v>
      </c>
      <c r="E6" s="193" t="s">
        <v>576</v>
      </c>
      <c r="F6" s="193" t="s">
        <v>577</v>
      </c>
      <c r="G6" s="193" t="s">
        <v>578</v>
      </c>
      <c r="H6" s="1162"/>
      <c r="I6" s="1162"/>
    </row>
    <row r="7" spans="1:9" ht="17.100000000000001" customHeight="1">
      <c r="A7" s="194" t="s">
        <v>579</v>
      </c>
      <c r="B7" s="194" t="s">
        <v>580</v>
      </c>
      <c r="C7" s="194" t="s">
        <v>581</v>
      </c>
      <c r="D7" s="193" t="s">
        <v>582</v>
      </c>
      <c r="E7" s="193" t="s">
        <v>583</v>
      </c>
      <c r="F7" s="194" t="s">
        <v>584</v>
      </c>
      <c r="G7" s="194" t="s">
        <v>585</v>
      </c>
      <c r="H7" s="1163" t="s">
        <v>586</v>
      </c>
      <c r="I7" s="1163"/>
    </row>
    <row r="8" spans="1:9" ht="17.100000000000001" customHeight="1">
      <c r="A8" s="194">
        <v>1</v>
      </c>
      <c r="B8" s="194" t="s">
        <v>587</v>
      </c>
      <c r="C8" s="195">
        <f>'作(3)'!K4</f>
        <v>5</v>
      </c>
      <c r="D8" s="194"/>
      <c r="E8" s="194"/>
      <c r="F8" s="194"/>
      <c r="G8" s="194"/>
      <c r="H8" s="1162"/>
      <c r="I8" s="1162"/>
    </row>
    <row r="9" spans="1:9" ht="17.100000000000001" customHeight="1">
      <c r="A9" s="194">
        <v>2</v>
      </c>
      <c r="B9" s="194" t="s">
        <v>588</v>
      </c>
      <c r="C9" s="195"/>
      <c r="D9" s="194"/>
      <c r="E9" s="194"/>
      <c r="F9" s="194"/>
      <c r="G9" s="194"/>
      <c r="H9" s="1162"/>
      <c r="I9" s="1162"/>
    </row>
    <row r="10" spans="1:9" ht="17.100000000000001" customHeight="1">
      <c r="A10" s="194">
        <v>3</v>
      </c>
      <c r="B10" s="194" t="s">
        <v>589</v>
      </c>
      <c r="C10" s="195"/>
      <c r="D10" s="194"/>
      <c r="E10" s="194"/>
      <c r="F10" s="194"/>
      <c r="G10" s="194"/>
      <c r="H10" s="1162"/>
      <c r="I10" s="1162"/>
    </row>
    <row r="11" spans="1:9" ht="17.100000000000001" customHeight="1">
      <c r="A11" s="194">
        <v>4</v>
      </c>
      <c r="B11" s="194" t="s">
        <v>590</v>
      </c>
      <c r="C11" s="195"/>
      <c r="D11" s="194"/>
      <c r="E11" s="194"/>
      <c r="F11" s="194"/>
      <c r="G11" s="194"/>
      <c r="H11" s="1162"/>
      <c r="I11" s="1162"/>
    </row>
    <row r="12" spans="1:9" ht="17.100000000000001" customHeight="1">
      <c r="A12" s="194">
        <v>5</v>
      </c>
      <c r="B12" s="194" t="s">
        <v>591</v>
      </c>
      <c r="C12" s="195"/>
      <c r="D12" s="194"/>
      <c r="E12" s="194"/>
      <c r="F12" s="194"/>
      <c r="G12" s="194"/>
      <c r="H12" s="1162"/>
      <c r="I12" s="1162"/>
    </row>
    <row r="13" spans="1:9" ht="17.100000000000001" customHeight="1">
      <c r="A13" s="194">
        <v>6</v>
      </c>
      <c r="B13" s="194" t="s">
        <v>592</v>
      </c>
      <c r="C13" s="195"/>
      <c r="D13" s="194"/>
      <c r="E13" s="194"/>
      <c r="F13" s="194"/>
      <c r="G13" s="194"/>
      <c r="H13" s="1162"/>
      <c r="I13" s="1162"/>
    </row>
    <row r="14" spans="1:9" ht="17.100000000000001" customHeight="1">
      <c r="A14" s="194">
        <v>7</v>
      </c>
      <c r="B14" s="194" t="s">
        <v>593</v>
      </c>
      <c r="C14" s="195"/>
      <c r="D14" s="194"/>
      <c r="E14" s="194"/>
      <c r="F14" s="194"/>
      <c r="G14" s="194"/>
      <c r="H14" s="1162"/>
      <c r="I14" s="1162"/>
    </row>
    <row r="15" spans="1:9" ht="17.100000000000001" customHeight="1">
      <c r="A15" s="194">
        <v>8</v>
      </c>
      <c r="B15" s="194" t="s">
        <v>594</v>
      </c>
      <c r="C15" s="195"/>
      <c r="D15" s="194"/>
      <c r="E15" s="194"/>
      <c r="F15" s="194"/>
      <c r="G15" s="194"/>
      <c r="H15" s="1162"/>
      <c r="I15" s="1162"/>
    </row>
    <row r="16" spans="1:9" ht="17.100000000000001" customHeight="1">
      <c r="A16" s="194">
        <v>9</v>
      </c>
      <c r="B16" s="194" t="s">
        <v>595</v>
      </c>
      <c r="C16" s="195"/>
      <c r="D16" s="194"/>
      <c r="E16" s="195"/>
      <c r="F16" s="194"/>
      <c r="G16" s="194"/>
      <c r="H16" s="1162"/>
      <c r="I16" s="1162"/>
    </row>
    <row r="17" spans="1:9" ht="17.100000000000001" customHeight="1">
      <c r="A17" s="194">
        <v>10</v>
      </c>
      <c r="B17" s="194" t="s">
        <v>596</v>
      </c>
      <c r="C17" s="195"/>
      <c r="D17" s="194"/>
      <c r="E17" s="194"/>
      <c r="F17" s="194"/>
      <c r="G17" s="194"/>
      <c r="H17" s="1162"/>
      <c r="I17" s="1162"/>
    </row>
    <row r="18" spans="1:9" ht="17.100000000000001" customHeight="1">
      <c r="A18" s="194">
        <v>11</v>
      </c>
      <c r="B18" s="194" t="s">
        <v>597</v>
      </c>
      <c r="C18" s="195"/>
      <c r="D18" s="194"/>
      <c r="E18" s="194"/>
      <c r="F18" s="194"/>
      <c r="G18" s="194"/>
      <c r="H18" s="1162"/>
      <c r="I18" s="1162"/>
    </row>
    <row r="19" spans="1:9" ht="17.100000000000001" customHeight="1">
      <c r="A19" s="194">
        <v>12</v>
      </c>
      <c r="B19" s="194" t="s">
        <v>598</v>
      </c>
      <c r="C19" s="195"/>
      <c r="D19" s="194"/>
      <c r="E19" s="194"/>
      <c r="F19" s="194"/>
      <c r="G19" s="194"/>
      <c r="H19" s="1162"/>
      <c r="I19" s="1162"/>
    </row>
    <row r="20" spans="1:9" ht="17.100000000000001" customHeight="1">
      <c r="A20" s="194">
        <v>13</v>
      </c>
      <c r="B20" s="194" t="s">
        <v>599</v>
      </c>
      <c r="C20" s="195"/>
      <c r="D20" s="194"/>
      <c r="E20" s="194"/>
      <c r="F20" s="194"/>
      <c r="G20" s="194"/>
      <c r="H20" s="1162"/>
      <c r="I20" s="1162"/>
    </row>
    <row r="21" spans="1:9" ht="17.100000000000001" customHeight="1">
      <c r="A21" s="194">
        <v>14</v>
      </c>
      <c r="B21" s="194" t="s">
        <v>600</v>
      </c>
      <c r="C21" s="195"/>
      <c r="D21" s="194"/>
      <c r="E21" s="194"/>
      <c r="F21" s="194"/>
      <c r="G21" s="194"/>
      <c r="H21" s="1162"/>
      <c r="I21" s="1162"/>
    </row>
    <row r="22" spans="1:9" ht="17.100000000000001" customHeight="1">
      <c r="A22" s="194">
        <v>15</v>
      </c>
      <c r="B22" s="194" t="s">
        <v>601</v>
      </c>
      <c r="C22" s="195"/>
      <c r="D22" s="194"/>
      <c r="E22" s="194"/>
      <c r="F22" s="194"/>
      <c r="G22" s="194"/>
      <c r="H22" s="1162"/>
      <c r="I22" s="1162"/>
    </row>
    <row r="23" spans="1:9" ht="17.100000000000001" customHeight="1">
      <c r="A23" s="194">
        <v>16</v>
      </c>
      <c r="B23" s="194" t="s">
        <v>602</v>
      </c>
      <c r="C23" s="195">
        <f>C8</f>
        <v>5</v>
      </c>
      <c r="D23" s="194"/>
      <c r="E23" s="194"/>
      <c r="F23" s="194"/>
      <c r="G23" s="194"/>
      <c r="H23" s="1162"/>
      <c r="I23" s="1162"/>
    </row>
    <row r="24" spans="1:9" ht="17.100000000000001" customHeight="1">
      <c r="A24" s="194">
        <v>17</v>
      </c>
      <c r="B24" s="194" t="s">
        <v>603</v>
      </c>
      <c r="C24" s="195"/>
      <c r="D24" s="194"/>
      <c r="E24" s="194"/>
      <c r="F24" s="194"/>
      <c r="G24" s="194"/>
      <c r="H24" s="1162"/>
      <c r="I24" s="1162"/>
    </row>
    <row r="25" spans="1:9" ht="17.100000000000001" customHeight="1">
      <c r="A25" s="194">
        <v>18</v>
      </c>
      <c r="B25" s="194" t="s">
        <v>604</v>
      </c>
      <c r="C25" s="195"/>
      <c r="D25" s="194"/>
      <c r="E25" s="194"/>
      <c r="F25" s="194"/>
      <c r="G25" s="194"/>
      <c r="H25" s="1162"/>
      <c r="I25" s="1162"/>
    </row>
    <row r="26" spans="1:9" ht="17.100000000000001" customHeight="1">
      <c r="A26" s="194">
        <v>19</v>
      </c>
      <c r="B26" s="194" t="s">
        <v>605</v>
      </c>
      <c r="C26" s="195"/>
      <c r="D26" s="194"/>
      <c r="E26" s="194"/>
      <c r="F26" s="194"/>
      <c r="G26" s="194"/>
      <c r="H26" s="1162"/>
      <c r="I26" s="1162"/>
    </row>
    <row r="27" spans="1:9" ht="17.100000000000001" customHeight="1">
      <c r="A27" s="194">
        <v>20</v>
      </c>
      <c r="B27" s="194" t="s">
        <v>606</v>
      </c>
      <c r="C27" s="195"/>
      <c r="D27" s="194"/>
      <c r="E27" s="194"/>
      <c r="F27" s="194"/>
      <c r="G27" s="194"/>
      <c r="H27" s="1162"/>
      <c r="I27" s="1162"/>
    </row>
    <row r="28" spans="1:9" ht="17.100000000000001" customHeight="1">
      <c r="A28" s="194">
        <v>21</v>
      </c>
      <c r="B28" s="194" t="s">
        <v>607</v>
      </c>
      <c r="C28" s="195"/>
      <c r="D28" s="194"/>
      <c r="E28" s="194"/>
      <c r="F28" s="194"/>
      <c r="G28" s="194"/>
      <c r="H28" s="1162"/>
      <c r="I28" s="1162"/>
    </row>
    <row r="29" spans="1:9" ht="17.100000000000001" customHeight="1">
      <c r="A29" s="194">
        <v>22</v>
      </c>
      <c r="B29" s="194" t="s">
        <v>608</v>
      </c>
      <c r="C29" s="195"/>
      <c r="D29" s="194"/>
      <c r="E29" s="194"/>
      <c r="F29" s="194"/>
      <c r="G29" s="194"/>
      <c r="H29" s="1162"/>
      <c r="I29" s="1162"/>
    </row>
    <row r="30" spans="1:9" ht="17.100000000000001" customHeight="1">
      <c r="A30" s="194">
        <v>23</v>
      </c>
      <c r="B30" s="194" t="s">
        <v>609</v>
      </c>
      <c r="C30" s="195"/>
      <c r="D30" s="194"/>
      <c r="E30" s="194"/>
      <c r="F30" s="194"/>
      <c r="G30" s="194"/>
      <c r="H30" s="1162"/>
      <c r="I30" s="1162"/>
    </row>
    <row r="31" spans="1:9" ht="17.100000000000001" customHeight="1">
      <c r="A31" s="194">
        <v>24</v>
      </c>
      <c r="B31" s="194" t="s">
        <v>610</v>
      </c>
      <c r="C31" s="195"/>
      <c r="D31" s="194"/>
      <c r="E31" s="194"/>
      <c r="F31" s="194"/>
      <c r="G31" s="194"/>
      <c r="H31" s="1162"/>
      <c r="I31" s="1162"/>
    </row>
    <row r="32" spans="1:9" ht="17.100000000000001" customHeight="1">
      <c r="A32" s="194">
        <v>25</v>
      </c>
      <c r="B32" s="194" t="s">
        <v>611</v>
      </c>
      <c r="C32" s="195"/>
      <c r="D32" s="194"/>
      <c r="E32" s="194"/>
      <c r="F32" s="194"/>
      <c r="G32" s="194"/>
      <c r="H32" s="1162"/>
      <c r="I32" s="1162"/>
    </row>
    <row r="33" spans="1:9" ht="17.100000000000001" customHeight="1">
      <c r="A33" s="194">
        <v>26</v>
      </c>
      <c r="B33" s="194" t="s">
        <v>612</v>
      </c>
      <c r="C33" s="194"/>
      <c r="D33" s="194"/>
      <c r="E33" s="194"/>
      <c r="F33" s="194"/>
      <c r="G33" s="194"/>
      <c r="H33" s="1162"/>
      <c r="I33" s="1162"/>
    </row>
    <row r="34" spans="1:9" ht="17.100000000000001" customHeight="1">
      <c r="A34" s="194">
        <v>27</v>
      </c>
      <c r="B34" s="194" t="s">
        <v>613</v>
      </c>
      <c r="C34" s="194"/>
      <c r="D34" s="194"/>
      <c r="E34" s="194"/>
      <c r="F34" s="194"/>
      <c r="G34" s="194"/>
      <c r="H34" s="1162"/>
      <c r="I34" s="1162"/>
    </row>
    <row r="35" spans="1:9" ht="17.100000000000001" customHeight="1">
      <c r="A35" s="194">
        <v>28</v>
      </c>
      <c r="B35" s="194" t="s">
        <v>614</v>
      </c>
      <c r="C35" s="194"/>
      <c r="D35" s="194"/>
      <c r="E35" s="194"/>
      <c r="F35" s="194"/>
      <c r="G35" s="194"/>
      <c r="H35" s="1162"/>
      <c r="I35" s="1162"/>
    </row>
    <row r="36" spans="1:9" ht="17.100000000000001" customHeight="1">
      <c r="A36" s="194">
        <v>29</v>
      </c>
      <c r="B36" s="194" t="s">
        <v>615</v>
      </c>
      <c r="C36" s="194"/>
      <c r="D36" s="194"/>
      <c r="E36" s="194"/>
      <c r="F36" s="194"/>
      <c r="G36" s="194"/>
      <c r="H36" s="1162"/>
      <c r="I36" s="1162"/>
    </row>
    <row r="37" spans="1:9" ht="17.100000000000001" customHeight="1">
      <c r="A37" s="194">
        <v>30</v>
      </c>
      <c r="B37" s="194" t="s">
        <v>616</v>
      </c>
      <c r="C37" s="194"/>
      <c r="D37" s="194"/>
      <c r="E37" s="194"/>
      <c r="F37" s="194"/>
      <c r="G37" s="194"/>
      <c r="H37" s="1162"/>
      <c r="I37" s="1162"/>
    </row>
    <row r="38" spans="1:9" ht="17.100000000000001" customHeight="1">
      <c r="A38" s="194">
        <v>31</v>
      </c>
      <c r="B38" s="194" t="s">
        <v>617</v>
      </c>
      <c r="C38" s="194"/>
      <c r="D38" s="194"/>
      <c r="E38" s="194"/>
      <c r="F38" s="194"/>
      <c r="G38" s="194"/>
      <c r="H38" s="1162"/>
      <c r="I38" s="1162"/>
    </row>
    <row r="39" spans="1:9" ht="17.100000000000001" customHeight="1">
      <c r="A39" s="194">
        <v>32</v>
      </c>
      <c r="B39" s="194" t="s">
        <v>618</v>
      </c>
      <c r="C39" s="194"/>
      <c r="D39" s="194"/>
      <c r="E39" s="194"/>
      <c r="F39" s="194"/>
      <c r="G39" s="194"/>
      <c r="H39" s="1162"/>
      <c r="I39" s="1162"/>
    </row>
    <row r="40" spans="1:9" ht="17.100000000000001" customHeight="1">
      <c r="A40" s="194">
        <v>33</v>
      </c>
      <c r="B40" s="194" t="s">
        <v>619</v>
      </c>
      <c r="C40" s="194"/>
      <c r="D40" s="194"/>
      <c r="E40" s="194"/>
      <c r="F40" s="194"/>
      <c r="G40" s="194"/>
      <c r="H40" s="1162"/>
      <c r="I40" s="1162"/>
    </row>
    <row r="41" spans="1:9" ht="17.100000000000001" customHeight="1">
      <c r="A41" s="194">
        <v>34</v>
      </c>
      <c r="B41" s="194" t="s">
        <v>620</v>
      </c>
      <c r="C41" s="194"/>
      <c r="D41" s="194"/>
      <c r="E41" s="194"/>
      <c r="F41" s="194"/>
      <c r="G41" s="194"/>
      <c r="H41" s="1162"/>
      <c r="I41" s="1162"/>
    </row>
    <row r="42" spans="1:9" ht="17.100000000000001" customHeight="1">
      <c r="A42" s="194">
        <v>35</v>
      </c>
      <c r="B42" s="194" t="s">
        <v>621</v>
      </c>
      <c r="C42" s="194"/>
      <c r="D42" s="194"/>
      <c r="E42" s="194"/>
      <c r="F42" s="194"/>
      <c r="G42" s="194"/>
      <c r="H42" s="1162"/>
      <c r="I42" s="1162"/>
    </row>
    <row r="43" spans="1:9" ht="17.100000000000001" customHeight="1">
      <c r="A43" s="194">
        <v>36</v>
      </c>
      <c r="B43" s="194" t="s">
        <v>622</v>
      </c>
      <c r="C43" s="194"/>
      <c r="D43" s="194"/>
      <c r="E43" s="194"/>
      <c r="F43" s="194"/>
      <c r="G43" s="194"/>
      <c r="H43" s="1162"/>
      <c r="I43" s="1162"/>
    </row>
    <row r="44" spans="1:9" ht="17.100000000000001" customHeight="1">
      <c r="A44" s="194">
        <v>37</v>
      </c>
      <c r="B44" s="194" t="s">
        <v>623</v>
      </c>
      <c r="C44" s="194"/>
      <c r="D44" s="194"/>
      <c r="E44" s="194"/>
      <c r="F44" s="194"/>
      <c r="G44" s="194"/>
      <c r="H44" s="1162"/>
      <c r="I44" s="1162"/>
    </row>
    <row r="45" spans="1:9" ht="17.100000000000001" customHeight="1">
      <c r="A45" s="194">
        <v>38</v>
      </c>
      <c r="B45" s="194" t="s">
        <v>624</v>
      </c>
      <c r="C45" s="194"/>
      <c r="D45" s="194"/>
      <c r="E45" s="194"/>
      <c r="F45" s="194"/>
      <c r="G45" s="194"/>
      <c r="H45" s="1162"/>
      <c r="I45" s="1162"/>
    </row>
    <row r="46" spans="1:9" ht="17.100000000000001" customHeight="1">
      <c r="A46" s="194">
        <v>39</v>
      </c>
      <c r="B46" s="194" t="s">
        <v>625</v>
      </c>
      <c r="C46" s="194"/>
      <c r="D46" s="194"/>
      <c r="E46" s="194"/>
      <c r="F46" s="194"/>
      <c r="G46" s="194"/>
      <c r="H46" s="1162"/>
      <c r="I46" s="1162"/>
    </row>
    <row r="47" spans="1:9" ht="17.100000000000001" customHeight="1">
      <c r="A47" s="196"/>
      <c r="B47" s="192" t="s">
        <v>626</v>
      </c>
      <c r="C47" s="619" t="s">
        <v>1257</v>
      </c>
      <c r="D47" s="198"/>
      <c r="E47" s="197" t="s">
        <v>627</v>
      </c>
      <c r="F47" s="196"/>
      <c r="G47" s="196"/>
      <c r="H47" s="196"/>
    </row>
  </sheetData>
  <mergeCells count="53">
    <mergeCell ref="A1:H1"/>
    <mergeCell ref="B2:C2"/>
    <mergeCell ref="E2:F2"/>
    <mergeCell ref="B3:C3"/>
    <mergeCell ref="E3:F3"/>
    <mergeCell ref="H3:I3"/>
    <mergeCell ref="B4:C4"/>
    <mergeCell ref="E4:F4"/>
    <mergeCell ref="H4:I4"/>
    <mergeCell ref="H14:I14"/>
    <mergeCell ref="B5:C5"/>
    <mergeCell ref="E5:F5"/>
    <mergeCell ref="H5:I5"/>
    <mergeCell ref="H6:I6"/>
    <mergeCell ref="H7:I7"/>
    <mergeCell ref="H8:I8"/>
    <mergeCell ref="H9:I9"/>
    <mergeCell ref="H10:I10"/>
    <mergeCell ref="H11:I11"/>
    <mergeCell ref="H12:I12"/>
    <mergeCell ref="H13:I13"/>
    <mergeCell ref="H26:I26"/>
    <mergeCell ref="H15:I15"/>
    <mergeCell ref="H16:I16"/>
    <mergeCell ref="H17:I17"/>
    <mergeCell ref="H18:I18"/>
    <mergeCell ref="H19:I19"/>
    <mergeCell ref="H20:I20"/>
    <mergeCell ref="H21:I21"/>
    <mergeCell ref="H22:I22"/>
    <mergeCell ref="H23:I23"/>
    <mergeCell ref="H24:I24"/>
    <mergeCell ref="H25:I25"/>
    <mergeCell ref="H38:I38"/>
    <mergeCell ref="H27:I27"/>
    <mergeCell ref="H28:I28"/>
    <mergeCell ref="H29:I29"/>
    <mergeCell ref="H30:I30"/>
    <mergeCell ref="H31:I31"/>
    <mergeCell ref="H32:I32"/>
    <mergeCell ref="H33:I33"/>
    <mergeCell ref="H34:I34"/>
    <mergeCell ref="H35:I35"/>
    <mergeCell ref="H36:I36"/>
    <mergeCell ref="H37:I37"/>
    <mergeCell ref="H45:I45"/>
    <mergeCell ref="H46:I46"/>
    <mergeCell ref="H39:I39"/>
    <mergeCell ref="H40:I40"/>
    <mergeCell ref="H41:I41"/>
    <mergeCell ref="H42:I42"/>
    <mergeCell ref="H43:I43"/>
    <mergeCell ref="H44:I44"/>
  </mergeCells>
  <phoneticPr fontId="49"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xl/worksheets/sheet15.xml><?xml version="1.0" encoding="utf-8"?>
<worksheet xmlns="http://schemas.openxmlformats.org/spreadsheetml/2006/main" xmlns:r="http://schemas.openxmlformats.org/officeDocument/2006/relationships">
  <dimension ref="A1:AJ25"/>
  <sheetViews>
    <sheetView view="pageBreakPreview" zoomScale="115" zoomScaleSheetLayoutView="115" workbookViewId="0">
      <selection activeCell="J3" sqref="J3:K3"/>
    </sheetView>
  </sheetViews>
  <sheetFormatPr defaultRowHeight="14.25"/>
  <cols>
    <col min="1" max="2" width="3.75" style="94" customWidth="1"/>
    <col min="3" max="3" width="3.5" style="94" customWidth="1"/>
    <col min="4" max="4" width="3.875" style="94" customWidth="1"/>
    <col min="5" max="6" width="7.625" style="94" customWidth="1"/>
    <col min="7" max="7" width="6.375" style="94" customWidth="1"/>
    <col min="8" max="8" width="6.25" style="94" customWidth="1"/>
    <col min="9" max="9" width="6.625" style="94" customWidth="1"/>
    <col min="10" max="10" width="4.875" style="94" customWidth="1"/>
    <col min="11" max="11" width="4.75" style="94" customWidth="1"/>
    <col min="12" max="12" width="6.75" style="94" customWidth="1"/>
    <col min="13" max="13" width="0.625" style="94" hidden="1" customWidth="1"/>
    <col min="14" max="14" width="4.375" style="94" customWidth="1"/>
    <col min="15" max="15" width="5.625" style="94" customWidth="1"/>
    <col min="16" max="16" width="5.375" style="94" customWidth="1"/>
    <col min="17" max="17" width="6.875" style="94" customWidth="1"/>
    <col min="18" max="18" width="5.125" style="94" customWidth="1"/>
    <col min="19" max="19" width="4.75" style="94" customWidth="1"/>
    <col min="20" max="20" width="5.625" style="94" customWidth="1"/>
    <col min="21" max="21" width="4.875" style="94" customWidth="1"/>
    <col min="22" max="22" width="5.25" style="97" customWidth="1"/>
    <col min="23" max="23" width="16.25" style="148" customWidth="1"/>
    <col min="24" max="24" width="9.25" style="148" customWidth="1"/>
    <col min="25" max="25" width="9.5" style="94" bestFit="1" customWidth="1"/>
    <col min="26" max="26" width="9.875" style="94" customWidth="1"/>
    <col min="27" max="28" width="10" style="94" customWidth="1"/>
    <col min="29" max="29" width="6.625" style="94" customWidth="1"/>
    <col min="30" max="30" width="6.5" style="94" customWidth="1"/>
    <col min="31" max="31" width="9" style="94"/>
    <col min="32" max="32" width="8.5" style="94" customWidth="1"/>
    <col min="33" max="33" width="6.375" style="94" customWidth="1"/>
    <col min="34" max="34" width="5.75" style="94" customWidth="1"/>
    <col min="35" max="35" width="12.625" style="94" customWidth="1"/>
    <col min="36" max="36" width="8.375" style="97" customWidth="1"/>
    <col min="37" max="37" width="24.875" style="94" customWidth="1"/>
    <col min="38" max="38" width="9" style="94"/>
    <col min="39" max="39" width="37.5" style="94" customWidth="1"/>
    <col min="40" max="256" width="9" style="94"/>
    <col min="257" max="258" width="3.75" style="94" customWidth="1"/>
    <col min="259" max="259" width="3.5" style="94" customWidth="1"/>
    <col min="260" max="260" width="3.875" style="94" customWidth="1"/>
    <col min="261" max="262" width="7.625" style="94" customWidth="1"/>
    <col min="263" max="263" width="6.375" style="94" customWidth="1"/>
    <col min="264" max="264" width="6.25" style="94" customWidth="1"/>
    <col min="265" max="265" width="6.625" style="94" customWidth="1"/>
    <col min="266" max="266" width="4.875" style="94" customWidth="1"/>
    <col min="267" max="267" width="4.75" style="94" customWidth="1"/>
    <col min="268" max="268" width="6.75" style="94" customWidth="1"/>
    <col min="269" max="269" width="0" style="94" hidden="1" customWidth="1"/>
    <col min="270" max="270" width="4.375" style="94" customWidth="1"/>
    <col min="271" max="271" width="5.625" style="94" customWidth="1"/>
    <col min="272" max="272" width="5.375" style="94" customWidth="1"/>
    <col min="273" max="273" width="6.875" style="94" customWidth="1"/>
    <col min="274" max="274" width="5.125" style="94" customWidth="1"/>
    <col min="275" max="275" width="4.75" style="94" customWidth="1"/>
    <col min="276" max="276" width="5.625" style="94" customWidth="1"/>
    <col min="277" max="277" width="4.875" style="94" customWidth="1"/>
    <col min="278" max="278" width="5.25" style="94" customWidth="1"/>
    <col min="279" max="279" width="16.25" style="94" customWidth="1"/>
    <col min="280" max="280" width="9.25" style="94" customWidth="1"/>
    <col min="281" max="281" width="9.5" style="94" bestFit="1" customWidth="1"/>
    <col min="282" max="282" width="9.875" style="94" customWidth="1"/>
    <col min="283" max="284" width="10" style="94" customWidth="1"/>
    <col min="285" max="285" width="6.625" style="94" customWidth="1"/>
    <col min="286" max="286" width="6.5" style="94" customWidth="1"/>
    <col min="287" max="287" width="9" style="94"/>
    <col min="288" max="288" width="8.5" style="94" customWidth="1"/>
    <col min="289" max="289" width="6.375" style="94" customWidth="1"/>
    <col min="290" max="290" width="5.75" style="94" customWidth="1"/>
    <col min="291" max="291" width="12.625" style="94" customWidth="1"/>
    <col min="292" max="292" width="8.375" style="94" customWidth="1"/>
    <col min="293" max="293" width="24.875" style="94" customWidth="1"/>
    <col min="294" max="294" width="9" style="94"/>
    <col min="295" max="295" width="37.5" style="94" customWidth="1"/>
    <col min="296" max="512" width="9" style="94"/>
    <col min="513" max="514" width="3.75" style="94" customWidth="1"/>
    <col min="515" max="515" width="3.5" style="94" customWidth="1"/>
    <col min="516" max="516" width="3.875" style="94" customWidth="1"/>
    <col min="517" max="518" width="7.625" style="94" customWidth="1"/>
    <col min="519" max="519" width="6.375" style="94" customWidth="1"/>
    <col min="520" max="520" width="6.25" style="94" customWidth="1"/>
    <col min="521" max="521" width="6.625" style="94" customWidth="1"/>
    <col min="522" max="522" width="4.875" style="94" customWidth="1"/>
    <col min="523" max="523" width="4.75" style="94" customWidth="1"/>
    <col min="524" max="524" width="6.75" style="94" customWidth="1"/>
    <col min="525" max="525" width="0" style="94" hidden="1" customWidth="1"/>
    <col min="526" max="526" width="4.375" style="94" customWidth="1"/>
    <col min="527" max="527" width="5.625" style="94" customWidth="1"/>
    <col min="528" max="528" width="5.375" style="94" customWidth="1"/>
    <col min="529" max="529" width="6.875" style="94" customWidth="1"/>
    <col min="530" max="530" width="5.125" style="94" customWidth="1"/>
    <col min="531" max="531" width="4.75" style="94" customWidth="1"/>
    <col min="532" max="532" width="5.625" style="94" customWidth="1"/>
    <col min="533" max="533" width="4.875" style="94" customWidth="1"/>
    <col min="534" max="534" width="5.25" style="94" customWidth="1"/>
    <col min="535" max="535" width="16.25" style="94" customWidth="1"/>
    <col min="536" max="536" width="9.25" style="94" customWidth="1"/>
    <col min="537" max="537" width="9.5" style="94" bestFit="1" customWidth="1"/>
    <col min="538" max="538" width="9.875" style="94" customWidth="1"/>
    <col min="539" max="540" width="10" style="94" customWidth="1"/>
    <col min="541" max="541" width="6.625" style="94" customWidth="1"/>
    <col min="542" max="542" width="6.5" style="94" customWidth="1"/>
    <col min="543" max="543" width="9" style="94"/>
    <col min="544" max="544" width="8.5" style="94" customWidth="1"/>
    <col min="545" max="545" width="6.375" style="94" customWidth="1"/>
    <col min="546" max="546" width="5.75" style="94" customWidth="1"/>
    <col min="547" max="547" width="12.625" style="94" customWidth="1"/>
    <col min="548" max="548" width="8.375" style="94" customWidth="1"/>
    <col min="549" max="549" width="24.875" style="94" customWidth="1"/>
    <col min="550" max="550" width="9" style="94"/>
    <col min="551" max="551" width="37.5" style="94" customWidth="1"/>
    <col min="552" max="768" width="9" style="94"/>
    <col min="769" max="770" width="3.75" style="94" customWidth="1"/>
    <col min="771" max="771" width="3.5" style="94" customWidth="1"/>
    <col min="772" max="772" width="3.875" style="94" customWidth="1"/>
    <col min="773" max="774" width="7.625" style="94" customWidth="1"/>
    <col min="775" max="775" width="6.375" style="94" customWidth="1"/>
    <col min="776" max="776" width="6.25" style="94" customWidth="1"/>
    <col min="777" max="777" width="6.625" style="94" customWidth="1"/>
    <col min="778" max="778" width="4.875" style="94" customWidth="1"/>
    <col min="779" max="779" width="4.75" style="94" customWidth="1"/>
    <col min="780" max="780" width="6.75" style="94" customWidth="1"/>
    <col min="781" max="781" width="0" style="94" hidden="1" customWidth="1"/>
    <col min="782" max="782" width="4.375" style="94" customWidth="1"/>
    <col min="783" max="783" width="5.625" style="94" customWidth="1"/>
    <col min="784" max="784" width="5.375" style="94" customWidth="1"/>
    <col min="785" max="785" width="6.875" style="94" customWidth="1"/>
    <col min="786" max="786" width="5.125" style="94" customWidth="1"/>
    <col min="787" max="787" width="4.75" style="94" customWidth="1"/>
    <col min="788" max="788" width="5.625" style="94" customWidth="1"/>
    <col min="789" max="789" width="4.875" style="94" customWidth="1"/>
    <col min="790" max="790" width="5.25" style="94" customWidth="1"/>
    <col min="791" max="791" width="16.25" style="94" customWidth="1"/>
    <col min="792" max="792" width="9.25" style="94" customWidth="1"/>
    <col min="793" max="793" width="9.5" style="94" bestFit="1" customWidth="1"/>
    <col min="794" max="794" width="9.875" style="94" customWidth="1"/>
    <col min="795" max="796" width="10" style="94" customWidth="1"/>
    <col min="797" max="797" width="6.625" style="94" customWidth="1"/>
    <col min="798" max="798" width="6.5" style="94" customWidth="1"/>
    <col min="799" max="799" width="9" style="94"/>
    <col min="800" max="800" width="8.5" style="94" customWidth="1"/>
    <col min="801" max="801" width="6.375" style="94" customWidth="1"/>
    <col min="802" max="802" width="5.75" style="94" customWidth="1"/>
    <col min="803" max="803" width="12.625" style="94" customWidth="1"/>
    <col min="804" max="804" width="8.375" style="94" customWidth="1"/>
    <col min="805" max="805" width="24.875" style="94" customWidth="1"/>
    <col min="806" max="806" width="9" style="94"/>
    <col min="807" max="807" width="37.5" style="94" customWidth="1"/>
    <col min="808" max="1024" width="9" style="94"/>
    <col min="1025" max="1026" width="3.75" style="94" customWidth="1"/>
    <col min="1027" max="1027" width="3.5" style="94" customWidth="1"/>
    <col min="1028" max="1028" width="3.875" style="94" customWidth="1"/>
    <col min="1029" max="1030" width="7.625" style="94" customWidth="1"/>
    <col min="1031" max="1031" width="6.375" style="94" customWidth="1"/>
    <col min="1032" max="1032" width="6.25" style="94" customWidth="1"/>
    <col min="1033" max="1033" width="6.625" style="94" customWidth="1"/>
    <col min="1034" max="1034" width="4.875" style="94" customWidth="1"/>
    <col min="1035" max="1035" width="4.75" style="94" customWidth="1"/>
    <col min="1036" max="1036" width="6.75" style="94" customWidth="1"/>
    <col min="1037" max="1037" width="0" style="94" hidden="1" customWidth="1"/>
    <col min="1038" max="1038" width="4.375" style="94" customWidth="1"/>
    <col min="1039" max="1039" width="5.625" style="94" customWidth="1"/>
    <col min="1040" max="1040" width="5.375" style="94" customWidth="1"/>
    <col min="1041" max="1041" width="6.875" style="94" customWidth="1"/>
    <col min="1042" max="1042" width="5.125" style="94" customWidth="1"/>
    <col min="1043" max="1043" width="4.75" style="94" customWidth="1"/>
    <col min="1044" max="1044" width="5.625" style="94" customWidth="1"/>
    <col min="1045" max="1045" width="4.875" style="94" customWidth="1"/>
    <col min="1046" max="1046" width="5.25" style="94" customWidth="1"/>
    <col min="1047" max="1047" width="16.25" style="94" customWidth="1"/>
    <col min="1048" max="1048" width="9.25" style="94" customWidth="1"/>
    <col min="1049" max="1049" width="9.5" style="94" bestFit="1" customWidth="1"/>
    <col min="1050" max="1050" width="9.875" style="94" customWidth="1"/>
    <col min="1051" max="1052" width="10" style="94" customWidth="1"/>
    <col min="1053" max="1053" width="6.625" style="94" customWidth="1"/>
    <col min="1054" max="1054" width="6.5" style="94" customWidth="1"/>
    <col min="1055" max="1055" width="9" style="94"/>
    <col min="1056" max="1056" width="8.5" style="94" customWidth="1"/>
    <col min="1057" max="1057" width="6.375" style="94" customWidth="1"/>
    <col min="1058" max="1058" width="5.75" style="94" customWidth="1"/>
    <col min="1059" max="1059" width="12.625" style="94" customWidth="1"/>
    <col min="1060" max="1060" width="8.375" style="94" customWidth="1"/>
    <col min="1061" max="1061" width="24.875" style="94" customWidth="1"/>
    <col min="1062" max="1062" width="9" style="94"/>
    <col min="1063" max="1063" width="37.5" style="94" customWidth="1"/>
    <col min="1064" max="1280" width="9" style="94"/>
    <col min="1281" max="1282" width="3.75" style="94" customWidth="1"/>
    <col min="1283" max="1283" width="3.5" style="94" customWidth="1"/>
    <col min="1284" max="1284" width="3.875" style="94" customWidth="1"/>
    <col min="1285" max="1286" width="7.625" style="94" customWidth="1"/>
    <col min="1287" max="1287" width="6.375" style="94" customWidth="1"/>
    <col min="1288" max="1288" width="6.25" style="94" customWidth="1"/>
    <col min="1289" max="1289" width="6.625" style="94" customWidth="1"/>
    <col min="1290" max="1290" width="4.875" style="94" customWidth="1"/>
    <col min="1291" max="1291" width="4.75" style="94" customWidth="1"/>
    <col min="1292" max="1292" width="6.75" style="94" customWidth="1"/>
    <col min="1293" max="1293" width="0" style="94" hidden="1" customWidth="1"/>
    <col min="1294" max="1294" width="4.375" style="94" customWidth="1"/>
    <col min="1295" max="1295" width="5.625" style="94" customWidth="1"/>
    <col min="1296" max="1296" width="5.375" style="94" customWidth="1"/>
    <col min="1297" max="1297" width="6.875" style="94" customWidth="1"/>
    <col min="1298" max="1298" width="5.125" style="94" customWidth="1"/>
    <col min="1299" max="1299" width="4.75" style="94" customWidth="1"/>
    <col min="1300" max="1300" width="5.625" style="94" customWidth="1"/>
    <col min="1301" max="1301" width="4.875" style="94" customWidth="1"/>
    <col min="1302" max="1302" width="5.25" style="94" customWidth="1"/>
    <col min="1303" max="1303" width="16.25" style="94" customWidth="1"/>
    <col min="1304" max="1304" width="9.25" style="94" customWidth="1"/>
    <col min="1305" max="1305" width="9.5" style="94" bestFit="1" customWidth="1"/>
    <col min="1306" max="1306" width="9.875" style="94" customWidth="1"/>
    <col min="1307" max="1308" width="10" style="94" customWidth="1"/>
    <col min="1309" max="1309" width="6.625" style="94" customWidth="1"/>
    <col min="1310" max="1310" width="6.5" style="94" customWidth="1"/>
    <col min="1311" max="1311" width="9" style="94"/>
    <col min="1312" max="1312" width="8.5" style="94" customWidth="1"/>
    <col min="1313" max="1313" width="6.375" style="94" customWidth="1"/>
    <col min="1314" max="1314" width="5.75" style="94" customWidth="1"/>
    <col min="1315" max="1315" width="12.625" style="94" customWidth="1"/>
    <col min="1316" max="1316" width="8.375" style="94" customWidth="1"/>
    <col min="1317" max="1317" width="24.875" style="94" customWidth="1"/>
    <col min="1318" max="1318" width="9" style="94"/>
    <col min="1319" max="1319" width="37.5" style="94" customWidth="1"/>
    <col min="1320" max="1536" width="9" style="94"/>
    <col min="1537" max="1538" width="3.75" style="94" customWidth="1"/>
    <col min="1539" max="1539" width="3.5" style="94" customWidth="1"/>
    <col min="1540" max="1540" width="3.875" style="94" customWidth="1"/>
    <col min="1541" max="1542" width="7.625" style="94" customWidth="1"/>
    <col min="1543" max="1543" width="6.375" style="94" customWidth="1"/>
    <col min="1544" max="1544" width="6.25" style="94" customWidth="1"/>
    <col min="1545" max="1545" width="6.625" style="94" customWidth="1"/>
    <col min="1546" max="1546" width="4.875" style="94" customWidth="1"/>
    <col min="1547" max="1547" width="4.75" style="94" customWidth="1"/>
    <col min="1548" max="1548" width="6.75" style="94" customWidth="1"/>
    <col min="1549" max="1549" width="0" style="94" hidden="1" customWidth="1"/>
    <col min="1550" max="1550" width="4.375" style="94" customWidth="1"/>
    <col min="1551" max="1551" width="5.625" style="94" customWidth="1"/>
    <col min="1552" max="1552" width="5.375" style="94" customWidth="1"/>
    <col min="1553" max="1553" width="6.875" style="94" customWidth="1"/>
    <col min="1554" max="1554" width="5.125" style="94" customWidth="1"/>
    <col min="1555" max="1555" width="4.75" style="94" customWidth="1"/>
    <col min="1556" max="1556" width="5.625" style="94" customWidth="1"/>
    <col min="1557" max="1557" width="4.875" style="94" customWidth="1"/>
    <col min="1558" max="1558" width="5.25" style="94" customWidth="1"/>
    <col min="1559" max="1559" width="16.25" style="94" customWidth="1"/>
    <col min="1560" max="1560" width="9.25" style="94" customWidth="1"/>
    <col min="1561" max="1561" width="9.5" style="94" bestFit="1" customWidth="1"/>
    <col min="1562" max="1562" width="9.875" style="94" customWidth="1"/>
    <col min="1563" max="1564" width="10" style="94" customWidth="1"/>
    <col min="1565" max="1565" width="6.625" style="94" customWidth="1"/>
    <col min="1566" max="1566" width="6.5" style="94" customWidth="1"/>
    <col min="1567" max="1567" width="9" style="94"/>
    <col min="1568" max="1568" width="8.5" style="94" customWidth="1"/>
    <col min="1569" max="1569" width="6.375" style="94" customWidth="1"/>
    <col min="1570" max="1570" width="5.75" style="94" customWidth="1"/>
    <col min="1571" max="1571" width="12.625" style="94" customWidth="1"/>
    <col min="1572" max="1572" width="8.375" style="94" customWidth="1"/>
    <col min="1573" max="1573" width="24.875" style="94" customWidth="1"/>
    <col min="1574" max="1574" width="9" style="94"/>
    <col min="1575" max="1575" width="37.5" style="94" customWidth="1"/>
    <col min="1576" max="1792" width="9" style="94"/>
    <col min="1793" max="1794" width="3.75" style="94" customWidth="1"/>
    <col min="1795" max="1795" width="3.5" style="94" customWidth="1"/>
    <col min="1796" max="1796" width="3.875" style="94" customWidth="1"/>
    <col min="1797" max="1798" width="7.625" style="94" customWidth="1"/>
    <col min="1799" max="1799" width="6.375" style="94" customWidth="1"/>
    <col min="1800" max="1800" width="6.25" style="94" customWidth="1"/>
    <col min="1801" max="1801" width="6.625" style="94" customWidth="1"/>
    <col min="1802" max="1802" width="4.875" style="94" customWidth="1"/>
    <col min="1803" max="1803" width="4.75" style="94" customWidth="1"/>
    <col min="1804" max="1804" width="6.75" style="94" customWidth="1"/>
    <col min="1805" max="1805" width="0" style="94" hidden="1" customWidth="1"/>
    <col min="1806" max="1806" width="4.375" style="94" customWidth="1"/>
    <col min="1807" max="1807" width="5.625" style="94" customWidth="1"/>
    <col min="1808" max="1808" width="5.375" style="94" customWidth="1"/>
    <col min="1809" max="1809" width="6.875" style="94" customWidth="1"/>
    <col min="1810" max="1810" width="5.125" style="94" customWidth="1"/>
    <col min="1811" max="1811" width="4.75" style="94" customWidth="1"/>
    <col min="1812" max="1812" width="5.625" style="94" customWidth="1"/>
    <col min="1813" max="1813" width="4.875" style="94" customWidth="1"/>
    <col min="1814" max="1814" width="5.25" style="94" customWidth="1"/>
    <col min="1815" max="1815" width="16.25" style="94" customWidth="1"/>
    <col min="1816" max="1816" width="9.25" style="94" customWidth="1"/>
    <col min="1817" max="1817" width="9.5" style="94" bestFit="1" customWidth="1"/>
    <col min="1818" max="1818" width="9.875" style="94" customWidth="1"/>
    <col min="1819" max="1820" width="10" style="94" customWidth="1"/>
    <col min="1821" max="1821" width="6.625" style="94" customWidth="1"/>
    <col min="1822" max="1822" width="6.5" style="94" customWidth="1"/>
    <col min="1823" max="1823" width="9" style="94"/>
    <col min="1824" max="1824" width="8.5" style="94" customWidth="1"/>
    <col min="1825" max="1825" width="6.375" style="94" customWidth="1"/>
    <col min="1826" max="1826" width="5.75" style="94" customWidth="1"/>
    <col min="1827" max="1827" width="12.625" style="94" customWidth="1"/>
    <col min="1828" max="1828" width="8.375" style="94" customWidth="1"/>
    <col min="1829" max="1829" width="24.875" style="94" customWidth="1"/>
    <col min="1830" max="1830" width="9" style="94"/>
    <col min="1831" max="1831" width="37.5" style="94" customWidth="1"/>
    <col min="1832" max="2048" width="9" style="94"/>
    <col min="2049" max="2050" width="3.75" style="94" customWidth="1"/>
    <col min="2051" max="2051" width="3.5" style="94" customWidth="1"/>
    <col min="2052" max="2052" width="3.875" style="94" customWidth="1"/>
    <col min="2053" max="2054" width="7.625" style="94" customWidth="1"/>
    <col min="2055" max="2055" width="6.375" style="94" customWidth="1"/>
    <col min="2056" max="2056" width="6.25" style="94" customWidth="1"/>
    <col min="2057" max="2057" width="6.625" style="94" customWidth="1"/>
    <col min="2058" max="2058" width="4.875" style="94" customWidth="1"/>
    <col min="2059" max="2059" width="4.75" style="94" customWidth="1"/>
    <col min="2060" max="2060" width="6.75" style="94" customWidth="1"/>
    <col min="2061" max="2061" width="0" style="94" hidden="1" customWidth="1"/>
    <col min="2062" max="2062" width="4.375" style="94" customWidth="1"/>
    <col min="2063" max="2063" width="5.625" style="94" customWidth="1"/>
    <col min="2064" max="2064" width="5.375" style="94" customWidth="1"/>
    <col min="2065" max="2065" width="6.875" style="94" customWidth="1"/>
    <col min="2066" max="2066" width="5.125" style="94" customWidth="1"/>
    <col min="2067" max="2067" width="4.75" style="94" customWidth="1"/>
    <col min="2068" max="2068" width="5.625" style="94" customWidth="1"/>
    <col min="2069" max="2069" width="4.875" style="94" customWidth="1"/>
    <col min="2070" max="2070" width="5.25" style="94" customWidth="1"/>
    <col min="2071" max="2071" width="16.25" style="94" customWidth="1"/>
    <col min="2072" max="2072" width="9.25" style="94" customWidth="1"/>
    <col min="2073" max="2073" width="9.5" style="94" bestFit="1" customWidth="1"/>
    <col min="2074" max="2074" width="9.875" style="94" customWidth="1"/>
    <col min="2075" max="2076" width="10" style="94" customWidth="1"/>
    <col min="2077" max="2077" width="6.625" style="94" customWidth="1"/>
    <col min="2078" max="2078" width="6.5" style="94" customWidth="1"/>
    <col min="2079" max="2079" width="9" style="94"/>
    <col min="2080" max="2080" width="8.5" style="94" customWidth="1"/>
    <col min="2081" max="2081" width="6.375" style="94" customWidth="1"/>
    <col min="2082" max="2082" width="5.75" style="94" customWidth="1"/>
    <col min="2083" max="2083" width="12.625" style="94" customWidth="1"/>
    <col min="2084" max="2084" width="8.375" style="94" customWidth="1"/>
    <col min="2085" max="2085" width="24.875" style="94" customWidth="1"/>
    <col min="2086" max="2086" width="9" style="94"/>
    <col min="2087" max="2087" width="37.5" style="94" customWidth="1"/>
    <col min="2088" max="2304" width="9" style="94"/>
    <col min="2305" max="2306" width="3.75" style="94" customWidth="1"/>
    <col min="2307" max="2307" width="3.5" style="94" customWidth="1"/>
    <col min="2308" max="2308" width="3.875" style="94" customWidth="1"/>
    <col min="2309" max="2310" width="7.625" style="94" customWidth="1"/>
    <col min="2311" max="2311" width="6.375" style="94" customWidth="1"/>
    <col min="2312" max="2312" width="6.25" style="94" customWidth="1"/>
    <col min="2313" max="2313" width="6.625" style="94" customWidth="1"/>
    <col min="2314" max="2314" width="4.875" style="94" customWidth="1"/>
    <col min="2315" max="2315" width="4.75" style="94" customWidth="1"/>
    <col min="2316" max="2316" width="6.75" style="94" customWidth="1"/>
    <col min="2317" max="2317" width="0" style="94" hidden="1" customWidth="1"/>
    <col min="2318" max="2318" width="4.375" style="94" customWidth="1"/>
    <col min="2319" max="2319" width="5.625" style="94" customWidth="1"/>
    <col min="2320" max="2320" width="5.375" style="94" customWidth="1"/>
    <col min="2321" max="2321" width="6.875" style="94" customWidth="1"/>
    <col min="2322" max="2322" width="5.125" style="94" customWidth="1"/>
    <col min="2323" max="2323" width="4.75" style="94" customWidth="1"/>
    <col min="2324" max="2324" width="5.625" style="94" customWidth="1"/>
    <col min="2325" max="2325" width="4.875" style="94" customWidth="1"/>
    <col min="2326" max="2326" width="5.25" style="94" customWidth="1"/>
    <col min="2327" max="2327" width="16.25" style="94" customWidth="1"/>
    <col min="2328" max="2328" width="9.25" style="94" customWidth="1"/>
    <col min="2329" max="2329" width="9.5" style="94" bestFit="1" customWidth="1"/>
    <col min="2330" max="2330" width="9.875" style="94" customWidth="1"/>
    <col min="2331" max="2332" width="10" style="94" customWidth="1"/>
    <col min="2333" max="2333" width="6.625" style="94" customWidth="1"/>
    <col min="2334" max="2334" width="6.5" style="94" customWidth="1"/>
    <col min="2335" max="2335" width="9" style="94"/>
    <col min="2336" max="2336" width="8.5" style="94" customWidth="1"/>
    <col min="2337" max="2337" width="6.375" style="94" customWidth="1"/>
    <col min="2338" max="2338" width="5.75" style="94" customWidth="1"/>
    <col min="2339" max="2339" width="12.625" style="94" customWidth="1"/>
    <col min="2340" max="2340" width="8.375" style="94" customWidth="1"/>
    <col min="2341" max="2341" width="24.875" style="94" customWidth="1"/>
    <col min="2342" max="2342" width="9" style="94"/>
    <col min="2343" max="2343" width="37.5" style="94" customWidth="1"/>
    <col min="2344" max="2560" width="9" style="94"/>
    <col min="2561" max="2562" width="3.75" style="94" customWidth="1"/>
    <col min="2563" max="2563" width="3.5" style="94" customWidth="1"/>
    <col min="2564" max="2564" width="3.875" style="94" customWidth="1"/>
    <col min="2565" max="2566" width="7.625" style="94" customWidth="1"/>
    <col min="2567" max="2567" width="6.375" style="94" customWidth="1"/>
    <col min="2568" max="2568" width="6.25" style="94" customWidth="1"/>
    <col min="2569" max="2569" width="6.625" style="94" customWidth="1"/>
    <col min="2570" max="2570" width="4.875" style="94" customWidth="1"/>
    <col min="2571" max="2571" width="4.75" style="94" customWidth="1"/>
    <col min="2572" max="2572" width="6.75" style="94" customWidth="1"/>
    <col min="2573" max="2573" width="0" style="94" hidden="1" customWidth="1"/>
    <col min="2574" max="2574" width="4.375" style="94" customWidth="1"/>
    <col min="2575" max="2575" width="5.625" style="94" customWidth="1"/>
    <col min="2576" max="2576" width="5.375" style="94" customWidth="1"/>
    <col min="2577" max="2577" width="6.875" style="94" customWidth="1"/>
    <col min="2578" max="2578" width="5.125" style="94" customWidth="1"/>
    <col min="2579" max="2579" width="4.75" style="94" customWidth="1"/>
    <col min="2580" max="2580" width="5.625" style="94" customWidth="1"/>
    <col min="2581" max="2581" width="4.875" style="94" customWidth="1"/>
    <col min="2582" max="2582" width="5.25" style="94" customWidth="1"/>
    <col min="2583" max="2583" width="16.25" style="94" customWidth="1"/>
    <col min="2584" max="2584" width="9.25" style="94" customWidth="1"/>
    <col min="2585" max="2585" width="9.5" style="94" bestFit="1" customWidth="1"/>
    <col min="2586" max="2586" width="9.875" style="94" customWidth="1"/>
    <col min="2587" max="2588" width="10" style="94" customWidth="1"/>
    <col min="2589" max="2589" width="6.625" style="94" customWidth="1"/>
    <col min="2590" max="2590" width="6.5" style="94" customWidth="1"/>
    <col min="2591" max="2591" width="9" style="94"/>
    <col min="2592" max="2592" width="8.5" style="94" customWidth="1"/>
    <col min="2593" max="2593" width="6.375" style="94" customWidth="1"/>
    <col min="2594" max="2594" width="5.75" style="94" customWidth="1"/>
    <col min="2595" max="2595" width="12.625" style="94" customWidth="1"/>
    <col min="2596" max="2596" width="8.375" style="94" customWidth="1"/>
    <col min="2597" max="2597" width="24.875" style="94" customWidth="1"/>
    <col min="2598" max="2598" width="9" style="94"/>
    <col min="2599" max="2599" width="37.5" style="94" customWidth="1"/>
    <col min="2600" max="2816" width="9" style="94"/>
    <col min="2817" max="2818" width="3.75" style="94" customWidth="1"/>
    <col min="2819" max="2819" width="3.5" style="94" customWidth="1"/>
    <col min="2820" max="2820" width="3.875" style="94" customWidth="1"/>
    <col min="2821" max="2822" width="7.625" style="94" customWidth="1"/>
    <col min="2823" max="2823" width="6.375" style="94" customWidth="1"/>
    <col min="2824" max="2824" width="6.25" style="94" customWidth="1"/>
    <col min="2825" max="2825" width="6.625" style="94" customWidth="1"/>
    <col min="2826" max="2826" width="4.875" style="94" customWidth="1"/>
    <col min="2827" max="2827" width="4.75" style="94" customWidth="1"/>
    <col min="2828" max="2828" width="6.75" style="94" customWidth="1"/>
    <col min="2829" max="2829" width="0" style="94" hidden="1" customWidth="1"/>
    <col min="2830" max="2830" width="4.375" style="94" customWidth="1"/>
    <col min="2831" max="2831" width="5.625" style="94" customWidth="1"/>
    <col min="2832" max="2832" width="5.375" style="94" customWidth="1"/>
    <col min="2833" max="2833" width="6.875" style="94" customWidth="1"/>
    <col min="2834" max="2834" width="5.125" style="94" customWidth="1"/>
    <col min="2835" max="2835" width="4.75" style="94" customWidth="1"/>
    <col min="2836" max="2836" width="5.625" style="94" customWidth="1"/>
    <col min="2837" max="2837" width="4.875" style="94" customWidth="1"/>
    <col min="2838" max="2838" width="5.25" style="94" customWidth="1"/>
    <col min="2839" max="2839" width="16.25" style="94" customWidth="1"/>
    <col min="2840" max="2840" width="9.25" style="94" customWidth="1"/>
    <col min="2841" max="2841" width="9.5" style="94" bestFit="1" customWidth="1"/>
    <col min="2842" max="2842" width="9.875" style="94" customWidth="1"/>
    <col min="2843" max="2844" width="10" style="94" customWidth="1"/>
    <col min="2845" max="2845" width="6.625" style="94" customWidth="1"/>
    <col min="2846" max="2846" width="6.5" style="94" customWidth="1"/>
    <col min="2847" max="2847" width="9" style="94"/>
    <col min="2848" max="2848" width="8.5" style="94" customWidth="1"/>
    <col min="2849" max="2849" width="6.375" style="94" customWidth="1"/>
    <col min="2850" max="2850" width="5.75" style="94" customWidth="1"/>
    <col min="2851" max="2851" width="12.625" style="94" customWidth="1"/>
    <col min="2852" max="2852" width="8.375" style="94" customWidth="1"/>
    <col min="2853" max="2853" width="24.875" style="94" customWidth="1"/>
    <col min="2854" max="2854" width="9" style="94"/>
    <col min="2855" max="2855" width="37.5" style="94" customWidth="1"/>
    <col min="2856" max="3072" width="9" style="94"/>
    <col min="3073" max="3074" width="3.75" style="94" customWidth="1"/>
    <col min="3075" max="3075" width="3.5" style="94" customWidth="1"/>
    <col min="3076" max="3076" width="3.875" style="94" customWidth="1"/>
    <col min="3077" max="3078" width="7.625" style="94" customWidth="1"/>
    <col min="3079" max="3079" width="6.375" style="94" customWidth="1"/>
    <col min="3080" max="3080" width="6.25" style="94" customWidth="1"/>
    <col min="3081" max="3081" width="6.625" style="94" customWidth="1"/>
    <col min="3082" max="3082" width="4.875" style="94" customWidth="1"/>
    <col min="3083" max="3083" width="4.75" style="94" customWidth="1"/>
    <col min="3084" max="3084" width="6.75" style="94" customWidth="1"/>
    <col min="3085" max="3085" width="0" style="94" hidden="1" customWidth="1"/>
    <col min="3086" max="3086" width="4.375" style="94" customWidth="1"/>
    <col min="3087" max="3087" width="5.625" style="94" customWidth="1"/>
    <col min="3088" max="3088" width="5.375" style="94" customWidth="1"/>
    <col min="3089" max="3089" width="6.875" style="94" customWidth="1"/>
    <col min="3090" max="3090" width="5.125" style="94" customWidth="1"/>
    <col min="3091" max="3091" width="4.75" style="94" customWidth="1"/>
    <col min="3092" max="3092" width="5.625" style="94" customWidth="1"/>
    <col min="3093" max="3093" width="4.875" style="94" customWidth="1"/>
    <col min="3094" max="3094" width="5.25" style="94" customWidth="1"/>
    <col min="3095" max="3095" width="16.25" style="94" customWidth="1"/>
    <col min="3096" max="3096" width="9.25" style="94" customWidth="1"/>
    <col min="3097" max="3097" width="9.5" style="94" bestFit="1" customWidth="1"/>
    <col min="3098" max="3098" width="9.875" style="94" customWidth="1"/>
    <col min="3099" max="3100" width="10" style="94" customWidth="1"/>
    <col min="3101" max="3101" width="6.625" style="94" customWidth="1"/>
    <col min="3102" max="3102" width="6.5" style="94" customWidth="1"/>
    <col min="3103" max="3103" width="9" style="94"/>
    <col min="3104" max="3104" width="8.5" style="94" customWidth="1"/>
    <col min="3105" max="3105" width="6.375" style="94" customWidth="1"/>
    <col min="3106" max="3106" width="5.75" style="94" customWidth="1"/>
    <col min="3107" max="3107" width="12.625" style="94" customWidth="1"/>
    <col min="3108" max="3108" width="8.375" style="94" customWidth="1"/>
    <col min="3109" max="3109" width="24.875" style="94" customWidth="1"/>
    <col min="3110" max="3110" width="9" style="94"/>
    <col min="3111" max="3111" width="37.5" style="94" customWidth="1"/>
    <col min="3112" max="3328" width="9" style="94"/>
    <col min="3329" max="3330" width="3.75" style="94" customWidth="1"/>
    <col min="3331" max="3331" width="3.5" style="94" customWidth="1"/>
    <col min="3332" max="3332" width="3.875" style="94" customWidth="1"/>
    <col min="3333" max="3334" width="7.625" style="94" customWidth="1"/>
    <col min="3335" max="3335" width="6.375" style="94" customWidth="1"/>
    <col min="3336" max="3336" width="6.25" style="94" customWidth="1"/>
    <col min="3337" max="3337" width="6.625" style="94" customWidth="1"/>
    <col min="3338" max="3338" width="4.875" style="94" customWidth="1"/>
    <col min="3339" max="3339" width="4.75" style="94" customWidth="1"/>
    <col min="3340" max="3340" width="6.75" style="94" customWidth="1"/>
    <col min="3341" max="3341" width="0" style="94" hidden="1" customWidth="1"/>
    <col min="3342" max="3342" width="4.375" style="94" customWidth="1"/>
    <col min="3343" max="3343" width="5.625" style="94" customWidth="1"/>
    <col min="3344" max="3344" width="5.375" style="94" customWidth="1"/>
    <col min="3345" max="3345" width="6.875" style="94" customWidth="1"/>
    <col min="3346" max="3346" width="5.125" style="94" customWidth="1"/>
    <col min="3347" max="3347" width="4.75" style="94" customWidth="1"/>
    <col min="3348" max="3348" width="5.625" style="94" customWidth="1"/>
    <col min="3349" max="3349" width="4.875" style="94" customWidth="1"/>
    <col min="3350" max="3350" width="5.25" style="94" customWidth="1"/>
    <col min="3351" max="3351" width="16.25" style="94" customWidth="1"/>
    <col min="3352" max="3352" width="9.25" style="94" customWidth="1"/>
    <col min="3353" max="3353" width="9.5" style="94" bestFit="1" customWidth="1"/>
    <col min="3354" max="3354" width="9.875" style="94" customWidth="1"/>
    <col min="3355" max="3356" width="10" style="94" customWidth="1"/>
    <col min="3357" max="3357" width="6.625" style="94" customWidth="1"/>
    <col min="3358" max="3358" width="6.5" style="94" customWidth="1"/>
    <col min="3359" max="3359" width="9" style="94"/>
    <col min="3360" max="3360" width="8.5" style="94" customWidth="1"/>
    <col min="3361" max="3361" width="6.375" style="94" customWidth="1"/>
    <col min="3362" max="3362" width="5.75" style="94" customWidth="1"/>
    <col min="3363" max="3363" width="12.625" style="94" customWidth="1"/>
    <col min="3364" max="3364" width="8.375" style="94" customWidth="1"/>
    <col min="3365" max="3365" width="24.875" style="94" customWidth="1"/>
    <col min="3366" max="3366" width="9" style="94"/>
    <col min="3367" max="3367" width="37.5" style="94" customWidth="1"/>
    <col min="3368" max="3584" width="9" style="94"/>
    <col min="3585" max="3586" width="3.75" style="94" customWidth="1"/>
    <col min="3587" max="3587" width="3.5" style="94" customWidth="1"/>
    <col min="3588" max="3588" width="3.875" style="94" customWidth="1"/>
    <col min="3589" max="3590" width="7.625" style="94" customWidth="1"/>
    <col min="3591" max="3591" width="6.375" style="94" customWidth="1"/>
    <col min="3592" max="3592" width="6.25" style="94" customWidth="1"/>
    <col min="3593" max="3593" width="6.625" style="94" customWidth="1"/>
    <col min="3594" max="3594" width="4.875" style="94" customWidth="1"/>
    <col min="3595" max="3595" width="4.75" style="94" customWidth="1"/>
    <col min="3596" max="3596" width="6.75" style="94" customWidth="1"/>
    <col min="3597" max="3597" width="0" style="94" hidden="1" customWidth="1"/>
    <col min="3598" max="3598" width="4.375" style="94" customWidth="1"/>
    <col min="3599" max="3599" width="5.625" style="94" customWidth="1"/>
    <col min="3600" max="3600" width="5.375" style="94" customWidth="1"/>
    <col min="3601" max="3601" width="6.875" style="94" customWidth="1"/>
    <col min="3602" max="3602" width="5.125" style="94" customWidth="1"/>
    <col min="3603" max="3603" width="4.75" style="94" customWidth="1"/>
    <col min="3604" max="3604" width="5.625" style="94" customWidth="1"/>
    <col min="3605" max="3605" width="4.875" style="94" customWidth="1"/>
    <col min="3606" max="3606" width="5.25" style="94" customWidth="1"/>
    <col min="3607" max="3607" width="16.25" style="94" customWidth="1"/>
    <col min="3608" max="3608" width="9.25" style="94" customWidth="1"/>
    <col min="3609" max="3609" width="9.5" style="94" bestFit="1" customWidth="1"/>
    <col min="3610" max="3610" width="9.875" style="94" customWidth="1"/>
    <col min="3611" max="3612" width="10" style="94" customWidth="1"/>
    <col min="3613" max="3613" width="6.625" style="94" customWidth="1"/>
    <col min="3614" max="3614" width="6.5" style="94" customWidth="1"/>
    <col min="3615" max="3615" width="9" style="94"/>
    <col min="3616" max="3616" width="8.5" style="94" customWidth="1"/>
    <col min="3617" max="3617" width="6.375" style="94" customWidth="1"/>
    <col min="3618" max="3618" width="5.75" style="94" customWidth="1"/>
    <col min="3619" max="3619" width="12.625" style="94" customWidth="1"/>
    <col min="3620" max="3620" width="8.375" style="94" customWidth="1"/>
    <col min="3621" max="3621" width="24.875" style="94" customWidth="1"/>
    <col min="3622" max="3622" width="9" style="94"/>
    <col min="3623" max="3623" width="37.5" style="94" customWidth="1"/>
    <col min="3624" max="3840" width="9" style="94"/>
    <col min="3841" max="3842" width="3.75" style="94" customWidth="1"/>
    <col min="3843" max="3843" width="3.5" style="94" customWidth="1"/>
    <col min="3844" max="3844" width="3.875" style="94" customWidth="1"/>
    <col min="3845" max="3846" width="7.625" style="94" customWidth="1"/>
    <col min="3847" max="3847" width="6.375" style="94" customWidth="1"/>
    <col min="3848" max="3848" width="6.25" style="94" customWidth="1"/>
    <col min="3849" max="3849" width="6.625" style="94" customWidth="1"/>
    <col min="3850" max="3850" width="4.875" style="94" customWidth="1"/>
    <col min="3851" max="3851" width="4.75" style="94" customWidth="1"/>
    <col min="3852" max="3852" width="6.75" style="94" customWidth="1"/>
    <col min="3853" max="3853" width="0" style="94" hidden="1" customWidth="1"/>
    <col min="3854" max="3854" width="4.375" style="94" customWidth="1"/>
    <col min="3855" max="3855" width="5.625" style="94" customWidth="1"/>
    <col min="3856" max="3856" width="5.375" style="94" customWidth="1"/>
    <col min="3857" max="3857" width="6.875" style="94" customWidth="1"/>
    <col min="3858" max="3858" width="5.125" style="94" customWidth="1"/>
    <col min="3859" max="3859" width="4.75" style="94" customWidth="1"/>
    <col min="3860" max="3860" width="5.625" style="94" customWidth="1"/>
    <col min="3861" max="3861" width="4.875" style="94" customWidth="1"/>
    <col min="3862" max="3862" width="5.25" style="94" customWidth="1"/>
    <col min="3863" max="3863" width="16.25" style="94" customWidth="1"/>
    <col min="3864" max="3864" width="9.25" style="94" customWidth="1"/>
    <col min="3865" max="3865" width="9.5" style="94" bestFit="1" customWidth="1"/>
    <col min="3866" max="3866" width="9.875" style="94" customWidth="1"/>
    <col min="3867" max="3868" width="10" style="94" customWidth="1"/>
    <col min="3869" max="3869" width="6.625" style="94" customWidth="1"/>
    <col min="3870" max="3870" width="6.5" style="94" customWidth="1"/>
    <col min="3871" max="3871" width="9" style="94"/>
    <col min="3872" max="3872" width="8.5" style="94" customWidth="1"/>
    <col min="3873" max="3873" width="6.375" style="94" customWidth="1"/>
    <col min="3874" max="3874" width="5.75" style="94" customWidth="1"/>
    <col min="3875" max="3875" width="12.625" style="94" customWidth="1"/>
    <col min="3876" max="3876" width="8.375" style="94" customWidth="1"/>
    <col min="3877" max="3877" width="24.875" style="94" customWidth="1"/>
    <col min="3878" max="3878" width="9" style="94"/>
    <col min="3879" max="3879" width="37.5" style="94" customWidth="1"/>
    <col min="3880" max="4096" width="9" style="94"/>
    <col min="4097" max="4098" width="3.75" style="94" customWidth="1"/>
    <col min="4099" max="4099" width="3.5" style="94" customWidth="1"/>
    <col min="4100" max="4100" width="3.875" style="94" customWidth="1"/>
    <col min="4101" max="4102" width="7.625" style="94" customWidth="1"/>
    <col min="4103" max="4103" width="6.375" style="94" customWidth="1"/>
    <col min="4104" max="4104" width="6.25" style="94" customWidth="1"/>
    <col min="4105" max="4105" width="6.625" style="94" customWidth="1"/>
    <col min="4106" max="4106" width="4.875" style="94" customWidth="1"/>
    <col min="4107" max="4107" width="4.75" style="94" customWidth="1"/>
    <col min="4108" max="4108" width="6.75" style="94" customWidth="1"/>
    <col min="4109" max="4109" width="0" style="94" hidden="1" customWidth="1"/>
    <col min="4110" max="4110" width="4.375" style="94" customWidth="1"/>
    <col min="4111" max="4111" width="5.625" style="94" customWidth="1"/>
    <col min="4112" max="4112" width="5.375" style="94" customWidth="1"/>
    <col min="4113" max="4113" width="6.875" style="94" customWidth="1"/>
    <col min="4114" max="4114" width="5.125" style="94" customWidth="1"/>
    <col min="4115" max="4115" width="4.75" style="94" customWidth="1"/>
    <col min="4116" max="4116" width="5.625" style="94" customWidth="1"/>
    <col min="4117" max="4117" width="4.875" style="94" customWidth="1"/>
    <col min="4118" max="4118" width="5.25" style="94" customWidth="1"/>
    <col min="4119" max="4119" width="16.25" style="94" customWidth="1"/>
    <col min="4120" max="4120" width="9.25" style="94" customWidth="1"/>
    <col min="4121" max="4121" width="9.5" style="94" bestFit="1" customWidth="1"/>
    <col min="4122" max="4122" width="9.875" style="94" customWidth="1"/>
    <col min="4123" max="4124" width="10" style="94" customWidth="1"/>
    <col min="4125" max="4125" width="6.625" style="94" customWidth="1"/>
    <col min="4126" max="4126" width="6.5" style="94" customWidth="1"/>
    <col min="4127" max="4127" width="9" style="94"/>
    <col min="4128" max="4128" width="8.5" style="94" customWidth="1"/>
    <col min="4129" max="4129" width="6.375" style="94" customWidth="1"/>
    <col min="4130" max="4130" width="5.75" style="94" customWidth="1"/>
    <col min="4131" max="4131" width="12.625" style="94" customWidth="1"/>
    <col min="4132" max="4132" width="8.375" style="94" customWidth="1"/>
    <col min="4133" max="4133" width="24.875" style="94" customWidth="1"/>
    <col min="4134" max="4134" width="9" style="94"/>
    <col min="4135" max="4135" width="37.5" style="94" customWidth="1"/>
    <col min="4136" max="4352" width="9" style="94"/>
    <col min="4353" max="4354" width="3.75" style="94" customWidth="1"/>
    <col min="4355" max="4355" width="3.5" style="94" customWidth="1"/>
    <col min="4356" max="4356" width="3.875" style="94" customWidth="1"/>
    <col min="4357" max="4358" width="7.625" style="94" customWidth="1"/>
    <col min="4359" max="4359" width="6.375" style="94" customWidth="1"/>
    <col min="4360" max="4360" width="6.25" style="94" customWidth="1"/>
    <col min="4361" max="4361" width="6.625" style="94" customWidth="1"/>
    <col min="4362" max="4362" width="4.875" style="94" customWidth="1"/>
    <col min="4363" max="4363" width="4.75" style="94" customWidth="1"/>
    <col min="4364" max="4364" width="6.75" style="94" customWidth="1"/>
    <col min="4365" max="4365" width="0" style="94" hidden="1" customWidth="1"/>
    <col min="4366" max="4366" width="4.375" style="94" customWidth="1"/>
    <col min="4367" max="4367" width="5.625" style="94" customWidth="1"/>
    <col min="4368" max="4368" width="5.375" style="94" customWidth="1"/>
    <col min="4369" max="4369" width="6.875" style="94" customWidth="1"/>
    <col min="4370" max="4370" width="5.125" style="94" customWidth="1"/>
    <col min="4371" max="4371" width="4.75" style="94" customWidth="1"/>
    <col min="4372" max="4372" width="5.625" style="94" customWidth="1"/>
    <col min="4373" max="4373" width="4.875" style="94" customWidth="1"/>
    <col min="4374" max="4374" width="5.25" style="94" customWidth="1"/>
    <col min="4375" max="4375" width="16.25" style="94" customWidth="1"/>
    <col min="4376" max="4376" width="9.25" style="94" customWidth="1"/>
    <col min="4377" max="4377" width="9.5" style="94" bestFit="1" customWidth="1"/>
    <col min="4378" max="4378" width="9.875" style="94" customWidth="1"/>
    <col min="4379" max="4380" width="10" style="94" customWidth="1"/>
    <col min="4381" max="4381" width="6.625" style="94" customWidth="1"/>
    <col min="4382" max="4382" width="6.5" style="94" customWidth="1"/>
    <col min="4383" max="4383" width="9" style="94"/>
    <col min="4384" max="4384" width="8.5" style="94" customWidth="1"/>
    <col min="4385" max="4385" width="6.375" style="94" customWidth="1"/>
    <col min="4386" max="4386" width="5.75" style="94" customWidth="1"/>
    <col min="4387" max="4387" width="12.625" style="94" customWidth="1"/>
    <col min="4388" max="4388" width="8.375" style="94" customWidth="1"/>
    <col min="4389" max="4389" width="24.875" style="94" customWidth="1"/>
    <col min="4390" max="4390" width="9" style="94"/>
    <col min="4391" max="4391" width="37.5" style="94" customWidth="1"/>
    <col min="4392" max="4608" width="9" style="94"/>
    <col min="4609" max="4610" width="3.75" style="94" customWidth="1"/>
    <col min="4611" max="4611" width="3.5" style="94" customWidth="1"/>
    <col min="4612" max="4612" width="3.875" style="94" customWidth="1"/>
    <col min="4613" max="4614" width="7.625" style="94" customWidth="1"/>
    <col min="4615" max="4615" width="6.375" style="94" customWidth="1"/>
    <col min="4616" max="4616" width="6.25" style="94" customWidth="1"/>
    <col min="4617" max="4617" width="6.625" style="94" customWidth="1"/>
    <col min="4618" max="4618" width="4.875" style="94" customWidth="1"/>
    <col min="4619" max="4619" width="4.75" style="94" customWidth="1"/>
    <col min="4620" max="4620" width="6.75" style="94" customWidth="1"/>
    <col min="4621" max="4621" width="0" style="94" hidden="1" customWidth="1"/>
    <col min="4622" max="4622" width="4.375" style="94" customWidth="1"/>
    <col min="4623" max="4623" width="5.625" style="94" customWidth="1"/>
    <col min="4624" max="4624" width="5.375" style="94" customWidth="1"/>
    <col min="4625" max="4625" width="6.875" style="94" customWidth="1"/>
    <col min="4626" max="4626" width="5.125" style="94" customWidth="1"/>
    <col min="4627" max="4627" width="4.75" style="94" customWidth="1"/>
    <col min="4628" max="4628" width="5.625" style="94" customWidth="1"/>
    <col min="4629" max="4629" width="4.875" style="94" customWidth="1"/>
    <col min="4630" max="4630" width="5.25" style="94" customWidth="1"/>
    <col min="4631" max="4631" width="16.25" style="94" customWidth="1"/>
    <col min="4632" max="4632" width="9.25" style="94" customWidth="1"/>
    <col min="4633" max="4633" width="9.5" style="94" bestFit="1" customWidth="1"/>
    <col min="4634" max="4634" width="9.875" style="94" customWidth="1"/>
    <col min="4635" max="4636" width="10" style="94" customWidth="1"/>
    <col min="4637" max="4637" width="6.625" style="94" customWidth="1"/>
    <col min="4638" max="4638" width="6.5" style="94" customWidth="1"/>
    <col min="4639" max="4639" width="9" style="94"/>
    <col min="4640" max="4640" width="8.5" style="94" customWidth="1"/>
    <col min="4641" max="4641" width="6.375" style="94" customWidth="1"/>
    <col min="4642" max="4642" width="5.75" style="94" customWidth="1"/>
    <col min="4643" max="4643" width="12.625" style="94" customWidth="1"/>
    <col min="4644" max="4644" width="8.375" style="94" customWidth="1"/>
    <col min="4645" max="4645" width="24.875" style="94" customWidth="1"/>
    <col min="4646" max="4646" width="9" style="94"/>
    <col min="4647" max="4647" width="37.5" style="94" customWidth="1"/>
    <col min="4648" max="4864" width="9" style="94"/>
    <col min="4865" max="4866" width="3.75" style="94" customWidth="1"/>
    <col min="4867" max="4867" width="3.5" style="94" customWidth="1"/>
    <col min="4868" max="4868" width="3.875" style="94" customWidth="1"/>
    <col min="4869" max="4870" width="7.625" style="94" customWidth="1"/>
    <col min="4871" max="4871" width="6.375" style="94" customWidth="1"/>
    <col min="4872" max="4872" width="6.25" style="94" customWidth="1"/>
    <col min="4873" max="4873" width="6.625" style="94" customWidth="1"/>
    <col min="4874" max="4874" width="4.875" style="94" customWidth="1"/>
    <col min="4875" max="4875" width="4.75" style="94" customWidth="1"/>
    <col min="4876" max="4876" width="6.75" style="94" customWidth="1"/>
    <col min="4877" max="4877" width="0" style="94" hidden="1" customWidth="1"/>
    <col min="4878" max="4878" width="4.375" style="94" customWidth="1"/>
    <col min="4879" max="4879" width="5.625" style="94" customWidth="1"/>
    <col min="4880" max="4880" width="5.375" style="94" customWidth="1"/>
    <col min="4881" max="4881" width="6.875" style="94" customWidth="1"/>
    <col min="4882" max="4882" width="5.125" style="94" customWidth="1"/>
    <col min="4883" max="4883" width="4.75" style="94" customWidth="1"/>
    <col min="4884" max="4884" width="5.625" style="94" customWidth="1"/>
    <col min="4885" max="4885" width="4.875" style="94" customWidth="1"/>
    <col min="4886" max="4886" width="5.25" style="94" customWidth="1"/>
    <col min="4887" max="4887" width="16.25" style="94" customWidth="1"/>
    <col min="4888" max="4888" width="9.25" style="94" customWidth="1"/>
    <col min="4889" max="4889" width="9.5" style="94" bestFit="1" customWidth="1"/>
    <col min="4890" max="4890" width="9.875" style="94" customWidth="1"/>
    <col min="4891" max="4892" width="10" style="94" customWidth="1"/>
    <col min="4893" max="4893" width="6.625" style="94" customWidth="1"/>
    <col min="4894" max="4894" width="6.5" style="94" customWidth="1"/>
    <col min="4895" max="4895" width="9" style="94"/>
    <col min="4896" max="4896" width="8.5" style="94" customWidth="1"/>
    <col min="4897" max="4897" width="6.375" style="94" customWidth="1"/>
    <col min="4898" max="4898" width="5.75" style="94" customWidth="1"/>
    <col min="4899" max="4899" width="12.625" style="94" customWidth="1"/>
    <col min="4900" max="4900" width="8.375" style="94" customWidth="1"/>
    <col min="4901" max="4901" width="24.875" style="94" customWidth="1"/>
    <col min="4902" max="4902" width="9" style="94"/>
    <col min="4903" max="4903" width="37.5" style="94" customWidth="1"/>
    <col min="4904" max="5120" width="9" style="94"/>
    <col min="5121" max="5122" width="3.75" style="94" customWidth="1"/>
    <col min="5123" max="5123" width="3.5" style="94" customWidth="1"/>
    <col min="5124" max="5124" width="3.875" style="94" customWidth="1"/>
    <col min="5125" max="5126" width="7.625" style="94" customWidth="1"/>
    <col min="5127" max="5127" width="6.375" style="94" customWidth="1"/>
    <col min="5128" max="5128" width="6.25" style="94" customWidth="1"/>
    <col min="5129" max="5129" width="6.625" style="94" customWidth="1"/>
    <col min="5130" max="5130" width="4.875" style="94" customWidth="1"/>
    <col min="5131" max="5131" width="4.75" style="94" customWidth="1"/>
    <col min="5132" max="5132" width="6.75" style="94" customWidth="1"/>
    <col min="5133" max="5133" width="0" style="94" hidden="1" customWidth="1"/>
    <col min="5134" max="5134" width="4.375" style="94" customWidth="1"/>
    <col min="5135" max="5135" width="5.625" style="94" customWidth="1"/>
    <col min="5136" max="5136" width="5.375" style="94" customWidth="1"/>
    <col min="5137" max="5137" width="6.875" style="94" customWidth="1"/>
    <col min="5138" max="5138" width="5.125" style="94" customWidth="1"/>
    <col min="5139" max="5139" width="4.75" style="94" customWidth="1"/>
    <col min="5140" max="5140" width="5.625" style="94" customWidth="1"/>
    <col min="5141" max="5141" width="4.875" style="94" customWidth="1"/>
    <col min="5142" max="5142" width="5.25" style="94" customWidth="1"/>
    <col min="5143" max="5143" width="16.25" style="94" customWidth="1"/>
    <col min="5144" max="5144" width="9.25" style="94" customWidth="1"/>
    <col min="5145" max="5145" width="9.5" style="94" bestFit="1" customWidth="1"/>
    <col min="5146" max="5146" width="9.875" style="94" customWidth="1"/>
    <col min="5147" max="5148" width="10" style="94" customWidth="1"/>
    <col min="5149" max="5149" width="6.625" style="94" customWidth="1"/>
    <col min="5150" max="5150" width="6.5" style="94" customWidth="1"/>
    <col min="5151" max="5151" width="9" style="94"/>
    <col min="5152" max="5152" width="8.5" style="94" customWidth="1"/>
    <col min="5153" max="5153" width="6.375" style="94" customWidth="1"/>
    <col min="5154" max="5154" width="5.75" style="94" customWidth="1"/>
    <col min="5155" max="5155" width="12.625" style="94" customWidth="1"/>
    <col min="5156" max="5156" width="8.375" style="94" customWidth="1"/>
    <col min="5157" max="5157" width="24.875" style="94" customWidth="1"/>
    <col min="5158" max="5158" width="9" style="94"/>
    <col min="5159" max="5159" width="37.5" style="94" customWidth="1"/>
    <col min="5160" max="5376" width="9" style="94"/>
    <col min="5377" max="5378" width="3.75" style="94" customWidth="1"/>
    <col min="5379" max="5379" width="3.5" style="94" customWidth="1"/>
    <col min="5380" max="5380" width="3.875" style="94" customWidth="1"/>
    <col min="5381" max="5382" width="7.625" style="94" customWidth="1"/>
    <col min="5383" max="5383" width="6.375" style="94" customWidth="1"/>
    <col min="5384" max="5384" width="6.25" style="94" customWidth="1"/>
    <col min="5385" max="5385" width="6.625" style="94" customWidth="1"/>
    <col min="5386" max="5386" width="4.875" style="94" customWidth="1"/>
    <col min="5387" max="5387" width="4.75" style="94" customWidth="1"/>
    <col min="5388" max="5388" width="6.75" style="94" customWidth="1"/>
    <col min="5389" max="5389" width="0" style="94" hidden="1" customWidth="1"/>
    <col min="5390" max="5390" width="4.375" style="94" customWidth="1"/>
    <col min="5391" max="5391" width="5.625" style="94" customWidth="1"/>
    <col min="5392" max="5392" width="5.375" style="94" customWidth="1"/>
    <col min="5393" max="5393" width="6.875" style="94" customWidth="1"/>
    <col min="5394" max="5394" width="5.125" style="94" customWidth="1"/>
    <col min="5395" max="5395" width="4.75" style="94" customWidth="1"/>
    <col min="5396" max="5396" width="5.625" style="94" customWidth="1"/>
    <col min="5397" max="5397" width="4.875" style="94" customWidth="1"/>
    <col min="5398" max="5398" width="5.25" style="94" customWidth="1"/>
    <col min="5399" max="5399" width="16.25" style="94" customWidth="1"/>
    <col min="5400" max="5400" width="9.25" style="94" customWidth="1"/>
    <col min="5401" max="5401" width="9.5" style="94" bestFit="1" customWidth="1"/>
    <col min="5402" max="5402" width="9.875" style="94" customWidth="1"/>
    <col min="5403" max="5404" width="10" style="94" customWidth="1"/>
    <col min="5405" max="5405" width="6.625" style="94" customWidth="1"/>
    <col min="5406" max="5406" width="6.5" style="94" customWidth="1"/>
    <col min="5407" max="5407" width="9" style="94"/>
    <col min="5408" max="5408" width="8.5" style="94" customWidth="1"/>
    <col min="5409" max="5409" width="6.375" style="94" customWidth="1"/>
    <col min="5410" max="5410" width="5.75" style="94" customWidth="1"/>
    <col min="5411" max="5411" width="12.625" style="94" customWidth="1"/>
    <col min="5412" max="5412" width="8.375" style="94" customWidth="1"/>
    <col min="5413" max="5413" width="24.875" style="94" customWidth="1"/>
    <col min="5414" max="5414" width="9" style="94"/>
    <col min="5415" max="5415" width="37.5" style="94" customWidth="1"/>
    <col min="5416" max="5632" width="9" style="94"/>
    <col min="5633" max="5634" width="3.75" style="94" customWidth="1"/>
    <col min="5635" max="5635" width="3.5" style="94" customWidth="1"/>
    <col min="5636" max="5636" width="3.875" style="94" customWidth="1"/>
    <col min="5637" max="5638" width="7.625" style="94" customWidth="1"/>
    <col min="5639" max="5639" width="6.375" style="94" customWidth="1"/>
    <col min="5640" max="5640" width="6.25" style="94" customWidth="1"/>
    <col min="5641" max="5641" width="6.625" style="94" customWidth="1"/>
    <col min="5642" max="5642" width="4.875" style="94" customWidth="1"/>
    <col min="5643" max="5643" width="4.75" style="94" customWidth="1"/>
    <col min="5644" max="5644" width="6.75" style="94" customWidth="1"/>
    <col min="5645" max="5645" width="0" style="94" hidden="1" customWidth="1"/>
    <col min="5646" max="5646" width="4.375" style="94" customWidth="1"/>
    <col min="5647" max="5647" width="5.625" style="94" customWidth="1"/>
    <col min="5648" max="5648" width="5.375" style="94" customWidth="1"/>
    <col min="5649" max="5649" width="6.875" style="94" customWidth="1"/>
    <col min="5650" max="5650" width="5.125" style="94" customWidth="1"/>
    <col min="5651" max="5651" width="4.75" style="94" customWidth="1"/>
    <col min="5652" max="5652" width="5.625" style="94" customWidth="1"/>
    <col min="5653" max="5653" width="4.875" style="94" customWidth="1"/>
    <col min="5654" max="5654" width="5.25" style="94" customWidth="1"/>
    <col min="5655" max="5655" width="16.25" style="94" customWidth="1"/>
    <col min="5656" max="5656" width="9.25" style="94" customWidth="1"/>
    <col min="5657" max="5657" width="9.5" style="94" bestFit="1" customWidth="1"/>
    <col min="5658" max="5658" width="9.875" style="94" customWidth="1"/>
    <col min="5659" max="5660" width="10" style="94" customWidth="1"/>
    <col min="5661" max="5661" width="6.625" style="94" customWidth="1"/>
    <col min="5662" max="5662" width="6.5" style="94" customWidth="1"/>
    <col min="5663" max="5663" width="9" style="94"/>
    <col min="5664" max="5664" width="8.5" style="94" customWidth="1"/>
    <col min="5665" max="5665" width="6.375" style="94" customWidth="1"/>
    <col min="5666" max="5666" width="5.75" style="94" customWidth="1"/>
    <col min="5667" max="5667" width="12.625" style="94" customWidth="1"/>
    <col min="5668" max="5668" width="8.375" style="94" customWidth="1"/>
    <col min="5669" max="5669" width="24.875" style="94" customWidth="1"/>
    <col min="5670" max="5670" width="9" style="94"/>
    <col min="5671" max="5671" width="37.5" style="94" customWidth="1"/>
    <col min="5672" max="5888" width="9" style="94"/>
    <col min="5889" max="5890" width="3.75" style="94" customWidth="1"/>
    <col min="5891" max="5891" width="3.5" style="94" customWidth="1"/>
    <col min="5892" max="5892" width="3.875" style="94" customWidth="1"/>
    <col min="5893" max="5894" width="7.625" style="94" customWidth="1"/>
    <col min="5895" max="5895" width="6.375" style="94" customWidth="1"/>
    <col min="5896" max="5896" width="6.25" style="94" customWidth="1"/>
    <col min="5897" max="5897" width="6.625" style="94" customWidth="1"/>
    <col min="5898" max="5898" width="4.875" style="94" customWidth="1"/>
    <col min="5899" max="5899" width="4.75" style="94" customWidth="1"/>
    <col min="5900" max="5900" width="6.75" style="94" customWidth="1"/>
    <col min="5901" max="5901" width="0" style="94" hidden="1" customWidth="1"/>
    <col min="5902" max="5902" width="4.375" style="94" customWidth="1"/>
    <col min="5903" max="5903" width="5.625" style="94" customWidth="1"/>
    <col min="5904" max="5904" width="5.375" style="94" customWidth="1"/>
    <col min="5905" max="5905" width="6.875" style="94" customWidth="1"/>
    <col min="5906" max="5906" width="5.125" style="94" customWidth="1"/>
    <col min="5907" max="5907" width="4.75" style="94" customWidth="1"/>
    <col min="5908" max="5908" width="5.625" style="94" customWidth="1"/>
    <col min="5909" max="5909" width="4.875" style="94" customWidth="1"/>
    <col min="5910" max="5910" width="5.25" style="94" customWidth="1"/>
    <col min="5911" max="5911" width="16.25" style="94" customWidth="1"/>
    <col min="5912" max="5912" width="9.25" style="94" customWidth="1"/>
    <col min="5913" max="5913" width="9.5" style="94" bestFit="1" customWidth="1"/>
    <col min="5914" max="5914" width="9.875" style="94" customWidth="1"/>
    <col min="5915" max="5916" width="10" style="94" customWidth="1"/>
    <col min="5917" max="5917" width="6.625" style="94" customWidth="1"/>
    <col min="5918" max="5918" width="6.5" style="94" customWidth="1"/>
    <col min="5919" max="5919" width="9" style="94"/>
    <col min="5920" max="5920" width="8.5" style="94" customWidth="1"/>
    <col min="5921" max="5921" width="6.375" style="94" customWidth="1"/>
    <col min="5922" max="5922" width="5.75" style="94" customWidth="1"/>
    <col min="5923" max="5923" width="12.625" style="94" customWidth="1"/>
    <col min="5924" max="5924" width="8.375" style="94" customWidth="1"/>
    <col min="5925" max="5925" width="24.875" style="94" customWidth="1"/>
    <col min="5926" max="5926" width="9" style="94"/>
    <col min="5927" max="5927" width="37.5" style="94" customWidth="1"/>
    <col min="5928" max="6144" width="9" style="94"/>
    <col min="6145" max="6146" width="3.75" style="94" customWidth="1"/>
    <col min="6147" max="6147" width="3.5" style="94" customWidth="1"/>
    <col min="6148" max="6148" width="3.875" style="94" customWidth="1"/>
    <col min="6149" max="6150" width="7.625" style="94" customWidth="1"/>
    <col min="6151" max="6151" width="6.375" style="94" customWidth="1"/>
    <col min="6152" max="6152" width="6.25" style="94" customWidth="1"/>
    <col min="6153" max="6153" width="6.625" style="94" customWidth="1"/>
    <col min="6154" max="6154" width="4.875" style="94" customWidth="1"/>
    <col min="6155" max="6155" width="4.75" style="94" customWidth="1"/>
    <col min="6156" max="6156" width="6.75" style="94" customWidth="1"/>
    <col min="6157" max="6157" width="0" style="94" hidden="1" customWidth="1"/>
    <col min="6158" max="6158" width="4.375" style="94" customWidth="1"/>
    <col min="6159" max="6159" width="5.625" style="94" customWidth="1"/>
    <col min="6160" max="6160" width="5.375" style="94" customWidth="1"/>
    <col min="6161" max="6161" width="6.875" style="94" customWidth="1"/>
    <col min="6162" max="6162" width="5.125" style="94" customWidth="1"/>
    <col min="6163" max="6163" width="4.75" style="94" customWidth="1"/>
    <col min="6164" max="6164" width="5.625" style="94" customWidth="1"/>
    <col min="6165" max="6165" width="4.875" style="94" customWidth="1"/>
    <col min="6166" max="6166" width="5.25" style="94" customWidth="1"/>
    <col min="6167" max="6167" width="16.25" style="94" customWidth="1"/>
    <col min="6168" max="6168" width="9.25" style="94" customWidth="1"/>
    <col min="6169" max="6169" width="9.5" style="94" bestFit="1" customWidth="1"/>
    <col min="6170" max="6170" width="9.875" style="94" customWidth="1"/>
    <col min="6171" max="6172" width="10" style="94" customWidth="1"/>
    <col min="6173" max="6173" width="6.625" style="94" customWidth="1"/>
    <col min="6174" max="6174" width="6.5" style="94" customWidth="1"/>
    <col min="6175" max="6175" width="9" style="94"/>
    <col min="6176" max="6176" width="8.5" style="94" customWidth="1"/>
    <col min="6177" max="6177" width="6.375" style="94" customWidth="1"/>
    <col min="6178" max="6178" width="5.75" style="94" customWidth="1"/>
    <col min="6179" max="6179" width="12.625" style="94" customWidth="1"/>
    <col min="6180" max="6180" width="8.375" style="94" customWidth="1"/>
    <col min="6181" max="6181" width="24.875" style="94" customWidth="1"/>
    <col min="6182" max="6182" width="9" style="94"/>
    <col min="6183" max="6183" width="37.5" style="94" customWidth="1"/>
    <col min="6184" max="6400" width="9" style="94"/>
    <col min="6401" max="6402" width="3.75" style="94" customWidth="1"/>
    <col min="6403" max="6403" width="3.5" style="94" customWidth="1"/>
    <col min="6404" max="6404" width="3.875" style="94" customWidth="1"/>
    <col min="6405" max="6406" width="7.625" style="94" customWidth="1"/>
    <col min="6407" max="6407" width="6.375" style="94" customWidth="1"/>
    <col min="6408" max="6408" width="6.25" style="94" customWidth="1"/>
    <col min="6409" max="6409" width="6.625" style="94" customWidth="1"/>
    <col min="6410" max="6410" width="4.875" style="94" customWidth="1"/>
    <col min="6411" max="6411" width="4.75" style="94" customWidth="1"/>
    <col min="6412" max="6412" width="6.75" style="94" customWidth="1"/>
    <col min="6413" max="6413" width="0" style="94" hidden="1" customWidth="1"/>
    <col min="6414" max="6414" width="4.375" style="94" customWidth="1"/>
    <col min="6415" max="6415" width="5.625" style="94" customWidth="1"/>
    <col min="6416" max="6416" width="5.375" style="94" customWidth="1"/>
    <col min="6417" max="6417" width="6.875" style="94" customWidth="1"/>
    <col min="6418" max="6418" width="5.125" style="94" customWidth="1"/>
    <col min="6419" max="6419" width="4.75" style="94" customWidth="1"/>
    <col min="6420" max="6420" width="5.625" style="94" customWidth="1"/>
    <col min="6421" max="6421" width="4.875" style="94" customWidth="1"/>
    <col min="6422" max="6422" width="5.25" style="94" customWidth="1"/>
    <col min="6423" max="6423" width="16.25" style="94" customWidth="1"/>
    <col min="6424" max="6424" width="9.25" style="94" customWidth="1"/>
    <col min="6425" max="6425" width="9.5" style="94" bestFit="1" customWidth="1"/>
    <col min="6426" max="6426" width="9.875" style="94" customWidth="1"/>
    <col min="6427" max="6428" width="10" style="94" customWidth="1"/>
    <col min="6429" max="6429" width="6.625" style="94" customWidth="1"/>
    <col min="6430" max="6430" width="6.5" style="94" customWidth="1"/>
    <col min="6431" max="6431" width="9" style="94"/>
    <col min="6432" max="6432" width="8.5" style="94" customWidth="1"/>
    <col min="6433" max="6433" width="6.375" style="94" customWidth="1"/>
    <col min="6434" max="6434" width="5.75" style="94" customWidth="1"/>
    <col min="6435" max="6435" width="12.625" style="94" customWidth="1"/>
    <col min="6436" max="6436" width="8.375" style="94" customWidth="1"/>
    <col min="6437" max="6437" width="24.875" style="94" customWidth="1"/>
    <col min="6438" max="6438" width="9" style="94"/>
    <col min="6439" max="6439" width="37.5" style="94" customWidth="1"/>
    <col min="6440" max="6656" width="9" style="94"/>
    <col min="6657" max="6658" width="3.75" style="94" customWidth="1"/>
    <col min="6659" max="6659" width="3.5" style="94" customWidth="1"/>
    <col min="6660" max="6660" width="3.875" style="94" customWidth="1"/>
    <col min="6661" max="6662" width="7.625" style="94" customWidth="1"/>
    <col min="6663" max="6663" width="6.375" style="94" customWidth="1"/>
    <col min="6664" max="6664" width="6.25" style="94" customWidth="1"/>
    <col min="6665" max="6665" width="6.625" style="94" customWidth="1"/>
    <col min="6666" max="6666" width="4.875" style="94" customWidth="1"/>
    <col min="6667" max="6667" width="4.75" style="94" customWidth="1"/>
    <col min="6668" max="6668" width="6.75" style="94" customWidth="1"/>
    <col min="6669" max="6669" width="0" style="94" hidden="1" customWidth="1"/>
    <col min="6670" max="6670" width="4.375" style="94" customWidth="1"/>
    <col min="6671" max="6671" width="5.625" style="94" customWidth="1"/>
    <col min="6672" max="6672" width="5.375" style="94" customWidth="1"/>
    <col min="6673" max="6673" width="6.875" style="94" customWidth="1"/>
    <col min="6674" max="6674" width="5.125" style="94" customWidth="1"/>
    <col min="6675" max="6675" width="4.75" style="94" customWidth="1"/>
    <col min="6676" max="6676" width="5.625" style="94" customWidth="1"/>
    <col min="6677" max="6677" width="4.875" style="94" customWidth="1"/>
    <col min="6678" max="6678" width="5.25" style="94" customWidth="1"/>
    <col min="6679" max="6679" width="16.25" style="94" customWidth="1"/>
    <col min="6680" max="6680" width="9.25" style="94" customWidth="1"/>
    <col min="6681" max="6681" width="9.5" style="94" bestFit="1" customWidth="1"/>
    <col min="6682" max="6682" width="9.875" style="94" customWidth="1"/>
    <col min="6683" max="6684" width="10" style="94" customWidth="1"/>
    <col min="6685" max="6685" width="6.625" style="94" customWidth="1"/>
    <col min="6686" max="6686" width="6.5" style="94" customWidth="1"/>
    <col min="6687" max="6687" width="9" style="94"/>
    <col min="6688" max="6688" width="8.5" style="94" customWidth="1"/>
    <col min="6689" max="6689" width="6.375" style="94" customWidth="1"/>
    <col min="6690" max="6690" width="5.75" style="94" customWidth="1"/>
    <col min="6691" max="6691" width="12.625" style="94" customWidth="1"/>
    <col min="6692" max="6692" width="8.375" style="94" customWidth="1"/>
    <col min="6693" max="6693" width="24.875" style="94" customWidth="1"/>
    <col min="6694" max="6694" width="9" style="94"/>
    <col min="6695" max="6695" width="37.5" style="94" customWidth="1"/>
    <col min="6696" max="6912" width="9" style="94"/>
    <col min="6913" max="6914" width="3.75" style="94" customWidth="1"/>
    <col min="6915" max="6915" width="3.5" style="94" customWidth="1"/>
    <col min="6916" max="6916" width="3.875" style="94" customWidth="1"/>
    <col min="6917" max="6918" width="7.625" style="94" customWidth="1"/>
    <col min="6919" max="6919" width="6.375" style="94" customWidth="1"/>
    <col min="6920" max="6920" width="6.25" style="94" customWidth="1"/>
    <col min="6921" max="6921" width="6.625" style="94" customWidth="1"/>
    <col min="6922" max="6922" width="4.875" style="94" customWidth="1"/>
    <col min="6923" max="6923" width="4.75" style="94" customWidth="1"/>
    <col min="6924" max="6924" width="6.75" style="94" customWidth="1"/>
    <col min="6925" max="6925" width="0" style="94" hidden="1" customWidth="1"/>
    <col min="6926" max="6926" width="4.375" style="94" customWidth="1"/>
    <col min="6927" max="6927" width="5.625" style="94" customWidth="1"/>
    <col min="6928" max="6928" width="5.375" style="94" customWidth="1"/>
    <col min="6929" max="6929" width="6.875" style="94" customWidth="1"/>
    <col min="6930" max="6930" width="5.125" style="94" customWidth="1"/>
    <col min="6931" max="6931" width="4.75" style="94" customWidth="1"/>
    <col min="6932" max="6932" width="5.625" style="94" customWidth="1"/>
    <col min="6933" max="6933" width="4.875" style="94" customWidth="1"/>
    <col min="6934" max="6934" width="5.25" style="94" customWidth="1"/>
    <col min="6935" max="6935" width="16.25" style="94" customWidth="1"/>
    <col min="6936" max="6936" width="9.25" style="94" customWidth="1"/>
    <col min="6937" max="6937" width="9.5" style="94" bestFit="1" customWidth="1"/>
    <col min="6938" max="6938" width="9.875" style="94" customWidth="1"/>
    <col min="6939" max="6940" width="10" style="94" customWidth="1"/>
    <col min="6941" max="6941" width="6.625" style="94" customWidth="1"/>
    <col min="6942" max="6942" width="6.5" style="94" customWidth="1"/>
    <col min="6943" max="6943" width="9" style="94"/>
    <col min="6944" max="6944" width="8.5" style="94" customWidth="1"/>
    <col min="6945" max="6945" width="6.375" style="94" customWidth="1"/>
    <col min="6946" max="6946" width="5.75" style="94" customWidth="1"/>
    <col min="6947" max="6947" width="12.625" style="94" customWidth="1"/>
    <col min="6948" max="6948" width="8.375" style="94" customWidth="1"/>
    <col min="6949" max="6949" width="24.875" style="94" customWidth="1"/>
    <col min="6950" max="6950" width="9" style="94"/>
    <col min="6951" max="6951" width="37.5" style="94" customWidth="1"/>
    <col min="6952" max="7168" width="9" style="94"/>
    <col min="7169" max="7170" width="3.75" style="94" customWidth="1"/>
    <col min="7171" max="7171" width="3.5" style="94" customWidth="1"/>
    <col min="7172" max="7172" width="3.875" style="94" customWidth="1"/>
    <col min="7173" max="7174" width="7.625" style="94" customWidth="1"/>
    <col min="7175" max="7175" width="6.375" style="94" customWidth="1"/>
    <col min="7176" max="7176" width="6.25" style="94" customWidth="1"/>
    <col min="7177" max="7177" width="6.625" style="94" customWidth="1"/>
    <col min="7178" max="7178" width="4.875" style="94" customWidth="1"/>
    <col min="7179" max="7179" width="4.75" style="94" customWidth="1"/>
    <col min="7180" max="7180" width="6.75" style="94" customWidth="1"/>
    <col min="7181" max="7181" width="0" style="94" hidden="1" customWidth="1"/>
    <col min="7182" max="7182" width="4.375" style="94" customWidth="1"/>
    <col min="7183" max="7183" width="5.625" style="94" customWidth="1"/>
    <col min="7184" max="7184" width="5.375" style="94" customWidth="1"/>
    <col min="7185" max="7185" width="6.875" style="94" customWidth="1"/>
    <col min="7186" max="7186" width="5.125" style="94" customWidth="1"/>
    <col min="7187" max="7187" width="4.75" style="94" customWidth="1"/>
    <col min="7188" max="7188" width="5.625" style="94" customWidth="1"/>
    <col min="7189" max="7189" width="4.875" style="94" customWidth="1"/>
    <col min="7190" max="7190" width="5.25" style="94" customWidth="1"/>
    <col min="7191" max="7191" width="16.25" style="94" customWidth="1"/>
    <col min="7192" max="7192" width="9.25" style="94" customWidth="1"/>
    <col min="7193" max="7193" width="9.5" style="94" bestFit="1" customWidth="1"/>
    <col min="7194" max="7194" width="9.875" style="94" customWidth="1"/>
    <col min="7195" max="7196" width="10" style="94" customWidth="1"/>
    <col min="7197" max="7197" width="6.625" style="94" customWidth="1"/>
    <col min="7198" max="7198" width="6.5" style="94" customWidth="1"/>
    <col min="7199" max="7199" width="9" style="94"/>
    <col min="7200" max="7200" width="8.5" style="94" customWidth="1"/>
    <col min="7201" max="7201" width="6.375" style="94" customWidth="1"/>
    <col min="7202" max="7202" width="5.75" style="94" customWidth="1"/>
    <col min="7203" max="7203" width="12.625" style="94" customWidth="1"/>
    <col min="7204" max="7204" width="8.375" style="94" customWidth="1"/>
    <col min="7205" max="7205" width="24.875" style="94" customWidth="1"/>
    <col min="7206" max="7206" width="9" style="94"/>
    <col min="7207" max="7207" width="37.5" style="94" customWidth="1"/>
    <col min="7208" max="7424" width="9" style="94"/>
    <col min="7425" max="7426" width="3.75" style="94" customWidth="1"/>
    <col min="7427" max="7427" width="3.5" style="94" customWidth="1"/>
    <col min="7428" max="7428" width="3.875" style="94" customWidth="1"/>
    <col min="7429" max="7430" width="7.625" style="94" customWidth="1"/>
    <col min="7431" max="7431" width="6.375" style="94" customWidth="1"/>
    <col min="7432" max="7432" width="6.25" style="94" customWidth="1"/>
    <col min="7433" max="7433" width="6.625" style="94" customWidth="1"/>
    <col min="7434" max="7434" width="4.875" style="94" customWidth="1"/>
    <col min="7435" max="7435" width="4.75" style="94" customWidth="1"/>
    <col min="7436" max="7436" width="6.75" style="94" customWidth="1"/>
    <col min="7437" max="7437" width="0" style="94" hidden="1" customWidth="1"/>
    <col min="7438" max="7438" width="4.375" style="94" customWidth="1"/>
    <col min="7439" max="7439" width="5.625" style="94" customWidth="1"/>
    <col min="7440" max="7440" width="5.375" style="94" customWidth="1"/>
    <col min="7441" max="7441" width="6.875" style="94" customWidth="1"/>
    <col min="7442" max="7442" width="5.125" style="94" customWidth="1"/>
    <col min="7443" max="7443" width="4.75" style="94" customWidth="1"/>
    <col min="7444" max="7444" width="5.625" style="94" customWidth="1"/>
    <col min="7445" max="7445" width="4.875" style="94" customWidth="1"/>
    <col min="7446" max="7446" width="5.25" style="94" customWidth="1"/>
    <col min="7447" max="7447" width="16.25" style="94" customWidth="1"/>
    <col min="7448" max="7448" width="9.25" style="94" customWidth="1"/>
    <col min="7449" max="7449" width="9.5" style="94" bestFit="1" customWidth="1"/>
    <col min="7450" max="7450" width="9.875" style="94" customWidth="1"/>
    <col min="7451" max="7452" width="10" style="94" customWidth="1"/>
    <col min="7453" max="7453" width="6.625" style="94" customWidth="1"/>
    <col min="7454" max="7454" width="6.5" style="94" customWidth="1"/>
    <col min="7455" max="7455" width="9" style="94"/>
    <col min="7456" max="7456" width="8.5" style="94" customWidth="1"/>
    <col min="7457" max="7457" width="6.375" style="94" customWidth="1"/>
    <col min="7458" max="7458" width="5.75" style="94" customWidth="1"/>
    <col min="7459" max="7459" width="12.625" style="94" customWidth="1"/>
    <col min="7460" max="7460" width="8.375" style="94" customWidth="1"/>
    <col min="7461" max="7461" width="24.875" style="94" customWidth="1"/>
    <col min="7462" max="7462" width="9" style="94"/>
    <col min="7463" max="7463" width="37.5" style="94" customWidth="1"/>
    <col min="7464" max="7680" width="9" style="94"/>
    <col min="7681" max="7682" width="3.75" style="94" customWidth="1"/>
    <col min="7683" max="7683" width="3.5" style="94" customWidth="1"/>
    <col min="7684" max="7684" width="3.875" style="94" customWidth="1"/>
    <col min="7685" max="7686" width="7.625" style="94" customWidth="1"/>
    <col min="7687" max="7687" width="6.375" style="94" customWidth="1"/>
    <col min="7688" max="7688" width="6.25" style="94" customWidth="1"/>
    <col min="7689" max="7689" width="6.625" style="94" customWidth="1"/>
    <col min="7690" max="7690" width="4.875" style="94" customWidth="1"/>
    <col min="7691" max="7691" width="4.75" style="94" customWidth="1"/>
    <col min="7692" max="7692" width="6.75" style="94" customWidth="1"/>
    <col min="7693" max="7693" width="0" style="94" hidden="1" customWidth="1"/>
    <col min="7694" max="7694" width="4.375" style="94" customWidth="1"/>
    <col min="7695" max="7695" width="5.625" style="94" customWidth="1"/>
    <col min="7696" max="7696" width="5.375" style="94" customWidth="1"/>
    <col min="7697" max="7697" width="6.875" style="94" customWidth="1"/>
    <col min="7698" max="7698" width="5.125" style="94" customWidth="1"/>
    <col min="7699" max="7699" width="4.75" style="94" customWidth="1"/>
    <col min="7700" max="7700" width="5.625" style="94" customWidth="1"/>
    <col min="7701" max="7701" width="4.875" style="94" customWidth="1"/>
    <col min="7702" max="7702" width="5.25" style="94" customWidth="1"/>
    <col min="7703" max="7703" width="16.25" style="94" customWidth="1"/>
    <col min="7704" max="7704" width="9.25" style="94" customWidth="1"/>
    <col min="7705" max="7705" width="9.5" style="94" bestFit="1" customWidth="1"/>
    <col min="7706" max="7706" width="9.875" style="94" customWidth="1"/>
    <col min="7707" max="7708" width="10" style="94" customWidth="1"/>
    <col min="7709" max="7709" width="6.625" style="94" customWidth="1"/>
    <col min="7710" max="7710" width="6.5" style="94" customWidth="1"/>
    <col min="7711" max="7711" width="9" style="94"/>
    <col min="7712" max="7712" width="8.5" style="94" customWidth="1"/>
    <col min="7713" max="7713" width="6.375" style="94" customWidth="1"/>
    <col min="7714" max="7714" width="5.75" style="94" customWidth="1"/>
    <col min="7715" max="7715" width="12.625" style="94" customWidth="1"/>
    <col min="7716" max="7716" width="8.375" style="94" customWidth="1"/>
    <col min="7717" max="7717" width="24.875" style="94" customWidth="1"/>
    <col min="7718" max="7718" width="9" style="94"/>
    <col min="7719" max="7719" width="37.5" style="94" customWidth="1"/>
    <col min="7720" max="7936" width="9" style="94"/>
    <col min="7937" max="7938" width="3.75" style="94" customWidth="1"/>
    <col min="7939" max="7939" width="3.5" style="94" customWidth="1"/>
    <col min="7940" max="7940" width="3.875" style="94" customWidth="1"/>
    <col min="7941" max="7942" width="7.625" style="94" customWidth="1"/>
    <col min="7943" max="7943" width="6.375" style="94" customWidth="1"/>
    <col min="7944" max="7944" width="6.25" style="94" customWidth="1"/>
    <col min="7945" max="7945" width="6.625" style="94" customWidth="1"/>
    <col min="7946" max="7946" width="4.875" style="94" customWidth="1"/>
    <col min="7947" max="7947" width="4.75" style="94" customWidth="1"/>
    <col min="7948" max="7948" width="6.75" style="94" customWidth="1"/>
    <col min="7949" max="7949" width="0" style="94" hidden="1" customWidth="1"/>
    <col min="7950" max="7950" width="4.375" style="94" customWidth="1"/>
    <col min="7951" max="7951" width="5.625" style="94" customWidth="1"/>
    <col min="7952" max="7952" width="5.375" style="94" customWidth="1"/>
    <col min="7953" max="7953" width="6.875" style="94" customWidth="1"/>
    <col min="7954" max="7954" width="5.125" style="94" customWidth="1"/>
    <col min="7955" max="7955" width="4.75" style="94" customWidth="1"/>
    <col min="7956" max="7956" width="5.625" style="94" customWidth="1"/>
    <col min="7957" max="7957" width="4.875" style="94" customWidth="1"/>
    <col min="7958" max="7958" width="5.25" style="94" customWidth="1"/>
    <col min="7959" max="7959" width="16.25" style="94" customWidth="1"/>
    <col min="7960" max="7960" width="9.25" style="94" customWidth="1"/>
    <col min="7961" max="7961" width="9.5" style="94" bestFit="1" customWidth="1"/>
    <col min="7962" max="7962" width="9.875" style="94" customWidth="1"/>
    <col min="7963" max="7964" width="10" style="94" customWidth="1"/>
    <col min="7965" max="7965" width="6.625" style="94" customWidth="1"/>
    <col min="7966" max="7966" width="6.5" style="94" customWidth="1"/>
    <col min="7967" max="7967" width="9" style="94"/>
    <col min="7968" max="7968" width="8.5" style="94" customWidth="1"/>
    <col min="7969" max="7969" width="6.375" style="94" customWidth="1"/>
    <col min="7970" max="7970" width="5.75" style="94" customWidth="1"/>
    <col min="7971" max="7971" width="12.625" style="94" customWidth="1"/>
    <col min="7972" max="7972" width="8.375" style="94" customWidth="1"/>
    <col min="7973" max="7973" width="24.875" style="94" customWidth="1"/>
    <col min="7974" max="7974" width="9" style="94"/>
    <col min="7975" max="7975" width="37.5" style="94" customWidth="1"/>
    <col min="7976" max="8192" width="9" style="94"/>
    <col min="8193" max="8194" width="3.75" style="94" customWidth="1"/>
    <col min="8195" max="8195" width="3.5" style="94" customWidth="1"/>
    <col min="8196" max="8196" width="3.875" style="94" customWidth="1"/>
    <col min="8197" max="8198" width="7.625" style="94" customWidth="1"/>
    <col min="8199" max="8199" width="6.375" style="94" customWidth="1"/>
    <col min="8200" max="8200" width="6.25" style="94" customWidth="1"/>
    <col min="8201" max="8201" width="6.625" style="94" customWidth="1"/>
    <col min="8202" max="8202" width="4.875" style="94" customWidth="1"/>
    <col min="8203" max="8203" width="4.75" style="94" customWidth="1"/>
    <col min="8204" max="8204" width="6.75" style="94" customWidth="1"/>
    <col min="8205" max="8205" width="0" style="94" hidden="1" customWidth="1"/>
    <col min="8206" max="8206" width="4.375" style="94" customWidth="1"/>
    <col min="8207" max="8207" width="5.625" style="94" customWidth="1"/>
    <col min="8208" max="8208" width="5.375" style="94" customWidth="1"/>
    <col min="8209" max="8209" width="6.875" style="94" customWidth="1"/>
    <col min="8210" max="8210" width="5.125" style="94" customWidth="1"/>
    <col min="8211" max="8211" width="4.75" style="94" customWidth="1"/>
    <col min="8212" max="8212" width="5.625" style="94" customWidth="1"/>
    <col min="8213" max="8213" width="4.875" style="94" customWidth="1"/>
    <col min="8214" max="8214" width="5.25" style="94" customWidth="1"/>
    <col min="8215" max="8215" width="16.25" style="94" customWidth="1"/>
    <col min="8216" max="8216" width="9.25" style="94" customWidth="1"/>
    <col min="8217" max="8217" width="9.5" style="94" bestFit="1" customWidth="1"/>
    <col min="8218" max="8218" width="9.875" style="94" customWidth="1"/>
    <col min="8219" max="8220" width="10" style="94" customWidth="1"/>
    <col min="8221" max="8221" width="6.625" style="94" customWidth="1"/>
    <col min="8222" max="8222" width="6.5" style="94" customWidth="1"/>
    <col min="8223" max="8223" width="9" style="94"/>
    <col min="8224" max="8224" width="8.5" style="94" customWidth="1"/>
    <col min="8225" max="8225" width="6.375" style="94" customWidth="1"/>
    <col min="8226" max="8226" width="5.75" style="94" customWidth="1"/>
    <col min="8227" max="8227" width="12.625" style="94" customWidth="1"/>
    <col min="8228" max="8228" width="8.375" style="94" customWidth="1"/>
    <col min="8229" max="8229" width="24.875" style="94" customWidth="1"/>
    <col min="8230" max="8230" width="9" style="94"/>
    <col min="8231" max="8231" width="37.5" style="94" customWidth="1"/>
    <col min="8232" max="8448" width="9" style="94"/>
    <col min="8449" max="8450" width="3.75" style="94" customWidth="1"/>
    <col min="8451" max="8451" width="3.5" style="94" customWidth="1"/>
    <col min="8452" max="8452" width="3.875" style="94" customWidth="1"/>
    <col min="8453" max="8454" width="7.625" style="94" customWidth="1"/>
    <col min="8455" max="8455" width="6.375" style="94" customWidth="1"/>
    <col min="8456" max="8456" width="6.25" style="94" customWidth="1"/>
    <col min="8457" max="8457" width="6.625" style="94" customWidth="1"/>
    <col min="8458" max="8458" width="4.875" style="94" customWidth="1"/>
    <col min="8459" max="8459" width="4.75" style="94" customWidth="1"/>
    <col min="8460" max="8460" width="6.75" style="94" customWidth="1"/>
    <col min="8461" max="8461" width="0" style="94" hidden="1" customWidth="1"/>
    <col min="8462" max="8462" width="4.375" style="94" customWidth="1"/>
    <col min="8463" max="8463" width="5.625" style="94" customWidth="1"/>
    <col min="8464" max="8464" width="5.375" style="94" customWidth="1"/>
    <col min="8465" max="8465" width="6.875" style="94" customWidth="1"/>
    <col min="8466" max="8466" width="5.125" style="94" customWidth="1"/>
    <col min="8467" max="8467" width="4.75" style="94" customWidth="1"/>
    <col min="8468" max="8468" width="5.625" style="94" customWidth="1"/>
    <col min="8469" max="8469" width="4.875" style="94" customWidth="1"/>
    <col min="8470" max="8470" width="5.25" style="94" customWidth="1"/>
    <col min="8471" max="8471" width="16.25" style="94" customWidth="1"/>
    <col min="8472" max="8472" width="9.25" style="94" customWidth="1"/>
    <col min="8473" max="8473" width="9.5" style="94" bestFit="1" customWidth="1"/>
    <col min="8474" max="8474" width="9.875" style="94" customWidth="1"/>
    <col min="8475" max="8476" width="10" style="94" customWidth="1"/>
    <col min="8477" max="8477" width="6.625" style="94" customWidth="1"/>
    <col min="8478" max="8478" width="6.5" style="94" customWidth="1"/>
    <col min="8479" max="8479" width="9" style="94"/>
    <col min="8480" max="8480" width="8.5" style="94" customWidth="1"/>
    <col min="8481" max="8481" width="6.375" style="94" customWidth="1"/>
    <col min="8482" max="8482" width="5.75" style="94" customWidth="1"/>
    <col min="8483" max="8483" width="12.625" style="94" customWidth="1"/>
    <col min="8484" max="8484" width="8.375" style="94" customWidth="1"/>
    <col min="8485" max="8485" width="24.875" style="94" customWidth="1"/>
    <col min="8486" max="8486" width="9" style="94"/>
    <col min="8487" max="8487" width="37.5" style="94" customWidth="1"/>
    <col min="8488" max="8704" width="9" style="94"/>
    <col min="8705" max="8706" width="3.75" style="94" customWidth="1"/>
    <col min="8707" max="8707" width="3.5" style="94" customWidth="1"/>
    <col min="8708" max="8708" width="3.875" style="94" customWidth="1"/>
    <col min="8709" max="8710" width="7.625" style="94" customWidth="1"/>
    <col min="8711" max="8711" width="6.375" style="94" customWidth="1"/>
    <col min="8712" max="8712" width="6.25" style="94" customWidth="1"/>
    <col min="8713" max="8713" width="6.625" style="94" customWidth="1"/>
    <col min="8714" max="8714" width="4.875" style="94" customWidth="1"/>
    <col min="8715" max="8715" width="4.75" style="94" customWidth="1"/>
    <col min="8716" max="8716" width="6.75" style="94" customWidth="1"/>
    <col min="8717" max="8717" width="0" style="94" hidden="1" customWidth="1"/>
    <col min="8718" max="8718" width="4.375" style="94" customWidth="1"/>
    <col min="8719" max="8719" width="5.625" style="94" customWidth="1"/>
    <col min="8720" max="8720" width="5.375" style="94" customWidth="1"/>
    <col min="8721" max="8721" width="6.875" style="94" customWidth="1"/>
    <col min="8722" max="8722" width="5.125" style="94" customWidth="1"/>
    <col min="8723" max="8723" width="4.75" style="94" customWidth="1"/>
    <col min="8724" max="8724" width="5.625" style="94" customWidth="1"/>
    <col min="8725" max="8725" width="4.875" style="94" customWidth="1"/>
    <col min="8726" max="8726" width="5.25" style="94" customWidth="1"/>
    <col min="8727" max="8727" width="16.25" style="94" customWidth="1"/>
    <col min="8728" max="8728" width="9.25" style="94" customWidth="1"/>
    <col min="8729" max="8729" width="9.5" style="94" bestFit="1" customWidth="1"/>
    <col min="8730" max="8730" width="9.875" style="94" customWidth="1"/>
    <col min="8731" max="8732" width="10" style="94" customWidth="1"/>
    <col min="8733" max="8733" width="6.625" style="94" customWidth="1"/>
    <col min="8734" max="8734" width="6.5" style="94" customWidth="1"/>
    <col min="8735" max="8735" width="9" style="94"/>
    <col min="8736" max="8736" width="8.5" style="94" customWidth="1"/>
    <col min="8737" max="8737" width="6.375" style="94" customWidth="1"/>
    <col min="8738" max="8738" width="5.75" style="94" customWidth="1"/>
    <col min="8739" max="8739" width="12.625" style="94" customWidth="1"/>
    <col min="8740" max="8740" width="8.375" style="94" customWidth="1"/>
    <col min="8741" max="8741" width="24.875" style="94" customWidth="1"/>
    <col min="8742" max="8742" width="9" style="94"/>
    <col min="8743" max="8743" width="37.5" style="94" customWidth="1"/>
    <col min="8744" max="8960" width="9" style="94"/>
    <col min="8961" max="8962" width="3.75" style="94" customWidth="1"/>
    <col min="8963" max="8963" width="3.5" style="94" customWidth="1"/>
    <col min="8964" max="8964" width="3.875" style="94" customWidth="1"/>
    <col min="8965" max="8966" width="7.625" style="94" customWidth="1"/>
    <col min="8967" max="8967" width="6.375" style="94" customWidth="1"/>
    <col min="8968" max="8968" width="6.25" style="94" customWidth="1"/>
    <col min="8969" max="8969" width="6.625" style="94" customWidth="1"/>
    <col min="8970" max="8970" width="4.875" style="94" customWidth="1"/>
    <col min="8971" max="8971" width="4.75" style="94" customWidth="1"/>
    <col min="8972" max="8972" width="6.75" style="94" customWidth="1"/>
    <col min="8973" max="8973" width="0" style="94" hidden="1" customWidth="1"/>
    <col min="8974" max="8974" width="4.375" style="94" customWidth="1"/>
    <col min="8975" max="8975" width="5.625" style="94" customWidth="1"/>
    <col min="8976" max="8976" width="5.375" style="94" customWidth="1"/>
    <col min="8977" max="8977" width="6.875" style="94" customWidth="1"/>
    <col min="8978" max="8978" width="5.125" style="94" customWidth="1"/>
    <col min="8979" max="8979" width="4.75" style="94" customWidth="1"/>
    <col min="8980" max="8980" width="5.625" style="94" customWidth="1"/>
    <col min="8981" max="8981" width="4.875" style="94" customWidth="1"/>
    <col min="8982" max="8982" width="5.25" style="94" customWidth="1"/>
    <col min="8983" max="8983" width="16.25" style="94" customWidth="1"/>
    <col min="8984" max="8984" width="9.25" style="94" customWidth="1"/>
    <col min="8985" max="8985" width="9.5" style="94" bestFit="1" customWidth="1"/>
    <col min="8986" max="8986" width="9.875" style="94" customWidth="1"/>
    <col min="8987" max="8988" width="10" style="94" customWidth="1"/>
    <col min="8989" max="8989" width="6.625" style="94" customWidth="1"/>
    <col min="8990" max="8990" width="6.5" style="94" customWidth="1"/>
    <col min="8991" max="8991" width="9" style="94"/>
    <col min="8992" max="8992" width="8.5" style="94" customWidth="1"/>
    <col min="8993" max="8993" width="6.375" style="94" customWidth="1"/>
    <col min="8994" max="8994" width="5.75" style="94" customWidth="1"/>
    <col min="8995" max="8995" width="12.625" style="94" customWidth="1"/>
    <col min="8996" max="8996" width="8.375" style="94" customWidth="1"/>
    <col min="8997" max="8997" width="24.875" style="94" customWidth="1"/>
    <col min="8998" max="8998" width="9" style="94"/>
    <col min="8999" max="8999" width="37.5" style="94" customWidth="1"/>
    <col min="9000" max="9216" width="9" style="94"/>
    <col min="9217" max="9218" width="3.75" style="94" customWidth="1"/>
    <col min="9219" max="9219" width="3.5" style="94" customWidth="1"/>
    <col min="9220" max="9220" width="3.875" style="94" customWidth="1"/>
    <col min="9221" max="9222" width="7.625" style="94" customWidth="1"/>
    <col min="9223" max="9223" width="6.375" style="94" customWidth="1"/>
    <col min="9224" max="9224" width="6.25" style="94" customWidth="1"/>
    <col min="9225" max="9225" width="6.625" style="94" customWidth="1"/>
    <col min="9226" max="9226" width="4.875" style="94" customWidth="1"/>
    <col min="9227" max="9227" width="4.75" style="94" customWidth="1"/>
    <col min="9228" max="9228" width="6.75" style="94" customWidth="1"/>
    <col min="9229" max="9229" width="0" style="94" hidden="1" customWidth="1"/>
    <col min="9230" max="9230" width="4.375" style="94" customWidth="1"/>
    <col min="9231" max="9231" width="5.625" style="94" customWidth="1"/>
    <col min="9232" max="9232" width="5.375" style="94" customWidth="1"/>
    <col min="9233" max="9233" width="6.875" style="94" customWidth="1"/>
    <col min="9234" max="9234" width="5.125" style="94" customWidth="1"/>
    <col min="9235" max="9235" width="4.75" style="94" customWidth="1"/>
    <col min="9236" max="9236" width="5.625" style="94" customWidth="1"/>
    <col min="9237" max="9237" width="4.875" style="94" customWidth="1"/>
    <col min="9238" max="9238" width="5.25" style="94" customWidth="1"/>
    <col min="9239" max="9239" width="16.25" style="94" customWidth="1"/>
    <col min="9240" max="9240" width="9.25" style="94" customWidth="1"/>
    <col min="9241" max="9241" width="9.5" style="94" bestFit="1" customWidth="1"/>
    <col min="9242" max="9242" width="9.875" style="94" customWidth="1"/>
    <col min="9243" max="9244" width="10" style="94" customWidth="1"/>
    <col min="9245" max="9245" width="6.625" style="94" customWidth="1"/>
    <col min="9246" max="9246" width="6.5" style="94" customWidth="1"/>
    <col min="9247" max="9247" width="9" style="94"/>
    <col min="9248" max="9248" width="8.5" style="94" customWidth="1"/>
    <col min="9249" max="9249" width="6.375" style="94" customWidth="1"/>
    <col min="9250" max="9250" width="5.75" style="94" customWidth="1"/>
    <col min="9251" max="9251" width="12.625" style="94" customWidth="1"/>
    <col min="9252" max="9252" width="8.375" style="94" customWidth="1"/>
    <col min="9253" max="9253" width="24.875" style="94" customWidth="1"/>
    <col min="9254" max="9254" width="9" style="94"/>
    <col min="9255" max="9255" width="37.5" style="94" customWidth="1"/>
    <col min="9256" max="9472" width="9" style="94"/>
    <col min="9473" max="9474" width="3.75" style="94" customWidth="1"/>
    <col min="9475" max="9475" width="3.5" style="94" customWidth="1"/>
    <col min="9476" max="9476" width="3.875" style="94" customWidth="1"/>
    <col min="9477" max="9478" width="7.625" style="94" customWidth="1"/>
    <col min="9479" max="9479" width="6.375" style="94" customWidth="1"/>
    <col min="9480" max="9480" width="6.25" style="94" customWidth="1"/>
    <col min="9481" max="9481" width="6.625" style="94" customWidth="1"/>
    <col min="9482" max="9482" width="4.875" style="94" customWidth="1"/>
    <col min="9483" max="9483" width="4.75" style="94" customWidth="1"/>
    <col min="9484" max="9484" width="6.75" style="94" customWidth="1"/>
    <col min="9485" max="9485" width="0" style="94" hidden="1" customWidth="1"/>
    <col min="9486" max="9486" width="4.375" style="94" customWidth="1"/>
    <col min="9487" max="9487" width="5.625" style="94" customWidth="1"/>
    <col min="9488" max="9488" width="5.375" style="94" customWidth="1"/>
    <col min="9489" max="9489" width="6.875" style="94" customWidth="1"/>
    <col min="9490" max="9490" width="5.125" style="94" customWidth="1"/>
    <col min="9491" max="9491" width="4.75" style="94" customWidth="1"/>
    <col min="9492" max="9492" width="5.625" style="94" customWidth="1"/>
    <col min="9493" max="9493" width="4.875" style="94" customWidth="1"/>
    <col min="9494" max="9494" width="5.25" style="94" customWidth="1"/>
    <col min="9495" max="9495" width="16.25" style="94" customWidth="1"/>
    <col min="9496" max="9496" width="9.25" style="94" customWidth="1"/>
    <col min="9497" max="9497" width="9.5" style="94" bestFit="1" customWidth="1"/>
    <col min="9498" max="9498" width="9.875" style="94" customWidth="1"/>
    <col min="9499" max="9500" width="10" style="94" customWidth="1"/>
    <col min="9501" max="9501" width="6.625" style="94" customWidth="1"/>
    <col min="9502" max="9502" width="6.5" style="94" customWidth="1"/>
    <col min="9503" max="9503" width="9" style="94"/>
    <col min="9504" max="9504" width="8.5" style="94" customWidth="1"/>
    <col min="9505" max="9505" width="6.375" style="94" customWidth="1"/>
    <col min="9506" max="9506" width="5.75" style="94" customWidth="1"/>
    <col min="9507" max="9507" width="12.625" style="94" customWidth="1"/>
    <col min="9508" max="9508" width="8.375" style="94" customWidth="1"/>
    <col min="9509" max="9509" width="24.875" style="94" customWidth="1"/>
    <col min="9510" max="9510" width="9" style="94"/>
    <col min="9511" max="9511" width="37.5" style="94" customWidth="1"/>
    <col min="9512" max="9728" width="9" style="94"/>
    <col min="9729" max="9730" width="3.75" style="94" customWidth="1"/>
    <col min="9731" max="9731" width="3.5" style="94" customWidth="1"/>
    <col min="9732" max="9732" width="3.875" style="94" customWidth="1"/>
    <col min="9733" max="9734" width="7.625" style="94" customWidth="1"/>
    <col min="9735" max="9735" width="6.375" style="94" customWidth="1"/>
    <col min="9736" max="9736" width="6.25" style="94" customWidth="1"/>
    <col min="9737" max="9737" width="6.625" style="94" customWidth="1"/>
    <col min="9738" max="9738" width="4.875" style="94" customWidth="1"/>
    <col min="9739" max="9739" width="4.75" style="94" customWidth="1"/>
    <col min="9740" max="9740" width="6.75" style="94" customWidth="1"/>
    <col min="9741" max="9741" width="0" style="94" hidden="1" customWidth="1"/>
    <col min="9742" max="9742" width="4.375" style="94" customWidth="1"/>
    <col min="9743" max="9743" width="5.625" style="94" customWidth="1"/>
    <col min="9744" max="9744" width="5.375" style="94" customWidth="1"/>
    <col min="9745" max="9745" width="6.875" style="94" customWidth="1"/>
    <col min="9746" max="9746" width="5.125" style="94" customWidth="1"/>
    <col min="9747" max="9747" width="4.75" style="94" customWidth="1"/>
    <col min="9748" max="9748" width="5.625" style="94" customWidth="1"/>
    <col min="9749" max="9749" width="4.875" style="94" customWidth="1"/>
    <col min="9750" max="9750" width="5.25" style="94" customWidth="1"/>
    <col min="9751" max="9751" width="16.25" style="94" customWidth="1"/>
    <col min="9752" max="9752" width="9.25" style="94" customWidth="1"/>
    <col min="9753" max="9753" width="9.5" style="94" bestFit="1" customWidth="1"/>
    <col min="9754" max="9754" width="9.875" style="94" customWidth="1"/>
    <col min="9755" max="9756" width="10" style="94" customWidth="1"/>
    <col min="9757" max="9757" width="6.625" style="94" customWidth="1"/>
    <col min="9758" max="9758" width="6.5" style="94" customWidth="1"/>
    <col min="9759" max="9759" width="9" style="94"/>
    <col min="9760" max="9760" width="8.5" style="94" customWidth="1"/>
    <col min="9761" max="9761" width="6.375" style="94" customWidth="1"/>
    <col min="9762" max="9762" width="5.75" style="94" customWidth="1"/>
    <col min="9763" max="9763" width="12.625" style="94" customWidth="1"/>
    <col min="9764" max="9764" width="8.375" style="94" customWidth="1"/>
    <col min="9765" max="9765" width="24.875" style="94" customWidth="1"/>
    <col min="9766" max="9766" width="9" style="94"/>
    <col min="9767" max="9767" width="37.5" style="94" customWidth="1"/>
    <col min="9768" max="9984" width="9" style="94"/>
    <col min="9985" max="9986" width="3.75" style="94" customWidth="1"/>
    <col min="9987" max="9987" width="3.5" style="94" customWidth="1"/>
    <col min="9988" max="9988" width="3.875" style="94" customWidth="1"/>
    <col min="9989" max="9990" width="7.625" style="94" customWidth="1"/>
    <col min="9991" max="9991" width="6.375" style="94" customWidth="1"/>
    <col min="9992" max="9992" width="6.25" style="94" customWidth="1"/>
    <col min="9993" max="9993" width="6.625" style="94" customWidth="1"/>
    <col min="9994" max="9994" width="4.875" style="94" customWidth="1"/>
    <col min="9995" max="9995" width="4.75" style="94" customWidth="1"/>
    <col min="9996" max="9996" width="6.75" style="94" customWidth="1"/>
    <col min="9997" max="9997" width="0" style="94" hidden="1" customWidth="1"/>
    <col min="9998" max="9998" width="4.375" style="94" customWidth="1"/>
    <col min="9999" max="9999" width="5.625" style="94" customWidth="1"/>
    <col min="10000" max="10000" width="5.375" style="94" customWidth="1"/>
    <col min="10001" max="10001" width="6.875" style="94" customWidth="1"/>
    <col min="10002" max="10002" width="5.125" style="94" customWidth="1"/>
    <col min="10003" max="10003" width="4.75" style="94" customWidth="1"/>
    <col min="10004" max="10004" width="5.625" style="94" customWidth="1"/>
    <col min="10005" max="10005" width="4.875" style="94" customWidth="1"/>
    <col min="10006" max="10006" width="5.25" style="94" customWidth="1"/>
    <col min="10007" max="10007" width="16.25" style="94" customWidth="1"/>
    <col min="10008" max="10008" width="9.25" style="94" customWidth="1"/>
    <col min="10009" max="10009" width="9.5" style="94" bestFit="1" customWidth="1"/>
    <col min="10010" max="10010" width="9.875" style="94" customWidth="1"/>
    <col min="10011" max="10012" width="10" style="94" customWidth="1"/>
    <col min="10013" max="10013" width="6.625" style="94" customWidth="1"/>
    <col min="10014" max="10014" width="6.5" style="94" customWidth="1"/>
    <col min="10015" max="10015" width="9" style="94"/>
    <col min="10016" max="10016" width="8.5" style="94" customWidth="1"/>
    <col min="10017" max="10017" width="6.375" style="94" customWidth="1"/>
    <col min="10018" max="10018" width="5.75" style="94" customWidth="1"/>
    <col min="10019" max="10019" width="12.625" style="94" customWidth="1"/>
    <col min="10020" max="10020" width="8.375" style="94" customWidth="1"/>
    <col min="10021" max="10021" width="24.875" style="94" customWidth="1"/>
    <col min="10022" max="10022" width="9" style="94"/>
    <col min="10023" max="10023" width="37.5" style="94" customWidth="1"/>
    <col min="10024" max="10240" width="9" style="94"/>
    <col min="10241" max="10242" width="3.75" style="94" customWidth="1"/>
    <col min="10243" max="10243" width="3.5" style="94" customWidth="1"/>
    <col min="10244" max="10244" width="3.875" style="94" customWidth="1"/>
    <col min="10245" max="10246" width="7.625" style="94" customWidth="1"/>
    <col min="10247" max="10247" width="6.375" style="94" customWidth="1"/>
    <col min="10248" max="10248" width="6.25" style="94" customWidth="1"/>
    <col min="10249" max="10249" width="6.625" style="94" customWidth="1"/>
    <col min="10250" max="10250" width="4.875" style="94" customWidth="1"/>
    <col min="10251" max="10251" width="4.75" style="94" customWidth="1"/>
    <col min="10252" max="10252" width="6.75" style="94" customWidth="1"/>
    <col min="10253" max="10253" width="0" style="94" hidden="1" customWidth="1"/>
    <col min="10254" max="10254" width="4.375" style="94" customWidth="1"/>
    <col min="10255" max="10255" width="5.625" style="94" customWidth="1"/>
    <col min="10256" max="10256" width="5.375" style="94" customWidth="1"/>
    <col min="10257" max="10257" width="6.875" style="94" customWidth="1"/>
    <col min="10258" max="10258" width="5.125" style="94" customWidth="1"/>
    <col min="10259" max="10259" width="4.75" style="94" customWidth="1"/>
    <col min="10260" max="10260" width="5.625" style="94" customWidth="1"/>
    <col min="10261" max="10261" width="4.875" style="94" customWidth="1"/>
    <col min="10262" max="10262" width="5.25" style="94" customWidth="1"/>
    <col min="10263" max="10263" width="16.25" style="94" customWidth="1"/>
    <col min="10264" max="10264" width="9.25" style="94" customWidth="1"/>
    <col min="10265" max="10265" width="9.5" style="94" bestFit="1" customWidth="1"/>
    <col min="10266" max="10266" width="9.875" style="94" customWidth="1"/>
    <col min="10267" max="10268" width="10" style="94" customWidth="1"/>
    <col min="10269" max="10269" width="6.625" style="94" customWidth="1"/>
    <col min="10270" max="10270" width="6.5" style="94" customWidth="1"/>
    <col min="10271" max="10271" width="9" style="94"/>
    <col min="10272" max="10272" width="8.5" style="94" customWidth="1"/>
    <col min="10273" max="10273" width="6.375" style="94" customWidth="1"/>
    <col min="10274" max="10274" width="5.75" style="94" customWidth="1"/>
    <col min="10275" max="10275" width="12.625" style="94" customWidth="1"/>
    <col min="10276" max="10276" width="8.375" style="94" customWidth="1"/>
    <col min="10277" max="10277" width="24.875" style="94" customWidth="1"/>
    <col min="10278" max="10278" width="9" style="94"/>
    <col min="10279" max="10279" width="37.5" style="94" customWidth="1"/>
    <col min="10280" max="10496" width="9" style="94"/>
    <col min="10497" max="10498" width="3.75" style="94" customWidth="1"/>
    <col min="10499" max="10499" width="3.5" style="94" customWidth="1"/>
    <col min="10500" max="10500" width="3.875" style="94" customWidth="1"/>
    <col min="10501" max="10502" width="7.625" style="94" customWidth="1"/>
    <col min="10503" max="10503" width="6.375" style="94" customWidth="1"/>
    <col min="10504" max="10504" width="6.25" style="94" customWidth="1"/>
    <col min="10505" max="10505" width="6.625" style="94" customWidth="1"/>
    <col min="10506" max="10506" width="4.875" style="94" customWidth="1"/>
    <col min="10507" max="10507" width="4.75" style="94" customWidth="1"/>
    <col min="10508" max="10508" width="6.75" style="94" customWidth="1"/>
    <col min="10509" max="10509" width="0" style="94" hidden="1" customWidth="1"/>
    <col min="10510" max="10510" width="4.375" style="94" customWidth="1"/>
    <col min="10511" max="10511" width="5.625" style="94" customWidth="1"/>
    <col min="10512" max="10512" width="5.375" style="94" customWidth="1"/>
    <col min="10513" max="10513" width="6.875" style="94" customWidth="1"/>
    <col min="10514" max="10514" width="5.125" style="94" customWidth="1"/>
    <col min="10515" max="10515" width="4.75" style="94" customWidth="1"/>
    <col min="10516" max="10516" width="5.625" style="94" customWidth="1"/>
    <col min="10517" max="10517" width="4.875" style="94" customWidth="1"/>
    <col min="10518" max="10518" width="5.25" style="94" customWidth="1"/>
    <col min="10519" max="10519" width="16.25" style="94" customWidth="1"/>
    <col min="10520" max="10520" width="9.25" style="94" customWidth="1"/>
    <col min="10521" max="10521" width="9.5" style="94" bestFit="1" customWidth="1"/>
    <col min="10522" max="10522" width="9.875" style="94" customWidth="1"/>
    <col min="10523" max="10524" width="10" style="94" customWidth="1"/>
    <col min="10525" max="10525" width="6.625" style="94" customWidth="1"/>
    <col min="10526" max="10526" width="6.5" style="94" customWidth="1"/>
    <col min="10527" max="10527" width="9" style="94"/>
    <col min="10528" max="10528" width="8.5" style="94" customWidth="1"/>
    <col min="10529" max="10529" width="6.375" style="94" customWidth="1"/>
    <col min="10530" max="10530" width="5.75" style="94" customWidth="1"/>
    <col min="10531" max="10531" width="12.625" style="94" customWidth="1"/>
    <col min="10532" max="10532" width="8.375" style="94" customWidth="1"/>
    <col min="10533" max="10533" width="24.875" style="94" customWidth="1"/>
    <col min="10534" max="10534" width="9" style="94"/>
    <col min="10535" max="10535" width="37.5" style="94" customWidth="1"/>
    <col min="10536" max="10752" width="9" style="94"/>
    <col min="10753" max="10754" width="3.75" style="94" customWidth="1"/>
    <col min="10755" max="10755" width="3.5" style="94" customWidth="1"/>
    <col min="10756" max="10756" width="3.875" style="94" customWidth="1"/>
    <col min="10757" max="10758" width="7.625" style="94" customWidth="1"/>
    <col min="10759" max="10759" width="6.375" style="94" customWidth="1"/>
    <col min="10760" max="10760" width="6.25" style="94" customWidth="1"/>
    <col min="10761" max="10761" width="6.625" style="94" customWidth="1"/>
    <col min="10762" max="10762" width="4.875" style="94" customWidth="1"/>
    <col min="10763" max="10763" width="4.75" style="94" customWidth="1"/>
    <col min="10764" max="10764" width="6.75" style="94" customWidth="1"/>
    <col min="10765" max="10765" width="0" style="94" hidden="1" customWidth="1"/>
    <col min="10766" max="10766" width="4.375" style="94" customWidth="1"/>
    <col min="10767" max="10767" width="5.625" style="94" customWidth="1"/>
    <col min="10768" max="10768" width="5.375" style="94" customWidth="1"/>
    <col min="10769" max="10769" width="6.875" style="94" customWidth="1"/>
    <col min="10770" max="10770" width="5.125" style="94" customWidth="1"/>
    <col min="10771" max="10771" width="4.75" style="94" customWidth="1"/>
    <col min="10772" max="10772" width="5.625" style="94" customWidth="1"/>
    <col min="10773" max="10773" width="4.875" style="94" customWidth="1"/>
    <col min="10774" max="10774" width="5.25" style="94" customWidth="1"/>
    <col min="10775" max="10775" width="16.25" style="94" customWidth="1"/>
    <col min="10776" max="10776" width="9.25" style="94" customWidth="1"/>
    <col min="10777" max="10777" width="9.5" style="94" bestFit="1" customWidth="1"/>
    <col min="10778" max="10778" width="9.875" style="94" customWidth="1"/>
    <col min="10779" max="10780" width="10" style="94" customWidth="1"/>
    <col min="10781" max="10781" width="6.625" style="94" customWidth="1"/>
    <col min="10782" max="10782" width="6.5" style="94" customWidth="1"/>
    <col min="10783" max="10783" width="9" style="94"/>
    <col min="10784" max="10784" width="8.5" style="94" customWidth="1"/>
    <col min="10785" max="10785" width="6.375" style="94" customWidth="1"/>
    <col min="10786" max="10786" width="5.75" style="94" customWidth="1"/>
    <col min="10787" max="10787" width="12.625" style="94" customWidth="1"/>
    <col min="10788" max="10788" width="8.375" style="94" customWidth="1"/>
    <col min="10789" max="10789" width="24.875" style="94" customWidth="1"/>
    <col min="10790" max="10790" width="9" style="94"/>
    <col min="10791" max="10791" width="37.5" style="94" customWidth="1"/>
    <col min="10792" max="11008" width="9" style="94"/>
    <col min="11009" max="11010" width="3.75" style="94" customWidth="1"/>
    <col min="11011" max="11011" width="3.5" style="94" customWidth="1"/>
    <col min="11012" max="11012" width="3.875" style="94" customWidth="1"/>
    <col min="11013" max="11014" width="7.625" style="94" customWidth="1"/>
    <col min="11015" max="11015" width="6.375" style="94" customWidth="1"/>
    <col min="11016" max="11016" width="6.25" style="94" customWidth="1"/>
    <col min="11017" max="11017" width="6.625" style="94" customWidth="1"/>
    <col min="11018" max="11018" width="4.875" style="94" customWidth="1"/>
    <col min="11019" max="11019" width="4.75" style="94" customWidth="1"/>
    <col min="11020" max="11020" width="6.75" style="94" customWidth="1"/>
    <col min="11021" max="11021" width="0" style="94" hidden="1" customWidth="1"/>
    <col min="11022" max="11022" width="4.375" style="94" customWidth="1"/>
    <col min="11023" max="11023" width="5.625" style="94" customWidth="1"/>
    <col min="11024" max="11024" width="5.375" style="94" customWidth="1"/>
    <col min="11025" max="11025" width="6.875" style="94" customWidth="1"/>
    <col min="11026" max="11026" width="5.125" style="94" customWidth="1"/>
    <col min="11027" max="11027" width="4.75" style="94" customWidth="1"/>
    <col min="11028" max="11028" width="5.625" style="94" customWidth="1"/>
    <col min="11029" max="11029" width="4.875" style="94" customWidth="1"/>
    <col min="11030" max="11030" width="5.25" style="94" customWidth="1"/>
    <col min="11031" max="11031" width="16.25" style="94" customWidth="1"/>
    <col min="11032" max="11032" width="9.25" style="94" customWidth="1"/>
    <col min="11033" max="11033" width="9.5" style="94" bestFit="1" customWidth="1"/>
    <col min="11034" max="11034" width="9.875" style="94" customWidth="1"/>
    <col min="11035" max="11036" width="10" style="94" customWidth="1"/>
    <col min="11037" max="11037" width="6.625" style="94" customWidth="1"/>
    <col min="11038" max="11038" width="6.5" style="94" customWidth="1"/>
    <col min="11039" max="11039" width="9" style="94"/>
    <col min="11040" max="11040" width="8.5" style="94" customWidth="1"/>
    <col min="11041" max="11041" width="6.375" style="94" customWidth="1"/>
    <col min="11042" max="11042" width="5.75" style="94" customWidth="1"/>
    <col min="11043" max="11043" width="12.625" style="94" customWidth="1"/>
    <col min="11044" max="11044" width="8.375" style="94" customWidth="1"/>
    <col min="11045" max="11045" width="24.875" style="94" customWidth="1"/>
    <col min="11046" max="11046" width="9" style="94"/>
    <col min="11047" max="11047" width="37.5" style="94" customWidth="1"/>
    <col min="11048" max="11264" width="9" style="94"/>
    <col min="11265" max="11266" width="3.75" style="94" customWidth="1"/>
    <col min="11267" max="11267" width="3.5" style="94" customWidth="1"/>
    <col min="11268" max="11268" width="3.875" style="94" customWidth="1"/>
    <col min="11269" max="11270" width="7.625" style="94" customWidth="1"/>
    <col min="11271" max="11271" width="6.375" style="94" customWidth="1"/>
    <col min="11272" max="11272" width="6.25" style="94" customWidth="1"/>
    <col min="11273" max="11273" width="6.625" style="94" customWidth="1"/>
    <col min="11274" max="11274" width="4.875" style="94" customWidth="1"/>
    <col min="11275" max="11275" width="4.75" style="94" customWidth="1"/>
    <col min="11276" max="11276" width="6.75" style="94" customWidth="1"/>
    <col min="11277" max="11277" width="0" style="94" hidden="1" customWidth="1"/>
    <col min="11278" max="11278" width="4.375" style="94" customWidth="1"/>
    <col min="11279" max="11279" width="5.625" style="94" customWidth="1"/>
    <col min="11280" max="11280" width="5.375" style="94" customWidth="1"/>
    <col min="11281" max="11281" width="6.875" style="94" customWidth="1"/>
    <col min="11282" max="11282" width="5.125" style="94" customWidth="1"/>
    <col min="11283" max="11283" width="4.75" style="94" customWidth="1"/>
    <col min="11284" max="11284" width="5.625" style="94" customWidth="1"/>
    <col min="11285" max="11285" width="4.875" style="94" customWidth="1"/>
    <col min="11286" max="11286" width="5.25" style="94" customWidth="1"/>
    <col min="11287" max="11287" width="16.25" style="94" customWidth="1"/>
    <col min="11288" max="11288" width="9.25" style="94" customWidth="1"/>
    <col min="11289" max="11289" width="9.5" style="94" bestFit="1" customWidth="1"/>
    <col min="11290" max="11290" width="9.875" style="94" customWidth="1"/>
    <col min="11291" max="11292" width="10" style="94" customWidth="1"/>
    <col min="11293" max="11293" width="6.625" style="94" customWidth="1"/>
    <col min="11294" max="11294" width="6.5" style="94" customWidth="1"/>
    <col min="11295" max="11295" width="9" style="94"/>
    <col min="11296" max="11296" width="8.5" style="94" customWidth="1"/>
    <col min="11297" max="11297" width="6.375" style="94" customWidth="1"/>
    <col min="11298" max="11298" width="5.75" style="94" customWidth="1"/>
    <col min="11299" max="11299" width="12.625" style="94" customWidth="1"/>
    <col min="11300" max="11300" width="8.375" style="94" customWidth="1"/>
    <col min="11301" max="11301" width="24.875" style="94" customWidth="1"/>
    <col min="11302" max="11302" width="9" style="94"/>
    <col min="11303" max="11303" width="37.5" style="94" customWidth="1"/>
    <col min="11304" max="11520" width="9" style="94"/>
    <col min="11521" max="11522" width="3.75" style="94" customWidth="1"/>
    <col min="11523" max="11523" width="3.5" style="94" customWidth="1"/>
    <col min="11524" max="11524" width="3.875" style="94" customWidth="1"/>
    <col min="11525" max="11526" width="7.625" style="94" customWidth="1"/>
    <col min="11527" max="11527" width="6.375" style="94" customWidth="1"/>
    <col min="11528" max="11528" width="6.25" style="94" customWidth="1"/>
    <col min="11529" max="11529" width="6.625" style="94" customWidth="1"/>
    <col min="11530" max="11530" width="4.875" style="94" customWidth="1"/>
    <col min="11531" max="11531" width="4.75" style="94" customWidth="1"/>
    <col min="11532" max="11532" width="6.75" style="94" customWidth="1"/>
    <col min="11533" max="11533" width="0" style="94" hidden="1" customWidth="1"/>
    <col min="11534" max="11534" width="4.375" style="94" customWidth="1"/>
    <col min="11535" max="11535" width="5.625" style="94" customWidth="1"/>
    <col min="11536" max="11536" width="5.375" style="94" customWidth="1"/>
    <col min="11537" max="11537" width="6.875" style="94" customWidth="1"/>
    <col min="11538" max="11538" width="5.125" style="94" customWidth="1"/>
    <col min="11539" max="11539" width="4.75" style="94" customWidth="1"/>
    <col min="11540" max="11540" width="5.625" style="94" customWidth="1"/>
    <col min="11541" max="11541" width="4.875" style="94" customWidth="1"/>
    <col min="11542" max="11542" width="5.25" style="94" customWidth="1"/>
    <col min="11543" max="11543" width="16.25" style="94" customWidth="1"/>
    <col min="11544" max="11544" width="9.25" style="94" customWidth="1"/>
    <col min="11545" max="11545" width="9.5" style="94" bestFit="1" customWidth="1"/>
    <col min="11546" max="11546" width="9.875" style="94" customWidth="1"/>
    <col min="11547" max="11548" width="10" style="94" customWidth="1"/>
    <col min="11549" max="11549" width="6.625" style="94" customWidth="1"/>
    <col min="11550" max="11550" width="6.5" style="94" customWidth="1"/>
    <col min="11551" max="11551" width="9" style="94"/>
    <col min="11552" max="11552" width="8.5" style="94" customWidth="1"/>
    <col min="11553" max="11553" width="6.375" style="94" customWidth="1"/>
    <col min="11554" max="11554" width="5.75" style="94" customWidth="1"/>
    <col min="11555" max="11555" width="12.625" style="94" customWidth="1"/>
    <col min="11556" max="11556" width="8.375" style="94" customWidth="1"/>
    <col min="11557" max="11557" width="24.875" style="94" customWidth="1"/>
    <col min="11558" max="11558" width="9" style="94"/>
    <col min="11559" max="11559" width="37.5" style="94" customWidth="1"/>
    <col min="11560" max="11776" width="9" style="94"/>
    <col min="11777" max="11778" width="3.75" style="94" customWidth="1"/>
    <col min="11779" max="11779" width="3.5" style="94" customWidth="1"/>
    <col min="11780" max="11780" width="3.875" style="94" customWidth="1"/>
    <col min="11781" max="11782" width="7.625" style="94" customWidth="1"/>
    <col min="11783" max="11783" width="6.375" style="94" customWidth="1"/>
    <col min="11784" max="11784" width="6.25" style="94" customWidth="1"/>
    <col min="11785" max="11785" width="6.625" style="94" customWidth="1"/>
    <col min="11786" max="11786" width="4.875" style="94" customWidth="1"/>
    <col min="11787" max="11787" width="4.75" style="94" customWidth="1"/>
    <col min="11788" max="11788" width="6.75" style="94" customWidth="1"/>
    <col min="11789" max="11789" width="0" style="94" hidden="1" customWidth="1"/>
    <col min="11790" max="11790" width="4.375" style="94" customWidth="1"/>
    <col min="11791" max="11791" width="5.625" style="94" customWidth="1"/>
    <col min="11792" max="11792" width="5.375" style="94" customWidth="1"/>
    <col min="11793" max="11793" width="6.875" style="94" customWidth="1"/>
    <col min="11794" max="11794" width="5.125" style="94" customWidth="1"/>
    <col min="11795" max="11795" width="4.75" style="94" customWidth="1"/>
    <col min="11796" max="11796" width="5.625" style="94" customWidth="1"/>
    <col min="11797" max="11797" width="4.875" style="94" customWidth="1"/>
    <col min="11798" max="11798" width="5.25" style="94" customWidth="1"/>
    <col min="11799" max="11799" width="16.25" style="94" customWidth="1"/>
    <col min="11800" max="11800" width="9.25" style="94" customWidth="1"/>
    <col min="11801" max="11801" width="9.5" style="94" bestFit="1" customWidth="1"/>
    <col min="11802" max="11802" width="9.875" style="94" customWidth="1"/>
    <col min="11803" max="11804" width="10" style="94" customWidth="1"/>
    <col min="11805" max="11805" width="6.625" style="94" customWidth="1"/>
    <col min="11806" max="11806" width="6.5" style="94" customWidth="1"/>
    <col min="11807" max="11807" width="9" style="94"/>
    <col min="11808" max="11808" width="8.5" style="94" customWidth="1"/>
    <col min="11809" max="11809" width="6.375" style="94" customWidth="1"/>
    <col min="11810" max="11810" width="5.75" style="94" customWidth="1"/>
    <col min="11811" max="11811" width="12.625" style="94" customWidth="1"/>
    <col min="11812" max="11812" width="8.375" style="94" customWidth="1"/>
    <col min="11813" max="11813" width="24.875" style="94" customWidth="1"/>
    <col min="11814" max="11814" width="9" style="94"/>
    <col min="11815" max="11815" width="37.5" style="94" customWidth="1"/>
    <col min="11816" max="12032" width="9" style="94"/>
    <col min="12033" max="12034" width="3.75" style="94" customWidth="1"/>
    <col min="12035" max="12035" width="3.5" style="94" customWidth="1"/>
    <col min="12036" max="12036" width="3.875" style="94" customWidth="1"/>
    <col min="12037" max="12038" width="7.625" style="94" customWidth="1"/>
    <col min="12039" max="12039" width="6.375" style="94" customWidth="1"/>
    <col min="12040" max="12040" width="6.25" style="94" customWidth="1"/>
    <col min="12041" max="12041" width="6.625" style="94" customWidth="1"/>
    <col min="12042" max="12042" width="4.875" style="94" customWidth="1"/>
    <col min="12043" max="12043" width="4.75" style="94" customWidth="1"/>
    <col min="12044" max="12044" width="6.75" style="94" customWidth="1"/>
    <col min="12045" max="12045" width="0" style="94" hidden="1" customWidth="1"/>
    <col min="12046" max="12046" width="4.375" style="94" customWidth="1"/>
    <col min="12047" max="12047" width="5.625" style="94" customWidth="1"/>
    <col min="12048" max="12048" width="5.375" style="94" customWidth="1"/>
    <col min="12049" max="12049" width="6.875" style="94" customWidth="1"/>
    <col min="12050" max="12050" width="5.125" style="94" customWidth="1"/>
    <col min="12051" max="12051" width="4.75" style="94" customWidth="1"/>
    <col min="12052" max="12052" width="5.625" style="94" customWidth="1"/>
    <col min="12053" max="12053" width="4.875" style="94" customWidth="1"/>
    <col min="12054" max="12054" width="5.25" style="94" customWidth="1"/>
    <col min="12055" max="12055" width="16.25" style="94" customWidth="1"/>
    <col min="12056" max="12056" width="9.25" style="94" customWidth="1"/>
    <col min="12057" max="12057" width="9.5" style="94" bestFit="1" customWidth="1"/>
    <col min="12058" max="12058" width="9.875" style="94" customWidth="1"/>
    <col min="12059" max="12060" width="10" style="94" customWidth="1"/>
    <col min="12061" max="12061" width="6.625" style="94" customWidth="1"/>
    <col min="12062" max="12062" width="6.5" style="94" customWidth="1"/>
    <col min="12063" max="12063" width="9" style="94"/>
    <col min="12064" max="12064" width="8.5" style="94" customWidth="1"/>
    <col min="12065" max="12065" width="6.375" style="94" customWidth="1"/>
    <col min="12066" max="12066" width="5.75" style="94" customWidth="1"/>
    <col min="12067" max="12067" width="12.625" style="94" customWidth="1"/>
    <col min="12068" max="12068" width="8.375" style="94" customWidth="1"/>
    <col min="12069" max="12069" width="24.875" style="94" customWidth="1"/>
    <col min="12070" max="12070" width="9" style="94"/>
    <col min="12071" max="12071" width="37.5" style="94" customWidth="1"/>
    <col min="12072" max="12288" width="9" style="94"/>
    <col min="12289" max="12290" width="3.75" style="94" customWidth="1"/>
    <col min="12291" max="12291" width="3.5" style="94" customWidth="1"/>
    <col min="12292" max="12292" width="3.875" style="94" customWidth="1"/>
    <col min="12293" max="12294" width="7.625" style="94" customWidth="1"/>
    <col min="12295" max="12295" width="6.375" style="94" customWidth="1"/>
    <col min="12296" max="12296" width="6.25" style="94" customWidth="1"/>
    <col min="12297" max="12297" width="6.625" style="94" customWidth="1"/>
    <col min="12298" max="12298" width="4.875" style="94" customWidth="1"/>
    <col min="12299" max="12299" width="4.75" style="94" customWidth="1"/>
    <col min="12300" max="12300" width="6.75" style="94" customWidth="1"/>
    <col min="12301" max="12301" width="0" style="94" hidden="1" customWidth="1"/>
    <col min="12302" max="12302" width="4.375" style="94" customWidth="1"/>
    <col min="12303" max="12303" width="5.625" style="94" customWidth="1"/>
    <col min="12304" max="12304" width="5.375" style="94" customWidth="1"/>
    <col min="12305" max="12305" width="6.875" style="94" customWidth="1"/>
    <col min="12306" max="12306" width="5.125" style="94" customWidth="1"/>
    <col min="12307" max="12307" width="4.75" style="94" customWidth="1"/>
    <col min="12308" max="12308" width="5.625" style="94" customWidth="1"/>
    <col min="12309" max="12309" width="4.875" style="94" customWidth="1"/>
    <col min="12310" max="12310" width="5.25" style="94" customWidth="1"/>
    <col min="12311" max="12311" width="16.25" style="94" customWidth="1"/>
    <col min="12312" max="12312" width="9.25" style="94" customWidth="1"/>
    <col min="12313" max="12313" width="9.5" style="94" bestFit="1" customWidth="1"/>
    <col min="12314" max="12314" width="9.875" style="94" customWidth="1"/>
    <col min="12315" max="12316" width="10" style="94" customWidth="1"/>
    <col min="12317" max="12317" width="6.625" style="94" customWidth="1"/>
    <col min="12318" max="12318" width="6.5" style="94" customWidth="1"/>
    <col min="12319" max="12319" width="9" style="94"/>
    <col min="12320" max="12320" width="8.5" style="94" customWidth="1"/>
    <col min="12321" max="12321" width="6.375" style="94" customWidth="1"/>
    <col min="12322" max="12322" width="5.75" style="94" customWidth="1"/>
    <col min="12323" max="12323" width="12.625" style="94" customWidth="1"/>
    <col min="12324" max="12324" width="8.375" style="94" customWidth="1"/>
    <col min="12325" max="12325" width="24.875" style="94" customWidth="1"/>
    <col min="12326" max="12326" width="9" style="94"/>
    <col min="12327" max="12327" width="37.5" style="94" customWidth="1"/>
    <col min="12328" max="12544" width="9" style="94"/>
    <col min="12545" max="12546" width="3.75" style="94" customWidth="1"/>
    <col min="12547" max="12547" width="3.5" style="94" customWidth="1"/>
    <col min="12548" max="12548" width="3.875" style="94" customWidth="1"/>
    <col min="12549" max="12550" width="7.625" style="94" customWidth="1"/>
    <col min="12551" max="12551" width="6.375" style="94" customWidth="1"/>
    <col min="12552" max="12552" width="6.25" style="94" customWidth="1"/>
    <col min="12553" max="12553" width="6.625" style="94" customWidth="1"/>
    <col min="12554" max="12554" width="4.875" style="94" customWidth="1"/>
    <col min="12555" max="12555" width="4.75" style="94" customWidth="1"/>
    <col min="12556" max="12556" width="6.75" style="94" customWidth="1"/>
    <col min="12557" max="12557" width="0" style="94" hidden="1" customWidth="1"/>
    <col min="12558" max="12558" width="4.375" style="94" customWidth="1"/>
    <col min="12559" max="12559" width="5.625" style="94" customWidth="1"/>
    <col min="12560" max="12560" width="5.375" style="94" customWidth="1"/>
    <col min="12561" max="12561" width="6.875" style="94" customWidth="1"/>
    <col min="12562" max="12562" width="5.125" style="94" customWidth="1"/>
    <col min="12563" max="12563" width="4.75" style="94" customWidth="1"/>
    <col min="12564" max="12564" width="5.625" style="94" customWidth="1"/>
    <col min="12565" max="12565" width="4.875" style="94" customWidth="1"/>
    <col min="12566" max="12566" width="5.25" style="94" customWidth="1"/>
    <col min="12567" max="12567" width="16.25" style="94" customWidth="1"/>
    <col min="12568" max="12568" width="9.25" style="94" customWidth="1"/>
    <col min="12569" max="12569" width="9.5" style="94" bestFit="1" customWidth="1"/>
    <col min="12570" max="12570" width="9.875" style="94" customWidth="1"/>
    <col min="12571" max="12572" width="10" style="94" customWidth="1"/>
    <col min="12573" max="12573" width="6.625" style="94" customWidth="1"/>
    <col min="12574" max="12574" width="6.5" style="94" customWidth="1"/>
    <col min="12575" max="12575" width="9" style="94"/>
    <col min="12576" max="12576" width="8.5" style="94" customWidth="1"/>
    <col min="12577" max="12577" width="6.375" style="94" customWidth="1"/>
    <col min="12578" max="12578" width="5.75" style="94" customWidth="1"/>
    <col min="12579" max="12579" width="12.625" style="94" customWidth="1"/>
    <col min="12580" max="12580" width="8.375" style="94" customWidth="1"/>
    <col min="12581" max="12581" width="24.875" style="94" customWidth="1"/>
    <col min="12582" max="12582" width="9" style="94"/>
    <col min="12583" max="12583" width="37.5" style="94" customWidth="1"/>
    <col min="12584" max="12800" width="9" style="94"/>
    <col min="12801" max="12802" width="3.75" style="94" customWidth="1"/>
    <col min="12803" max="12803" width="3.5" style="94" customWidth="1"/>
    <col min="12804" max="12804" width="3.875" style="94" customWidth="1"/>
    <col min="12805" max="12806" width="7.625" style="94" customWidth="1"/>
    <col min="12807" max="12807" width="6.375" style="94" customWidth="1"/>
    <col min="12808" max="12808" width="6.25" style="94" customWidth="1"/>
    <col min="12809" max="12809" width="6.625" style="94" customWidth="1"/>
    <col min="12810" max="12810" width="4.875" style="94" customWidth="1"/>
    <col min="12811" max="12811" width="4.75" style="94" customWidth="1"/>
    <col min="12812" max="12812" width="6.75" style="94" customWidth="1"/>
    <col min="12813" max="12813" width="0" style="94" hidden="1" customWidth="1"/>
    <col min="12814" max="12814" width="4.375" style="94" customWidth="1"/>
    <col min="12815" max="12815" width="5.625" style="94" customWidth="1"/>
    <col min="12816" max="12816" width="5.375" style="94" customWidth="1"/>
    <col min="12817" max="12817" width="6.875" style="94" customWidth="1"/>
    <col min="12818" max="12818" width="5.125" style="94" customWidth="1"/>
    <col min="12819" max="12819" width="4.75" style="94" customWidth="1"/>
    <col min="12820" max="12820" width="5.625" style="94" customWidth="1"/>
    <col min="12821" max="12821" width="4.875" style="94" customWidth="1"/>
    <col min="12822" max="12822" width="5.25" style="94" customWidth="1"/>
    <col min="12823" max="12823" width="16.25" style="94" customWidth="1"/>
    <col min="12824" max="12824" width="9.25" style="94" customWidth="1"/>
    <col min="12825" max="12825" width="9.5" style="94" bestFit="1" customWidth="1"/>
    <col min="12826" max="12826" width="9.875" style="94" customWidth="1"/>
    <col min="12827" max="12828" width="10" style="94" customWidth="1"/>
    <col min="12829" max="12829" width="6.625" style="94" customWidth="1"/>
    <col min="12830" max="12830" width="6.5" style="94" customWidth="1"/>
    <col min="12831" max="12831" width="9" style="94"/>
    <col min="12832" max="12832" width="8.5" style="94" customWidth="1"/>
    <col min="12833" max="12833" width="6.375" style="94" customWidth="1"/>
    <col min="12834" max="12834" width="5.75" style="94" customWidth="1"/>
    <col min="12835" max="12835" width="12.625" style="94" customWidth="1"/>
    <col min="12836" max="12836" width="8.375" style="94" customWidth="1"/>
    <col min="12837" max="12837" width="24.875" style="94" customWidth="1"/>
    <col min="12838" max="12838" width="9" style="94"/>
    <col min="12839" max="12839" width="37.5" style="94" customWidth="1"/>
    <col min="12840" max="13056" width="9" style="94"/>
    <col min="13057" max="13058" width="3.75" style="94" customWidth="1"/>
    <col min="13059" max="13059" width="3.5" style="94" customWidth="1"/>
    <col min="13060" max="13060" width="3.875" style="94" customWidth="1"/>
    <col min="13061" max="13062" width="7.625" style="94" customWidth="1"/>
    <col min="13063" max="13063" width="6.375" style="94" customWidth="1"/>
    <col min="13064" max="13064" width="6.25" style="94" customWidth="1"/>
    <col min="13065" max="13065" width="6.625" style="94" customWidth="1"/>
    <col min="13066" max="13066" width="4.875" style="94" customWidth="1"/>
    <col min="13067" max="13067" width="4.75" style="94" customWidth="1"/>
    <col min="13068" max="13068" width="6.75" style="94" customWidth="1"/>
    <col min="13069" max="13069" width="0" style="94" hidden="1" customWidth="1"/>
    <col min="13070" max="13070" width="4.375" style="94" customWidth="1"/>
    <col min="13071" max="13071" width="5.625" style="94" customWidth="1"/>
    <col min="13072" max="13072" width="5.375" style="94" customWidth="1"/>
    <col min="13073" max="13073" width="6.875" style="94" customWidth="1"/>
    <col min="13074" max="13074" width="5.125" style="94" customWidth="1"/>
    <col min="13075" max="13075" width="4.75" style="94" customWidth="1"/>
    <col min="13076" max="13076" width="5.625" style="94" customWidth="1"/>
    <col min="13077" max="13077" width="4.875" style="94" customWidth="1"/>
    <col min="13078" max="13078" width="5.25" style="94" customWidth="1"/>
    <col min="13079" max="13079" width="16.25" style="94" customWidth="1"/>
    <col min="13080" max="13080" width="9.25" style="94" customWidth="1"/>
    <col min="13081" max="13081" width="9.5" style="94" bestFit="1" customWidth="1"/>
    <col min="13082" max="13082" width="9.875" style="94" customWidth="1"/>
    <col min="13083" max="13084" width="10" style="94" customWidth="1"/>
    <col min="13085" max="13085" width="6.625" style="94" customWidth="1"/>
    <col min="13086" max="13086" width="6.5" style="94" customWidth="1"/>
    <col min="13087" max="13087" width="9" style="94"/>
    <col min="13088" max="13088" width="8.5" style="94" customWidth="1"/>
    <col min="13089" max="13089" width="6.375" style="94" customWidth="1"/>
    <col min="13090" max="13090" width="5.75" style="94" customWidth="1"/>
    <col min="13091" max="13091" width="12.625" style="94" customWidth="1"/>
    <col min="13092" max="13092" width="8.375" style="94" customWidth="1"/>
    <col min="13093" max="13093" width="24.875" style="94" customWidth="1"/>
    <col min="13094" max="13094" width="9" style="94"/>
    <col min="13095" max="13095" width="37.5" style="94" customWidth="1"/>
    <col min="13096" max="13312" width="9" style="94"/>
    <col min="13313" max="13314" width="3.75" style="94" customWidth="1"/>
    <col min="13315" max="13315" width="3.5" style="94" customWidth="1"/>
    <col min="13316" max="13316" width="3.875" style="94" customWidth="1"/>
    <col min="13317" max="13318" width="7.625" style="94" customWidth="1"/>
    <col min="13319" max="13319" width="6.375" style="94" customWidth="1"/>
    <col min="13320" max="13320" width="6.25" style="94" customWidth="1"/>
    <col min="13321" max="13321" width="6.625" style="94" customWidth="1"/>
    <col min="13322" max="13322" width="4.875" style="94" customWidth="1"/>
    <col min="13323" max="13323" width="4.75" style="94" customWidth="1"/>
    <col min="13324" max="13324" width="6.75" style="94" customWidth="1"/>
    <col min="13325" max="13325" width="0" style="94" hidden="1" customWidth="1"/>
    <col min="13326" max="13326" width="4.375" style="94" customWidth="1"/>
    <col min="13327" max="13327" width="5.625" style="94" customWidth="1"/>
    <col min="13328" max="13328" width="5.375" style="94" customWidth="1"/>
    <col min="13329" max="13329" width="6.875" style="94" customWidth="1"/>
    <col min="13330" max="13330" width="5.125" style="94" customWidth="1"/>
    <col min="13331" max="13331" width="4.75" style="94" customWidth="1"/>
    <col min="13332" max="13332" width="5.625" style="94" customWidth="1"/>
    <col min="13333" max="13333" width="4.875" style="94" customWidth="1"/>
    <col min="13334" max="13334" width="5.25" style="94" customWidth="1"/>
    <col min="13335" max="13335" width="16.25" style="94" customWidth="1"/>
    <col min="13336" max="13336" width="9.25" style="94" customWidth="1"/>
    <col min="13337" max="13337" width="9.5" style="94" bestFit="1" customWidth="1"/>
    <col min="13338" max="13338" width="9.875" style="94" customWidth="1"/>
    <col min="13339" max="13340" width="10" style="94" customWidth="1"/>
    <col min="13341" max="13341" width="6.625" style="94" customWidth="1"/>
    <col min="13342" max="13342" width="6.5" style="94" customWidth="1"/>
    <col min="13343" max="13343" width="9" style="94"/>
    <col min="13344" max="13344" width="8.5" style="94" customWidth="1"/>
    <col min="13345" max="13345" width="6.375" style="94" customWidth="1"/>
    <col min="13346" max="13346" width="5.75" style="94" customWidth="1"/>
    <col min="13347" max="13347" width="12.625" style="94" customWidth="1"/>
    <col min="13348" max="13348" width="8.375" style="94" customWidth="1"/>
    <col min="13349" max="13349" width="24.875" style="94" customWidth="1"/>
    <col min="13350" max="13350" width="9" style="94"/>
    <col min="13351" max="13351" width="37.5" style="94" customWidth="1"/>
    <col min="13352" max="13568" width="9" style="94"/>
    <col min="13569" max="13570" width="3.75" style="94" customWidth="1"/>
    <col min="13571" max="13571" width="3.5" style="94" customWidth="1"/>
    <col min="13572" max="13572" width="3.875" style="94" customWidth="1"/>
    <col min="13573" max="13574" width="7.625" style="94" customWidth="1"/>
    <col min="13575" max="13575" width="6.375" style="94" customWidth="1"/>
    <col min="13576" max="13576" width="6.25" style="94" customWidth="1"/>
    <col min="13577" max="13577" width="6.625" style="94" customWidth="1"/>
    <col min="13578" max="13578" width="4.875" style="94" customWidth="1"/>
    <col min="13579" max="13579" width="4.75" style="94" customWidth="1"/>
    <col min="13580" max="13580" width="6.75" style="94" customWidth="1"/>
    <col min="13581" max="13581" width="0" style="94" hidden="1" customWidth="1"/>
    <col min="13582" max="13582" width="4.375" style="94" customWidth="1"/>
    <col min="13583" max="13583" width="5.625" style="94" customWidth="1"/>
    <col min="13584" max="13584" width="5.375" style="94" customWidth="1"/>
    <col min="13585" max="13585" width="6.875" style="94" customWidth="1"/>
    <col min="13586" max="13586" width="5.125" style="94" customWidth="1"/>
    <col min="13587" max="13587" width="4.75" style="94" customWidth="1"/>
    <col min="13588" max="13588" width="5.625" style="94" customWidth="1"/>
    <col min="13589" max="13589" width="4.875" style="94" customWidth="1"/>
    <col min="13590" max="13590" width="5.25" style="94" customWidth="1"/>
    <col min="13591" max="13591" width="16.25" style="94" customWidth="1"/>
    <col min="13592" max="13592" width="9.25" style="94" customWidth="1"/>
    <col min="13593" max="13593" width="9.5" style="94" bestFit="1" customWidth="1"/>
    <col min="13594" max="13594" width="9.875" style="94" customWidth="1"/>
    <col min="13595" max="13596" width="10" style="94" customWidth="1"/>
    <col min="13597" max="13597" width="6.625" style="94" customWidth="1"/>
    <col min="13598" max="13598" width="6.5" style="94" customWidth="1"/>
    <col min="13599" max="13599" width="9" style="94"/>
    <col min="13600" max="13600" width="8.5" style="94" customWidth="1"/>
    <col min="13601" max="13601" width="6.375" style="94" customWidth="1"/>
    <col min="13602" max="13602" width="5.75" style="94" customWidth="1"/>
    <col min="13603" max="13603" width="12.625" style="94" customWidth="1"/>
    <col min="13604" max="13604" width="8.375" style="94" customWidth="1"/>
    <col min="13605" max="13605" width="24.875" style="94" customWidth="1"/>
    <col min="13606" max="13606" width="9" style="94"/>
    <col min="13607" max="13607" width="37.5" style="94" customWidth="1"/>
    <col min="13608" max="13824" width="9" style="94"/>
    <col min="13825" max="13826" width="3.75" style="94" customWidth="1"/>
    <col min="13827" max="13827" width="3.5" style="94" customWidth="1"/>
    <col min="13828" max="13828" width="3.875" style="94" customWidth="1"/>
    <col min="13829" max="13830" width="7.625" style="94" customWidth="1"/>
    <col min="13831" max="13831" width="6.375" style="94" customWidth="1"/>
    <col min="13832" max="13832" width="6.25" style="94" customWidth="1"/>
    <col min="13833" max="13833" width="6.625" style="94" customWidth="1"/>
    <col min="13834" max="13834" width="4.875" style="94" customWidth="1"/>
    <col min="13835" max="13835" width="4.75" style="94" customWidth="1"/>
    <col min="13836" max="13836" width="6.75" style="94" customWidth="1"/>
    <col min="13837" max="13837" width="0" style="94" hidden="1" customWidth="1"/>
    <col min="13838" max="13838" width="4.375" style="94" customWidth="1"/>
    <col min="13839" max="13839" width="5.625" style="94" customWidth="1"/>
    <col min="13840" max="13840" width="5.375" style="94" customWidth="1"/>
    <col min="13841" max="13841" width="6.875" style="94" customWidth="1"/>
    <col min="13842" max="13842" width="5.125" style="94" customWidth="1"/>
    <col min="13843" max="13843" width="4.75" style="94" customWidth="1"/>
    <col min="13844" max="13844" width="5.625" style="94" customWidth="1"/>
    <col min="13845" max="13845" width="4.875" style="94" customWidth="1"/>
    <col min="13846" max="13846" width="5.25" style="94" customWidth="1"/>
    <col min="13847" max="13847" width="16.25" style="94" customWidth="1"/>
    <col min="13848" max="13848" width="9.25" style="94" customWidth="1"/>
    <col min="13849" max="13849" width="9.5" style="94" bestFit="1" customWidth="1"/>
    <col min="13850" max="13850" width="9.875" style="94" customWidth="1"/>
    <col min="13851" max="13852" width="10" style="94" customWidth="1"/>
    <col min="13853" max="13853" width="6.625" style="94" customWidth="1"/>
    <col min="13854" max="13854" width="6.5" style="94" customWidth="1"/>
    <col min="13855" max="13855" width="9" style="94"/>
    <col min="13856" max="13856" width="8.5" style="94" customWidth="1"/>
    <col min="13857" max="13857" width="6.375" style="94" customWidth="1"/>
    <col min="13858" max="13858" width="5.75" style="94" customWidth="1"/>
    <col min="13859" max="13859" width="12.625" style="94" customWidth="1"/>
    <col min="13860" max="13860" width="8.375" style="94" customWidth="1"/>
    <col min="13861" max="13861" width="24.875" style="94" customWidth="1"/>
    <col min="13862" max="13862" width="9" style="94"/>
    <col min="13863" max="13863" width="37.5" style="94" customWidth="1"/>
    <col min="13864" max="14080" width="9" style="94"/>
    <col min="14081" max="14082" width="3.75" style="94" customWidth="1"/>
    <col min="14083" max="14083" width="3.5" style="94" customWidth="1"/>
    <col min="14084" max="14084" width="3.875" style="94" customWidth="1"/>
    <col min="14085" max="14086" width="7.625" style="94" customWidth="1"/>
    <col min="14087" max="14087" width="6.375" style="94" customWidth="1"/>
    <col min="14088" max="14088" width="6.25" style="94" customWidth="1"/>
    <col min="14089" max="14089" width="6.625" style="94" customWidth="1"/>
    <col min="14090" max="14090" width="4.875" style="94" customWidth="1"/>
    <col min="14091" max="14091" width="4.75" style="94" customWidth="1"/>
    <col min="14092" max="14092" width="6.75" style="94" customWidth="1"/>
    <col min="14093" max="14093" width="0" style="94" hidden="1" customWidth="1"/>
    <col min="14094" max="14094" width="4.375" style="94" customWidth="1"/>
    <col min="14095" max="14095" width="5.625" style="94" customWidth="1"/>
    <col min="14096" max="14096" width="5.375" style="94" customWidth="1"/>
    <col min="14097" max="14097" width="6.875" style="94" customWidth="1"/>
    <col min="14098" max="14098" width="5.125" style="94" customWidth="1"/>
    <col min="14099" max="14099" width="4.75" style="94" customWidth="1"/>
    <col min="14100" max="14100" width="5.625" style="94" customWidth="1"/>
    <col min="14101" max="14101" width="4.875" style="94" customWidth="1"/>
    <col min="14102" max="14102" width="5.25" style="94" customWidth="1"/>
    <col min="14103" max="14103" width="16.25" style="94" customWidth="1"/>
    <col min="14104" max="14104" width="9.25" style="94" customWidth="1"/>
    <col min="14105" max="14105" width="9.5" style="94" bestFit="1" customWidth="1"/>
    <col min="14106" max="14106" width="9.875" style="94" customWidth="1"/>
    <col min="14107" max="14108" width="10" style="94" customWidth="1"/>
    <col min="14109" max="14109" width="6.625" style="94" customWidth="1"/>
    <col min="14110" max="14110" width="6.5" style="94" customWidth="1"/>
    <col min="14111" max="14111" width="9" style="94"/>
    <col min="14112" max="14112" width="8.5" style="94" customWidth="1"/>
    <col min="14113" max="14113" width="6.375" style="94" customWidth="1"/>
    <col min="14114" max="14114" width="5.75" style="94" customWidth="1"/>
    <col min="14115" max="14115" width="12.625" style="94" customWidth="1"/>
    <col min="14116" max="14116" width="8.375" style="94" customWidth="1"/>
    <col min="14117" max="14117" width="24.875" style="94" customWidth="1"/>
    <col min="14118" max="14118" width="9" style="94"/>
    <col min="14119" max="14119" width="37.5" style="94" customWidth="1"/>
    <col min="14120" max="14336" width="9" style="94"/>
    <col min="14337" max="14338" width="3.75" style="94" customWidth="1"/>
    <col min="14339" max="14339" width="3.5" style="94" customWidth="1"/>
    <col min="14340" max="14340" width="3.875" style="94" customWidth="1"/>
    <col min="14341" max="14342" width="7.625" style="94" customWidth="1"/>
    <col min="14343" max="14343" width="6.375" style="94" customWidth="1"/>
    <col min="14344" max="14344" width="6.25" style="94" customWidth="1"/>
    <col min="14345" max="14345" width="6.625" style="94" customWidth="1"/>
    <col min="14346" max="14346" width="4.875" style="94" customWidth="1"/>
    <col min="14347" max="14347" width="4.75" style="94" customWidth="1"/>
    <col min="14348" max="14348" width="6.75" style="94" customWidth="1"/>
    <col min="14349" max="14349" width="0" style="94" hidden="1" customWidth="1"/>
    <col min="14350" max="14350" width="4.375" style="94" customWidth="1"/>
    <col min="14351" max="14351" width="5.625" style="94" customWidth="1"/>
    <col min="14352" max="14352" width="5.375" style="94" customWidth="1"/>
    <col min="14353" max="14353" width="6.875" style="94" customWidth="1"/>
    <col min="14354" max="14354" width="5.125" style="94" customWidth="1"/>
    <col min="14355" max="14355" width="4.75" style="94" customWidth="1"/>
    <col min="14356" max="14356" width="5.625" style="94" customWidth="1"/>
    <col min="14357" max="14357" width="4.875" style="94" customWidth="1"/>
    <col min="14358" max="14358" width="5.25" style="94" customWidth="1"/>
    <col min="14359" max="14359" width="16.25" style="94" customWidth="1"/>
    <col min="14360" max="14360" width="9.25" style="94" customWidth="1"/>
    <col min="14361" max="14361" width="9.5" style="94" bestFit="1" customWidth="1"/>
    <col min="14362" max="14362" width="9.875" style="94" customWidth="1"/>
    <col min="14363" max="14364" width="10" style="94" customWidth="1"/>
    <col min="14365" max="14365" width="6.625" style="94" customWidth="1"/>
    <col min="14366" max="14366" width="6.5" style="94" customWidth="1"/>
    <col min="14367" max="14367" width="9" style="94"/>
    <col min="14368" max="14368" width="8.5" style="94" customWidth="1"/>
    <col min="14369" max="14369" width="6.375" style="94" customWidth="1"/>
    <col min="14370" max="14370" width="5.75" style="94" customWidth="1"/>
    <col min="14371" max="14371" width="12.625" style="94" customWidth="1"/>
    <col min="14372" max="14372" width="8.375" style="94" customWidth="1"/>
    <col min="14373" max="14373" width="24.875" style="94" customWidth="1"/>
    <col min="14374" max="14374" width="9" style="94"/>
    <col min="14375" max="14375" width="37.5" style="94" customWidth="1"/>
    <col min="14376" max="14592" width="9" style="94"/>
    <col min="14593" max="14594" width="3.75" style="94" customWidth="1"/>
    <col min="14595" max="14595" width="3.5" style="94" customWidth="1"/>
    <col min="14596" max="14596" width="3.875" style="94" customWidth="1"/>
    <col min="14597" max="14598" width="7.625" style="94" customWidth="1"/>
    <col min="14599" max="14599" width="6.375" style="94" customWidth="1"/>
    <col min="14600" max="14600" width="6.25" style="94" customWidth="1"/>
    <col min="14601" max="14601" width="6.625" style="94" customWidth="1"/>
    <col min="14602" max="14602" width="4.875" style="94" customWidth="1"/>
    <col min="14603" max="14603" width="4.75" style="94" customWidth="1"/>
    <col min="14604" max="14604" width="6.75" style="94" customWidth="1"/>
    <col min="14605" max="14605" width="0" style="94" hidden="1" customWidth="1"/>
    <col min="14606" max="14606" width="4.375" style="94" customWidth="1"/>
    <col min="14607" max="14607" width="5.625" style="94" customWidth="1"/>
    <col min="14608" max="14608" width="5.375" style="94" customWidth="1"/>
    <col min="14609" max="14609" width="6.875" style="94" customWidth="1"/>
    <col min="14610" max="14610" width="5.125" style="94" customWidth="1"/>
    <col min="14611" max="14611" width="4.75" style="94" customWidth="1"/>
    <col min="14612" max="14612" width="5.625" style="94" customWidth="1"/>
    <col min="14613" max="14613" width="4.875" style="94" customWidth="1"/>
    <col min="14614" max="14614" width="5.25" style="94" customWidth="1"/>
    <col min="14615" max="14615" width="16.25" style="94" customWidth="1"/>
    <col min="14616" max="14616" width="9.25" style="94" customWidth="1"/>
    <col min="14617" max="14617" width="9.5" style="94" bestFit="1" customWidth="1"/>
    <col min="14618" max="14618" width="9.875" style="94" customWidth="1"/>
    <col min="14619" max="14620" width="10" style="94" customWidth="1"/>
    <col min="14621" max="14621" width="6.625" style="94" customWidth="1"/>
    <col min="14622" max="14622" width="6.5" style="94" customWidth="1"/>
    <col min="14623" max="14623" width="9" style="94"/>
    <col min="14624" max="14624" width="8.5" style="94" customWidth="1"/>
    <col min="14625" max="14625" width="6.375" style="94" customWidth="1"/>
    <col min="14626" max="14626" width="5.75" style="94" customWidth="1"/>
    <col min="14627" max="14627" width="12.625" style="94" customWidth="1"/>
    <col min="14628" max="14628" width="8.375" style="94" customWidth="1"/>
    <col min="14629" max="14629" width="24.875" style="94" customWidth="1"/>
    <col min="14630" max="14630" width="9" style="94"/>
    <col min="14631" max="14631" width="37.5" style="94" customWidth="1"/>
    <col min="14632" max="14848" width="9" style="94"/>
    <col min="14849" max="14850" width="3.75" style="94" customWidth="1"/>
    <col min="14851" max="14851" width="3.5" style="94" customWidth="1"/>
    <col min="14852" max="14852" width="3.875" style="94" customWidth="1"/>
    <col min="14853" max="14854" width="7.625" style="94" customWidth="1"/>
    <col min="14855" max="14855" width="6.375" style="94" customWidth="1"/>
    <col min="14856" max="14856" width="6.25" style="94" customWidth="1"/>
    <col min="14857" max="14857" width="6.625" style="94" customWidth="1"/>
    <col min="14858" max="14858" width="4.875" style="94" customWidth="1"/>
    <col min="14859" max="14859" width="4.75" style="94" customWidth="1"/>
    <col min="14860" max="14860" width="6.75" style="94" customWidth="1"/>
    <col min="14861" max="14861" width="0" style="94" hidden="1" customWidth="1"/>
    <col min="14862" max="14862" width="4.375" style="94" customWidth="1"/>
    <col min="14863" max="14863" width="5.625" style="94" customWidth="1"/>
    <col min="14864" max="14864" width="5.375" style="94" customWidth="1"/>
    <col min="14865" max="14865" width="6.875" style="94" customWidth="1"/>
    <col min="14866" max="14866" width="5.125" style="94" customWidth="1"/>
    <col min="14867" max="14867" width="4.75" style="94" customWidth="1"/>
    <col min="14868" max="14868" width="5.625" style="94" customWidth="1"/>
    <col min="14869" max="14869" width="4.875" style="94" customWidth="1"/>
    <col min="14870" max="14870" width="5.25" style="94" customWidth="1"/>
    <col min="14871" max="14871" width="16.25" style="94" customWidth="1"/>
    <col min="14872" max="14872" width="9.25" style="94" customWidth="1"/>
    <col min="14873" max="14873" width="9.5" style="94" bestFit="1" customWidth="1"/>
    <col min="14874" max="14874" width="9.875" style="94" customWidth="1"/>
    <col min="14875" max="14876" width="10" style="94" customWidth="1"/>
    <col min="14877" max="14877" width="6.625" style="94" customWidth="1"/>
    <col min="14878" max="14878" width="6.5" style="94" customWidth="1"/>
    <col min="14879" max="14879" width="9" style="94"/>
    <col min="14880" max="14880" width="8.5" style="94" customWidth="1"/>
    <col min="14881" max="14881" width="6.375" style="94" customWidth="1"/>
    <col min="14882" max="14882" width="5.75" style="94" customWidth="1"/>
    <col min="14883" max="14883" width="12.625" style="94" customWidth="1"/>
    <col min="14884" max="14884" width="8.375" style="94" customWidth="1"/>
    <col min="14885" max="14885" width="24.875" style="94" customWidth="1"/>
    <col min="14886" max="14886" width="9" style="94"/>
    <col min="14887" max="14887" width="37.5" style="94" customWidth="1"/>
    <col min="14888" max="15104" width="9" style="94"/>
    <col min="15105" max="15106" width="3.75" style="94" customWidth="1"/>
    <col min="15107" max="15107" width="3.5" style="94" customWidth="1"/>
    <col min="15108" max="15108" width="3.875" style="94" customWidth="1"/>
    <col min="15109" max="15110" width="7.625" style="94" customWidth="1"/>
    <col min="15111" max="15111" width="6.375" style="94" customWidth="1"/>
    <col min="15112" max="15112" width="6.25" style="94" customWidth="1"/>
    <col min="15113" max="15113" width="6.625" style="94" customWidth="1"/>
    <col min="15114" max="15114" width="4.875" style="94" customWidth="1"/>
    <col min="15115" max="15115" width="4.75" style="94" customWidth="1"/>
    <col min="15116" max="15116" width="6.75" style="94" customWidth="1"/>
    <col min="15117" max="15117" width="0" style="94" hidden="1" customWidth="1"/>
    <col min="15118" max="15118" width="4.375" style="94" customWidth="1"/>
    <col min="15119" max="15119" width="5.625" style="94" customWidth="1"/>
    <col min="15120" max="15120" width="5.375" style="94" customWidth="1"/>
    <col min="15121" max="15121" width="6.875" style="94" customWidth="1"/>
    <col min="15122" max="15122" width="5.125" style="94" customWidth="1"/>
    <col min="15123" max="15123" width="4.75" style="94" customWidth="1"/>
    <col min="15124" max="15124" width="5.625" style="94" customWidth="1"/>
    <col min="15125" max="15125" width="4.875" style="94" customWidth="1"/>
    <col min="15126" max="15126" width="5.25" style="94" customWidth="1"/>
    <col min="15127" max="15127" width="16.25" style="94" customWidth="1"/>
    <col min="15128" max="15128" width="9.25" style="94" customWidth="1"/>
    <col min="15129" max="15129" width="9.5" style="94" bestFit="1" customWidth="1"/>
    <col min="15130" max="15130" width="9.875" style="94" customWidth="1"/>
    <col min="15131" max="15132" width="10" style="94" customWidth="1"/>
    <col min="15133" max="15133" width="6.625" style="94" customWidth="1"/>
    <col min="15134" max="15134" width="6.5" style="94" customWidth="1"/>
    <col min="15135" max="15135" width="9" style="94"/>
    <col min="15136" max="15136" width="8.5" style="94" customWidth="1"/>
    <col min="15137" max="15137" width="6.375" style="94" customWidth="1"/>
    <col min="15138" max="15138" width="5.75" style="94" customWidth="1"/>
    <col min="15139" max="15139" width="12.625" style="94" customWidth="1"/>
    <col min="15140" max="15140" width="8.375" style="94" customWidth="1"/>
    <col min="15141" max="15141" width="24.875" style="94" customWidth="1"/>
    <col min="15142" max="15142" width="9" style="94"/>
    <col min="15143" max="15143" width="37.5" style="94" customWidth="1"/>
    <col min="15144" max="15360" width="9" style="94"/>
    <col min="15361" max="15362" width="3.75" style="94" customWidth="1"/>
    <col min="15363" max="15363" width="3.5" style="94" customWidth="1"/>
    <col min="15364" max="15364" width="3.875" style="94" customWidth="1"/>
    <col min="15365" max="15366" width="7.625" style="94" customWidth="1"/>
    <col min="15367" max="15367" width="6.375" style="94" customWidth="1"/>
    <col min="15368" max="15368" width="6.25" style="94" customWidth="1"/>
    <col min="15369" max="15369" width="6.625" style="94" customWidth="1"/>
    <col min="15370" max="15370" width="4.875" style="94" customWidth="1"/>
    <col min="15371" max="15371" width="4.75" style="94" customWidth="1"/>
    <col min="15372" max="15372" width="6.75" style="94" customWidth="1"/>
    <col min="15373" max="15373" width="0" style="94" hidden="1" customWidth="1"/>
    <col min="15374" max="15374" width="4.375" style="94" customWidth="1"/>
    <col min="15375" max="15375" width="5.625" style="94" customWidth="1"/>
    <col min="15376" max="15376" width="5.375" style="94" customWidth="1"/>
    <col min="15377" max="15377" width="6.875" style="94" customWidth="1"/>
    <col min="15378" max="15378" width="5.125" style="94" customWidth="1"/>
    <col min="15379" max="15379" width="4.75" style="94" customWidth="1"/>
    <col min="15380" max="15380" width="5.625" style="94" customWidth="1"/>
    <col min="15381" max="15381" width="4.875" style="94" customWidth="1"/>
    <col min="15382" max="15382" width="5.25" style="94" customWidth="1"/>
    <col min="15383" max="15383" width="16.25" style="94" customWidth="1"/>
    <col min="15384" max="15384" width="9.25" style="94" customWidth="1"/>
    <col min="15385" max="15385" width="9.5" style="94" bestFit="1" customWidth="1"/>
    <col min="15386" max="15386" width="9.875" style="94" customWidth="1"/>
    <col min="15387" max="15388" width="10" style="94" customWidth="1"/>
    <col min="15389" max="15389" width="6.625" style="94" customWidth="1"/>
    <col min="15390" max="15390" width="6.5" style="94" customWidth="1"/>
    <col min="15391" max="15391" width="9" style="94"/>
    <col min="15392" max="15392" width="8.5" style="94" customWidth="1"/>
    <col min="15393" max="15393" width="6.375" style="94" customWidth="1"/>
    <col min="15394" max="15394" width="5.75" style="94" customWidth="1"/>
    <col min="15395" max="15395" width="12.625" style="94" customWidth="1"/>
    <col min="15396" max="15396" width="8.375" style="94" customWidth="1"/>
    <col min="15397" max="15397" width="24.875" style="94" customWidth="1"/>
    <col min="15398" max="15398" width="9" style="94"/>
    <col min="15399" max="15399" width="37.5" style="94" customWidth="1"/>
    <col min="15400" max="15616" width="9" style="94"/>
    <col min="15617" max="15618" width="3.75" style="94" customWidth="1"/>
    <col min="15619" max="15619" width="3.5" style="94" customWidth="1"/>
    <col min="15620" max="15620" width="3.875" style="94" customWidth="1"/>
    <col min="15621" max="15622" width="7.625" style="94" customWidth="1"/>
    <col min="15623" max="15623" width="6.375" style="94" customWidth="1"/>
    <col min="15624" max="15624" width="6.25" style="94" customWidth="1"/>
    <col min="15625" max="15625" width="6.625" style="94" customWidth="1"/>
    <col min="15626" max="15626" width="4.875" style="94" customWidth="1"/>
    <col min="15627" max="15627" width="4.75" style="94" customWidth="1"/>
    <col min="15628" max="15628" width="6.75" style="94" customWidth="1"/>
    <col min="15629" max="15629" width="0" style="94" hidden="1" customWidth="1"/>
    <col min="15630" max="15630" width="4.375" style="94" customWidth="1"/>
    <col min="15631" max="15631" width="5.625" style="94" customWidth="1"/>
    <col min="15632" max="15632" width="5.375" style="94" customWidth="1"/>
    <col min="15633" max="15633" width="6.875" style="94" customWidth="1"/>
    <col min="15634" max="15634" width="5.125" style="94" customWidth="1"/>
    <col min="15635" max="15635" width="4.75" style="94" customWidth="1"/>
    <col min="15636" max="15636" width="5.625" style="94" customWidth="1"/>
    <col min="15637" max="15637" width="4.875" style="94" customWidth="1"/>
    <col min="15638" max="15638" width="5.25" style="94" customWidth="1"/>
    <col min="15639" max="15639" width="16.25" style="94" customWidth="1"/>
    <col min="15640" max="15640" width="9.25" style="94" customWidth="1"/>
    <col min="15641" max="15641" width="9.5" style="94" bestFit="1" customWidth="1"/>
    <col min="15642" max="15642" width="9.875" style="94" customWidth="1"/>
    <col min="15643" max="15644" width="10" style="94" customWidth="1"/>
    <col min="15645" max="15645" width="6.625" style="94" customWidth="1"/>
    <col min="15646" max="15646" width="6.5" style="94" customWidth="1"/>
    <col min="15647" max="15647" width="9" style="94"/>
    <col min="15648" max="15648" width="8.5" style="94" customWidth="1"/>
    <col min="15649" max="15649" width="6.375" style="94" customWidth="1"/>
    <col min="15650" max="15650" width="5.75" style="94" customWidth="1"/>
    <col min="15651" max="15651" width="12.625" style="94" customWidth="1"/>
    <col min="15652" max="15652" width="8.375" style="94" customWidth="1"/>
    <col min="15653" max="15653" width="24.875" style="94" customWidth="1"/>
    <col min="15654" max="15654" width="9" style="94"/>
    <col min="15655" max="15655" width="37.5" style="94" customWidth="1"/>
    <col min="15656" max="15872" width="9" style="94"/>
    <col min="15873" max="15874" width="3.75" style="94" customWidth="1"/>
    <col min="15875" max="15875" width="3.5" style="94" customWidth="1"/>
    <col min="15876" max="15876" width="3.875" style="94" customWidth="1"/>
    <col min="15877" max="15878" width="7.625" style="94" customWidth="1"/>
    <col min="15879" max="15879" width="6.375" style="94" customWidth="1"/>
    <col min="15880" max="15880" width="6.25" style="94" customWidth="1"/>
    <col min="15881" max="15881" width="6.625" style="94" customWidth="1"/>
    <col min="15882" max="15882" width="4.875" style="94" customWidth="1"/>
    <col min="15883" max="15883" width="4.75" style="94" customWidth="1"/>
    <col min="15884" max="15884" width="6.75" style="94" customWidth="1"/>
    <col min="15885" max="15885" width="0" style="94" hidden="1" customWidth="1"/>
    <col min="15886" max="15886" width="4.375" style="94" customWidth="1"/>
    <col min="15887" max="15887" width="5.625" style="94" customWidth="1"/>
    <col min="15888" max="15888" width="5.375" style="94" customWidth="1"/>
    <col min="15889" max="15889" width="6.875" style="94" customWidth="1"/>
    <col min="15890" max="15890" width="5.125" style="94" customWidth="1"/>
    <col min="15891" max="15891" width="4.75" style="94" customWidth="1"/>
    <col min="15892" max="15892" width="5.625" style="94" customWidth="1"/>
    <col min="15893" max="15893" width="4.875" style="94" customWidth="1"/>
    <col min="15894" max="15894" width="5.25" style="94" customWidth="1"/>
    <col min="15895" max="15895" width="16.25" style="94" customWidth="1"/>
    <col min="15896" max="15896" width="9.25" style="94" customWidth="1"/>
    <col min="15897" max="15897" width="9.5" style="94" bestFit="1" customWidth="1"/>
    <col min="15898" max="15898" width="9.875" style="94" customWidth="1"/>
    <col min="15899" max="15900" width="10" style="94" customWidth="1"/>
    <col min="15901" max="15901" width="6.625" style="94" customWidth="1"/>
    <col min="15902" max="15902" width="6.5" style="94" customWidth="1"/>
    <col min="15903" max="15903" width="9" style="94"/>
    <col min="15904" max="15904" width="8.5" style="94" customWidth="1"/>
    <col min="15905" max="15905" width="6.375" style="94" customWidth="1"/>
    <col min="15906" max="15906" width="5.75" style="94" customWidth="1"/>
    <col min="15907" max="15907" width="12.625" style="94" customWidth="1"/>
    <col min="15908" max="15908" width="8.375" style="94" customWidth="1"/>
    <col min="15909" max="15909" width="24.875" style="94" customWidth="1"/>
    <col min="15910" max="15910" width="9" style="94"/>
    <col min="15911" max="15911" width="37.5" style="94" customWidth="1"/>
    <col min="15912" max="16128" width="9" style="94"/>
    <col min="16129" max="16130" width="3.75" style="94" customWidth="1"/>
    <col min="16131" max="16131" width="3.5" style="94" customWidth="1"/>
    <col min="16132" max="16132" width="3.875" style="94" customWidth="1"/>
    <col min="16133" max="16134" width="7.625" style="94" customWidth="1"/>
    <col min="16135" max="16135" width="6.375" style="94" customWidth="1"/>
    <col min="16136" max="16136" width="6.25" style="94" customWidth="1"/>
    <col min="16137" max="16137" width="6.625" style="94" customWidth="1"/>
    <col min="16138" max="16138" width="4.875" style="94" customWidth="1"/>
    <col min="16139" max="16139" width="4.75" style="94" customWidth="1"/>
    <col min="16140" max="16140" width="6.75" style="94" customWidth="1"/>
    <col min="16141" max="16141" width="0" style="94" hidden="1" customWidth="1"/>
    <col min="16142" max="16142" width="4.375" style="94" customWidth="1"/>
    <col min="16143" max="16143" width="5.625" style="94" customWidth="1"/>
    <col min="16144" max="16144" width="5.375" style="94" customWidth="1"/>
    <col min="16145" max="16145" width="6.875" style="94" customWidth="1"/>
    <col min="16146" max="16146" width="5.125" style="94" customWidth="1"/>
    <col min="16147" max="16147" width="4.75" style="94" customWidth="1"/>
    <col min="16148" max="16148" width="5.625" style="94" customWidth="1"/>
    <col min="16149" max="16149" width="4.875" style="94" customWidth="1"/>
    <col min="16150" max="16150" width="5.25" style="94" customWidth="1"/>
    <col min="16151" max="16151" width="16.25" style="94" customWidth="1"/>
    <col min="16152" max="16152" width="9.25" style="94" customWidth="1"/>
    <col min="16153" max="16153" width="9.5" style="94" bestFit="1" customWidth="1"/>
    <col min="16154" max="16154" width="9.875" style="94" customWidth="1"/>
    <col min="16155" max="16156" width="10" style="94" customWidth="1"/>
    <col min="16157" max="16157" width="6.625" style="94" customWidth="1"/>
    <col min="16158" max="16158" width="6.5" style="94" customWidth="1"/>
    <col min="16159" max="16159" width="9" style="94"/>
    <col min="16160" max="16160" width="8.5" style="94" customWidth="1"/>
    <col min="16161" max="16161" width="6.375" style="94" customWidth="1"/>
    <col min="16162" max="16162" width="5.75" style="94" customWidth="1"/>
    <col min="16163" max="16163" width="12.625" style="94" customWidth="1"/>
    <col min="16164" max="16164" width="8.375" style="94" customWidth="1"/>
    <col min="16165" max="16165" width="24.875" style="94" customWidth="1"/>
    <col min="16166" max="16166" width="9" style="94"/>
    <col min="16167" max="16167" width="37.5" style="94" customWidth="1"/>
    <col min="16168" max="16384" width="9" style="94"/>
  </cols>
  <sheetData>
    <row r="1" spans="1:32" ht="18.75">
      <c r="A1" s="1217" t="s">
        <v>758</v>
      </c>
      <c r="B1" s="1217"/>
      <c r="C1" s="1217"/>
      <c r="D1" s="1217"/>
      <c r="E1" s="1217"/>
      <c r="F1" s="1217"/>
      <c r="G1" s="1217"/>
      <c r="H1" s="1217"/>
      <c r="I1" s="1217"/>
      <c r="J1" s="1217"/>
      <c r="K1" s="1217"/>
      <c r="L1" s="1217"/>
      <c r="M1" s="1217"/>
      <c r="N1" s="1217"/>
      <c r="O1" s="1217"/>
      <c r="P1" s="1217"/>
      <c r="Q1" s="1217"/>
      <c r="R1" s="1217"/>
      <c r="S1" s="146"/>
      <c r="T1" s="1218"/>
      <c r="U1" s="1218"/>
      <c r="V1" s="1218"/>
      <c r="W1" s="1218"/>
      <c r="X1" s="1218"/>
    </row>
    <row r="2" spans="1:32" ht="20.100000000000001" customHeight="1">
      <c r="A2" s="1219" t="s">
        <v>466</v>
      </c>
      <c r="B2" s="1219"/>
      <c r="C2" s="1219"/>
      <c r="D2" s="1219" t="e">
        <f>'作(3)'!C5</f>
        <v>#REF!</v>
      </c>
      <c r="E2" s="1219"/>
      <c r="F2" s="1219"/>
      <c r="G2" s="1219"/>
      <c r="H2" s="1219" t="s">
        <v>518</v>
      </c>
      <c r="I2" s="1219"/>
      <c r="J2" s="1219" t="e">
        <f>#REF!</f>
        <v>#REF!</v>
      </c>
      <c r="K2" s="1219"/>
      <c r="L2" s="1219"/>
      <c r="M2" s="1219"/>
      <c r="N2" s="1219"/>
      <c r="O2" s="1219" t="s">
        <v>519</v>
      </c>
      <c r="P2" s="1219"/>
      <c r="Q2" s="1220"/>
      <c r="R2" s="1220"/>
      <c r="T2" s="141" t="s">
        <v>520</v>
      </c>
      <c r="U2" s="141" t="s">
        <v>521</v>
      </c>
      <c r="V2" s="100" t="s">
        <v>493</v>
      </c>
      <c r="W2" s="147" t="s">
        <v>522</v>
      </c>
      <c r="X2" s="147" t="s">
        <v>523</v>
      </c>
    </row>
    <row r="3" spans="1:32" ht="20.100000000000001" customHeight="1">
      <c r="A3" s="1216" t="s">
        <v>524</v>
      </c>
      <c r="B3" s="1211"/>
      <c r="C3" s="1211"/>
      <c r="D3" s="1211" t="e">
        <f>'作(3)'!C4</f>
        <v>#REF!</v>
      </c>
      <c r="E3" s="1211"/>
      <c r="F3" s="1211" t="s">
        <v>525</v>
      </c>
      <c r="G3" s="1211"/>
      <c r="H3" s="1211"/>
      <c r="I3" s="1211" t="s">
        <v>526</v>
      </c>
      <c r="J3" s="1211" t="s">
        <v>527</v>
      </c>
      <c r="K3" s="1211"/>
      <c r="L3" s="1210"/>
      <c r="M3" s="1210"/>
      <c r="N3" s="1210"/>
      <c r="O3" s="1211" t="s">
        <v>528</v>
      </c>
      <c r="P3" s="1211"/>
      <c r="Q3" s="1211" t="e">
        <f>'作(3)'!K6</f>
        <v>#REF!</v>
      </c>
      <c r="R3" s="1212"/>
      <c r="T3" s="94">
        <v>1800</v>
      </c>
      <c r="U3" s="94">
        <v>720</v>
      </c>
      <c r="V3" s="97">
        <v>1</v>
      </c>
      <c r="W3" s="148">
        <f>+T3*U3*V3/1000000</f>
        <v>1.296</v>
      </c>
      <c r="X3" s="148">
        <f>+IF(C9=W11,W3/X11,W3/X12)</f>
        <v>1.728</v>
      </c>
    </row>
    <row r="4" spans="1:32" ht="20.100000000000001" customHeight="1">
      <c r="A4" s="1214" t="str">
        <f>'作(3)'!F4</f>
        <v>版本型录号</v>
      </c>
      <c r="B4" s="1183"/>
      <c r="C4" s="1183"/>
      <c r="D4" s="1183" t="e">
        <f>'作(3)'!H4</f>
        <v>#REF!</v>
      </c>
      <c r="E4" s="1183"/>
      <c r="F4" s="1183"/>
      <c r="G4" s="1183"/>
      <c r="H4" s="1183"/>
      <c r="I4" s="1183"/>
      <c r="J4" s="1183" t="s">
        <v>529</v>
      </c>
      <c r="K4" s="1183"/>
      <c r="L4" s="1215"/>
      <c r="M4" s="1215"/>
      <c r="N4" s="1215"/>
      <c r="O4" s="1183"/>
      <c r="P4" s="1183"/>
      <c r="Q4" s="1183"/>
      <c r="R4" s="1213"/>
      <c r="S4" s="149"/>
      <c r="T4" s="150"/>
      <c r="U4" s="150"/>
    </row>
    <row r="5" spans="1:32" ht="20.100000000000001" customHeight="1">
      <c r="A5" s="151" t="s">
        <v>530</v>
      </c>
      <c r="B5" s="152" t="s">
        <v>531</v>
      </c>
      <c r="C5" s="1183" t="s">
        <v>532</v>
      </c>
      <c r="D5" s="1183"/>
      <c r="E5" s="153" t="s">
        <v>533</v>
      </c>
      <c r="F5" s="1183" t="s">
        <v>532</v>
      </c>
      <c r="G5" s="1183"/>
      <c r="H5" s="152" t="s">
        <v>534</v>
      </c>
      <c r="I5" s="152" t="s">
        <v>493</v>
      </c>
      <c r="J5" s="154" t="s">
        <v>530</v>
      </c>
      <c r="K5" s="152" t="s">
        <v>531</v>
      </c>
      <c r="L5" s="1183" t="s">
        <v>535</v>
      </c>
      <c r="M5" s="1183"/>
      <c r="N5" s="1183"/>
      <c r="O5" s="1183" t="s">
        <v>536</v>
      </c>
      <c r="P5" s="1183"/>
      <c r="Q5" s="152" t="s">
        <v>493</v>
      </c>
      <c r="R5" s="155" t="s">
        <v>534</v>
      </c>
      <c r="S5" s="149"/>
      <c r="T5" s="1221" t="s">
        <v>1074</v>
      </c>
      <c r="U5" s="1221"/>
      <c r="V5" s="633" t="s">
        <v>1286</v>
      </c>
      <c r="W5" s="1222" t="s">
        <v>1287</v>
      </c>
      <c r="X5" s="1223"/>
      <c r="Y5" s="626" t="s">
        <v>26</v>
      </c>
      <c r="Z5" s="626">
        <v>0.5</v>
      </c>
    </row>
    <row r="6" spans="1:32" ht="38.25" customHeight="1">
      <c r="A6" s="1200" t="s">
        <v>537</v>
      </c>
      <c r="B6" s="156">
        <v>1</v>
      </c>
      <c r="C6" s="1183" t="s">
        <v>538</v>
      </c>
      <c r="D6" s="1183"/>
      <c r="E6" s="157" t="s">
        <v>539</v>
      </c>
      <c r="F6" s="1201" t="str">
        <f>VLOOKUP('作(3)'!C6,'作(3)'!M5:S8,4,0)</f>
        <v xml:space="preserve">暖白单贴三聚氰胺E1级罗宾镂铣中密度
</v>
      </c>
      <c r="G6" s="1202"/>
      <c r="H6" s="152" t="s">
        <v>540</v>
      </c>
      <c r="I6" s="158">
        <f>'作(3)'!N54-'作(3)'!N45-'作(3)'!N46-'作(3)'!N47-'作(3)'!N48-'作(3)'!N50-'作(3)'!N51</f>
        <v>4.0408001584472169E-3</v>
      </c>
      <c r="J6" s="1203" t="s">
        <v>541</v>
      </c>
      <c r="K6" s="159">
        <v>1</v>
      </c>
      <c r="L6" s="1184" t="str">
        <f>VLOOKUP('作(3)'!C6,'作(3)'!M5:V8,9,0)</f>
        <v>月牙白吸塑膜</v>
      </c>
      <c r="M6" s="1206"/>
      <c r="N6" s="1207"/>
      <c r="O6" s="1181" t="s">
        <v>542</v>
      </c>
      <c r="P6" s="1181"/>
      <c r="Q6" s="152">
        <f>'作(3)'!M54</f>
        <v>9.589700000000001E-2</v>
      </c>
      <c r="R6" s="155" t="s">
        <v>522</v>
      </c>
      <c r="T6" s="1221" t="s">
        <v>1074</v>
      </c>
      <c r="U6" s="1221"/>
      <c r="V6" s="633" t="s">
        <v>1288</v>
      </c>
      <c r="W6" s="1222" t="s">
        <v>1289</v>
      </c>
      <c r="X6" s="1223"/>
      <c r="Y6" s="625" t="s">
        <v>360</v>
      </c>
      <c r="Z6" s="626">
        <v>0.5</v>
      </c>
    </row>
    <row r="7" spans="1:32" ht="39.75" customHeight="1">
      <c r="A7" s="1200"/>
      <c r="B7" s="156">
        <v>2</v>
      </c>
      <c r="C7" s="1183" t="s">
        <v>538</v>
      </c>
      <c r="D7" s="1183"/>
      <c r="E7" s="157" t="s">
        <v>543</v>
      </c>
      <c r="F7" s="1201" t="str">
        <f>IF('作(3)'!C6="P01月牙白","暖白单贴三聚氰胺罗宾E1级镂洗中密度板",'料单 (3)'!F6)</f>
        <v>暖白单贴三聚氰胺罗宾E1级镂洗中密度板</v>
      </c>
      <c r="G7" s="1202"/>
      <c r="H7" s="152" t="s">
        <v>540</v>
      </c>
      <c r="I7" s="158">
        <f>'作(3)'!N45+'作(3)'!N46+'作(3)'!N47+'作(3)'!N48+'作(3)'!N49+'作(3)'!N50</f>
        <v>0</v>
      </c>
      <c r="J7" s="1204"/>
      <c r="K7" s="1208">
        <v>2</v>
      </c>
      <c r="L7" s="1195" t="s">
        <v>544</v>
      </c>
      <c r="M7" s="1195"/>
      <c r="N7" s="1195"/>
      <c r="O7" s="1195"/>
      <c r="P7" s="1195"/>
      <c r="Q7" s="160">
        <f>'作(3)'!Q55</f>
        <v>0.49082400000000004</v>
      </c>
      <c r="R7" s="155" t="s">
        <v>545</v>
      </c>
      <c r="X7" s="1224" t="str">
        <f>+'[9]2014-2-28现存量'!$C$889</f>
        <v>尼龙胀塞8*60</v>
      </c>
      <c r="Y7" s="1225"/>
      <c r="Z7" s="1226"/>
      <c r="AA7" s="625" t="s">
        <v>1292</v>
      </c>
      <c r="AB7" s="634">
        <f>+AB8</f>
        <v>4</v>
      </c>
    </row>
    <row r="8" spans="1:32" ht="20.100000000000001" customHeight="1">
      <c r="A8" s="1200"/>
      <c r="B8" s="156"/>
      <c r="C8" s="1183"/>
      <c r="D8" s="1183"/>
      <c r="E8" s="1194"/>
      <c r="F8" s="1194"/>
      <c r="G8" s="1194"/>
      <c r="H8" s="156"/>
      <c r="I8" s="161"/>
      <c r="J8" s="1205"/>
      <c r="K8" s="1209"/>
      <c r="L8" s="1195" t="s">
        <v>546</v>
      </c>
      <c r="M8" s="1195"/>
      <c r="N8" s="1195"/>
      <c r="O8" s="1195"/>
      <c r="P8" s="1195"/>
      <c r="Q8" s="160">
        <f>Q7/20</f>
        <v>2.4541200000000003E-2</v>
      </c>
      <c r="R8" s="155" t="s">
        <v>545</v>
      </c>
      <c r="V8" s="162" t="s">
        <v>547</v>
      </c>
      <c r="X8" s="1231" t="s">
        <v>1290</v>
      </c>
      <c r="Y8" s="1232"/>
      <c r="Z8" s="1233"/>
      <c r="AA8" s="627" t="s">
        <v>1293</v>
      </c>
      <c r="AB8" s="634">
        <v>4</v>
      </c>
    </row>
    <row r="9" spans="1:32" ht="20.100000000000001" customHeight="1">
      <c r="A9" s="1177" t="s">
        <v>548</v>
      </c>
      <c r="B9" s="156">
        <v>1</v>
      </c>
      <c r="C9" s="1180"/>
      <c r="D9" s="1180"/>
      <c r="E9" s="1181" t="s">
        <v>549</v>
      </c>
      <c r="F9" s="1181"/>
      <c r="G9" s="1181"/>
      <c r="H9" s="156" t="s">
        <v>522</v>
      </c>
      <c r="I9" s="163">
        <f>W3</f>
        <v>1.296</v>
      </c>
      <c r="J9" s="1182" t="s">
        <v>550</v>
      </c>
      <c r="K9" s="164">
        <v>1</v>
      </c>
      <c r="L9" s="1183" t="s">
        <v>511</v>
      </c>
      <c r="M9" s="1183"/>
      <c r="N9" s="1183"/>
      <c r="O9" s="1181" t="str">
        <f>VLOOKUP('作(3)'!C6,'作(3)'!M5:W8,11,0)</f>
        <v>P01</v>
      </c>
      <c r="P9" s="1181"/>
      <c r="Q9" s="152">
        <f>'作(3)'!G50</f>
        <v>0</v>
      </c>
      <c r="R9" s="155" t="s">
        <v>551</v>
      </c>
      <c r="V9" s="162" t="s">
        <v>552</v>
      </c>
      <c r="X9" s="1224" t="s">
        <v>1291</v>
      </c>
      <c r="Y9" s="1225"/>
      <c r="Z9" s="1226"/>
      <c r="AA9" s="625" t="s">
        <v>1292</v>
      </c>
      <c r="AB9" s="634">
        <f>+AB8*3</f>
        <v>12</v>
      </c>
    </row>
    <row r="10" spans="1:32" ht="20.100000000000001" customHeight="1">
      <c r="A10" s="1177"/>
      <c r="B10" s="156">
        <v>2</v>
      </c>
      <c r="C10" s="1196" t="str">
        <f>VLOOKUP('作(3)'!C6,'作(3)'!M5:V8,10,0)</f>
        <v>暖白玻璃压条</v>
      </c>
      <c r="D10" s="1187"/>
      <c r="E10" s="1187"/>
      <c r="F10" s="1187"/>
      <c r="G10" s="1188"/>
      <c r="H10" s="156" t="s">
        <v>553</v>
      </c>
      <c r="I10" s="163"/>
      <c r="J10" s="1182"/>
      <c r="K10" s="164">
        <v>2</v>
      </c>
      <c r="L10" s="1197" t="s">
        <v>554</v>
      </c>
      <c r="M10" s="1198"/>
      <c r="N10" s="1199"/>
      <c r="O10" s="1181" t="str">
        <f>VLOOKUP('作(3)'!C6,'作(3)'!M5:W8,11,0)</f>
        <v>P01</v>
      </c>
      <c r="P10" s="1181"/>
      <c r="Q10" s="152">
        <f>'作(3)'!G51</f>
        <v>0</v>
      </c>
      <c r="R10" s="155" t="s">
        <v>551</v>
      </c>
      <c r="V10" s="100" t="s">
        <v>555</v>
      </c>
    </row>
    <row r="11" spans="1:32" ht="20.100000000000001" customHeight="1">
      <c r="A11" s="1177"/>
      <c r="B11" s="156">
        <v>3</v>
      </c>
      <c r="C11" s="1184" t="s">
        <v>556</v>
      </c>
      <c r="D11" s="1184"/>
      <c r="E11" s="1194" t="str">
        <f>VLOOKUP('作(3)'!C6,'作(3)'!M5:X7,12,0)</f>
        <v>银灰</v>
      </c>
      <c r="F11" s="1194"/>
      <c r="G11" s="1194"/>
      <c r="H11" s="156" t="s">
        <v>522</v>
      </c>
      <c r="I11" s="163">
        <f>W3</f>
        <v>1.296</v>
      </c>
      <c r="J11" s="1189" t="s">
        <v>557</v>
      </c>
      <c r="K11" s="164">
        <v>1</v>
      </c>
      <c r="L11" s="1184" t="s">
        <v>509</v>
      </c>
      <c r="M11" s="1184"/>
      <c r="N11" s="1184"/>
      <c r="O11" s="1185" t="s">
        <v>558</v>
      </c>
      <c r="P11" s="1183"/>
      <c r="Q11" s="152">
        <f>'作(3)'!D48</f>
        <v>0</v>
      </c>
      <c r="R11" s="165" t="s">
        <v>559</v>
      </c>
      <c r="W11" s="166" t="s">
        <v>552</v>
      </c>
      <c r="X11" s="167">
        <v>0.65</v>
      </c>
      <c r="Z11" s="1234" t="s">
        <v>1294</v>
      </c>
      <c r="AA11" s="1235"/>
      <c r="AB11" s="1236"/>
      <c r="AC11" s="1243" t="s">
        <v>1295</v>
      </c>
      <c r="AD11" s="1221"/>
      <c r="AE11" s="635">
        <v>0.42524999999999996</v>
      </c>
      <c r="AF11" s="636" t="s">
        <v>1296</v>
      </c>
    </row>
    <row r="12" spans="1:32" ht="20.100000000000001" customHeight="1">
      <c r="A12" s="1177"/>
      <c r="B12" s="156"/>
      <c r="C12" s="1183"/>
      <c r="D12" s="1183"/>
      <c r="E12" s="1186"/>
      <c r="F12" s="1187"/>
      <c r="G12" s="1188"/>
      <c r="H12" s="156"/>
      <c r="I12" s="161"/>
      <c r="J12" s="1190"/>
      <c r="K12" s="164"/>
      <c r="L12" s="1184" t="s">
        <v>508</v>
      </c>
      <c r="M12" s="1184"/>
      <c r="N12" s="1184"/>
      <c r="O12" s="1185">
        <f>'作(3)'!C48</f>
        <v>0</v>
      </c>
      <c r="P12" s="1183"/>
      <c r="Q12" s="152">
        <f>'作(3)'!D48</f>
        <v>0</v>
      </c>
      <c r="R12" s="165" t="s">
        <v>559</v>
      </c>
      <c r="W12" s="166" t="s">
        <v>560</v>
      </c>
      <c r="X12" s="167">
        <v>0.75</v>
      </c>
      <c r="Z12" s="1237"/>
      <c r="AA12" s="1238"/>
      <c r="AB12" s="1239"/>
      <c r="AC12" s="1244" t="s">
        <v>1297</v>
      </c>
      <c r="AD12" s="1245"/>
      <c r="AE12" s="635">
        <v>0.21262499999999998</v>
      </c>
      <c r="AF12" s="636" t="s">
        <v>1296</v>
      </c>
    </row>
    <row r="13" spans="1:32" ht="20.100000000000001" customHeight="1">
      <c r="A13" s="1178"/>
      <c r="B13" s="168"/>
      <c r="C13" s="1183"/>
      <c r="D13" s="1183"/>
      <c r="E13" s="1186"/>
      <c r="F13" s="1187"/>
      <c r="G13" s="1188"/>
      <c r="H13" s="156"/>
      <c r="I13" s="161"/>
      <c r="J13" s="1190"/>
      <c r="K13" s="169"/>
      <c r="L13" s="1184"/>
      <c r="M13" s="1184"/>
      <c r="N13" s="1184"/>
      <c r="O13" s="1185"/>
      <c r="P13" s="1183"/>
      <c r="Q13" s="152"/>
      <c r="R13" s="165"/>
      <c r="W13" s="166"/>
      <c r="X13" s="167"/>
      <c r="Z13" s="1237"/>
      <c r="AA13" s="1238"/>
      <c r="AB13" s="1239"/>
      <c r="AC13" s="1246" t="s">
        <v>1298</v>
      </c>
      <c r="AD13" s="1247"/>
      <c r="AE13" s="1227">
        <v>0.29767499999999997</v>
      </c>
      <c r="AF13" s="1229" t="s">
        <v>1296</v>
      </c>
    </row>
    <row r="14" spans="1:32" ht="29.25" customHeight="1">
      <c r="A14" s="1178"/>
      <c r="B14" s="168"/>
      <c r="C14" s="1183"/>
      <c r="D14" s="1183"/>
      <c r="E14" s="1186"/>
      <c r="F14" s="1187"/>
      <c r="G14" s="1188"/>
      <c r="H14" s="156"/>
      <c r="I14" s="161"/>
      <c r="J14" s="1189" t="s">
        <v>561</v>
      </c>
      <c r="K14" s="169">
        <v>1</v>
      </c>
      <c r="L14" s="1172"/>
      <c r="M14" s="1173"/>
      <c r="N14" s="1173"/>
      <c r="O14" s="1173"/>
      <c r="P14" s="1174"/>
      <c r="Q14" s="152"/>
      <c r="R14" s="155"/>
      <c r="W14" s="166"/>
      <c r="X14" s="167"/>
      <c r="Z14" s="1240"/>
      <c r="AA14" s="1241"/>
      <c r="AB14" s="1242"/>
      <c r="AC14" s="1248"/>
      <c r="AD14" s="1249"/>
      <c r="AE14" s="1228"/>
      <c r="AF14" s="1230"/>
    </row>
    <row r="15" spans="1:32" ht="20.100000000000001" customHeight="1">
      <c r="A15" s="1178"/>
      <c r="B15" s="168"/>
      <c r="C15" s="1183"/>
      <c r="D15" s="1183"/>
      <c r="E15" s="1186"/>
      <c r="F15" s="1187"/>
      <c r="G15" s="1188"/>
      <c r="H15" s="156"/>
      <c r="I15" s="161"/>
      <c r="J15" s="1190"/>
      <c r="K15" s="169">
        <v>2</v>
      </c>
      <c r="L15" s="1164"/>
      <c r="M15" s="1165"/>
      <c r="N15" s="1165"/>
      <c r="O15" s="1165"/>
      <c r="P15" s="1166"/>
      <c r="Q15" s="152"/>
      <c r="R15" s="155"/>
      <c r="W15" s="166"/>
      <c r="X15" s="167"/>
    </row>
    <row r="16" spans="1:32" ht="20.100000000000001" customHeight="1">
      <c r="A16" s="1179"/>
      <c r="B16" s="170"/>
      <c r="C16" s="1192"/>
      <c r="D16" s="1192"/>
      <c r="E16" s="1193"/>
      <c r="F16" s="1193"/>
      <c r="G16" s="1193"/>
      <c r="H16" s="170"/>
      <c r="I16" s="171"/>
      <c r="J16" s="1191"/>
      <c r="K16" s="172">
        <v>3</v>
      </c>
      <c r="L16" s="173"/>
      <c r="M16" s="174"/>
      <c r="N16" s="173"/>
      <c r="O16" s="175"/>
      <c r="P16" s="176"/>
      <c r="Q16" s="177"/>
      <c r="R16" s="178"/>
      <c r="W16" s="179" t="s">
        <v>562</v>
      </c>
      <c r="X16" s="180">
        <v>0.8</v>
      </c>
    </row>
    <row r="17" spans="1:24" ht="15" customHeight="1">
      <c r="A17" s="181"/>
      <c r="B17" s="181"/>
      <c r="C17" s="181"/>
      <c r="D17" s="181"/>
      <c r="E17" s="181"/>
      <c r="F17" s="181"/>
      <c r="G17" s="181"/>
      <c r="H17" s="181"/>
      <c r="I17" s="181"/>
      <c r="J17" s="181"/>
      <c r="K17" s="181"/>
      <c r="L17" s="181"/>
      <c r="M17" s="182"/>
      <c r="N17" s="182"/>
      <c r="O17" s="182"/>
      <c r="P17" s="182"/>
      <c r="Q17" s="182"/>
      <c r="R17" s="182"/>
      <c r="W17" s="183" t="s">
        <v>556</v>
      </c>
      <c r="X17" s="184">
        <v>0.8</v>
      </c>
    </row>
    <row r="18" spans="1:24" ht="15" customHeight="1">
      <c r="A18" s="1175"/>
      <c r="B18" s="1175"/>
      <c r="C18" s="181"/>
      <c r="D18" s="1167" t="s">
        <v>563</v>
      </c>
      <c r="E18" s="1167"/>
      <c r="F18" s="1176" t="s">
        <v>1257</v>
      </c>
      <c r="G18" s="1170"/>
      <c r="H18" s="1170"/>
      <c r="I18" s="185"/>
      <c r="J18" s="186"/>
      <c r="K18" s="1167" t="s">
        <v>564</v>
      </c>
      <c r="L18" s="1167"/>
      <c r="M18" s="1167"/>
      <c r="N18" s="1170"/>
      <c r="O18" s="1170"/>
      <c r="P18" s="182"/>
      <c r="Q18" s="182"/>
      <c r="R18" s="182"/>
    </row>
    <row r="19" spans="1:24" ht="15" customHeight="1">
      <c r="A19" s="187"/>
      <c r="B19" s="187"/>
      <c r="C19" s="181"/>
      <c r="D19" s="188"/>
      <c r="E19" s="188"/>
      <c r="F19" s="188"/>
      <c r="G19" s="188"/>
      <c r="H19" s="189"/>
      <c r="I19" s="185"/>
      <c r="J19" s="186"/>
      <c r="K19" s="185"/>
      <c r="L19" s="188"/>
      <c r="M19" s="188"/>
      <c r="N19" s="190"/>
      <c r="O19" s="190"/>
      <c r="P19" s="182"/>
      <c r="Q19" s="182"/>
      <c r="R19" s="182"/>
    </row>
    <row r="20" spans="1:24" ht="15" customHeight="1">
      <c r="A20" s="187"/>
      <c r="B20" s="187"/>
      <c r="C20" s="181"/>
      <c r="D20" s="1167" t="s">
        <v>565</v>
      </c>
      <c r="E20" s="1167"/>
      <c r="F20" s="1168"/>
      <c r="G20" s="1168"/>
      <c r="H20" s="1168"/>
      <c r="I20" s="185"/>
      <c r="J20" s="186"/>
      <c r="K20" s="1169" t="s">
        <v>566</v>
      </c>
      <c r="L20" s="1169"/>
      <c r="M20" s="1169"/>
      <c r="N20" s="1170"/>
      <c r="O20" s="1170"/>
      <c r="P20" s="182"/>
      <c r="Q20" s="182"/>
      <c r="R20" s="182"/>
    </row>
    <row r="21" spans="1:24" ht="20.25" customHeight="1">
      <c r="A21" s="1171"/>
      <c r="B21" s="1171"/>
      <c r="C21" s="1171"/>
      <c r="D21" s="1171"/>
      <c r="E21" s="1171"/>
      <c r="F21" s="1171"/>
      <c r="G21" s="1171"/>
      <c r="H21" s="1171"/>
      <c r="I21" s="1171"/>
      <c r="J21" s="1171"/>
      <c r="K21" s="1171"/>
      <c r="L21" s="1171"/>
      <c r="M21" s="1171"/>
      <c r="N21" s="1171"/>
      <c r="O21" s="1171"/>
      <c r="P21" s="1171"/>
      <c r="Q21" s="1171"/>
      <c r="R21" s="1171"/>
    </row>
    <row r="22" spans="1:24">
      <c r="A22" s="1171"/>
      <c r="B22" s="1171"/>
      <c r="C22" s="1171"/>
      <c r="D22" s="1171"/>
      <c r="E22" s="1171"/>
      <c r="F22" s="1171"/>
      <c r="G22" s="1171"/>
      <c r="H22" s="1171"/>
      <c r="I22" s="1171"/>
      <c r="J22" s="1171"/>
      <c r="K22" s="1171"/>
      <c r="L22" s="1171"/>
      <c r="M22" s="1171"/>
      <c r="N22" s="1171"/>
      <c r="O22" s="1171"/>
      <c r="P22" s="1171"/>
      <c r="Q22" s="1171"/>
      <c r="R22" s="1171"/>
    </row>
    <row r="23" spans="1:24" ht="14.25" customHeight="1">
      <c r="R23" s="1172" t="s">
        <v>567</v>
      </c>
      <c r="S23" s="1173"/>
      <c r="T23" s="1173"/>
      <c r="U23" s="1173"/>
      <c r="V23" s="1174"/>
      <c r="W23" s="152"/>
      <c r="X23" s="155" t="s">
        <v>568</v>
      </c>
    </row>
    <row r="24" spans="1:24" ht="14.25" customHeight="1">
      <c r="R24" s="1164" t="s">
        <v>569</v>
      </c>
      <c r="S24" s="1165"/>
      <c r="T24" s="1165"/>
      <c r="U24" s="1165"/>
      <c r="V24" s="1166"/>
      <c r="W24" s="152"/>
      <c r="X24" s="155" t="s">
        <v>570</v>
      </c>
    </row>
    <row r="25" spans="1:24">
      <c r="R25" s="173" t="s">
        <v>453</v>
      </c>
      <c r="S25" s="174"/>
      <c r="T25" s="173"/>
      <c r="U25" s="175"/>
      <c r="V25" s="176"/>
      <c r="W25" s="177"/>
      <c r="X25" s="178" t="s">
        <v>571</v>
      </c>
    </row>
  </sheetData>
  <mergeCells count="94">
    <mergeCell ref="AE13:AE14"/>
    <mergeCell ref="AF13:AF14"/>
    <mergeCell ref="X8:Z8"/>
    <mergeCell ref="X9:Z9"/>
    <mergeCell ref="Z11:AB14"/>
    <mergeCell ref="AC11:AD11"/>
    <mergeCell ref="AC12:AD12"/>
    <mergeCell ref="AC13:AD14"/>
    <mergeCell ref="T5:U5"/>
    <mergeCell ref="W5:X5"/>
    <mergeCell ref="T6:U6"/>
    <mergeCell ref="W6:X6"/>
    <mergeCell ref="X7:Z7"/>
    <mergeCell ref="A1:R1"/>
    <mergeCell ref="T1:X1"/>
    <mergeCell ref="A2:C2"/>
    <mergeCell ref="D2:G2"/>
    <mergeCell ref="H2:I2"/>
    <mergeCell ref="J2:N2"/>
    <mergeCell ref="O2:P2"/>
    <mergeCell ref="Q2:R2"/>
    <mergeCell ref="L3:N3"/>
    <mergeCell ref="O3:P4"/>
    <mergeCell ref="Q3:R4"/>
    <mergeCell ref="A4:C4"/>
    <mergeCell ref="D4:E4"/>
    <mergeCell ref="J4:K4"/>
    <mergeCell ref="L4:N4"/>
    <mergeCell ref="A3:C3"/>
    <mergeCell ref="D3:E3"/>
    <mergeCell ref="F3:G4"/>
    <mergeCell ref="H3:H4"/>
    <mergeCell ref="I3:I4"/>
    <mergeCell ref="J3:K3"/>
    <mergeCell ref="C5:D5"/>
    <mergeCell ref="F5:G5"/>
    <mergeCell ref="L5:N5"/>
    <mergeCell ref="O5:P5"/>
    <mergeCell ref="A6:A8"/>
    <mergeCell ref="C6:D6"/>
    <mergeCell ref="F6:G6"/>
    <mergeCell ref="J6:J8"/>
    <mergeCell ref="L6:N6"/>
    <mergeCell ref="O6:P6"/>
    <mergeCell ref="C7:D7"/>
    <mergeCell ref="F7:G7"/>
    <mergeCell ref="K7:K8"/>
    <mergeCell ref="L7:P7"/>
    <mergeCell ref="C8:D8"/>
    <mergeCell ref="E8:G8"/>
    <mergeCell ref="L8:P8"/>
    <mergeCell ref="O9:P9"/>
    <mergeCell ref="C10:G10"/>
    <mergeCell ref="L10:N10"/>
    <mergeCell ref="O10:P10"/>
    <mergeCell ref="C11:D11"/>
    <mergeCell ref="E11:G11"/>
    <mergeCell ref="J11:J13"/>
    <mergeCell ref="L11:N11"/>
    <mergeCell ref="O11:P11"/>
    <mergeCell ref="C12:D12"/>
    <mergeCell ref="E12:G12"/>
    <mergeCell ref="L12:N12"/>
    <mergeCell ref="O12:P12"/>
    <mergeCell ref="C13:D13"/>
    <mergeCell ref="E13:G13"/>
    <mergeCell ref="C15:D15"/>
    <mergeCell ref="E15:G15"/>
    <mergeCell ref="L15:P15"/>
    <mergeCell ref="C16:D16"/>
    <mergeCell ref="E16:G16"/>
    <mergeCell ref="A18:B18"/>
    <mergeCell ref="D18:E18"/>
    <mergeCell ref="F18:H18"/>
    <mergeCell ref="K18:M18"/>
    <mergeCell ref="A9:A16"/>
    <mergeCell ref="C9:D9"/>
    <mergeCell ref="E9:G9"/>
    <mergeCell ref="J9:J10"/>
    <mergeCell ref="L9:N9"/>
    <mergeCell ref="N18:O18"/>
    <mergeCell ref="L13:N13"/>
    <mergeCell ref="O13:P13"/>
    <mergeCell ref="C14:D14"/>
    <mergeCell ref="E14:G14"/>
    <mergeCell ref="J14:J16"/>
    <mergeCell ref="L14:P14"/>
    <mergeCell ref="R24:V24"/>
    <mergeCell ref="D20:E20"/>
    <mergeCell ref="F20:H20"/>
    <mergeCell ref="K20:M20"/>
    <mergeCell ref="N20:O20"/>
    <mergeCell ref="A21:R22"/>
    <mergeCell ref="R23:V23"/>
  </mergeCells>
  <phoneticPr fontId="49" type="noConversion"/>
  <dataValidations count="1">
    <dataValidation type="list" allowBlank="1" showInputMessage="1" showErrorMessage="1" sqref="C9:D9 IY9:IZ9 SU9:SV9 ACQ9:ACR9 AMM9:AMN9 AWI9:AWJ9 BGE9:BGF9 BQA9:BQB9 BZW9:BZX9 CJS9:CJT9 CTO9:CTP9 DDK9:DDL9 DNG9:DNH9 DXC9:DXD9 EGY9:EGZ9 EQU9:EQV9 FAQ9:FAR9 FKM9:FKN9 FUI9:FUJ9 GEE9:GEF9 GOA9:GOB9 GXW9:GXX9 HHS9:HHT9 HRO9:HRP9 IBK9:IBL9 ILG9:ILH9 IVC9:IVD9 JEY9:JEZ9 JOU9:JOV9 JYQ9:JYR9 KIM9:KIN9 KSI9:KSJ9 LCE9:LCF9 LMA9:LMB9 LVW9:LVX9 MFS9:MFT9 MPO9:MPP9 MZK9:MZL9 NJG9:NJH9 NTC9:NTD9 OCY9:OCZ9 OMU9:OMV9 OWQ9:OWR9 PGM9:PGN9 PQI9:PQJ9 QAE9:QAF9 QKA9:QKB9 QTW9:QTX9 RDS9:RDT9 RNO9:RNP9 RXK9:RXL9 SHG9:SHH9 SRC9:SRD9 TAY9:TAZ9 TKU9:TKV9 TUQ9:TUR9 UEM9:UEN9 UOI9:UOJ9 UYE9:UYF9 VIA9:VIB9 VRW9:VRX9 WBS9:WBT9 WLO9:WLP9 WVK9:WVL9 C65545:D65545 IY65545:IZ65545 SU65545:SV65545 ACQ65545:ACR65545 AMM65545:AMN65545 AWI65545:AWJ65545 BGE65545:BGF65545 BQA65545:BQB65545 BZW65545:BZX65545 CJS65545:CJT65545 CTO65545:CTP65545 DDK65545:DDL65545 DNG65545:DNH65545 DXC65545:DXD65545 EGY65545:EGZ65545 EQU65545:EQV65545 FAQ65545:FAR65545 FKM65545:FKN65545 FUI65545:FUJ65545 GEE65545:GEF65545 GOA65545:GOB65545 GXW65545:GXX65545 HHS65545:HHT65545 HRO65545:HRP65545 IBK65545:IBL65545 ILG65545:ILH65545 IVC65545:IVD65545 JEY65545:JEZ65545 JOU65545:JOV65545 JYQ65545:JYR65545 KIM65545:KIN65545 KSI65545:KSJ65545 LCE65545:LCF65545 LMA65545:LMB65545 LVW65545:LVX65545 MFS65545:MFT65545 MPO65545:MPP65545 MZK65545:MZL65545 NJG65545:NJH65545 NTC65545:NTD65545 OCY65545:OCZ65545 OMU65545:OMV65545 OWQ65545:OWR65545 PGM65545:PGN65545 PQI65545:PQJ65545 QAE65545:QAF65545 QKA65545:QKB65545 QTW65545:QTX65545 RDS65545:RDT65545 RNO65545:RNP65545 RXK65545:RXL65545 SHG65545:SHH65545 SRC65545:SRD65545 TAY65545:TAZ65545 TKU65545:TKV65545 TUQ65545:TUR65545 UEM65545:UEN65545 UOI65545:UOJ65545 UYE65545:UYF65545 VIA65545:VIB65545 VRW65545:VRX65545 WBS65545:WBT65545 WLO65545:WLP65545 WVK65545:WVL65545 C131081:D131081 IY131081:IZ131081 SU131081:SV131081 ACQ131081:ACR131081 AMM131081:AMN131081 AWI131081:AWJ131081 BGE131081:BGF131081 BQA131081:BQB131081 BZW131081:BZX131081 CJS131081:CJT131081 CTO131081:CTP131081 DDK131081:DDL131081 DNG131081:DNH131081 DXC131081:DXD131081 EGY131081:EGZ131081 EQU131081:EQV131081 FAQ131081:FAR131081 FKM131081:FKN131081 FUI131081:FUJ131081 GEE131081:GEF131081 GOA131081:GOB131081 GXW131081:GXX131081 HHS131081:HHT131081 HRO131081:HRP131081 IBK131081:IBL131081 ILG131081:ILH131081 IVC131081:IVD131081 JEY131081:JEZ131081 JOU131081:JOV131081 JYQ131081:JYR131081 KIM131081:KIN131081 KSI131081:KSJ131081 LCE131081:LCF131081 LMA131081:LMB131081 LVW131081:LVX131081 MFS131081:MFT131081 MPO131081:MPP131081 MZK131081:MZL131081 NJG131081:NJH131081 NTC131081:NTD131081 OCY131081:OCZ131081 OMU131081:OMV131081 OWQ131081:OWR131081 PGM131081:PGN131081 PQI131081:PQJ131081 QAE131081:QAF131081 QKA131081:QKB131081 QTW131081:QTX131081 RDS131081:RDT131081 RNO131081:RNP131081 RXK131081:RXL131081 SHG131081:SHH131081 SRC131081:SRD131081 TAY131081:TAZ131081 TKU131081:TKV131081 TUQ131081:TUR131081 UEM131081:UEN131081 UOI131081:UOJ131081 UYE131081:UYF131081 VIA131081:VIB131081 VRW131081:VRX131081 WBS131081:WBT131081 WLO131081:WLP131081 WVK131081:WVL131081 C196617:D196617 IY196617:IZ196617 SU196617:SV196617 ACQ196617:ACR196617 AMM196617:AMN196617 AWI196617:AWJ196617 BGE196617:BGF196617 BQA196617:BQB196617 BZW196617:BZX196617 CJS196617:CJT196617 CTO196617:CTP196617 DDK196617:DDL196617 DNG196617:DNH196617 DXC196617:DXD196617 EGY196617:EGZ196617 EQU196617:EQV196617 FAQ196617:FAR196617 FKM196617:FKN196617 FUI196617:FUJ196617 GEE196617:GEF196617 GOA196617:GOB196617 GXW196617:GXX196617 HHS196617:HHT196617 HRO196617:HRP196617 IBK196617:IBL196617 ILG196617:ILH196617 IVC196617:IVD196617 JEY196617:JEZ196617 JOU196617:JOV196617 JYQ196617:JYR196617 KIM196617:KIN196617 KSI196617:KSJ196617 LCE196617:LCF196617 LMA196617:LMB196617 LVW196617:LVX196617 MFS196617:MFT196617 MPO196617:MPP196617 MZK196617:MZL196617 NJG196617:NJH196617 NTC196617:NTD196617 OCY196617:OCZ196617 OMU196617:OMV196617 OWQ196617:OWR196617 PGM196617:PGN196617 PQI196617:PQJ196617 QAE196617:QAF196617 QKA196617:QKB196617 QTW196617:QTX196617 RDS196617:RDT196617 RNO196617:RNP196617 RXK196617:RXL196617 SHG196617:SHH196617 SRC196617:SRD196617 TAY196617:TAZ196617 TKU196617:TKV196617 TUQ196617:TUR196617 UEM196617:UEN196617 UOI196617:UOJ196617 UYE196617:UYF196617 VIA196617:VIB196617 VRW196617:VRX196617 WBS196617:WBT196617 WLO196617:WLP196617 WVK196617:WVL196617 C262153:D262153 IY262153:IZ262153 SU262153:SV262153 ACQ262153:ACR262153 AMM262153:AMN262153 AWI262153:AWJ262153 BGE262153:BGF262153 BQA262153:BQB262153 BZW262153:BZX262153 CJS262153:CJT262153 CTO262153:CTP262153 DDK262153:DDL262153 DNG262153:DNH262153 DXC262153:DXD262153 EGY262153:EGZ262153 EQU262153:EQV262153 FAQ262153:FAR262153 FKM262153:FKN262153 FUI262153:FUJ262153 GEE262153:GEF262153 GOA262153:GOB262153 GXW262153:GXX262153 HHS262153:HHT262153 HRO262153:HRP262153 IBK262153:IBL262153 ILG262153:ILH262153 IVC262153:IVD262153 JEY262153:JEZ262153 JOU262153:JOV262153 JYQ262153:JYR262153 KIM262153:KIN262153 KSI262153:KSJ262153 LCE262153:LCF262153 LMA262153:LMB262153 LVW262153:LVX262153 MFS262153:MFT262153 MPO262153:MPP262153 MZK262153:MZL262153 NJG262153:NJH262153 NTC262153:NTD262153 OCY262153:OCZ262153 OMU262153:OMV262153 OWQ262153:OWR262153 PGM262153:PGN262153 PQI262153:PQJ262153 QAE262153:QAF262153 QKA262153:QKB262153 QTW262153:QTX262153 RDS262153:RDT262153 RNO262153:RNP262153 RXK262153:RXL262153 SHG262153:SHH262153 SRC262153:SRD262153 TAY262153:TAZ262153 TKU262153:TKV262153 TUQ262153:TUR262153 UEM262153:UEN262153 UOI262153:UOJ262153 UYE262153:UYF262153 VIA262153:VIB262153 VRW262153:VRX262153 WBS262153:WBT262153 WLO262153:WLP262153 WVK262153:WVL262153 C327689:D327689 IY327689:IZ327689 SU327689:SV327689 ACQ327689:ACR327689 AMM327689:AMN327689 AWI327689:AWJ327689 BGE327689:BGF327689 BQA327689:BQB327689 BZW327689:BZX327689 CJS327689:CJT327689 CTO327689:CTP327689 DDK327689:DDL327689 DNG327689:DNH327689 DXC327689:DXD327689 EGY327689:EGZ327689 EQU327689:EQV327689 FAQ327689:FAR327689 FKM327689:FKN327689 FUI327689:FUJ327689 GEE327689:GEF327689 GOA327689:GOB327689 GXW327689:GXX327689 HHS327689:HHT327689 HRO327689:HRP327689 IBK327689:IBL327689 ILG327689:ILH327689 IVC327689:IVD327689 JEY327689:JEZ327689 JOU327689:JOV327689 JYQ327689:JYR327689 KIM327689:KIN327689 KSI327689:KSJ327689 LCE327689:LCF327689 LMA327689:LMB327689 LVW327689:LVX327689 MFS327689:MFT327689 MPO327689:MPP327689 MZK327689:MZL327689 NJG327689:NJH327689 NTC327689:NTD327689 OCY327689:OCZ327689 OMU327689:OMV327689 OWQ327689:OWR327689 PGM327689:PGN327689 PQI327689:PQJ327689 QAE327689:QAF327689 QKA327689:QKB327689 QTW327689:QTX327689 RDS327689:RDT327689 RNO327689:RNP327689 RXK327689:RXL327689 SHG327689:SHH327689 SRC327689:SRD327689 TAY327689:TAZ327689 TKU327689:TKV327689 TUQ327689:TUR327689 UEM327689:UEN327689 UOI327689:UOJ327689 UYE327689:UYF327689 VIA327689:VIB327689 VRW327689:VRX327689 WBS327689:WBT327689 WLO327689:WLP327689 WVK327689:WVL327689 C393225:D393225 IY393225:IZ393225 SU393225:SV393225 ACQ393225:ACR393225 AMM393225:AMN393225 AWI393225:AWJ393225 BGE393225:BGF393225 BQA393225:BQB393225 BZW393225:BZX393225 CJS393225:CJT393225 CTO393225:CTP393225 DDK393225:DDL393225 DNG393225:DNH393225 DXC393225:DXD393225 EGY393225:EGZ393225 EQU393225:EQV393225 FAQ393225:FAR393225 FKM393225:FKN393225 FUI393225:FUJ393225 GEE393225:GEF393225 GOA393225:GOB393225 GXW393225:GXX393225 HHS393225:HHT393225 HRO393225:HRP393225 IBK393225:IBL393225 ILG393225:ILH393225 IVC393225:IVD393225 JEY393225:JEZ393225 JOU393225:JOV393225 JYQ393225:JYR393225 KIM393225:KIN393225 KSI393225:KSJ393225 LCE393225:LCF393225 LMA393225:LMB393225 LVW393225:LVX393225 MFS393225:MFT393225 MPO393225:MPP393225 MZK393225:MZL393225 NJG393225:NJH393225 NTC393225:NTD393225 OCY393225:OCZ393225 OMU393225:OMV393225 OWQ393225:OWR393225 PGM393225:PGN393225 PQI393225:PQJ393225 QAE393225:QAF393225 QKA393225:QKB393225 QTW393225:QTX393225 RDS393225:RDT393225 RNO393225:RNP393225 RXK393225:RXL393225 SHG393225:SHH393225 SRC393225:SRD393225 TAY393225:TAZ393225 TKU393225:TKV393225 TUQ393225:TUR393225 UEM393225:UEN393225 UOI393225:UOJ393225 UYE393225:UYF393225 VIA393225:VIB393225 VRW393225:VRX393225 WBS393225:WBT393225 WLO393225:WLP393225 WVK393225:WVL393225 C458761:D458761 IY458761:IZ458761 SU458761:SV458761 ACQ458761:ACR458761 AMM458761:AMN458761 AWI458761:AWJ458761 BGE458761:BGF458761 BQA458761:BQB458761 BZW458761:BZX458761 CJS458761:CJT458761 CTO458761:CTP458761 DDK458761:DDL458761 DNG458761:DNH458761 DXC458761:DXD458761 EGY458761:EGZ458761 EQU458761:EQV458761 FAQ458761:FAR458761 FKM458761:FKN458761 FUI458761:FUJ458761 GEE458761:GEF458761 GOA458761:GOB458761 GXW458761:GXX458761 HHS458761:HHT458761 HRO458761:HRP458761 IBK458761:IBL458761 ILG458761:ILH458761 IVC458761:IVD458761 JEY458761:JEZ458761 JOU458761:JOV458761 JYQ458761:JYR458761 KIM458761:KIN458761 KSI458761:KSJ458761 LCE458761:LCF458761 LMA458761:LMB458761 LVW458761:LVX458761 MFS458761:MFT458761 MPO458761:MPP458761 MZK458761:MZL458761 NJG458761:NJH458761 NTC458761:NTD458761 OCY458761:OCZ458761 OMU458761:OMV458761 OWQ458761:OWR458761 PGM458761:PGN458761 PQI458761:PQJ458761 QAE458761:QAF458761 QKA458761:QKB458761 QTW458761:QTX458761 RDS458761:RDT458761 RNO458761:RNP458761 RXK458761:RXL458761 SHG458761:SHH458761 SRC458761:SRD458761 TAY458761:TAZ458761 TKU458761:TKV458761 TUQ458761:TUR458761 UEM458761:UEN458761 UOI458761:UOJ458761 UYE458761:UYF458761 VIA458761:VIB458761 VRW458761:VRX458761 WBS458761:WBT458761 WLO458761:WLP458761 WVK458761:WVL458761 C524297:D524297 IY524297:IZ524297 SU524297:SV524297 ACQ524297:ACR524297 AMM524297:AMN524297 AWI524297:AWJ524297 BGE524297:BGF524297 BQA524297:BQB524297 BZW524297:BZX524297 CJS524297:CJT524297 CTO524297:CTP524297 DDK524297:DDL524297 DNG524297:DNH524297 DXC524297:DXD524297 EGY524297:EGZ524297 EQU524297:EQV524297 FAQ524297:FAR524297 FKM524297:FKN524297 FUI524297:FUJ524297 GEE524297:GEF524297 GOA524297:GOB524297 GXW524297:GXX524297 HHS524297:HHT524297 HRO524297:HRP524297 IBK524297:IBL524297 ILG524297:ILH524297 IVC524297:IVD524297 JEY524297:JEZ524297 JOU524297:JOV524297 JYQ524297:JYR524297 KIM524297:KIN524297 KSI524297:KSJ524297 LCE524297:LCF524297 LMA524297:LMB524297 LVW524297:LVX524297 MFS524297:MFT524297 MPO524297:MPP524297 MZK524297:MZL524297 NJG524297:NJH524297 NTC524297:NTD524297 OCY524297:OCZ524297 OMU524297:OMV524297 OWQ524297:OWR524297 PGM524297:PGN524297 PQI524297:PQJ524297 QAE524297:QAF524297 QKA524297:QKB524297 QTW524297:QTX524297 RDS524297:RDT524297 RNO524297:RNP524297 RXK524297:RXL524297 SHG524297:SHH524297 SRC524297:SRD524297 TAY524297:TAZ524297 TKU524297:TKV524297 TUQ524297:TUR524297 UEM524297:UEN524297 UOI524297:UOJ524297 UYE524297:UYF524297 VIA524297:VIB524297 VRW524297:VRX524297 WBS524297:WBT524297 WLO524297:WLP524297 WVK524297:WVL524297 C589833:D589833 IY589833:IZ589833 SU589833:SV589833 ACQ589833:ACR589833 AMM589833:AMN589833 AWI589833:AWJ589833 BGE589833:BGF589833 BQA589833:BQB589833 BZW589833:BZX589833 CJS589833:CJT589833 CTO589833:CTP589833 DDK589833:DDL589833 DNG589833:DNH589833 DXC589833:DXD589833 EGY589833:EGZ589833 EQU589833:EQV589833 FAQ589833:FAR589833 FKM589833:FKN589833 FUI589833:FUJ589833 GEE589833:GEF589833 GOA589833:GOB589833 GXW589833:GXX589833 HHS589833:HHT589833 HRO589833:HRP589833 IBK589833:IBL589833 ILG589833:ILH589833 IVC589833:IVD589833 JEY589833:JEZ589833 JOU589833:JOV589833 JYQ589833:JYR589833 KIM589833:KIN589833 KSI589833:KSJ589833 LCE589833:LCF589833 LMA589833:LMB589833 LVW589833:LVX589833 MFS589833:MFT589833 MPO589833:MPP589833 MZK589833:MZL589833 NJG589833:NJH589833 NTC589833:NTD589833 OCY589833:OCZ589833 OMU589833:OMV589833 OWQ589833:OWR589833 PGM589833:PGN589833 PQI589833:PQJ589833 QAE589833:QAF589833 QKA589833:QKB589833 QTW589833:QTX589833 RDS589833:RDT589833 RNO589833:RNP589833 RXK589833:RXL589833 SHG589833:SHH589833 SRC589833:SRD589833 TAY589833:TAZ589833 TKU589833:TKV589833 TUQ589833:TUR589833 UEM589833:UEN589833 UOI589833:UOJ589833 UYE589833:UYF589833 VIA589833:VIB589833 VRW589833:VRX589833 WBS589833:WBT589833 WLO589833:WLP589833 WVK589833:WVL589833 C655369:D655369 IY655369:IZ655369 SU655369:SV655369 ACQ655369:ACR655369 AMM655369:AMN655369 AWI655369:AWJ655369 BGE655369:BGF655369 BQA655369:BQB655369 BZW655369:BZX655369 CJS655369:CJT655369 CTO655369:CTP655369 DDK655369:DDL655369 DNG655369:DNH655369 DXC655369:DXD655369 EGY655369:EGZ655369 EQU655369:EQV655369 FAQ655369:FAR655369 FKM655369:FKN655369 FUI655369:FUJ655369 GEE655369:GEF655369 GOA655369:GOB655369 GXW655369:GXX655369 HHS655369:HHT655369 HRO655369:HRP655369 IBK655369:IBL655369 ILG655369:ILH655369 IVC655369:IVD655369 JEY655369:JEZ655369 JOU655369:JOV655369 JYQ655369:JYR655369 KIM655369:KIN655369 KSI655369:KSJ655369 LCE655369:LCF655369 LMA655369:LMB655369 LVW655369:LVX655369 MFS655369:MFT655369 MPO655369:MPP655369 MZK655369:MZL655369 NJG655369:NJH655369 NTC655369:NTD655369 OCY655369:OCZ655369 OMU655369:OMV655369 OWQ655369:OWR655369 PGM655369:PGN655369 PQI655369:PQJ655369 QAE655369:QAF655369 QKA655369:QKB655369 QTW655369:QTX655369 RDS655369:RDT655369 RNO655369:RNP655369 RXK655369:RXL655369 SHG655369:SHH655369 SRC655369:SRD655369 TAY655369:TAZ655369 TKU655369:TKV655369 TUQ655369:TUR655369 UEM655369:UEN655369 UOI655369:UOJ655369 UYE655369:UYF655369 VIA655369:VIB655369 VRW655369:VRX655369 WBS655369:WBT655369 WLO655369:WLP655369 WVK655369:WVL655369 C720905:D720905 IY720905:IZ720905 SU720905:SV720905 ACQ720905:ACR720905 AMM720905:AMN720905 AWI720905:AWJ720905 BGE720905:BGF720905 BQA720905:BQB720905 BZW720905:BZX720905 CJS720905:CJT720905 CTO720905:CTP720905 DDK720905:DDL720905 DNG720905:DNH720905 DXC720905:DXD720905 EGY720905:EGZ720905 EQU720905:EQV720905 FAQ720905:FAR720905 FKM720905:FKN720905 FUI720905:FUJ720905 GEE720905:GEF720905 GOA720905:GOB720905 GXW720905:GXX720905 HHS720905:HHT720905 HRO720905:HRP720905 IBK720905:IBL720905 ILG720905:ILH720905 IVC720905:IVD720905 JEY720905:JEZ720905 JOU720905:JOV720905 JYQ720905:JYR720905 KIM720905:KIN720905 KSI720905:KSJ720905 LCE720905:LCF720905 LMA720905:LMB720905 LVW720905:LVX720905 MFS720905:MFT720905 MPO720905:MPP720905 MZK720905:MZL720905 NJG720905:NJH720905 NTC720905:NTD720905 OCY720905:OCZ720905 OMU720905:OMV720905 OWQ720905:OWR720905 PGM720905:PGN720905 PQI720905:PQJ720905 QAE720905:QAF720905 QKA720905:QKB720905 QTW720905:QTX720905 RDS720905:RDT720905 RNO720905:RNP720905 RXK720905:RXL720905 SHG720905:SHH720905 SRC720905:SRD720905 TAY720905:TAZ720905 TKU720905:TKV720905 TUQ720905:TUR720905 UEM720905:UEN720905 UOI720905:UOJ720905 UYE720905:UYF720905 VIA720905:VIB720905 VRW720905:VRX720905 WBS720905:WBT720905 WLO720905:WLP720905 WVK720905:WVL720905 C786441:D786441 IY786441:IZ786441 SU786441:SV786441 ACQ786441:ACR786441 AMM786441:AMN786441 AWI786441:AWJ786441 BGE786441:BGF786441 BQA786441:BQB786441 BZW786441:BZX786441 CJS786441:CJT786441 CTO786441:CTP786441 DDK786441:DDL786441 DNG786441:DNH786441 DXC786441:DXD786441 EGY786441:EGZ786441 EQU786441:EQV786441 FAQ786441:FAR786441 FKM786441:FKN786441 FUI786441:FUJ786441 GEE786441:GEF786441 GOA786441:GOB786441 GXW786441:GXX786441 HHS786441:HHT786441 HRO786441:HRP786441 IBK786441:IBL786441 ILG786441:ILH786441 IVC786441:IVD786441 JEY786441:JEZ786441 JOU786441:JOV786441 JYQ786441:JYR786441 KIM786441:KIN786441 KSI786441:KSJ786441 LCE786441:LCF786441 LMA786441:LMB786441 LVW786441:LVX786441 MFS786441:MFT786441 MPO786441:MPP786441 MZK786441:MZL786441 NJG786441:NJH786441 NTC786441:NTD786441 OCY786441:OCZ786441 OMU786441:OMV786441 OWQ786441:OWR786441 PGM786441:PGN786441 PQI786441:PQJ786441 QAE786441:QAF786441 QKA786441:QKB786441 QTW786441:QTX786441 RDS786441:RDT786441 RNO786441:RNP786441 RXK786441:RXL786441 SHG786441:SHH786441 SRC786441:SRD786441 TAY786441:TAZ786441 TKU786441:TKV786441 TUQ786441:TUR786441 UEM786441:UEN786441 UOI786441:UOJ786441 UYE786441:UYF786441 VIA786441:VIB786441 VRW786441:VRX786441 WBS786441:WBT786441 WLO786441:WLP786441 WVK786441:WVL786441 C851977:D851977 IY851977:IZ851977 SU851977:SV851977 ACQ851977:ACR851977 AMM851977:AMN851977 AWI851977:AWJ851977 BGE851977:BGF851977 BQA851977:BQB851977 BZW851977:BZX851977 CJS851977:CJT851977 CTO851977:CTP851977 DDK851977:DDL851977 DNG851977:DNH851977 DXC851977:DXD851977 EGY851977:EGZ851977 EQU851977:EQV851977 FAQ851977:FAR851977 FKM851977:FKN851977 FUI851977:FUJ851977 GEE851977:GEF851977 GOA851977:GOB851977 GXW851977:GXX851977 HHS851977:HHT851977 HRO851977:HRP851977 IBK851977:IBL851977 ILG851977:ILH851977 IVC851977:IVD851977 JEY851977:JEZ851977 JOU851977:JOV851977 JYQ851977:JYR851977 KIM851977:KIN851977 KSI851977:KSJ851977 LCE851977:LCF851977 LMA851977:LMB851977 LVW851977:LVX851977 MFS851977:MFT851977 MPO851977:MPP851977 MZK851977:MZL851977 NJG851977:NJH851977 NTC851977:NTD851977 OCY851977:OCZ851977 OMU851977:OMV851977 OWQ851977:OWR851977 PGM851977:PGN851977 PQI851977:PQJ851977 QAE851977:QAF851977 QKA851977:QKB851977 QTW851977:QTX851977 RDS851977:RDT851977 RNO851977:RNP851977 RXK851977:RXL851977 SHG851977:SHH851977 SRC851977:SRD851977 TAY851977:TAZ851977 TKU851977:TKV851977 TUQ851977:TUR851977 UEM851977:UEN851977 UOI851977:UOJ851977 UYE851977:UYF851977 VIA851977:VIB851977 VRW851977:VRX851977 WBS851977:WBT851977 WLO851977:WLP851977 WVK851977:WVL851977 C917513:D917513 IY917513:IZ917513 SU917513:SV917513 ACQ917513:ACR917513 AMM917513:AMN917513 AWI917513:AWJ917513 BGE917513:BGF917513 BQA917513:BQB917513 BZW917513:BZX917513 CJS917513:CJT917513 CTO917513:CTP917513 DDK917513:DDL917513 DNG917513:DNH917513 DXC917513:DXD917513 EGY917513:EGZ917513 EQU917513:EQV917513 FAQ917513:FAR917513 FKM917513:FKN917513 FUI917513:FUJ917513 GEE917513:GEF917513 GOA917513:GOB917513 GXW917513:GXX917513 HHS917513:HHT917513 HRO917513:HRP917513 IBK917513:IBL917513 ILG917513:ILH917513 IVC917513:IVD917513 JEY917513:JEZ917513 JOU917513:JOV917513 JYQ917513:JYR917513 KIM917513:KIN917513 KSI917513:KSJ917513 LCE917513:LCF917513 LMA917513:LMB917513 LVW917513:LVX917513 MFS917513:MFT917513 MPO917513:MPP917513 MZK917513:MZL917513 NJG917513:NJH917513 NTC917513:NTD917513 OCY917513:OCZ917513 OMU917513:OMV917513 OWQ917513:OWR917513 PGM917513:PGN917513 PQI917513:PQJ917513 QAE917513:QAF917513 QKA917513:QKB917513 QTW917513:QTX917513 RDS917513:RDT917513 RNO917513:RNP917513 RXK917513:RXL917513 SHG917513:SHH917513 SRC917513:SRD917513 TAY917513:TAZ917513 TKU917513:TKV917513 TUQ917513:TUR917513 UEM917513:UEN917513 UOI917513:UOJ917513 UYE917513:UYF917513 VIA917513:VIB917513 VRW917513:VRX917513 WBS917513:WBT917513 WLO917513:WLP917513 WVK917513:WVL917513 C983049:D983049 IY983049:IZ983049 SU983049:SV983049 ACQ983049:ACR983049 AMM983049:AMN983049 AWI983049:AWJ983049 BGE983049:BGF983049 BQA983049:BQB983049 BZW983049:BZX983049 CJS983049:CJT983049 CTO983049:CTP983049 DDK983049:DDL983049 DNG983049:DNH983049 DXC983049:DXD983049 EGY983049:EGZ983049 EQU983049:EQV983049 FAQ983049:FAR983049 FKM983049:FKN983049 FUI983049:FUJ983049 GEE983049:GEF983049 GOA983049:GOB983049 GXW983049:GXX983049 HHS983049:HHT983049 HRO983049:HRP983049 IBK983049:IBL983049 ILG983049:ILH983049 IVC983049:IVD983049 JEY983049:JEZ983049 JOU983049:JOV983049 JYQ983049:JYR983049 KIM983049:KIN983049 KSI983049:KSJ983049 LCE983049:LCF983049 LMA983049:LMB983049 LVW983049:LVX983049 MFS983049:MFT983049 MPO983049:MPP983049 MZK983049:MZL983049 NJG983049:NJH983049 NTC983049:NTD983049 OCY983049:OCZ983049 OMU983049:OMV983049 OWQ983049:OWR983049 PGM983049:PGN983049 PQI983049:PQJ983049 QAE983049:QAF983049 QKA983049:QKB983049 QTW983049:QTX983049 RDS983049:RDT983049 RNO983049:RNP983049 RXK983049:RXL983049 SHG983049:SHH983049 SRC983049:SRD983049 TAY983049:TAZ983049 TKU983049:TKV983049 TUQ983049:TUR983049 UEM983049:UEN983049 UOI983049:UOJ983049 UYE983049:UYF983049 VIA983049:VIB983049 VRW983049:VRX983049 WBS983049:WBT983049 WLO983049:WLP983049 WVK983049:WVL983049">
      <formula1>$V$7:$V$10</formula1>
    </dataValidation>
  </dataValidations>
  <printOptions horizontalCentered="1"/>
  <pageMargins left="3.937007874015748E-2" right="3.937007874015748E-2" top="0.59055118110236227" bottom="0.98425196850393704" header="0.51181102362204722" footer="0.51181102362204722"/>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sheetPr>
    <tabColor rgb="FFFF0000"/>
  </sheetPr>
  <dimension ref="A1:I47"/>
  <sheetViews>
    <sheetView zoomScaleSheetLayoutView="130" workbookViewId="0">
      <selection activeCell="F18" sqref="F18:H18"/>
    </sheetView>
  </sheetViews>
  <sheetFormatPr defaultRowHeight="17.100000000000001" customHeight="1"/>
  <cols>
    <col min="1" max="1" width="9.625" style="416" customWidth="1"/>
    <col min="2" max="2" width="12.625" style="416" bestFit="1" customWidth="1"/>
    <col min="3" max="9" width="9.625" style="416" customWidth="1"/>
    <col min="10" max="256" width="9" style="416"/>
    <col min="257" max="257" width="9.625" style="416" customWidth="1"/>
    <col min="258" max="258" width="12.625" style="416" bestFit="1" customWidth="1"/>
    <col min="259" max="265" width="9.625" style="416" customWidth="1"/>
    <col min="266" max="512" width="9" style="416"/>
    <col min="513" max="513" width="9.625" style="416" customWidth="1"/>
    <col min="514" max="514" width="12.625" style="416" bestFit="1" customWidth="1"/>
    <col min="515" max="521" width="9.625" style="416" customWidth="1"/>
    <col min="522" max="768" width="9" style="416"/>
    <col min="769" max="769" width="9.625" style="416" customWidth="1"/>
    <col min="770" max="770" width="12.625" style="416" bestFit="1" customWidth="1"/>
    <col min="771" max="777" width="9.625" style="416" customWidth="1"/>
    <col min="778" max="1024" width="9" style="416"/>
    <col min="1025" max="1025" width="9.625" style="416" customWidth="1"/>
    <col min="1026" max="1026" width="12.625" style="416" bestFit="1" customWidth="1"/>
    <col min="1027" max="1033" width="9.625" style="416" customWidth="1"/>
    <col min="1034" max="1280" width="9" style="416"/>
    <col min="1281" max="1281" width="9.625" style="416" customWidth="1"/>
    <col min="1282" max="1282" width="12.625" style="416" bestFit="1" customWidth="1"/>
    <col min="1283" max="1289" width="9.625" style="416" customWidth="1"/>
    <col min="1290" max="1536" width="9" style="416"/>
    <col min="1537" max="1537" width="9.625" style="416" customWidth="1"/>
    <col min="1538" max="1538" width="12.625" style="416" bestFit="1" customWidth="1"/>
    <col min="1539" max="1545" width="9.625" style="416" customWidth="1"/>
    <col min="1546" max="1792" width="9" style="416"/>
    <col min="1793" max="1793" width="9.625" style="416" customWidth="1"/>
    <col min="1794" max="1794" width="12.625" style="416" bestFit="1" customWidth="1"/>
    <col min="1795" max="1801" width="9.625" style="416" customWidth="1"/>
    <col min="1802" max="2048" width="9" style="416"/>
    <col min="2049" max="2049" width="9.625" style="416" customWidth="1"/>
    <col min="2050" max="2050" width="12.625" style="416" bestFit="1" customWidth="1"/>
    <col min="2051" max="2057" width="9.625" style="416" customWidth="1"/>
    <col min="2058" max="2304" width="9" style="416"/>
    <col min="2305" max="2305" width="9.625" style="416" customWidth="1"/>
    <col min="2306" max="2306" width="12.625" style="416" bestFit="1" customWidth="1"/>
    <col min="2307" max="2313" width="9.625" style="416" customWidth="1"/>
    <col min="2314" max="2560" width="9" style="416"/>
    <col min="2561" max="2561" width="9.625" style="416" customWidth="1"/>
    <col min="2562" max="2562" width="12.625" style="416" bestFit="1" customWidth="1"/>
    <col min="2563" max="2569" width="9.625" style="416" customWidth="1"/>
    <col min="2570" max="2816" width="9" style="416"/>
    <col min="2817" max="2817" width="9.625" style="416" customWidth="1"/>
    <col min="2818" max="2818" width="12.625" style="416" bestFit="1" customWidth="1"/>
    <col min="2819" max="2825" width="9.625" style="416" customWidth="1"/>
    <col min="2826" max="3072" width="9" style="416"/>
    <col min="3073" max="3073" width="9.625" style="416" customWidth="1"/>
    <col min="3074" max="3074" width="12.625" style="416" bestFit="1" customWidth="1"/>
    <col min="3075" max="3081" width="9.625" style="416" customWidth="1"/>
    <col min="3082" max="3328" width="9" style="416"/>
    <col min="3329" max="3329" width="9.625" style="416" customWidth="1"/>
    <col min="3330" max="3330" width="12.625" style="416" bestFit="1" customWidth="1"/>
    <col min="3331" max="3337" width="9.625" style="416" customWidth="1"/>
    <col min="3338" max="3584" width="9" style="416"/>
    <col min="3585" max="3585" width="9.625" style="416" customWidth="1"/>
    <col min="3586" max="3586" width="12.625" style="416" bestFit="1" customWidth="1"/>
    <col min="3587" max="3593" width="9.625" style="416" customWidth="1"/>
    <col min="3594" max="3840" width="9" style="416"/>
    <col min="3841" max="3841" width="9.625" style="416" customWidth="1"/>
    <col min="3842" max="3842" width="12.625" style="416" bestFit="1" customWidth="1"/>
    <col min="3843" max="3849" width="9.625" style="416" customWidth="1"/>
    <col min="3850" max="4096" width="9" style="416"/>
    <col min="4097" max="4097" width="9.625" style="416" customWidth="1"/>
    <col min="4098" max="4098" width="12.625" style="416" bestFit="1" customWidth="1"/>
    <col min="4099" max="4105" width="9.625" style="416" customWidth="1"/>
    <col min="4106" max="4352" width="9" style="416"/>
    <col min="4353" max="4353" width="9.625" style="416" customWidth="1"/>
    <col min="4354" max="4354" width="12.625" style="416" bestFit="1" customWidth="1"/>
    <col min="4355" max="4361" width="9.625" style="416" customWidth="1"/>
    <col min="4362" max="4608" width="9" style="416"/>
    <col min="4609" max="4609" width="9.625" style="416" customWidth="1"/>
    <col min="4610" max="4610" width="12.625" style="416" bestFit="1" customWidth="1"/>
    <col min="4611" max="4617" width="9.625" style="416" customWidth="1"/>
    <col min="4618" max="4864" width="9" style="416"/>
    <col min="4865" max="4865" width="9.625" style="416" customWidth="1"/>
    <col min="4866" max="4866" width="12.625" style="416" bestFit="1" customWidth="1"/>
    <col min="4867" max="4873" width="9.625" style="416" customWidth="1"/>
    <col min="4874" max="5120" width="9" style="416"/>
    <col min="5121" max="5121" width="9.625" style="416" customWidth="1"/>
    <col min="5122" max="5122" width="12.625" style="416" bestFit="1" customWidth="1"/>
    <col min="5123" max="5129" width="9.625" style="416" customWidth="1"/>
    <col min="5130" max="5376" width="9" style="416"/>
    <col min="5377" max="5377" width="9.625" style="416" customWidth="1"/>
    <col min="5378" max="5378" width="12.625" style="416" bestFit="1" customWidth="1"/>
    <col min="5379" max="5385" width="9.625" style="416" customWidth="1"/>
    <col min="5386" max="5632" width="9" style="416"/>
    <col min="5633" max="5633" width="9.625" style="416" customWidth="1"/>
    <col min="5634" max="5634" width="12.625" style="416" bestFit="1" customWidth="1"/>
    <col min="5635" max="5641" width="9.625" style="416" customWidth="1"/>
    <col min="5642" max="5888" width="9" style="416"/>
    <col min="5889" max="5889" width="9.625" style="416" customWidth="1"/>
    <col min="5890" max="5890" width="12.625" style="416" bestFit="1" customWidth="1"/>
    <col min="5891" max="5897" width="9.625" style="416" customWidth="1"/>
    <col min="5898" max="6144" width="9" style="416"/>
    <col min="6145" max="6145" width="9.625" style="416" customWidth="1"/>
    <col min="6146" max="6146" width="12.625" style="416" bestFit="1" customWidth="1"/>
    <col min="6147" max="6153" width="9.625" style="416" customWidth="1"/>
    <col min="6154" max="6400" width="9" style="416"/>
    <col min="6401" max="6401" width="9.625" style="416" customWidth="1"/>
    <col min="6402" max="6402" width="12.625" style="416" bestFit="1" customWidth="1"/>
    <col min="6403" max="6409" width="9.625" style="416" customWidth="1"/>
    <col min="6410" max="6656" width="9" style="416"/>
    <col min="6657" max="6657" width="9.625" style="416" customWidth="1"/>
    <col min="6658" max="6658" width="12.625" style="416" bestFit="1" customWidth="1"/>
    <col min="6659" max="6665" width="9.625" style="416" customWidth="1"/>
    <col min="6666" max="6912" width="9" style="416"/>
    <col min="6913" max="6913" width="9.625" style="416" customWidth="1"/>
    <col min="6914" max="6914" width="12.625" style="416" bestFit="1" customWidth="1"/>
    <col min="6915" max="6921" width="9.625" style="416" customWidth="1"/>
    <col min="6922" max="7168" width="9" style="416"/>
    <col min="7169" max="7169" width="9.625" style="416" customWidth="1"/>
    <col min="7170" max="7170" width="12.625" style="416" bestFit="1" customWidth="1"/>
    <col min="7171" max="7177" width="9.625" style="416" customWidth="1"/>
    <col min="7178" max="7424" width="9" style="416"/>
    <col min="7425" max="7425" width="9.625" style="416" customWidth="1"/>
    <col min="7426" max="7426" width="12.625" style="416" bestFit="1" customWidth="1"/>
    <col min="7427" max="7433" width="9.625" style="416" customWidth="1"/>
    <col min="7434" max="7680" width="9" style="416"/>
    <col min="7681" max="7681" width="9.625" style="416" customWidth="1"/>
    <col min="7682" max="7682" width="12.625" style="416" bestFit="1" customWidth="1"/>
    <col min="7683" max="7689" width="9.625" style="416" customWidth="1"/>
    <col min="7690" max="7936" width="9" style="416"/>
    <col min="7937" max="7937" width="9.625" style="416" customWidth="1"/>
    <col min="7938" max="7938" width="12.625" style="416" bestFit="1" customWidth="1"/>
    <col min="7939" max="7945" width="9.625" style="416" customWidth="1"/>
    <col min="7946" max="8192" width="9" style="416"/>
    <col min="8193" max="8193" width="9.625" style="416" customWidth="1"/>
    <col min="8194" max="8194" width="12.625" style="416" bestFit="1" customWidth="1"/>
    <col min="8195" max="8201" width="9.625" style="416" customWidth="1"/>
    <col min="8202" max="8448" width="9" style="416"/>
    <col min="8449" max="8449" width="9.625" style="416" customWidth="1"/>
    <col min="8450" max="8450" width="12.625" style="416" bestFit="1" customWidth="1"/>
    <col min="8451" max="8457" width="9.625" style="416" customWidth="1"/>
    <col min="8458" max="8704" width="9" style="416"/>
    <col min="8705" max="8705" width="9.625" style="416" customWidth="1"/>
    <col min="8706" max="8706" width="12.625" style="416" bestFit="1" customWidth="1"/>
    <col min="8707" max="8713" width="9.625" style="416" customWidth="1"/>
    <col min="8714" max="8960" width="9" style="416"/>
    <col min="8961" max="8961" width="9.625" style="416" customWidth="1"/>
    <col min="8962" max="8962" width="12.625" style="416" bestFit="1" customWidth="1"/>
    <col min="8963" max="8969" width="9.625" style="416" customWidth="1"/>
    <col min="8970" max="9216" width="9" style="416"/>
    <col min="9217" max="9217" width="9.625" style="416" customWidth="1"/>
    <col min="9218" max="9218" width="12.625" style="416" bestFit="1" customWidth="1"/>
    <col min="9219" max="9225" width="9.625" style="416" customWidth="1"/>
    <col min="9226" max="9472" width="9" style="416"/>
    <col min="9473" max="9473" width="9.625" style="416" customWidth="1"/>
    <col min="9474" max="9474" width="12.625" style="416" bestFit="1" customWidth="1"/>
    <col min="9475" max="9481" width="9.625" style="416" customWidth="1"/>
    <col min="9482" max="9728" width="9" style="416"/>
    <col min="9729" max="9729" width="9.625" style="416" customWidth="1"/>
    <col min="9730" max="9730" width="12.625" style="416" bestFit="1" customWidth="1"/>
    <col min="9731" max="9737" width="9.625" style="416" customWidth="1"/>
    <col min="9738" max="9984" width="9" style="416"/>
    <col min="9985" max="9985" width="9.625" style="416" customWidth="1"/>
    <col min="9986" max="9986" width="12.625" style="416" bestFit="1" customWidth="1"/>
    <col min="9987" max="9993" width="9.625" style="416" customWidth="1"/>
    <col min="9994" max="10240" width="9" style="416"/>
    <col min="10241" max="10241" width="9.625" style="416" customWidth="1"/>
    <col min="10242" max="10242" width="12.625" style="416" bestFit="1" customWidth="1"/>
    <col min="10243" max="10249" width="9.625" style="416" customWidth="1"/>
    <col min="10250" max="10496" width="9" style="416"/>
    <col min="10497" max="10497" width="9.625" style="416" customWidth="1"/>
    <col min="10498" max="10498" width="12.625" style="416" bestFit="1" customWidth="1"/>
    <col min="10499" max="10505" width="9.625" style="416" customWidth="1"/>
    <col min="10506" max="10752" width="9" style="416"/>
    <col min="10753" max="10753" width="9.625" style="416" customWidth="1"/>
    <col min="10754" max="10754" width="12.625" style="416" bestFit="1" customWidth="1"/>
    <col min="10755" max="10761" width="9.625" style="416" customWidth="1"/>
    <col min="10762" max="11008" width="9" style="416"/>
    <col min="11009" max="11009" width="9.625" style="416" customWidth="1"/>
    <col min="11010" max="11010" width="12.625" style="416" bestFit="1" customWidth="1"/>
    <col min="11011" max="11017" width="9.625" style="416" customWidth="1"/>
    <col min="11018" max="11264" width="9" style="416"/>
    <col min="11265" max="11265" width="9.625" style="416" customWidth="1"/>
    <col min="11266" max="11266" width="12.625" style="416" bestFit="1" customWidth="1"/>
    <col min="11267" max="11273" width="9.625" style="416" customWidth="1"/>
    <col min="11274" max="11520" width="9" style="416"/>
    <col min="11521" max="11521" width="9.625" style="416" customWidth="1"/>
    <col min="11522" max="11522" width="12.625" style="416" bestFit="1" customWidth="1"/>
    <col min="11523" max="11529" width="9.625" style="416" customWidth="1"/>
    <col min="11530" max="11776" width="9" style="416"/>
    <col min="11777" max="11777" width="9.625" style="416" customWidth="1"/>
    <col min="11778" max="11778" width="12.625" style="416" bestFit="1" customWidth="1"/>
    <col min="11779" max="11785" width="9.625" style="416" customWidth="1"/>
    <col min="11786" max="12032" width="9" style="416"/>
    <col min="12033" max="12033" width="9.625" style="416" customWidth="1"/>
    <col min="12034" max="12034" width="12.625" style="416" bestFit="1" customWidth="1"/>
    <col min="12035" max="12041" width="9.625" style="416" customWidth="1"/>
    <col min="12042" max="12288" width="9" style="416"/>
    <col min="12289" max="12289" width="9.625" style="416" customWidth="1"/>
    <col min="12290" max="12290" width="12.625" style="416" bestFit="1" customWidth="1"/>
    <col min="12291" max="12297" width="9.625" style="416" customWidth="1"/>
    <col min="12298" max="12544" width="9" style="416"/>
    <col min="12545" max="12545" width="9.625" style="416" customWidth="1"/>
    <col min="12546" max="12546" width="12.625" style="416" bestFit="1" customWidth="1"/>
    <col min="12547" max="12553" width="9.625" style="416" customWidth="1"/>
    <col min="12554" max="12800" width="9" style="416"/>
    <col min="12801" max="12801" width="9.625" style="416" customWidth="1"/>
    <col min="12802" max="12802" width="12.625" style="416" bestFit="1" customWidth="1"/>
    <col min="12803" max="12809" width="9.625" style="416" customWidth="1"/>
    <col min="12810" max="13056" width="9" style="416"/>
    <col min="13057" max="13057" width="9.625" style="416" customWidth="1"/>
    <col min="13058" max="13058" width="12.625" style="416" bestFit="1" customWidth="1"/>
    <col min="13059" max="13065" width="9.625" style="416" customWidth="1"/>
    <col min="13066" max="13312" width="9" style="416"/>
    <col min="13313" max="13313" width="9.625" style="416" customWidth="1"/>
    <col min="13314" max="13314" width="12.625" style="416" bestFit="1" customWidth="1"/>
    <col min="13315" max="13321" width="9.625" style="416" customWidth="1"/>
    <col min="13322" max="13568" width="9" style="416"/>
    <col min="13569" max="13569" width="9.625" style="416" customWidth="1"/>
    <col min="13570" max="13570" width="12.625" style="416" bestFit="1" customWidth="1"/>
    <col min="13571" max="13577" width="9.625" style="416" customWidth="1"/>
    <col min="13578" max="13824" width="9" style="416"/>
    <col min="13825" max="13825" width="9.625" style="416" customWidth="1"/>
    <col min="13826" max="13826" width="12.625" style="416" bestFit="1" customWidth="1"/>
    <col min="13827" max="13833" width="9.625" style="416" customWidth="1"/>
    <col min="13834" max="14080" width="9" style="416"/>
    <col min="14081" max="14081" width="9.625" style="416" customWidth="1"/>
    <col min="14082" max="14082" width="12.625" style="416" bestFit="1" customWidth="1"/>
    <col min="14083" max="14089" width="9.625" style="416" customWidth="1"/>
    <col min="14090" max="14336" width="9" style="416"/>
    <col min="14337" max="14337" width="9.625" style="416" customWidth="1"/>
    <col min="14338" max="14338" width="12.625" style="416" bestFit="1" customWidth="1"/>
    <col min="14339" max="14345" width="9.625" style="416" customWidth="1"/>
    <col min="14346" max="14592" width="9" style="416"/>
    <col min="14593" max="14593" width="9.625" style="416" customWidth="1"/>
    <col min="14594" max="14594" width="12.625" style="416" bestFit="1" customWidth="1"/>
    <col min="14595" max="14601" width="9.625" style="416" customWidth="1"/>
    <col min="14602" max="14848" width="9" style="416"/>
    <col min="14849" max="14849" width="9.625" style="416" customWidth="1"/>
    <col min="14850" max="14850" width="12.625" style="416" bestFit="1" customWidth="1"/>
    <col min="14851" max="14857" width="9.625" style="416" customWidth="1"/>
    <col min="14858" max="15104" width="9" style="416"/>
    <col min="15105" max="15105" width="9.625" style="416" customWidth="1"/>
    <col min="15106" max="15106" width="12.625" style="416" bestFit="1" customWidth="1"/>
    <col min="15107" max="15113" width="9.625" style="416" customWidth="1"/>
    <col min="15114" max="15360" width="9" style="416"/>
    <col min="15361" max="15361" width="9.625" style="416" customWidth="1"/>
    <col min="15362" max="15362" width="12.625" style="416" bestFit="1" customWidth="1"/>
    <col min="15363" max="15369" width="9.625" style="416" customWidth="1"/>
    <col min="15370" max="15616" width="9" style="416"/>
    <col min="15617" max="15617" width="9.625" style="416" customWidth="1"/>
    <col min="15618" max="15618" width="12.625" style="416" bestFit="1" customWidth="1"/>
    <col min="15619" max="15625" width="9.625" style="416" customWidth="1"/>
    <col min="15626" max="15872" width="9" style="416"/>
    <col min="15873" max="15873" width="9.625" style="416" customWidth="1"/>
    <col min="15874" max="15874" width="12.625" style="416" bestFit="1" customWidth="1"/>
    <col min="15875" max="15881" width="9.625" style="416" customWidth="1"/>
    <col min="15882" max="16128" width="9" style="416"/>
    <col min="16129" max="16129" width="9.625" style="416" customWidth="1"/>
    <col min="16130" max="16130" width="12.625" style="416" bestFit="1" customWidth="1"/>
    <col min="16131" max="16137" width="9.625" style="416" customWidth="1"/>
    <col min="16138" max="16384" width="9" style="416"/>
  </cols>
  <sheetData>
    <row r="1" spans="1:9" ht="18" customHeight="1">
      <c r="A1" s="1250" t="s">
        <v>989</v>
      </c>
      <c r="B1" s="1251"/>
      <c r="C1" s="1251"/>
      <c r="D1" s="1251"/>
      <c r="E1" s="1251"/>
      <c r="F1" s="1251"/>
      <c r="G1" s="1251"/>
      <c r="H1" s="1251"/>
      <c r="I1" s="1251"/>
    </row>
    <row r="2" spans="1:9" ht="17.100000000000001" customHeight="1">
      <c r="G2" s="417" t="s">
        <v>918</v>
      </c>
      <c r="I2" s="416" t="s">
        <v>919</v>
      </c>
    </row>
    <row r="3" spans="1:9" ht="17.100000000000001" customHeight="1">
      <c r="A3" s="418" t="s">
        <v>920</v>
      </c>
      <c r="B3" s="1252" t="e">
        <f>'作(4)'!C4</f>
        <v>#REF!</v>
      </c>
      <c r="C3" s="1252"/>
      <c r="D3" s="418" t="s">
        <v>921</v>
      </c>
      <c r="E3" s="1252" t="e">
        <f>'作(4)'!C5</f>
        <v>#REF!</v>
      </c>
      <c r="F3" s="1252"/>
      <c r="G3" s="418" t="s">
        <v>922</v>
      </c>
      <c r="H3" s="1253">
        <f ca="1">TODAY()</f>
        <v>42757</v>
      </c>
      <c r="I3" s="1252"/>
    </row>
    <row r="4" spans="1:9" ht="17.100000000000001" customHeight="1">
      <c r="A4" s="418" t="s">
        <v>923</v>
      </c>
      <c r="B4" s="1252" t="s">
        <v>924</v>
      </c>
      <c r="C4" s="1252"/>
      <c r="D4" s="418" t="s">
        <v>925</v>
      </c>
      <c r="E4" s="1252">
        <f>'作(4)'!F6</f>
        <v>0</v>
      </c>
      <c r="F4" s="1252"/>
      <c r="G4" s="418" t="s">
        <v>926</v>
      </c>
      <c r="H4" s="1252"/>
      <c r="I4" s="1252"/>
    </row>
    <row r="5" spans="1:9" ht="17.100000000000001" customHeight="1">
      <c r="A5" s="418" t="s">
        <v>927</v>
      </c>
      <c r="B5" s="1252" t="e">
        <f>#REF!</f>
        <v>#REF!</v>
      </c>
      <c r="C5" s="1252"/>
      <c r="D5" s="418" t="s">
        <v>928</v>
      </c>
      <c r="E5" s="1252"/>
      <c r="F5" s="1252"/>
      <c r="G5" s="418" t="s">
        <v>929</v>
      </c>
      <c r="H5" s="1252" t="e">
        <f>'作(4)'!K5</f>
        <v>#REF!</v>
      </c>
      <c r="I5" s="1252"/>
    </row>
    <row r="6" spans="1:9" ht="17.100000000000001" customHeight="1">
      <c r="A6" s="419" t="s">
        <v>930</v>
      </c>
      <c r="B6" s="418" t="s">
        <v>931</v>
      </c>
      <c r="C6" s="418" t="s">
        <v>932</v>
      </c>
      <c r="D6" s="418" t="s">
        <v>933</v>
      </c>
      <c r="E6" s="418" t="s">
        <v>934</v>
      </c>
      <c r="F6" s="418" t="s">
        <v>935</v>
      </c>
      <c r="G6" s="418" t="s">
        <v>936</v>
      </c>
      <c r="H6" s="1252"/>
      <c r="I6" s="1252"/>
    </row>
    <row r="7" spans="1:9" ht="17.100000000000001" customHeight="1">
      <c r="A7" s="419" t="s">
        <v>937</v>
      </c>
      <c r="B7" s="419" t="s">
        <v>938</v>
      </c>
      <c r="C7" s="419" t="s">
        <v>939</v>
      </c>
      <c r="D7" s="418" t="s">
        <v>940</v>
      </c>
      <c r="E7" s="418" t="s">
        <v>941</v>
      </c>
      <c r="F7" s="419" t="s">
        <v>942</v>
      </c>
      <c r="G7" s="419" t="s">
        <v>943</v>
      </c>
      <c r="H7" s="1254" t="s">
        <v>944</v>
      </c>
      <c r="I7" s="1254"/>
    </row>
    <row r="8" spans="1:9" ht="17.100000000000001" customHeight="1">
      <c r="A8" s="419">
        <v>1</v>
      </c>
      <c r="B8" s="419" t="s">
        <v>945</v>
      </c>
      <c r="C8" s="420" t="str">
        <f>'作(4)'!K4</f>
        <v>0块</v>
      </c>
      <c r="D8" s="419"/>
      <c r="E8" s="419"/>
      <c r="F8" s="419"/>
      <c r="G8" s="419"/>
      <c r="H8" s="1252"/>
      <c r="I8" s="1252"/>
    </row>
    <row r="9" spans="1:9" ht="17.100000000000001" customHeight="1">
      <c r="A9" s="419">
        <v>2</v>
      </c>
      <c r="B9" s="419" t="s">
        <v>946</v>
      </c>
      <c r="C9" s="420"/>
      <c r="D9" s="419"/>
      <c r="E9" s="419"/>
      <c r="F9" s="419"/>
      <c r="G9" s="419"/>
      <c r="H9" s="1252"/>
      <c r="I9" s="1252"/>
    </row>
    <row r="10" spans="1:9" ht="17.100000000000001" customHeight="1">
      <c r="A10" s="419">
        <v>3</v>
      </c>
      <c r="B10" s="419" t="s">
        <v>947</v>
      </c>
      <c r="C10" s="420" t="str">
        <f>C8</f>
        <v>0块</v>
      </c>
      <c r="D10" s="419"/>
      <c r="E10" s="419"/>
      <c r="F10" s="419"/>
      <c r="G10" s="419"/>
      <c r="H10" s="1252"/>
      <c r="I10" s="1252"/>
    </row>
    <row r="11" spans="1:9" ht="17.100000000000001" customHeight="1">
      <c r="A11" s="419">
        <v>4</v>
      </c>
      <c r="B11" s="419" t="s">
        <v>948</v>
      </c>
      <c r="C11" s="420"/>
      <c r="D11" s="419"/>
      <c r="E11" s="419"/>
      <c r="F11" s="419"/>
      <c r="G11" s="419"/>
      <c r="H11" s="1252"/>
      <c r="I11" s="1252"/>
    </row>
    <row r="12" spans="1:9" ht="17.100000000000001" customHeight="1">
      <c r="A12" s="419">
        <v>5</v>
      </c>
      <c r="B12" s="419" t="s">
        <v>949</v>
      </c>
      <c r="C12" s="420"/>
      <c r="D12" s="419"/>
      <c r="E12" s="419"/>
      <c r="F12" s="419"/>
      <c r="G12" s="419"/>
      <c r="H12" s="1252"/>
      <c r="I12" s="1252"/>
    </row>
    <row r="13" spans="1:9" ht="17.100000000000001" customHeight="1">
      <c r="A13" s="419">
        <v>6</v>
      </c>
      <c r="B13" s="419" t="s">
        <v>950</v>
      </c>
      <c r="C13" s="420"/>
      <c r="D13" s="419"/>
      <c r="E13" s="419"/>
      <c r="F13" s="419"/>
      <c r="G13" s="419"/>
      <c r="H13" s="1252"/>
      <c r="I13" s="1252"/>
    </row>
    <row r="14" spans="1:9" ht="17.100000000000001" customHeight="1">
      <c r="A14" s="419">
        <v>7</v>
      </c>
      <c r="B14" s="419" t="s">
        <v>951</v>
      </c>
      <c r="C14" s="420"/>
      <c r="D14" s="419"/>
      <c r="E14" s="419"/>
      <c r="F14" s="419"/>
      <c r="G14" s="419"/>
      <c r="H14" s="1252"/>
      <c r="I14" s="1252"/>
    </row>
    <row r="15" spans="1:9" ht="17.100000000000001" customHeight="1">
      <c r="A15" s="419">
        <v>8</v>
      </c>
      <c r="B15" s="419" t="s">
        <v>952</v>
      </c>
      <c r="C15" s="420"/>
      <c r="D15" s="419"/>
      <c r="E15" s="419"/>
      <c r="F15" s="419"/>
      <c r="G15" s="419"/>
      <c r="H15" s="1252"/>
      <c r="I15" s="1252"/>
    </row>
    <row r="16" spans="1:9" ht="17.100000000000001" customHeight="1">
      <c r="A16" s="419">
        <v>9</v>
      </c>
      <c r="B16" s="419" t="s">
        <v>953</v>
      </c>
      <c r="C16" s="420"/>
      <c r="D16" s="419"/>
      <c r="E16" s="420"/>
      <c r="F16" s="419"/>
      <c r="G16" s="419"/>
      <c r="H16" s="1252"/>
      <c r="I16" s="1252"/>
    </row>
    <row r="17" spans="1:9" ht="17.100000000000001" customHeight="1">
      <c r="A17" s="419">
        <v>10</v>
      </c>
      <c r="B17" s="419" t="s">
        <v>954</v>
      </c>
      <c r="C17" s="420"/>
      <c r="D17" s="419"/>
      <c r="E17" s="419"/>
      <c r="F17" s="419"/>
      <c r="G17" s="419"/>
      <c r="H17" s="1252"/>
      <c r="I17" s="1252"/>
    </row>
    <row r="18" spans="1:9" ht="17.100000000000001" customHeight="1">
      <c r="A18" s="419">
        <v>11</v>
      </c>
      <c r="B18" s="419" t="s">
        <v>955</v>
      </c>
      <c r="C18" s="420"/>
      <c r="D18" s="419"/>
      <c r="E18" s="419"/>
      <c r="F18" s="419"/>
      <c r="G18" s="419"/>
      <c r="H18" s="1252"/>
      <c r="I18" s="1252"/>
    </row>
    <row r="19" spans="1:9" ht="17.100000000000001" customHeight="1">
      <c r="A19" s="419">
        <v>12</v>
      </c>
      <c r="B19" s="419" t="s">
        <v>956</v>
      </c>
      <c r="C19" s="420"/>
      <c r="D19" s="419"/>
      <c r="E19" s="419"/>
      <c r="F19" s="419"/>
      <c r="G19" s="419"/>
      <c r="H19" s="1252"/>
      <c r="I19" s="1252"/>
    </row>
    <row r="20" spans="1:9" ht="17.100000000000001" customHeight="1">
      <c r="A20" s="419">
        <v>13</v>
      </c>
      <c r="B20" s="419" t="s">
        <v>957</v>
      </c>
      <c r="C20" s="420"/>
      <c r="D20" s="419"/>
      <c r="E20" s="419"/>
      <c r="F20" s="419"/>
      <c r="G20" s="419"/>
      <c r="H20" s="1252"/>
      <c r="I20" s="1252"/>
    </row>
    <row r="21" spans="1:9" ht="17.100000000000001" customHeight="1">
      <c r="A21" s="419">
        <v>14</v>
      </c>
      <c r="B21" s="419" t="s">
        <v>958</v>
      </c>
      <c r="C21" s="420"/>
      <c r="D21" s="419"/>
      <c r="E21" s="419"/>
      <c r="F21" s="419"/>
      <c r="G21" s="419"/>
      <c r="H21" s="1252"/>
      <c r="I21" s="1252"/>
    </row>
    <row r="22" spans="1:9" ht="17.100000000000001" customHeight="1">
      <c r="A22" s="419">
        <v>15</v>
      </c>
      <c r="B22" s="419" t="s">
        <v>959</v>
      </c>
      <c r="C22" s="420"/>
      <c r="D22" s="419"/>
      <c r="E22" s="419"/>
      <c r="F22" s="419"/>
      <c r="G22" s="419"/>
      <c r="H22" s="1252"/>
      <c r="I22" s="1252"/>
    </row>
    <row r="23" spans="1:9" ht="17.100000000000001" customHeight="1">
      <c r="A23" s="419">
        <v>16</v>
      </c>
      <c r="B23" s="419" t="s">
        <v>960</v>
      </c>
      <c r="C23" s="420"/>
      <c r="D23" s="419"/>
      <c r="E23" s="419"/>
      <c r="F23" s="419"/>
      <c r="G23" s="419"/>
      <c r="H23" s="1252"/>
      <c r="I23" s="1252"/>
    </row>
    <row r="24" spans="1:9" ht="17.100000000000001" customHeight="1">
      <c r="A24" s="419">
        <v>17</v>
      </c>
      <c r="B24" s="419" t="s">
        <v>961</v>
      </c>
      <c r="C24" s="420"/>
      <c r="D24" s="419"/>
      <c r="E24" s="419"/>
      <c r="F24" s="419"/>
      <c r="G24" s="419"/>
      <c r="H24" s="1252"/>
      <c r="I24" s="1252"/>
    </row>
    <row r="25" spans="1:9" ht="17.100000000000001" customHeight="1">
      <c r="A25" s="419">
        <v>18</v>
      </c>
      <c r="B25" s="419" t="s">
        <v>962</v>
      </c>
      <c r="C25" s="420" t="str">
        <f>C8</f>
        <v>0块</v>
      </c>
      <c r="D25" s="419"/>
      <c r="E25" s="419"/>
      <c r="F25" s="419"/>
      <c r="G25" s="419"/>
      <c r="H25" s="1252"/>
      <c r="I25" s="1252"/>
    </row>
    <row r="26" spans="1:9" ht="17.100000000000001" customHeight="1">
      <c r="A26" s="419">
        <v>19</v>
      </c>
      <c r="B26" s="419" t="s">
        <v>963</v>
      </c>
      <c r="C26" s="420" t="str">
        <f t="shared" ref="C26:C35" si="0">C25</f>
        <v>0块</v>
      </c>
      <c r="D26" s="419"/>
      <c r="E26" s="419"/>
      <c r="F26" s="419"/>
      <c r="G26" s="419"/>
      <c r="H26" s="1252"/>
      <c r="I26" s="1252"/>
    </row>
    <row r="27" spans="1:9" ht="17.100000000000001" customHeight="1">
      <c r="A27" s="419">
        <v>20</v>
      </c>
      <c r="B27" s="419" t="s">
        <v>964</v>
      </c>
      <c r="C27" s="420" t="str">
        <f t="shared" si="0"/>
        <v>0块</v>
      </c>
      <c r="D27" s="419"/>
      <c r="E27" s="419"/>
      <c r="F27" s="419"/>
      <c r="G27" s="419"/>
      <c r="H27" s="1252"/>
      <c r="I27" s="1252"/>
    </row>
    <row r="28" spans="1:9" ht="17.100000000000001" customHeight="1">
      <c r="A28" s="419">
        <v>21</v>
      </c>
      <c r="B28" s="419" t="s">
        <v>965</v>
      </c>
      <c r="C28" s="420" t="str">
        <f t="shared" si="0"/>
        <v>0块</v>
      </c>
      <c r="D28" s="419"/>
      <c r="E28" s="419"/>
      <c r="F28" s="419"/>
      <c r="G28" s="419"/>
      <c r="H28" s="1252"/>
      <c r="I28" s="1252"/>
    </row>
    <row r="29" spans="1:9" ht="17.100000000000001" customHeight="1">
      <c r="A29" s="419">
        <v>22</v>
      </c>
      <c r="B29" s="419" t="s">
        <v>966</v>
      </c>
      <c r="C29" s="420" t="str">
        <f t="shared" si="0"/>
        <v>0块</v>
      </c>
      <c r="D29" s="419"/>
      <c r="E29" s="419"/>
      <c r="F29" s="419"/>
      <c r="G29" s="419"/>
      <c r="H29" s="1252"/>
      <c r="I29" s="1252"/>
    </row>
    <row r="30" spans="1:9" ht="17.100000000000001" customHeight="1">
      <c r="A30" s="419">
        <v>23</v>
      </c>
      <c r="B30" s="419" t="s">
        <v>967</v>
      </c>
      <c r="C30" s="420" t="str">
        <f t="shared" si="0"/>
        <v>0块</v>
      </c>
      <c r="D30" s="419"/>
      <c r="E30" s="419"/>
      <c r="F30" s="419"/>
      <c r="G30" s="419"/>
      <c r="H30" s="1252"/>
      <c r="I30" s="1252"/>
    </row>
    <row r="31" spans="1:9" ht="17.100000000000001" customHeight="1">
      <c r="A31" s="419">
        <v>24</v>
      </c>
      <c r="B31" s="419" t="s">
        <v>968</v>
      </c>
      <c r="C31" s="420" t="str">
        <f t="shared" si="0"/>
        <v>0块</v>
      </c>
      <c r="D31" s="419"/>
      <c r="E31" s="419"/>
      <c r="F31" s="419"/>
      <c r="G31" s="419"/>
      <c r="H31" s="1252"/>
      <c r="I31" s="1252"/>
    </row>
    <row r="32" spans="1:9" ht="17.100000000000001" customHeight="1">
      <c r="A32" s="419">
        <v>25</v>
      </c>
      <c r="B32" s="419" t="s">
        <v>969</v>
      </c>
      <c r="C32" s="420" t="str">
        <f t="shared" si="0"/>
        <v>0块</v>
      </c>
      <c r="D32" s="419"/>
      <c r="E32" s="419"/>
      <c r="F32" s="419"/>
      <c r="G32" s="419"/>
      <c r="H32" s="1252"/>
      <c r="I32" s="1252"/>
    </row>
    <row r="33" spans="1:9" ht="17.100000000000001" customHeight="1">
      <c r="A33" s="419">
        <v>26</v>
      </c>
      <c r="B33" s="419" t="s">
        <v>970</v>
      </c>
      <c r="C33" s="419" t="str">
        <f t="shared" si="0"/>
        <v>0块</v>
      </c>
      <c r="D33" s="419"/>
      <c r="E33" s="419"/>
      <c r="F33" s="419"/>
      <c r="G33" s="419"/>
      <c r="H33" s="1252"/>
      <c r="I33" s="1252"/>
    </row>
    <row r="34" spans="1:9" ht="17.100000000000001" customHeight="1">
      <c r="A34" s="419">
        <v>27</v>
      </c>
      <c r="B34" s="419" t="s">
        <v>971</v>
      </c>
      <c r="C34" s="419" t="str">
        <f t="shared" si="0"/>
        <v>0块</v>
      </c>
      <c r="D34" s="419"/>
      <c r="E34" s="419"/>
      <c r="F34" s="419"/>
      <c r="G34" s="419"/>
      <c r="H34" s="1252"/>
      <c r="I34" s="1252"/>
    </row>
    <row r="35" spans="1:9" ht="17.100000000000001" customHeight="1">
      <c r="A35" s="419">
        <v>28</v>
      </c>
      <c r="B35" s="419" t="s">
        <v>972</v>
      </c>
      <c r="C35" s="419" t="str">
        <f t="shared" si="0"/>
        <v>0块</v>
      </c>
      <c r="D35" s="419"/>
      <c r="E35" s="419"/>
      <c r="F35" s="419"/>
      <c r="G35" s="419"/>
      <c r="H35" s="1252"/>
      <c r="I35" s="1252"/>
    </row>
    <row r="36" spans="1:9" ht="17.100000000000001" customHeight="1">
      <c r="A36" s="419">
        <v>29</v>
      </c>
      <c r="B36" s="419" t="s">
        <v>973</v>
      </c>
      <c r="C36" s="419"/>
      <c r="D36" s="419"/>
      <c r="E36" s="419"/>
      <c r="F36" s="419"/>
      <c r="G36" s="419"/>
      <c r="H36" s="1252"/>
      <c r="I36" s="1252"/>
    </row>
    <row r="37" spans="1:9" ht="17.100000000000001" customHeight="1">
      <c r="A37" s="419">
        <v>30</v>
      </c>
      <c r="B37" s="419" t="s">
        <v>974</v>
      </c>
      <c r="C37" s="419"/>
      <c r="D37" s="419"/>
      <c r="E37" s="419"/>
      <c r="F37" s="419"/>
      <c r="G37" s="419"/>
      <c r="H37" s="1252"/>
      <c r="I37" s="1252"/>
    </row>
    <row r="38" spans="1:9" ht="17.100000000000001" customHeight="1">
      <c r="A38" s="419">
        <v>31</v>
      </c>
      <c r="B38" s="419" t="s">
        <v>975</v>
      </c>
      <c r="C38" s="419"/>
      <c r="D38" s="419"/>
      <c r="E38" s="419"/>
      <c r="F38" s="419"/>
      <c r="G38" s="419"/>
      <c r="H38" s="1252"/>
      <c r="I38" s="1252"/>
    </row>
    <row r="39" spans="1:9" ht="17.100000000000001" customHeight="1">
      <c r="A39" s="419">
        <v>32</v>
      </c>
      <c r="B39" s="419" t="s">
        <v>976</v>
      </c>
      <c r="C39" s="419"/>
      <c r="D39" s="419"/>
      <c r="E39" s="419"/>
      <c r="F39" s="419"/>
      <c r="G39" s="419"/>
      <c r="H39" s="1252"/>
      <c r="I39" s="1252"/>
    </row>
    <row r="40" spans="1:9" ht="17.100000000000001" customHeight="1">
      <c r="A40" s="419">
        <v>33</v>
      </c>
      <c r="B40" s="419" t="s">
        <v>977</v>
      </c>
      <c r="C40" s="419"/>
      <c r="D40" s="419"/>
      <c r="E40" s="419"/>
      <c r="F40" s="419"/>
      <c r="G40" s="419"/>
      <c r="H40" s="1252"/>
      <c r="I40" s="1252"/>
    </row>
    <row r="41" spans="1:9" ht="17.100000000000001" customHeight="1">
      <c r="A41" s="419">
        <v>34</v>
      </c>
      <c r="B41" s="419" t="s">
        <v>978</v>
      </c>
      <c r="C41" s="419"/>
      <c r="D41" s="419"/>
      <c r="E41" s="419"/>
      <c r="F41" s="419"/>
      <c r="G41" s="419"/>
      <c r="H41" s="1252"/>
      <c r="I41" s="1252"/>
    </row>
    <row r="42" spans="1:9" ht="17.100000000000001" customHeight="1">
      <c r="A42" s="419">
        <v>35</v>
      </c>
      <c r="B42" s="419" t="s">
        <v>979</v>
      </c>
      <c r="C42" s="419"/>
      <c r="D42" s="419"/>
      <c r="E42" s="419"/>
      <c r="F42" s="419"/>
      <c r="G42" s="419"/>
      <c r="H42" s="1252"/>
      <c r="I42" s="1252"/>
    </row>
    <row r="43" spans="1:9" ht="17.100000000000001" customHeight="1">
      <c r="A43" s="419">
        <v>36</v>
      </c>
      <c r="B43" s="419" t="s">
        <v>980</v>
      </c>
      <c r="C43" s="419"/>
      <c r="D43" s="419"/>
      <c r="E43" s="419"/>
      <c r="F43" s="419"/>
      <c r="G43" s="419"/>
      <c r="H43" s="1252"/>
      <c r="I43" s="1252"/>
    </row>
    <row r="44" spans="1:9" ht="17.100000000000001" customHeight="1">
      <c r="A44" s="419">
        <v>37</v>
      </c>
      <c r="B44" s="419" t="s">
        <v>981</v>
      </c>
      <c r="C44" s="419"/>
      <c r="D44" s="419"/>
      <c r="E44" s="419"/>
      <c r="F44" s="419"/>
      <c r="G44" s="419"/>
      <c r="H44" s="1252"/>
      <c r="I44" s="1252"/>
    </row>
    <row r="45" spans="1:9" ht="17.100000000000001" customHeight="1">
      <c r="A45" s="419">
        <v>38</v>
      </c>
      <c r="B45" s="419" t="s">
        <v>982</v>
      </c>
      <c r="C45" s="419"/>
      <c r="D45" s="419"/>
      <c r="E45" s="419"/>
      <c r="F45" s="419"/>
      <c r="G45" s="419"/>
      <c r="H45" s="1252"/>
      <c r="I45" s="1252"/>
    </row>
    <row r="46" spans="1:9" ht="17.100000000000001" customHeight="1">
      <c r="A46" s="419">
        <v>39</v>
      </c>
      <c r="B46" s="419" t="s">
        <v>983</v>
      </c>
      <c r="C46" s="419"/>
      <c r="D46" s="419"/>
      <c r="E46" s="419"/>
      <c r="F46" s="419"/>
      <c r="G46" s="419"/>
      <c r="H46" s="1252"/>
      <c r="I46" s="1252"/>
    </row>
    <row r="47" spans="1:9" ht="17.100000000000001" customHeight="1">
      <c r="A47" s="421"/>
      <c r="B47" s="417" t="s">
        <v>984</v>
      </c>
      <c r="C47" s="424" t="s">
        <v>1256</v>
      </c>
      <c r="D47" s="423"/>
      <c r="E47" s="422" t="s">
        <v>985</v>
      </c>
      <c r="F47" s="421"/>
      <c r="G47" s="421"/>
      <c r="H47" s="421"/>
    </row>
  </sheetData>
  <mergeCells count="51">
    <mergeCell ref="H45:I45"/>
    <mergeCell ref="H46:I46"/>
    <mergeCell ref="H39:I39"/>
    <mergeCell ref="H40:I40"/>
    <mergeCell ref="H41:I41"/>
    <mergeCell ref="H42:I42"/>
    <mergeCell ref="H43:I43"/>
    <mergeCell ref="H44:I44"/>
    <mergeCell ref="H38:I38"/>
    <mergeCell ref="H27:I27"/>
    <mergeCell ref="H28:I28"/>
    <mergeCell ref="H29:I29"/>
    <mergeCell ref="H30:I30"/>
    <mergeCell ref="H31:I31"/>
    <mergeCell ref="H32:I32"/>
    <mergeCell ref="H33:I33"/>
    <mergeCell ref="H34:I34"/>
    <mergeCell ref="H35:I35"/>
    <mergeCell ref="H36:I36"/>
    <mergeCell ref="H37:I37"/>
    <mergeCell ref="H26:I26"/>
    <mergeCell ref="H15:I15"/>
    <mergeCell ref="H16:I16"/>
    <mergeCell ref="H17:I17"/>
    <mergeCell ref="H18:I18"/>
    <mergeCell ref="H19:I19"/>
    <mergeCell ref="H20:I20"/>
    <mergeCell ref="H21:I21"/>
    <mergeCell ref="H22:I22"/>
    <mergeCell ref="H23:I23"/>
    <mergeCell ref="H24:I24"/>
    <mergeCell ref="H25:I25"/>
    <mergeCell ref="H14:I14"/>
    <mergeCell ref="B5:C5"/>
    <mergeCell ref="E5:F5"/>
    <mergeCell ref="H5:I5"/>
    <mergeCell ref="H6:I6"/>
    <mergeCell ref="H7:I7"/>
    <mergeCell ref="H8:I8"/>
    <mergeCell ref="H9:I9"/>
    <mergeCell ref="H10:I10"/>
    <mergeCell ref="H11:I11"/>
    <mergeCell ref="H12:I12"/>
    <mergeCell ref="H13:I13"/>
    <mergeCell ref="A1:I1"/>
    <mergeCell ref="B3:C3"/>
    <mergeCell ref="E3:F3"/>
    <mergeCell ref="H3:I3"/>
    <mergeCell ref="B4:C4"/>
    <mergeCell ref="E4:F4"/>
    <mergeCell ref="H4:I4"/>
  </mergeCells>
  <phoneticPr fontId="76"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xl/worksheets/sheet17.xml><?xml version="1.0" encoding="utf-8"?>
<worksheet xmlns="http://schemas.openxmlformats.org/spreadsheetml/2006/main" xmlns:r="http://schemas.openxmlformats.org/officeDocument/2006/relationships">
  <dimension ref="A1:AL754"/>
  <sheetViews>
    <sheetView zoomScaleSheetLayoutView="85" workbookViewId="0">
      <selection activeCell="F18" sqref="F18:H18"/>
    </sheetView>
  </sheetViews>
  <sheetFormatPr defaultRowHeight="14.25"/>
  <cols>
    <col min="1" max="1" width="8.125" style="297" customWidth="1"/>
    <col min="2" max="2" width="6.25" style="297" customWidth="1"/>
    <col min="3" max="3" width="6.375" style="297" customWidth="1"/>
    <col min="4" max="4" width="5.375" style="297" customWidth="1"/>
    <col min="5" max="5" width="5.875" style="297" customWidth="1"/>
    <col min="6" max="6" width="6.375" style="297" customWidth="1"/>
    <col min="7" max="7" width="5.75" style="297" customWidth="1"/>
    <col min="8" max="8" width="11.875" style="297" customWidth="1"/>
    <col min="9" max="9" width="8.5" style="297" customWidth="1"/>
    <col min="10" max="10" width="9" style="297"/>
    <col min="11" max="11" width="12.25" style="297" customWidth="1"/>
    <col min="12" max="12" width="11.625" style="298" bestFit="1" customWidth="1"/>
    <col min="13" max="13" width="11.625" style="299" customWidth="1"/>
    <col min="14" max="14" width="7.875" style="299" customWidth="1"/>
    <col min="15" max="17" width="7.75" style="299" customWidth="1"/>
    <col min="18" max="18" width="14.125" style="299" customWidth="1"/>
    <col min="19" max="38" width="9" style="300"/>
    <col min="39" max="256" width="9" style="297"/>
    <col min="257" max="257" width="8.125" style="297" customWidth="1"/>
    <col min="258" max="258" width="6.25" style="297" customWidth="1"/>
    <col min="259" max="259" width="6.375" style="297" customWidth="1"/>
    <col min="260" max="260" width="5.375" style="297" customWidth="1"/>
    <col min="261" max="261" width="5.875" style="297" customWidth="1"/>
    <col min="262" max="262" width="6.375" style="297" customWidth="1"/>
    <col min="263" max="263" width="5.75" style="297" customWidth="1"/>
    <col min="264" max="264" width="11.875" style="297" customWidth="1"/>
    <col min="265" max="265" width="8.5" style="297" customWidth="1"/>
    <col min="266" max="266" width="9" style="297"/>
    <col min="267" max="267" width="12.25" style="297" customWidth="1"/>
    <col min="268" max="268" width="11.625" style="297" bestFit="1" customWidth="1"/>
    <col min="269" max="269" width="11.625" style="297" customWidth="1"/>
    <col min="270" max="270" width="7.875" style="297" customWidth="1"/>
    <col min="271" max="273" width="7.75" style="297" customWidth="1"/>
    <col min="274" max="274" width="14.125" style="297" customWidth="1"/>
    <col min="275" max="512" width="9" style="297"/>
    <col min="513" max="513" width="8.125" style="297" customWidth="1"/>
    <col min="514" max="514" width="6.25" style="297" customWidth="1"/>
    <col min="515" max="515" width="6.375" style="297" customWidth="1"/>
    <col min="516" max="516" width="5.375" style="297" customWidth="1"/>
    <col min="517" max="517" width="5.875" style="297" customWidth="1"/>
    <col min="518" max="518" width="6.375" style="297" customWidth="1"/>
    <col min="519" max="519" width="5.75" style="297" customWidth="1"/>
    <col min="520" max="520" width="11.875" style="297" customWidth="1"/>
    <col min="521" max="521" width="8.5" style="297" customWidth="1"/>
    <col min="522" max="522" width="9" style="297"/>
    <col min="523" max="523" width="12.25" style="297" customWidth="1"/>
    <col min="524" max="524" width="11.625" style="297" bestFit="1" customWidth="1"/>
    <col min="525" max="525" width="11.625" style="297" customWidth="1"/>
    <col min="526" max="526" width="7.875" style="297" customWidth="1"/>
    <col min="527" max="529" width="7.75" style="297" customWidth="1"/>
    <col min="530" max="530" width="14.125" style="297" customWidth="1"/>
    <col min="531" max="768" width="9" style="297"/>
    <col min="769" max="769" width="8.125" style="297" customWidth="1"/>
    <col min="770" max="770" width="6.25" style="297" customWidth="1"/>
    <col min="771" max="771" width="6.375" style="297" customWidth="1"/>
    <col min="772" max="772" width="5.375" style="297" customWidth="1"/>
    <col min="773" max="773" width="5.875" style="297" customWidth="1"/>
    <col min="774" max="774" width="6.375" style="297" customWidth="1"/>
    <col min="775" max="775" width="5.75" style="297" customWidth="1"/>
    <col min="776" max="776" width="11.875" style="297" customWidth="1"/>
    <col min="777" max="777" width="8.5" style="297" customWidth="1"/>
    <col min="778" max="778" width="9" style="297"/>
    <col min="779" max="779" width="12.25" style="297" customWidth="1"/>
    <col min="780" max="780" width="11.625" style="297" bestFit="1" customWidth="1"/>
    <col min="781" max="781" width="11.625" style="297" customWidth="1"/>
    <col min="782" max="782" width="7.875" style="297" customWidth="1"/>
    <col min="783" max="785" width="7.75" style="297" customWidth="1"/>
    <col min="786" max="786" width="14.125" style="297" customWidth="1"/>
    <col min="787" max="1024" width="9" style="297"/>
    <col min="1025" max="1025" width="8.125" style="297" customWidth="1"/>
    <col min="1026" max="1026" width="6.25" style="297" customWidth="1"/>
    <col min="1027" max="1027" width="6.375" style="297" customWidth="1"/>
    <col min="1028" max="1028" width="5.375" style="297" customWidth="1"/>
    <col min="1029" max="1029" width="5.875" style="297" customWidth="1"/>
    <col min="1030" max="1030" width="6.375" style="297" customWidth="1"/>
    <col min="1031" max="1031" width="5.75" style="297" customWidth="1"/>
    <col min="1032" max="1032" width="11.875" style="297" customWidth="1"/>
    <col min="1033" max="1033" width="8.5" style="297" customWidth="1"/>
    <col min="1034" max="1034" width="9" style="297"/>
    <col min="1035" max="1035" width="12.25" style="297" customWidth="1"/>
    <col min="1036" max="1036" width="11.625" style="297" bestFit="1" customWidth="1"/>
    <col min="1037" max="1037" width="11.625" style="297" customWidth="1"/>
    <col min="1038" max="1038" width="7.875" style="297" customWidth="1"/>
    <col min="1039" max="1041" width="7.75" style="297" customWidth="1"/>
    <col min="1042" max="1042" width="14.125" style="297" customWidth="1"/>
    <col min="1043" max="1280" width="9" style="297"/>
    <col min="1281" max="1281" width="8.125" style="297" customWidth="1"/>
    <col min="1282" max="1282" width="6.25" style="297" customWidth="1"/>
    <col min="1283" max="1283" width="6.375" style="297" customWidth="1"/>
    <col min="1284" max="1284" width="5.375" style="297" customWidth="1"/>
    <col min="1285" max="1285" width="5.875" style="297" customWidth="1"/>
    <col min="1286" max="1286" width="6.375" style="297" customWidth="1"/>
    <col min="1287" max="1287" width="5.75" style="297" customWidth="1"/>
    <col min="1288" max="1288" width="11.875" style="297" customWidth="1"/>
    <col min="1289" max="1289" width="8.5" style="297" customWidth="1"/>
    <col min="1290" max="1290" width="9" style="297"/>
    <col min="1291" max="1291" width="12.25" style="297" customWidth="1"/>
    <col min="1292" max="1292" width="11.625" style="297" bestFit="1" customWidth="1"/>
    <col min="1293" max="1293" width="11.625" style="297" customWidth="1"/>
    <col min="1294" max="1294" width="7.875" style="297" customWidth="1"/>
    <col min="1295" max="1297" width="7.75" style="297" customWidth="1"/>
    <col min="1298" max="1298" width="14.125" style="297" customWidth="1"/>
    <col min="1299" max="1536" width="9" style="297"/>
    <col min="1537" max="1537" width="8.125" style="297" customWidth="1"/>
    <col min="1538" max="1538" width="6.25" style="297" customWidth="1"/>
    <col min="1539" max="1539" width="6.375" style="297" customWidth="1"/>
    <col min="1540" max="1540" width="5.375" style="297" customWidth="1"/>
    <col min="1541" max="1541" width="5.875" style="297" customWidth="1"/>
    <col min="1542" max="1542" width="6.375" style="297" customWidth="1"/>
    <col min="1543" max="1543" width="5.75" style="297" customWidth="1"/>
    <col min="1544" max="1544" width="11.875" style="297" customWidth="1"/>
    <col min="1545" max="1545" width="8.5" style="297" customWidth="1"/>
    <col min="1546" max="1546" width="9" style="297"/>
    <col min="1547" max="1547" width="12.25" style="297" customWidth="1"/>
    <col min="1548" max="1548" width="11.625" style="297" bestFit="1" customWidth="1"/>
    <col min="1549" max="1549" width="11.625" style="297" customWidth="1"/>
    <col min="1550" max="1550" width="7.875" style="297" customWidth="1"/>
    <col min="1551" max="1553" width="7.75" style="297" customWidth="1"/>
    <col min="1554" max="1554" width="14.125" style="297" customWidth="1"/>
    <col min="1555" max="1792" width="9" style="297"/>
    <col min="1793" max="1793" width="8.125" style="297" customWidth="1"/>
    <col min="1794" max="1794" width="6.25" style="297" customWidth="1"/>
    <col min="1795" max="1795" width="6.375" style="297" customWidth="1"/>
    <col min="1796" max="1796" width="5.375" style="297" customWidth="1"/>
    <col min="1797" max="1797" width="5.875" style="297" customWidth="1"/>
    <col min="1798" max="1798" width="6.375" style="297" customWidth="1"/>
    <col min="1799" max="1799" width="5.75" style="297" customWidth="1"/>
    <col min="1800" max="1800" width="11.875" style="297" customWidth="1"/>
    <col min="1801" max="1801" width="8.5" style="297" customWidth="1"/>
    <col min="1802" max="1802" width="9" style="297"/>
    <col min="1803" max="1803" width="12.25" style="297" customWidth="1"/>
    <col min="1804" max="1804" width="11.625" style="297" bestFit="1" customWidth="1"/>
    <col min="1805" max="1805" width="11.625" style="297" customWidth="1"/>
    <col min="1806" max="1806" width="7.875" style="297" customWidth="1"/>
    <col min="1807" max="1809" width="7.75" style="297" customWidth="1"/>
    <col min="1810" max="1810" width="14.125" style="297" customWidth="1"/>
    <col min="1811" max="2048" width="9" style="297"/>
    <col min="2049" max="2049" width="8.125" style="297" customWidth="1"/>
    <col min="2050" max="2050" width="6.25" style="297" customWidth="1"/>
    <col min="2051" max="2051" width="6.375" style="297" customWidth="1"/>
    <col min="2052" max="2052" width="5.375" style="297" customWidth="1"/>
    <col min="2053" max="2053" width="5.875" style="297" customWidth="1"/>
    <col min="2054" max="2054" width="6.375" style="297" customWidth="1"/>
    <col min="2055" max="2055" width="5.75" style="297" customWidth="1"/>
    <col min="2056" max="2056" width="11.875" style="297" customWidth="1"/>
    <col min="2057" max="2057" width="8.5" style="297" customWidth="1"/>
    <col min="2058" max="2058" width="9" style="297"/>
    <col min="2059" max="2059" width="12.25" style="297" customWidth="1"/>
    <col min="2060" max="2060" width="11.625" style="297" bestFit="1" customWidth="1"/>
    <col min="2061" max="2061" width="11.625" style="297" customWidth="1"/>
    <col min="2062" max="2062" width="7.875" style="297" customWidth="1"/>
    <col min="2063" max="2065" width="7.75" style="297" customWidth="1"/>
    <col min="2066" max="2066" width="14.125" style="297" customWidth="1"/>
    <col min="2067" max="2304" width="9" style="297"/>
    <col min="2305" max="2305" width="8.125" style="297" customWidth="1"/>
    <col min="2306" max="2306" width="6.25" style="297" customWidth="1"/>
    <col min="2307" max="2307" width="6.375" style="297" customWidth="1"/>
    <col min="2308" max="2308" width="5.375" style="297" customWidth="1"/>
    <col min="2309" max="2309" width="5.875" style="297" customWidth="1"/>
    <col min="2310" max="2310" width="6.375" style="297" customWidth="1"/>
    <col min="2311" max="2311" width="5.75" style="297" customWidth="1"/>
    <col min="2312" max="2312" width="11.875" style="297" customWidth="1"/>
    <col min="2313" max="2313" width="8.5" style="297" customWidth="1"/>
    <col min="2314" max="2314" width="9" style="297"/>
    <col min="2315" max="2315" width="12.25" style="297" customWidth="1"/>
    <col min="2316" max="2316" width="11.625" style="297" bestFit="1" customWidth="1"/>
    <col min="2317" max="2317" width="11.625" style="297" customWidth="1"/>
    <col min="2318" max="2318" width="7.875" style="297" customWidth="1"/>
    <col min="2319" max="2321" width="7.75" style="297" customWidth="1"/>
    <col min="2322" max="2322" width="14.125" style="297" customWidth="1"/>
    <col min="2323" max="2560" width="9" style="297"/>
    <col min="2561" max="2561" width="8.125" style="297" customWidth="1"/>
    <col min="2562" max="2562" width="6.25" style="297" customWidth="1"/>
    <col min="2563" max="2563" width="6.375" style="297" customWidth="1"/>
    <col min="2564" max="2564" width="5.375" style="297" customWidth="1"/>
    <col min="2565" max="2565" width="5.875" style="297" customWidth="1"/>
    <col min="2566" max="2566" width="6.375" style="297" customWidth="1"/>
    <col min="2567" max="2567" width="5.75" style="297" customWidth="1"/>
    <col min="2568" max="2568" width="11.875" style="297" customWidth="1"/>
    <col min="2569" max="2569" width="8.5" style="297" customWidth="1"/>
    <col min="2570" max="2570" width="9" style="297"/>
    <col min="2571" max="2571" width="12.25" style="297" customWidth="1"/>
    <col min="2572" max="2572" width="11.625" style="297" bestFit="1" customWidth="1"/>
    <col min="2573" max="2573" width="11.625" style="297" customWidth="1"/>
    <col min="2574" max="2574" width="7.875" style="297" customWidth="1"/>
    <col min="2575" max="2577" width="7.75" style="297" customWidth="1"/>
    <col min="2578" max="2578" width="14.125" style="297" customWidth="1"/>
    <col min="2579" max="2816" width="9" style="297"/>
    <col min="2817" max="2817" width="8.125" style="297" customWidth="1"/>
    <col min="2818" max="2818" width="6.25" style="297" customWidth="1"/>
    <col min="2819" max="2819" width="6.375" style="297" customWidth="1"/>
    <col min="2820" max="2820" width="5.375" style="297" customWidth="1"/>
    <col min="2821" max="2821" width="5.875" style="297" customWidth="1"/>
    <col min="2822" max="2822" width="6.375" style="297" customWidth="1"/>
    <col min="2823" max="2823" width="5.75" style="297" customWidth="1"/>
    <col min="2824" max="2824" width="11.875" style="297" customWidth="1"/>
    <col min="2825" max="2825" width="8.5" style="297" customWidth="1"/>
    <col min="2826" max="2826" width="9" style="297"/>
    <col min="2827" max="2827" width="12.25" style="297" customWidth="1"/>
    <col min="2828" max="2828" width="11.625" style="297" bestFit="1" customWidth="1"/>
    <col min="2829" max="2829" width="11.625" style="297" customWidth="1"/>
    <col min="2830" max="2830" width="7.875" style="297" customWidth="1"/>
    <col min="2831" max="2833" width="7.75" style="297" customWidth="1"/>
    <col min="2834" max="2834" width="14.125" style="297" customWidth="1"/>
    <col min="2835" max="3072" width="9" style="297"/>
    <col min="3073" max="3073" width="8.125" style="297" customWidth="1"/>
    <col min="3074" max="3074" width="6.25" style="297" customWidth="1"/>
    <col min="3075" max="3075" width="6.375" style="297" customWidth="1"/>
    <col min="3076" max="3076" width="5.375" style="297" customWidth="1"/>
    <col min="3077" max="3077" width="5.875" style="297" customWidth="1"/>
    <col min="3078" max="3078" width="6.375" style="297" customWidth="1"/>
    <col min="3079" max="3079" width="5.75" style="297" customWidth="1"/>
    <col min="3080" max="3080" width="11.875" style="297" customWidth="1"/>
    <col min="3081" max="3081" width="8.5" style="297" customWidth="1"/>
    <col min="3082" max="3082" width="9" style="297"/>
    <col min="3083" max="3083" width="12.25" style="297" customWidth="1"/>
    <col min="3084" max="3084" width="11.625" style="297" bestFit="1" customWidth="1"/>
    <col min="3085" max="3085" width="11.625" style="297" customWidth="1"/>
    <col min="3086" max="3086" width="7.875" style="297" customWidth="1"/>
    <col min="3087" max="3089" width="7.75" style="297" customWidth="1"/>
    <col min="3090" max="3090" width="14.125" style="297" customWidth="1"/>
    <col min="3091" max="3328" width="9" style="297"/>
    <col min="3329" max="3329" width="8.125" style="297" customWidth="1"/>
    <col min="3330" max="3330" width="6.25" style="297" customWidth="1"/>
    <col min="3331" max="3331" width="6.375" style="297" customWidth="1"/>
    <col min="3332" max="3332" width="5.375" style="297" customWidth="1"/>
    <col min="3333" max="3333" width="5.875" style="297" customWidth="1"/>
    <col min="3334" max="3334" width="6.375" style="297" customWidth="1"/>
    <col min="3335" max="3335" width="5.75" style="297" customWidth="1"/>
    <col min="3336" max="3336" width="11.875" style="297" customWidth="1"/>
    <col min="3337" max="3337" width="8.5" style="297" customWidth="1"/>
    <col min="3338" max="3338" width="9" style="297"/>
    <col min="3339" max="3339" width="12.25" style="297" customWidth="1"/>
    <col min="3340" max="3340" width="11.625" style="297" bestFit="1" customWidth="1"/>
    <col min="3341" max="3341" width="11.625" style="297" customWidth="1"/>
    <col min="3342" max="3342" width="7.875" style="297" customWidth="1"/>
    <col min="3343" max="3345" width="7.75" style="297" customWidth="1"/>
    <col min="3346" max="3346" width="14.125" style="297" customWidth="1"/>
    <col min="3347" max="3584" width="9" style="297"/>
    <col min="3585" max="3585" width="8.125" style="297" customWidth="1"/>
    <col min="3586" max="3586" width="6.25" style="297" customWidth="1"/>
    <col min="3587" max="3587" width="6.375" style="297" customWidth="1"/>
    <col min="3588" max="3588" width="5.375" style="297" customWidth="1"/>
    <col min="3589" max="3589" width="5.875" style="297" customWidth="1"/>
    <col min="3590" max="3590" width="6.375" style="297" customWidth="1"/>
    <col min="3591" max="3591" width="5.75" style="297" customWidth="1"/>
    <col min="3592" max="3592" width="11.875" style="297" customWidth="1"/>
    <col min="3593" max="3593" width="8.5" style="297" customWidth="1"/>
    <col min="3594" max="3594" width="9" style="297"/>
    <col min="3595" max="3595" width="12.25" style="297" customWidth="1"/>
    <col min="3596" max="3596" width="11.625" style="297" bestFit="1" customWidth="1"/>
    <col min="3597" max="3597" width="11.625" style="297" customWidth="1"/>
    <col min="3598" max="3598" width="7.875" style="297" customWidth="1"/>
    <col min="3599" max="3601" width="7.75" style="297" customWidth="1"/>
    <col min="3602" max="3602" width="14.125" style="297" customWidth="1"/>
    <col min="3603" max="3840" width="9" style="297"/>
    <col min="3841" max="3841" width="8.125" style="297" customWidth="1"/>
    <col min="3842" max="3842" width="6.25" style="297" customWidth="1"/>
    <col min="3843" max="3843" width="6.375" style="297" customWidth="1"/>
    <col min="3844" max="3844" width="5.375" style="297" customWidth="1"/>
    <col min="3845" max="3845" width="5.875" style="297" customWidth="1"/>
    <col min="3846" max="3846" width="6.375" style="297" customWidth="1"/>
    <col min="3847" max="3847" width="5.75" style="297" customWidth="1"/>
    <col min="3848" max="3848" width="11.875" style="297" customWidth="1"/>
    <col min="3849" max="3849" width="8.5" style="297" customWidth="1"/>
    <col min="3850" max="3850" width="9" style="297"/>
    <col min="3851" max="3851" width="12.25" style="297" customWidth="1"/>
    <col min="3852" max="3852" width="11.625" style="297" bestFit="1" customWidth="1"/>
    <col min="3853" max="3853" width="11.625" style="297" customWidth="1"/>
    <col min="3854" max="3854" width="7.875" style="297" customWidth="1"/>
    <col min="3855" max="3857" width="7.75" style="297" customWidth="1"/>
    <col min="3858" max="3858" width="14.125" style="297" customWidth="1"/>
    <col min="3859" max="4096" width="9" style="297"/>
    <col min="4097" max="4097" width="8.125" style="297" customWidth="1"/>
    <col min="4098" max="4098" width="6.25" style="297" customWidth="1"/>
    <col min="4099" max="4099" width="6.375" style="297" customWidth="1"/>
    <col min="4100" max="4100" width="5.375" style="297" customWidth="1"/>
    <col min="4101" max="4101" width="5.875" style="297" customWidth="1"/>
    <col min="4102" max="4102" width="6.375" style="297" customWidth="1"/>
    <col min="4103" max="4103" width="5.75" style="297" customWidth="1"/>
    <col min="4104" max="4104" width="11.875" style="297" customWidth="1"/>
    <col min="4105" max="4105" width="8.5" style="297" customWidth="1"/>
    <col min="4106" max="4106" width="9" style="297"/>
    <col min="4107" max="4107" width="12.25" style="297" customWidth="1"/>
    <col min="4108" max="4108" width="11.625" style="297" bestFit="1" customWidth="1"/>
    <col min="4109" max="4109" width="11.625" style="297" customWidth="1"/>
    <col min="4110" max="4110" width="7.875" style="297" customWidth="1"/>
    <col min="4111" max="4113" width="7.75" style="297" customWidth="1"/>
    <col min="4114" max="4114" width="14.125" style="297" customWidth="1"/>
    <col min="4115" max="4352" width="9" style="297"/>
    <col min="4353" max="4353" width="8.125" style="297" customWidth="1"/>
    <col min="4354" max="4354" width="6.25" style="297" customWidth="1"/>
    <col min="4355" max="4355" width="6.375" style="297" customWidth="1"/>
    <col min="4356" max="4356" width="5.375" style="297" customWidth="1"/>
    <col min="4357" max="4357" width="5.875" style="297" customWidth="1"/>
    <col min="4358" max="4358" width="6.375" style="297" customWidth="1"/>
    <col min="4359" max="4359" width="5.75" style="297" customWidth="1"/>
    <col min="4360" max="4360" width="11.875" style="297" customWidth="1"/>
    <col min="4361" max="4361" width="8.5" style="297" customWidth="1"/>
    <col min="4362" max="4362" width="9" style="297"/>
    <col min="4363" max="4363" width="12.25" style="297" customWidth="1"/>
    <col min="4364" max="4364" width="11.625" style="297" bestFit="1" customWidth="1"/>
    <col min="4365" max="4365" width="11.625" style="297" customWidth="1"/>
    <col min="4366" max="4366" width="7.875" style="297" customWidth="1"/>
    <col min="4367" max="4369" width="7.75" style="297" customWidth="1"/>
    <col min="4370" max="4370" width="14.125" style="297" customWidth="1"/>
    <col min="4371" max="4608" width="9" style="297"/>
    <col min="4609" max="4609" width="8.125" style="297" customWidth="1"/>
    <col min="4610" max="4610" width="6.25" style="297" customWidth="1"/>
    <col min="4611" max="4611" width="6.375" style="297" customWidth="1"/>
    <col min="4612" max="4612" width="5.375" style="297" customWidth="1"/>
    <col min="4613" max="4613" width="5.875" style="297" customWidth="1"/>
    <col min="4614" max="4614" width="6.375" style="297" customWidth="1"/>
    <col min="4615" max="4615" width="5.75" style="297" customWidth="1"/>
    <col min="4616" max="4616" width="11.875" style="297" customWidth="1"/>
    <col min="4617" max="4617" width="8.5" style="297" customWidth="1"/>
    <col min="4618" max="4618" width="9" style="297"/>
    <col min="4619" max="4619" width="12.25" style="297" customWidth="1"/>
    <col min="4620" max="4620" width="11.625" style="297" bestFit="1" customWidth="1"/>
    <col min="4621" max="4621" width="11.625" style="297" customWidth="1"/>
    <col min="4622" max="4622" width="7.875" style="297" customWidth="1"/>
    <col min="4623" max="4625" width="7.75" style="297" customWidth="1"/>
    <col min="4626" max="4626" width="14.125" style="297" customWidth="1"/>
    <col min="4627" max="4864" width="9" style="297"/>
    <col min="4865" max="4865" width="8.125" style="297" customWidth="1"/>
    <col min="4866" max="4866" width="6.25" style="297" customWidth="1"/>
    <col min="4867" max="4867" width="6.375" style="297" customWidth="1"/>
    <col min="4868" max="4868" width="5.375" style="297" customWidth="1"/>
    <col min="4869" max="4869" width="5.875" style="297" customWidth="1"/>
    <col min="4870" max="4870" width="6.375" style="297" customWidth="1"/>
    <col min="4871" max="4871" width="5.75" style="297" customWidth="1"/>
    <col min="4872" max="4872" width="11.875" style="297" customWidth="1"/>
    <col min="4873" max="4873" width="8.5" style="297" customWidth="1"/>
    <col min="4874" max="4874" width="9" style="297"/>
    <col min="4875" max="4875" width="12.25" style="297" customWidth="1"/>
    <col min="4876" max="4876" width="11.625" style="297" bestFit="1" customWidth="1"/>
    <col min="4877" max="4877" width="11.625" style="297" customWidth="1"/>
    <col min="4878" max="4878" width="7.875" style="297" customWidth="1"/>
    <col min="4879" max="4881" width="7.75" style="297" customWidth="1"/>
    <col min="4882" max="4882" width="14.125" style="297" customWidth="1"/>
    <col min="4883" max="5120" width="9" style="297"/>
    <col min="5121" max="5121" width="8.125" style="297" customWidth="1"/>
    <col min="5122" max="5122" width="6.25" style="297" customWidth="1"/>
    <col min="5123" max="5123" width="6.375" style="297" customWidth="1"/>
    <col min="5124" max="5124" width="5.375" style="297" customWidth="1"/>
    <col min="5125" max="5125" width="5.875" style="297" customWidth="1"/>
    <col min="5126" max="5126" width="6.375" style="297" customWidth="1"/>
    <col min="5127" max="5127" width="5.75" style="297" customWidth="1"/>
    <col min="5128" max="5128" width="11.875" style="297" customWidth="1"/>
    <col min="5129" max="5129" width="8.5" style="297" customWidth="1"/>
    <col min="5130" max="5130" width="9" style="297"/>
    <col min="5131" max="5131" width="12.25" style="297" customWidth="1"/>
    <col min="5132" max="5132" width="11.625" style="297" bestFit="1" customWidth="1"/>
    <col min="5133" max="5133" width="11.625" style="297" customWidth="1"/>
    <col min="5134" max="5134" width="7.875" style="297" customWidth="1"/>
    <col min="5135" max="5137" width="7.75" style="297" customWidth="1"/>
    <col min="5138" max="5138" width="14.125" style="297" customWidth="1"/>
    <col min="5139" max="5376" width="9" style="297"/>
    <col min="5377" max="5377" width="8.125" style="297" customWidth="1"/>
    <col min="5378" max="5378" width="6.25" style="297" customWidth="1"/>
    <col min="5379" max="5379" width="6.375" style="297" customWidth="1"/>
    <col min="5380" max="5380" width="5.375" style="297" customWidth="1"/>
    <col min="5381" max="5381" width="5.875" style="297" customWidth="1"/>
    <col min="5382" max="5382" width="6.375" style="297" customWidth="1"/>
    <col min="5383" max="5383" width="5.75" style="297" customWidth="1"/>
    <col min="5384" max="5384" width="11.875" style="297" customWidth="1"/>
    <col min="5385" max="5385" width="8.5" style="297" customWidth="1"/>
    <col min="5386" max="5386" width="9" style="297"/>
    <col min="5387" max="5387" width="12.25" style="297" customWidth="1"/>
    <col min="5388" max="5388" width="11.625" style="297" bestFit="1" customWidth="1"/>
    <col min="5389" max="5389" width="11.625" style="297" customWidth="1"/>
    <col min="5390" max="5390" width="7.875" style="297" customWidth="1"/>
    <col min="5391" max="5393" width="7.75" style="297" customWidth="1"/>
    <col min="5394" max="5394" width="14.125" style="297" customWidth="1"/>
    <col min="5395" max="5632" width="9" style="297"/>
    <col min="5633" max="5633" width="8.125" style="297" customWidth="1"/>
    <col min="5634" max="5634" width="6.25" style="297" customWidth="1"/>
    <col min="5635" max="5635" width="6.375" style="297" customWidth="1"/>
    <col min="5636" max="5636" width="5.375" style="297" customWidth="1"/>
    <col min="5637" max="5637" width="5.875" style="297" customWidth="1"/>
    <col min="5638" max="5638" width="6.375" style="297" customWidth="1"/>
    <col min="5639" max="5639" width="5.75" style="297" customWidth="1"/>
    <col min="5640" max="5640" width="11.875" style="297" customWidth="1"/>
    <col min="5641" max="5641" width="8.5" style="297" customWidth="1"/>
    <col min="5642" max="5642" width="9" style="297"/>
    <col min="5643" max="5643" width="12.25" style="297" customWidth="1"/>
    <col min="5644" max="5644" width="11.625" style="297" bestFit="1" customWidth="1"/>
    <col min="5645" max="5645" width="11.625" style="297" customWidth="1"/>
    <col min="5646" max="5646" width="7.875" style="297" customWidth="1"/>
    <col min="5647" max="5649" width="7.75" style="297" customWidth="1"/>
    <col min="5650" max="5650" width="14.125" style="297" customWidth="1"/>
    <col min="5651" max="5888" width="9" style="297"/>
    <col min="5889" max="5889" width="8.125" style="297" customWidth="1"/>
    <col min="5890" max="5890" width="6.25" style="297" customWidth="1"/>
    <col min="5891" max="5891" width="6.375" style="297" customWidth="1"/>
    <col min="5892" max="5892" width="5.375" style="297" customWidth="1"/>
    <col min="5893" max="5893" width="5.875" style="297" customWidth="1"/>
    <col min="5894" max="5894" width="6.375" style="297" customWidth="1"/>
    <col min="5895" max="5895" width="5.75" style="297" customWidth="1"/>
    <col min="5896" max="5896" width="11.875" style="297" customWidth="1"/>
    <col min="5897" max="5897" width="8.5" style="297" customWidth="1"/>
    <col min="5898" max="5898" width="9" style="297"/>
    <col min="5899" max="5899" width="12.25" style="297" customWidth="1"/>
    <col min="5900" max="5900" width="11.625" style="297" bestFit="1" customWidth="1"/>
    <col min="5901" max="5901" width="11.625" style="297" customWidth="1"/>
    <col min="5902" max="5902" width="7.875" style="297" customWidth="1"/>
    <col min="5903" max="5905" width="7.75" style="297" customWidth="1"/>
    <col min="5906" max="5906" width="14.125" style="297" customWidth="1"/>
    <col min="5907" max="6144" width="9" style="297"/>
    <col min="6145" max="6145" width="8.125" style="297" customWidth="1"/>
    <col min="6146" max="6146" width="6.25" style="297" customWidth="1"/>
    <col min="6147" max="6147" width="6.375" style="297" customWidth="1"/>
    <col min="6148" max="6148" width="5.375" style="297" customWidth="1"/>
    <col min="6149" max="6149" width="5.875" style="297" customWidth="1"/>
    <col min="6150" max="6150" width="6.375" style="297" customWidth="1"/>
    <col min="6151" max="6151" width="5.75" style="297" customWidth="1"/>
    <col min="6152" max="6152" width="11.875" style="297" customWidth="1"/>
    <col min="6153" max="6153" width="8.5" style="297" customWidth="1"/>
    <col min="6154" max="6154" width="9" style="297"/>
    <col min="6155" max="6155" width="12.25" style="297" customWidth="1"/>
    <col min="6156" max="6156" width="11.625" style="297" bestFit="1" customWidth="1"/>
    <col min="6157" max="6157" width="11.625" style="297" customWidth="1"/>
    <col min="6158" max="6158" width="7.875" style="297" customWidth="1"/>
    <col min="6159" max="6161" width="7.75" style="297" customWidth="1"/>
    <col min="6162" max="6162" width="14.125" style="297" customWidth="1"/>
    <col min="6163" max="6400" width="9" style="297"/>
    <col min="6401" max="6401" width="8.125" style="297" customWidth="1"/>
    <col min="6402" max="6402" width="6.25" style="297" customWidth="1"/>
    <col min="6403" max="6403" width="6.375" style="297" customWidth="1"/>
    <col min="6404" max="6404" width="5.375" style="297" customWidth="1"/>
    <col min="6405" max="6405" width="5.875" style="297" customWidth="1"/>
    <col min="6406" max="6406" width="6.375" style="297" customWidth="1"/>
    <col min="6407" max="6407" width="5.75" style="297" customWidth="1"/>
    <col min="6408" max="6408" width="11.875" style="297" customWidth="1"/>
    <col min="6409" max="6409" width="8.5" style="297" customWidth="1"/>
    <col min="6410" max="6410" width="9" style="297"/>
    <col min="6411" max="6411" width="12.25" style="297" customWidth="1"/>
    <col min="6412" max="6412" width="11.625" style="297" bestFit="1" customWidth="1"/>
    <col min="6413" max="6413" width="11.625" style="297" customWidth="1"/>
    <col min="6414" max="6414" width="7.875" style="297" customWidth="1"/>
    <col min="6415" max="6417" width="7.75" style="297" customWidth="1"/>
    <col min="6418" max="6418" width="14.125" style="297" customWidth="1"/>
    <col min="6419" max="6656" width="9" style="297"/>
    <col min="6657" max="6657" width="8.125" style="297" customWidth="1"/>
    <col min="6658" max="6658" width="6.25" style="297" customWidth="1"/>
    <col min="6659" max="6659" width="6.375" style="297" customWidth="1"/>
    <col min="6660" max="6660" width="5.375" style="297" customWidth="1"/>
    <col min="6661" max="6661" width="5.875" style="297" customWidth="1"/>
    <col min="6662" max="6662" width="6.375" style="297" customWidth="1"/>
    <col min="6663" max="6663" width="5.75" style="297" customWidth="1"/>
    <col min="6664" max="6664" width="11.875" style="297" customWidth="1"/>
    <col min="6665" max="6665" width="8.5" style="297" customWidth="1"/>
    <col min="6666" max="6666" width="9" style="297"/>
    <col min="6667" max="6667" width="12.25" style="297" customWidth="1"/>
    <col min="6668" max="6668" width="11.625" style="297" bestFit="1" customWidth="1"/>
    <col min="6669" max="6669" width="11.625" style="297" customWidth="1"/>
    <col min="6670" max="6670" width="7.875" style="297" customWidth="1"/>
    <col min="6671" max="6673" width="7.75" style="297" customWidth="1"/>
    <col min="6674" max="6674" width="14.125" style="297" customWidth="1"/>
    <col min="6675" max="6912" width="9" style="297"/>
    <col min="6913" max="6913" width="8.125" style="297" customWidth="1"/>
    <col min="6914" max="6914" width="6.25" style="297" customWidth="1"/>
    <col min="6915" max="6915" width="6.375" style="297" customWidth="1"/>
    <col min="6916" max="6916" width="5.375" style="297" customWidth="1"/>
    <col min="6917" max="6917" width="5.875" style="297" customWidth="1"/>
    <col min="6918" max="6918" width="6.375" style="297" customWidth="1"/>
    <col min="6919" max="6919" width="5.75" style="297" customWidth="1"/>
    <col min="6920" max="6920" width="11.875" style="297" customWidth="1"/>
    <col min="6921" max="6921" width="8.5" style="297" customWidth="1"/>
    <col min="6922" max="6922" width="9" style="297"/>
    <col min="6923" max="6923" width="12.25" style="297" customWidth="1"/>
    <col min="6924" max="6924" width="11.625" style="297" bestFit="1" customWidth="1"/>
    <col min="6925" max="6925" width="11.625" style="297" customWidth="1"/>
    <col min="6926" max="6926" width="7.875" style="297" customWidth="1"/>
    <col min="6927" max="6929" width="7.75" style="297" customWidth="1"/>
    <col min="6930" max="6930" width="14.125" style="297" customWidth="1"/>
    <col min="6931" max="7168" width="9" style="297"/>
    <col min="7169" max="7169" width="8.125" style="297" customWidth="1"/>
    <col min="7170" max="7170" width="6.25" style="297" customWidth="1"/>
    <col min="7171" max="7171" width="6.375" style="297" customWidth="1"/>
    <col min="7172" max="7172" width="5.375" style="297" customWidth="1"/>
    <col min="7173" max="7173" width="5.875" style="297" customWidth="1"/>
    <col min="7174" max="7174" width="6.375" style="297" customWidth="1"/>
    <col min="7175" max="7175" width="5.75" style="297" customWidth="1"/>
    <col min="7176" max="7176" width="11.875" style="297" customWidth="1"/>
    <col min="7177" max="7177" width="8.5" style="297" customWidth="1"/>
    <col min="7178" max="7178" width="9" style="297"/>
    <col min="7179" max="7179" width="12.25" style="297" customWidth="1"/>
    <col min="7180" max="7180" width="11.625" style="297" bestFit="1" customWidth="1"/>
    <col min="7181" max="7181" width="11.625" style="297" customWidth="1"/>
    <col min="7182" max="7182" width="7.875" style="297" customWidth="1"/>
    <col min="7183" max="7185" width="7.75" style="297" customWidth="1"/>
    <col min="7186" max="7186" width="14.125" style="297" customWidth="1"/>
    <col min="7187" max="7424" width="9" style="297"/>
    <col min="7425" max="7425" width="8.125" style="297" customWidth="1"/>
    <col min="7426" max="7426" width="6.25" style="297" customWidth="1"/>
    <col min="7427" max="7427" width="6.375" style="297" customWidth="1"/>
    <col min="7428" max="7428" width="5.375" style="297" customWidth="1"/>
    <col min="7429" max="7429" width="5.875" style="297" customWidth="1"/>
    <col min="7430" max="7430" width="6.375" style="297" customWidth="1"/>
    <col min="7431" max="7431" width="5.75" style="297" customWidth="1"/>
    <col min="7432" max="7432" width="11.875" style="297" customWidth="1"/>
    <col min="7433" max="7433" width="8.5" style="297" customWidth="1"/>
    <col min="7434" max="7434" width="9" style="297"/>
    <col min="7435" max="7435" width="12.25" style="297" customWidth="1"/>
    <col min="7436" max="7436" width="11.625" style="297" bestFit="1" customWidth="1"/>
    <col min="7437" max="7437" width="11.625" style="297" customWidth="1"/>
    <col min="7438" max="7438" width="7.875" style="297" customWidth="1"/>
    <col min="7439" max="7441" width="7.75" style="297" customWidth="1"/>
    <col min="7442" max="7442" width="14.125" style="297" customWidth="1"/>
    <col min="7443" max="7680" width="9" style="297"/>
    <col min="7681" max="7681" width="8.125" style="297" customWidth="1"/>
    <col min="7682" max="7682" width="6.25" style="297" customWidth="1"/>
    <col min="7683" max="7683" width="6.375" style="297" customWidth="1"/>
    <col min="7684" max="7684" width="5.375" style="297" customWidth="1"/>
    <col min="7685" max="7685" width="5.875" style="297" customWidth="1"/>
    <col min="7686" max="7686" width="6.375" style="297" customWidth="1"/>
    <col min="7687" max="7687" width="5.75" style="297" customWidth="1"/>
    <col min="7688" max="7688" width="11.875" style="297" customWidth="1"/>
    <col min="7689" max="7689" width="8.5" style="297" customWidth="1"/>
    <col min="7690" max="7690" width="9" style="297"/>
    <col min="7691" max="7691" width="12.25" style="297" customWidth="1"/>
    <col min="7692" max="7692" width="11.625" style="297" bestFit="1" customWidth="1"/>
    <col min="7693" max="7693" width="11.625" style="297" customWidth="1"/>
    <col min="7694" max="7694" width="7.875" style="297" customWidth="1"/>
    <col min="7695" max="7697" width="7.75" style="297" customWidth="1"/>
    <col min="7698" max="7698" width="14.125" style="297" customWidth="1"/>
    <col min="7699" max="7936" width="9" style="297"/>
    <col min="7937" max="7937" width="8.125" style="297" customWidth="1"/>
    <col min="7938" max="7938" width="6.25" style="297" customWidth="1"/>
    <col min="7939" max="7939" width="6.375" style="297" customWidth="1"/>
    <col min="7940" max="7940" width="5.375" style="297" customWidth="1"/>
    <col min="7941" max="7941" width="5.875" style="297" customWidth="1"/>
    <col min="7942" max="7942" width="6.375" style="297" customWidth="1"/>
    <col min="7943" max="7943" width="5.75" style="297" customWidth="1"/>
    <col min="7944" max="7944" width="11.875" style="297" customWidth="1"/>
    <col min="7945" max="7945" width="8.5" style="297" customWidth="1"/>
    <col min="7946" max="7946" width="9" style="297"/>
    <col min="7947" max="7947" width="12.25" style="297" customWidth="1"/>
    <col min="7948" max="7948" width="11.625" style="297" bestFit="1" customWidth="1"/>
    <col min="7949" max="7949" width="11.625" style="297" customWidth="1"/>
    <col min="7950" max="7950" width="7.875" style="297" customWidth="1"/>
    <col min="7951" max="7953" width="7.75" style="297" customWidth="1"/>
    <col min="7954" max="7954" width="14.125" style="297" customWidth="1"/>
    <col min="7955" max="8192" width="9" style="297"/>
    <col min="8193" max="8193" width="8.125" style="297" customWidth="1"/>
    <col min="8194" max="8194" width="6.25" style="297" customWidth="1"/>
    <col min="8195" max="8195" width="6.375" style="297" customWidth="1"/>
    <col min="8196" max="8196" width="5.375" style="297" customWidth="1"/>
    <col min="8197" max="8197" width="5.875" style="297" customWidth="1"/>
    <col min="8198" max="8198" width="6.375" style="297" customWidth="1"/>
    <col min="8199" max="8199" width="5.75" style="297" customWidth="1"/>
    <col min="8200" max="8200" width="11.875" style="297" customWidth="1"/>
    <col min="8201" max="8201" width="8.5" style="297" customWidth="1"/>
    <col min="8202" max="8202" width="9" style="297"/>
    <col min="8203" max="8203" width="12.25" style="297" customWidth="1"/>
    <col min="8204" max="8204" width="11.625" style="297" bestFit="1" customWidth="1"/>
    <col min="8205" max="8205" width="11.625" style="297" customWidth="1"/>
    <col min="8206" max="8206" width="7.875" style="297" customWidth="1"/>
    <col min="8207" max="8209" width="7.75" style="297" customWidth="1"/>
    <col min="8210" max="8210" width="14.125" style="297" customWidth="1"/>
    <col min="8211" max="8448" width="9" style="297"/>
    <col min="8449" max="8449" width="8.125" style="297" customWidth="1"/>
    <col min="8450" max="8450" width="6.25" style="297" customWidth="1"/>
    <col min="8451" max="8451" width="6.375" style="297" customWidth="1"/>
    <col min="8452" max="8452" width="5.375" style="297" customWidth="1"/>
    <col min="8453" max="8453" width="5.875" style="297" customWidth="1"/>
    <col min="8454" max="8454" width="6.375" style="297" customWidth="1"/>
    <col min="8455" max="8455" width="5.75" style="297" customWidth="1"/>
    <col min="8456" max="8456" width="11.875" style="297" customWidth="1"/>
    <col min="8457" max="8457" width="8.5" style="297" customWidth="1"/>
    <col min="8458" max="8458" width="9" style="297"/>
    <col min="8459" max="8459" width="12.25" style="297" customWidth="1"/>
    <col min="8460" max="8460" width="11.625" style="297" bestFit="1" customWidth="1"/>
    <col min="8461" max="8461" width="11.625" style="297" customWidth="1"/>
    <col min="8462" max="8462" width="7.875" style="297" customWidth="1"/>
    <col min="8463" max="8465" width="7.75" style="297" customWidth="1"/>
    <col min="8466" max="8466" width="14.125" style="297" customWidth="1"/>
    <col min="8467" max="8704" width="9" style="297"/>
    <col min="8705" max="8705" width="8.125" style="297" customWidth="1"/>
    <col min="8706" max="8706" width="6.25" style="297" customWidth="1"/>
    <col min="8707" max="8707" width="6.375" style="297" customWidth="1"/>
    <col min="8708" max="8708" width="5.375" style="297" customWidth="1"/>
    <col min="8709" max="8709" width="5.875" style="297" customWidth="1"/>
    <col min="8710" max="8710" width="6.375" style="297" customWidth="1"/>
    <col min="8711" max="8711" width="5.75" style="297" customWidth="1"/>
    <col min="8712" max="8712" width="11.875" style="297" customWidth="1"/>
    <col min="8713" max="8713" width="8.5" style="297" customWidth="1"/>
    <col min="8714" max="8714" width="9" style="297"/>
    <col min="8715" max="8715" width="12.25" style="297" customWidth="1"/>
    <col min="8716" max="8716" width="11.625" style="297" bestFit="1" customWidth="1"/>
    <col min="8717" max="8717" width="11.625" style="297" customWidth="1"/>
    <col min="8718" max="8718" width="7.875" style="297" customWidth="1"/>
    <col min="8719" max="8721" width="7.75" style="297" customWidth="1"/>
    <col min="8722" max="8722" width="14.125" style="297" customWidth="1"/>
    <col min="8723" max="8960" width="9" style="297"/>
    <col min="8961" max="8961" width="8.125" style="297" customWidth="1"/>
    <col min="8962" max="8962" width="6.25" style="297" customWidth="1"/>
    <col min="8963" max="8963" width="6.375" style="297" customWidth="1"/>
    <col min="8964" max="8964" width="5.375" style="297" customWidth="1"/>
    <col min="8965" max="8965" width="5.875" style="297" customWidth="1"/>
    <col min="8966" max="8966" width="6.375" style="297" customWidth="1"/>
    <col min="8967" max="8967" width="5.75" style="297" customWidth="1"/>
    <col min="8968" max="8968" width="11.875" style="297" customWidth="1"/>
    <col min="8969" max="8969" width="8.5" style="297" customWidth="1"/>
    <col min="8970" max="8970" width="9" style="297"/>
    <col min="8971" max="8971" width="12.25" style="297" customWidth="1"/>
    <col min="8972" max="8972" width="11.625" style="297" bestFit="1" customWidth="1"/>
    <col min="8973" max="8973" width="11.625" style="297" customWidth="1"/>
    <col min="8974" max="8974" width="7.875" style="297" customWidth="1"/>
    <col min="8975" max="8977" width="7.75" style="297" customWidth="1"/>
    <col min="8978" max="8978" width="14.125" style="297" customWidth="1"/>
    <col min="8979" max="9216" width="9" style="297"/>
    <col min="9217" max="9217" width="8.125" style="297" customWidth="1"/>
    <col min="9218" max="9218" width="6.25" style="297" customWidth="1"/>
    <col min="9219" max="9219" width="6.375" style="297" customWidth="1"/>
    <col min="9220" max="9220" width="5.375" style="297" customWidth="1"/>
    <col min="9221" max="9221" width="5.875" style="297" customWidth="1"/>
    <col min="9222" max="9222" width="6.375" style="297" customWidth="1"/>
    <col min="9223" max="9223" width="5.75" style="297" customWidth="1"/>
    <col min="9224" max="9224" width="11.875" style="297" customWidth="1"/>
    <col min="9225" max="9225" width="8.5" style="297" customWidth="1"/>
    <col min="9226" max="9226" width="9" style="297"/>
    <col min="9227" max="9227" width="12.25" style="297" customWidth="1"/>
    <col min="9228" max="9228" width="11.625" style="297" bestFit="1" customWidth="1"/>
    <col min="9229" max="9229" width="11.625" style="297" customWidth="1"/>
    <col min="9230" max="9230" width="7.875" style="297" customWidth="1"/>
    <col min="9231" max="9233" width="7.75" style="297" customWidth="1"/>
    <col min="9234" max="9234" width="14.125" style="297" customWidth="1"/>
    <col min="9235" max="9472" width="9" style="297"/>
    <col min="9473" max="9473" width="8.125" style="297" customWidth="1"/>
    <col min="9474" max="9474" width="6.25" style="297" customWidth="1"/>
    <col min="9475" max="9475" width="6.375" style="297" customWidth="1"/>
    <col min="9476" max="9476" width="5.375" style="297" customWidth="1"/>
    <col min="9477" max="9477" width="5.875" style="297" customWidth="1"/>
    <col min="9478" max="9478" width="6.375" style="297" customWidth="1"/>
    <col min="9479" max="9479" width="5.75" style="297" customWidth="1"/>
    <col min="9480" max="9480" width="11.875" style="297" customWidth="1"/>
    <col min="9481" max="9481" width="8.5" style="297" customWidth="1"/>
    <col min="9482" max="9482" width="9" style="297"/>
    <col min="9483" max="9483" width="12.25" style="297" customWidth="1"/>
    <col min="9484" max="9484" width="11.625" style="297" bestFit="1" customWidth="1"/>
    <col min="9485" max="9485" width="11.625" style="297" customWidth="1"/>
    <col min="9486" max="9486" width="7.875" style="297" customWidth="1"/>
    <col min="9487" max="9489" width="7.75" style="297" customWidth="1"/>
    <col min="9490" max="9490" width="14.125" style="297" customWidth="1"/>
    <col min="9491" max="9728" width="9" style="297"/>
    <col min="9729" max="9729" width="8.125" style="297" customWidth="1"/>
    <col min="9730" max="9730" width="6.25" style="297" customWidth="1"/>
    <col min="9731" max="9731" width="6.375" style="297" customWidth="1"/>
    <col min="9732" max="9732" width="5.375" style="297" customWidth="1"/>
    <col min="9733" max="9733" width="5.875" style="297" customWidth="1"/>
    <col min="9734" max="9734" width="6.375" style="297" customWidth="1"/>
    <col min="9735" max="9735" width="5.75" style="297" customWidth="1"/>
    <col min="9736" max="9736" width="11.875" style="297" customWidth="1"/>
    <col min="9737" max="9737" width="8.5" style="297" customWidth="1"/>
    <col min="9738" max="9738" width="9" style="297"/>
    <col min="9739" max="9739" width="12.25" style="297" customWidth="1"/>
    <col min="9740" max="9740" width="11.625" style="297" bestFit="1" customWidth="1"/>
    <col min="9741" max="9741" width="11.625" style="297" customWidth="1"/>
    <col min="9742" max="9742" width="7.875" style="297" customWidth="1"/>
    <col min="9743" max="9745" width="7.75" style="297" customWidth="1"/>
    <col min="9746" max="9746" width="14.125" style="297" customWidth="1"/>
    <col min="9747" max="9984" width="9" style="297"/>
    <col min="9985" max="9985" width="8.125" style="297" customWidth="1"/>
    <col min="9986" max="9986" width="6.25" style="297" customWidth="1"/>
    <col min="9987" max="9987" width="6.375" style="297" customWidth="1"/>
    <col min="9988" max="9988" width="5.375" style="297" customWidth="1"/>
    <col min="9989" max="9989" width="5.875" style="297" customWidth="1"/>
    <col min="9990" max="9990" width="6.375" style="297" customWidth="1"/>
    <col min="9991" max="9991" width="5.75" style="297" customWidth="1"/>
    <col min="9992" max="9992" width="11.875" style="297" customWidth="1"/>
    <col min="9993" max="9993" width="8.5" style="297" customWidth="1"/>
    <col min="9994" max="9994" width="9" style="297"/>
    <col min="9995" max="9995" width="12.25" style="297" customWidth="1"/>
    <col min="9996" max="9996" width="11.625" style="297" bestFit="1" customWidth="1"/>
    <col min="9997" max="9997" width="11.625" style="297" customWidth="1"/>
    <col min="9998" max="9998" width="7.875" style="297" customWidth="1"/>
    <col min="9999" max="10001" width="7.75" style="297" customWidth="1"/>
    <col min="10002" max="10002" width="14.125" style="297" customWidth="1"/>
    <col min="10003" max="10240" width="9" style="297"/>
    <col min="10241" max="10241" width="8.125" style="297" customWidth="1"/>
    <col min="10242" max="10242" width="6.25" style="297" customWidth="1"/>
    <col min="10243" max="10243" width="6.375" style="297" customWidth="1"/>
    <col min="10244" max="10244" width="5.375" style="297" customWidth="1"/>
    <col min="10245" max="10245" width="5.875" style="297" customWidth="1"/>
    <col min="10246" max="10246" width="6.375" style="297" customWidth="1"/>
    <col min="10247" max="10247" width="5.75" style="297" customWidth="1"/>
    <col min="10248" max="10248" width="11.875" style="297" customWidth="1"/>
    <col min="10249" max="10249" width="8.5" style="297" customWidth="1"/>
    <col min="10250" max="10250" width="9" style="297"/>
    <col min="10251" max="10251" width="12.25" style="297" customWidth="1"/>
    <col min="10252" max="10252" width="11.625" style="297" bestFit="1" customWidth="1"/>
    <col min="10253" max="10253" width="11.625" style="297" customWidth="1"/>
    <col min="10254" max="10254" width="7.875" style="297" customWidth="1"/>
    <col min="10255" max="10257" width="7.75" style="297" customWidth="1"/>
    <col min="10258" max="10258" width="14.125" style="297" customWidth="1"/>
    <col min="10259" max="10496" width="9" style="297"/>
    <col min="10497" max="10497" width="8.125" style="297" customWidth="1"/>
    <col min="10498" max="10498" width="6.25" style="297" customWidth="1"/>
    <col min="10499" max="10499" width="6.375" style="297" customWidth="1"/>
    <col min="10500" max="10500" width="5.375" style="297" customWidth="1"/>
    <col min="10501" max="10501" width="5.875" style="297" customWidth="1"/>
    <col min="10502" max="10502" width="6.375" style="297" customWidth="1"/>
    <col min="10503" max="10503" width="5.75" style="297" customWidth="1"/>
    <col min="10504" max="10504" width="11.875" style="297" customWidth="1"/>
    <col min="10505" max="10505" width="8.5" style="297" customWidth="1"/>
    <col min="10506" max="10506" width="9" style="297"/>
    <col min="10507" max="10507" width="12.25" style="297" customWidth="1"/>
    <col min="10508" max="10508" width="11.625" style="297" bestFit="1" customWidth="1"/>
    <col min="10509" max="10509" width="11.625" style="297" customWidth="1"/>
    <col min="10510" max="10510" width="7.875" style="297" customWidth="1"/>
    <col min="10511" max="10513" width="7.75" style="297" customWidth="1"/>
    <col min="10514" max="10514" width="14.125" style="297" customWidth="1"/>
    <col min="10515" max="10752" width="9" style="297"/>
    <col min="10753" max="10753" width="8.125" style="297" customWidth="1"/>
    <col min="10754" max="10754" width="6.25" style="297" customWidth="1"/>
    <col min="10755" max="10755" width="6.375" style="297" customWidth="1"/>
    <col min="10756" max="10756" width="5.375" style="297" customWidth="1"/>
    <col min="10757" max="10757" width="5.875" style="297" customWidth="1"/>
    <col min="10758" max="10758" width="6.375" style="297" customWidth="1"/>
    <col min="10759" max="10759" width="5.75" style="297" customWidth="1"/>
    <col min="10760" max="10760" width="11.875" style="297" customWidth="1"/>
    <col min="10761" max="10761" width="8.5" style="297" customWidth="1"/>
    <col min="10762" max="10762" width="9" style="297"/>
    <col min="10763" max="10763" width="12.25" style="297" customWidth="1"/>
    <col min="10764" max="10764" width="11.625" style="297" bestFit="1" customWidth="1"/>
    <col min="10765" max="10765" width="11.625" style="297" customWidth="1"/>
    <col min="10766" max="10766" width="7.875" style="297" customWidth="1"/>
    <col min="10767" max="10769" width="7.75" style="297" customWidth="1"/>
    <col min="10770" max="10770" width="14.125" style="297" customWidth="1"/>
    <col min="10771" max="11008" width="9" style="297"/>
    <col min="11009" max="11009" width="8.125" style="297" customWidth="1"/>
    <col min="11010" max="11010" width="6.25" style="297" customWidth="1"/>
    <col min="11011" max="11011" width="6.375" style="297" customWidth="1"/>
    <col min="11012" max="11012" width="5.375" style="297" customWidth="1"/>
    <col min="11013" max="11013" width="5.875" style="297" customWidth="1"/>
    <col min="11014" max="11014" width="6.375" style="297" customWidth="1"/>
    <col min="11015" max="11015" width="5.75" style="297" customWidth="1"/>
    <col min="11016" max="11016" width="11.875" style="297" customWidth="1"/>
    <col min="11017" max="11017" width="8.5" style="297" customWidth="1"/>
    <col min="11018" max="11018" width="9" style="297"/>
    <col min="11019" max="11019" width="12.25" style="297" customWidth="1"/>
    <col min="11020" max="11020" width="11.625" style="297" bestFit="1" customWidth="1"/>
    <col min="11021" max="11021" width="11.625" style="297" customWidth="1"/>
    <col min="11022" max="11022" width="7.875" style="297" customWidth="1"/>
    <col min="11023" max="11025" width="7.75" style="297" customWidth="1"/>
    <col min="11026" max="11026" width="14.125" style="297" customWidth="1"/>
    <col min="11027" max="11264" width="9" style="297"/>
    <col min="11265" max="11265" width="8.125" style="297" customWidth="1"/>
    <col min="11266" max="11266" width="6.25" style="297" customWidth="1"/>
    <col min="11267" max="11267" width="6.375" style="297" customWidth="1"/>
    <col min="11268" max="11268" width="5.375" style="297" customWidth="1"/>
    <col min="11269" max="11269" width="5.875" style="297" customWidth="1"/>
    <col min="11270" max="11270" width="6.375" style="297" customWidth="1"/>
    <col min="11271" max="11271" width="5.75" style="297" customWidth="1"/>
    <col min="11272" max="11272" width="11.875" style="297" customWidth="1"/>
    <col min="11273" max="11273" width="8.5" style="297" customWidth="1"/>
    <col min="11274" max="11274" width="9" style="297"/>
    <col min="11275" max="11275" width="12.25" style="297" customWidth="1"/>
    <col min="11276" max="11276" width="11.625" style="297" bestFit="1" customWidth="1"/>
    <col min="11277" max="11277" width="11.625" style="297" customWidth="1"/>
    <col min="11278" max="11278" width="7.875" style="297" customWidth="1"/>
    <col min="11279" max="11281" width="7.75" style="297" customWidth="1"/>
    <col min="11282" max="11282" width="14.125" style="297" customWidth="1"/>
    <col min="11283" max="11520" width="9" style="297"/>
    <col min="11521" max="11521" width="8.125" style="297" customWidth="1"/>
    <col min="11522" max="11522" width="6.25" style="297" customWidth="1"/>
    <col min="11523" max="11523" width="6.375" style="297" customWidth="1"/>
    <col min="11524" max="11524" width="5.375" style="297" customWidth="1"/>
    <col min="11525" max="11525" width="5.875" style="297" customWidth="1"/>
    <col min="11526" max="11526" width="6.375" style="297" customWidth="1"/>
    <col min="11527" max="11527" width="5.75" style="297" customWidth="1"/>
    <col min="11528" max="11528" width="11.875" style="297" customWidth="1"/>
    <col min="11529" max="11529" width="8.5" style="297" customWidth="1"/>
    <col min="11530" max="11530" width="9" style="297"/>
    <col min="11531" max="11531" width="12.25" style="297" customWidth="1"/>
    <col min="11532" max="11532" width="11.625" style="297" bestFit="1" customWidth="1"/>
    <col min="11533" max="11533" width="11.625" style="297" customWidth="1"/>
    <col min="11534" max="11534" width="7.875" style="297" customWidth="1"/>
    <col min="11535" max="11537" width="7.75" style="297" customWidth="1"/>
    <col min="11538" max="11538" width="14.125" style="297" customWidth="1"/>
    <col min="11539" max="11776" width="9" style="297"/>
    <col min="11777" max="11777" width="8.125" style="297" customWidth="1"/>
    <col min="11778" max="11778" width="6.25" style="297" customWidth="1"/>
    <col min="11779" max="11779" width="6.375" style="297" customWidth="1"/>
    <col min="11780" max="11780" width="5.375" style="297" customWidth="1"/>
    <col min="11781" max="11781" width="5.875" style="297" customWidth="1"/>
    <col min="11782" max="11782" width="6.375" style="297" customWidth="1"/>
    <col min="11783" max="11783" width="5.75" style="297" customWidth="1"/>
    <col min="11784" max="11784" width="11.875" style="297" customWidth="1"/>
    <col min="11785" max="11785" width="8.5" style="297" customWidth="1"/>
    <col min="11786" max="11786" width="9" style="297"/>
    <col min="11787" max="11787" width="12.25" style="297" customWidth="1"/>
    <col min="11788" max="11788" width="11.625" style="297" bestFit="1" customWidth="1"/>
    <col min="11789" max="11789" width="11.625" style="297" customWidth="1"/>
    <col min="11790" max="11790" width="7.875" style="297" customWidth="1"/>
    <col min="11791" max="11793" width="7.75" style="297" customWidth="1"/>
    <col min="11794" max="11794" width="14.125" style="297" customWidth="1"/>
    <col min="11795" max="12032" width="9" style="297"/>
    <col min="12033" max="12033" width="8.125" style="297" customWidth="1"/>
    <col min="12034" max="12034" width="6.25" style="297" customWidth="1"/>
    <col min="12035" max="12035" width="6.375" style="297" customWidth="1"/>
    <col min="12036" max="12036" width="5.375" style="297" customWidth="1"/>
    <col min="12037" max="12037" width="5.875" style="297" customWidth="1"/>
    <col min="12038" max="12038" width="6.375" style="297" customWidth="1"/>
    <col min="12039" max="12039" width="5.75" style="297" customWidth="1"/>
    <col min="12040" max="12040" width="11.875" style="297" customWidth="1"/>
    <col min="12041" max="12041" width="8.5" style="297" customWidth="1"/>
    <col min="12042" max="12042" width="9" style="297"/>
    <col min="12043" max="12043" width="12.25" style="297" customWidth="1"/>
    <col min="12044" max="12044" width="11.625" style="297" bestFit="1" customWidth="1"/>
    <col min="12045" max="12045" width="11.625" style="297" customWidth="1"/>
    <col min="12046" max="12046" width="7.875" style="297" customWidth="1"/>
    <col min="12047" max="12049" width="7.75" style="297" customWidth="1"/>
    <col min="12050" max="12050" width="14.125" style="297" customWidth="1"/>
    <col min="12051" max="12288" width="9" style="297"/>
    <col min="12289" max="12289" width="8.125" style="297" customWidth="1"/>
    <col min="12290" max="12290" width="6.25" style="297" customWidth="1"/>
    <col min="12291" max="12291" width="6.375" style="297" customWidth="1"/>
    <col min="12292" max="12292" width="5.375" style="297" customWidth="1"/>
    <col min="12293" max="12293" width="5.875" style="297" customWidth="1"/>
    <col min="12294" max="12294" width="6.375" style="297" customWidth="1"/>
    <col min="12295" max="12295" width="5.75" style="297" customWidth="1"/>
    <col min="12296" max="12296" width="11.875" style="297" customWidth="1"/>
    <col min="12297" max="12297" width="8.5" style="297" customWidth="1"/>
    <col min="12298" max="12298" width="9" style="297"/>
    <col min="12299" max="12299" width="12.25" style="297" customWidth="1"/>
    <col min="12300" max="12300" width="11.625" style="297" bestFit="1" customWidth="1"/>
    <col min="12301" max="12301" width="11.625" style="297" customWidth="1"/>
    <col min="12302" max="12302" width="7.875" style="297" customWidth="1"/>
    <col min="12303" max="12305" width="7.75" style="297" customWidth="1"/>
    <col min="12306" max="12306" width="14.125" style="297" customWidth="1"/>
    <col min="12307" max="12544" width="9" style="297"/>
    <col min="12545" max="12545" width="8.125" style="297" customWidth="1"/>
    <col min="12546" max="12546" width="6.25" style="297" customWidth="1"/>
    <col min="12547" max="12547" width="6.375" style="297" customWidth="1"/>
    <col min="12548" max="12548" width="5.375" style="297" customWidth="1"/>
    <col min="12549" max="12549" width="5.875" style="297" customWidth="1"/>
    <col min="12550" max="12550" width="6.375" style="297" customWidth="1"/>
    <col min="12551" max="12551" width="5.75" style="297" customWidth="1"/>
    <col min="12552" max="12552" width="11.875" style="297" customWidth="1"/>
    <col min="12553" max="12553" width="8.5" style="297" customWidth="1"/>
    <col min="12554" max="12554" width="9" style="297"/>
    <col min="12555" max="12555" width="12.25" style="297" customWidth="1"/>
    <col min="12556" max="12556" width="11.625" style="297" bestFit="1" customWidth="1"/>
    <col min="12557" max="12557" width="11.625" style="297" customWidth="1"/>
    <col min="12558" max="12558" width="7.875" style="297" customWidth="1"/>
    <col min="12559" max="12561" width="7.75" style="297" customWidth="1"/>
    <col min="12562" max="12562" width="14.125" style="297" customWidth="1"/>
    <col min="12563" max="12800" width="9" style="297"/>
    <col min="12801" max="12801" width="8.125" style="297" customWidth="1"/>
    <col min="12802" max="12802" width="6.25" style="297" customWidth="1"/>
    <col min="12803" max="12803" width="6.375" style="297" customWidth="1"/>
    <col min="12804" max="12804" width="5.375" style="297" customWidth="1"/>
    <col min="12805" max="12805" width="5.875" style="297" customWidth="1"/>
    <col min="12806" max="12806" width="6.375" style="297" customWidth="1"/>
    <col min="12807" max="12807" width="5.75" style="297" customWidth="1"/>
    <col min="12808" max="12808" width="11.875" style="297" customWidth="1"/>
    <col min="12809" max="12809" width="8.5" style="297" customWidth="1"/>
    <col min="12810" max="12810" width="9" style="297"/>
    <col min="12811" max="12811" width="12.25" style="297" customWidth="1"/>
    <col min="12812" max="12812" width="11.625" style="297" bestFit="1" customWidth="1"/>
    <col min="12813" max="12813" width="11.625" style="297" customWidth="1"/>
    <col min="12814" max="12814" width="7.875" style="297" customWidth="1"/>
    <col min="12815" max="12817" width="7.75" style="297" customWidth="1"/>
    <col min="12818" max="12818" width="14.125" style="297" customWidth="1"/>
    <col min="12819" max="13056" width="9" style="297"/>
    <col min="13057" max="13057" width="8.125" style="297" customWidth="1"/>
    <col min="13058" max="13058" width="6.25" style="297" customWidth="1"/>
    <col min="13059" max="13059" width="6.375" style="297" customWidth="1"/>
    <col min="13060" max="13060" width="5.375" style="297" customWidth="1"/>
    <col min="13061" max="13061" width="5.875" style="297" customWidth="1"/>
    <col min="13062" max="13062" width="6.375" style="297" customWidth="1"/>
    <col min="13063" max="13063" width="5.75" style="297" customWidth="1"/>
    <col min="13064" max="13064" width="11.875" style="297" customWidth="1"/>
    <col min="13065" max="13065" width="8.5" style="297" customWidth="1"/>
    <col min="13066" max="13066" width="9" style="297"/>
    <col min="13067" max="13067" width="12.25" style="297" customWidth="1"/>
    <col min="13068" max="13068" width="11.625" style="297" bestFit="1" customWidth="1"/>
    <col min="13069" max="13069" width="11.625" style="297" customWidth="1"/>
    <col min="13070" max="13070" width="7.875" style="297" customWidth="1"/>
    <col min="13071" max="13073" width="7.75" style="297" customWidth="1"/>
    <col min="13074" max="13074" width="14.125" style="297" customWidth="1"/>
    <col min="13075" max="13312" width="9" style="297"/>
    <col min="13313" max="13313" width="8.125" style="297" customWidth="1"/>
    <col min="13314" max="13314" width="6.25" style="297" customWidth="1"/>
    <col min="13315" max="13315" width="6.375" style="297" customWidth="1"/>
    <col min="13316" max="13316" width="5.375" style="297" customWidth="1"/>
    <col min="13317" max="13317" width="5.875" style="297" customWidth="1"/>
    <col min="13318" max="13318" width="6.375" style="297" customWidth="1"/>
    <col min="13319" max="13319" width="5.75" style="297" customWidth="1"/>
    <col min="13320" max="13320" width="11.875" style="297" customWidth="1"/>
    <col min="13321" max="13321" width="8.5" style="297" customWidth="1"/>
    <col min="13322" max="13322" width="9" style="297"/>
    <col min="13323" max="13323" width="12.25" style="297" customWidth="1"/>
    <col min="13324" max="13324" width="11.625" style="297" bestFit="1" customWidth="1"/>
    <col min="13325" max="13325" width="11.625" style="297" customWidth="1"/>
    <col min="13326" max="13326" width="7.875" style="297" customWidth="1"/>
    <col min="13327" max="13329" width="7.75" style="297" customWidth="1"/>
    <col min="13330" max="13330" width="14.125" style="297" customWidth="1"/>
    <col min="13331" max="13568" width="9" style="297"/>
    <col min="13569" max="13569" width="8.125" style="297" customWidth="1"/>
    <col min="13570" max="13570" width="6.25" style="297" customWidth="1"/>
    <col min="13571" max="13571" width="6.375" style="297" customWidth="1"/>
    <col min="13572" max="13572" width="5.375" style="297" customWidth="1"/>
    <col min="13573" max="13573" width="5.875" style="297" customWidth="1"/>
    <col min="13574" max="13574" width="6.375" style="297" customWidth="1"/>
    <col min="13575" max="13575" width="5.75" style="297" customWidth="1"/>
    <col min="13576" max="13576" width="11.875" style="297" customWidth="1"/>
    <col min="13577" max="13577" width="8.5" style="297" customWidth="1"/>
    <col min="13578" max="13578" width="9" style="297"/>
    <col min="13579" max="13579" width="12.25" style="297" customWidth="1"/>
    <col min="13580" max="13580" width="11.625" style="297" bestFit="1" customWidth="1"/>
    <col min="13581" max="13581" width="11.625" style="297" customWidth="1"/>
    <col min="13582" max="13582" width="7.875" style="297" customWidth="1"/>
    <col min="13583" max="13585" width="7.75" style="297" customWidth="1"/>
    <col min="13586" max="13586" width="14.125" style="297" customWidth="1"/>
    <col min="13587" max="13824" width="9" style="297"/>
    <col min="13825" max="13825" width="8.125" style="297" customWidth="1"/>
    <col min="13826" max="13826" width="6.25" style="297" customWidth="1"/>
    <col min="13827" max="13827" width="6.375" style="297" customWidth="1"/>
    <col min="13828" max="13828" width="5.375" style="297" customWidth="1"/>
    <col min="13829" max="13829" width="5.875" style="297" customWidth="1"/>
    <col min="13830" max="13830" width="6.375" style="297" customWidth="1"/>
    <col min="13831" max="13831" width="5.75" style="297" customWidth="1"/>
    <col min="13832" max="13832" width="11.875" style="297" customWidth="1"/>
    <col min="13833" max="13833" width="8.5" style="297" customWidth="1"/>
    <col min="13834" max="13834" width="9" style="297"/>
    <col min="13835" max="13835" width="12.25" style="297" customWidth="1"/>
    <col min="13836" max="13836" width="11.625" style="297" bestFit="1" customWidth="1"/>
    <col min="13837" max="13837" width="11.625" style="297" customWidth="1"/>
    <col min="13838" max="13838" width="7.875" style="297" customWidth="1"/>
    <col min="13839" max="13841" width="7.75" style="297" customWidth="1"/>
    <col min="13842" max="13842" width="14.125" style="297" customWidth="1"/>
    <col min="13843" max="14080" width="9" style="297"/>
    <col min="14081" max="14081" width="8.125" style="297" customWidth="1"/>
    <col min="14082" max="14082" width="6.25" style="297" customWidth="1"/>
    <col min="14083" max="14083" width="6.375" style="297" customWidth="1"/>
    <col min="14084" max="14084" width="5.375" style="297" customWidth="1"/>
    <col min="14085" max="14085" width="5.875" style="297" customWidth="1"/>
    <col min="14086" max="14086" width="6.375" style="297" customWidth="1"/>
    <col min="14087" max="14087" width="5.75" style="297" customWidth="1"/>
    <col min="14088" max="14088" width="11.875" style="297" customWidth="1"/>
    <col min="14089" max="14089" width="8.5" style="297" customWidth="1"/>
    <col min="14090" max="14090" width="9" style="297"/>
    <col min="14091" max="14091" width="12.25" style="297" customWidth="1"/>
    <col min="14092" max="14092" width="11.625" style="297" bestFit="1" customWidth="1"/>
    <col min="14093" max="14093" width="11.625" style="297" customWidth="1"/>
    <col min="14094" max="14094" width="7.875" style="297" customWidth="1"/>
    <col min="14095" max="14097" width="7.75" style="297" customWidth="1"/>
    <col min="14098" max="14098" width="14.125" style="297" customWidth="1"/>
    <col min="14099" max="14336" width="9" style="297"/>
    <col min="14337" max="14337" width="8.125" style="297" customWidth="1"/>
    <col min="14338" max="14338" width="6.25" style="297" customWidth="1"/>
    <col min="14339" max="14339" width="6.375" style="297" customWidth="1"/>
    <col min="14340" max="14340" width="5.375" style="297" customWidth="1"/>
    <col min="14341" max="14341" width="5.875" style="297" customWidth="1"/>
    <col min="14342" max="14342" width="6.375" style="297" customWidth="1"/>
    <col min="14343" max="14343" width="5.75" style="297" customWidth="1"/>
    <col min="14344" max="14344" width="11.875" style="297" customWidth="1"/>
    <col min="14345" max="14345" width="8.5" style="297" customWidth="1"/>
    <col min="14346" max="14346" width="9" style="297"/>
    <col min="14347" max="14347" width="12.25" style="297" customWidth="1"/>
    <col min="14348" max="14348" width="11.625" style="297" bestFit="1" customWidth="1"/>
    <col min="14349" max="14349" width="11.625" style="297" customWidth="1"/>
    <col min="14350" max="14350" width="7.875" style="297" customWidth="1"/>
    <col min="14351" max="14353" width="7.75" style="297" customWidth="1"/>
    <col min="14354" max="14354" width="14.125" style="297" customWidth="1"/>
    <col min="14355" max="14592" width="9" style="297"/>
    <col min="14593" max="14593" width="8.125" style="297" customWidth="1"/>
    <col min="14594" max="14594" width="6.25" style="297" customWidth="1"/>
    <col min="14595" max="14595" width="6.375" style="297" customWidth="1"/>
    <col min="14596" max="14596" width="5.375" style="297" customWidth="1"/>
    <col min="14597" max="14597" width="5.875" style="297" customWidth="1"/>
    <col min="14598" max="14598" width="6.375" style="297" customWidth="1"/>
    <col min="14599" max="14599" width="5.75" style="297" customWidth="1"/>
    <col min="14600" max="14600" width="11.875" style="297" customWidth="1"/>
    <col min="14601" max="14601" width="8.5" style="297" customWidth="1"/>
    <col min="14602" max="14602" width="9" style="297"/>
    <col min="14603" max="14603" width="12.25" style="297" customWidth="1"/>
    <col min="14604" max="14604" width="11.625" style="297" bestFit="1" customWidth="1"/>
    <col min="14605" max="14605" width="11.625" style="297" customWidth="1"/>
    <col min="14606" max="14606" width="7.875" style="297" customWidth="1"/>
    <col min="14607" max="14609" width="7.75" style="297" customWidth="1"/>
    <col min="14610" max="14610" width="14.125" style="297" customWidth="1"/>
    <col min="14611" max="14848" width="9" style="297"/>
    <col min="14849" max="14849" width="8.125" style="297" customWidth="1"/>
    <col min="14850" max="14850" width="6.25" style="297" customWidth="1"/>
    <col min="14851" max="14851" width="6.375" style="297" customWidth="1"/>
    <col min="14852" max="14852" width="5.375" style="297" customWidth="1"/>
    <col min="14853" max="14853" width="5.875" style="297" customWidth="1"/>
    <col min="14854" max="14854" width="6.375" style="297" customWidth="1"/>
    <col min="14855" max="14855" width="5.75" style="297" customWidth="1"/>
    <col min="14856" max="14856" width="11.875" style="297" customWidth="1"/>
    <col min="14857" max="14857" width="8.5" style="297" customWidth="1"/>
    <col min="14858" max="14858" width="9" style="297"/>
    <col min="14859" max="14859" width="12.25" style="297" customWidth="1"/>
    <col min="14860" max="14860" width="11.625" style="297" bestFit="1" customWidth="1"/>
    <col min="14861" max="14861" width="11.625" style="297" customWidth="1"/>
    <col min="14862" max="14862" width="7.875" style="297" customWidth="1"/>
    <col min="14863" max="14865" width="7.75" style="297" customWidth="1"/>
    <col min="14866" max="14866" width="14.125" style="297" customWidth="1"/>
    <col min="14867" max="15104" width="9" style="297"/>
    <col min="15105" max="15105" width="8.125" style="297" customWidth="1"/>
    <col min="15106" max="15106" width="6.25" style="297" customWidth="1"/>
    <col min="15107" max="15107" width="6.375" style="297" customWidth="1"/>
    <col min="15108" max="15108" width="5.375" style="297" customWidth="1"/>
    <col min="15109" max="15109" width="5.875" style="297" customWidth="1"/>
    <col min="15110" max="15110" width="6.375" style="297" customWidth="1"/>
    <col min="15111" max="15111" width="5.75" style="297" customWidth="1"/>
    <col min="15112" max="15112" width="11.875" style="297" customWidth="1"/>
    <col min="15113" max="15113" width="8.5" style="297" customWidth="1"/>
    <col min="15114" max="15114" width="9" style="297"/>
    <col min="15115" max="15115" width="12.25" style="297" customWidth="1"/>
    <col min="15116" max="15116" width="11.625" style="297" bestFit="1" customWidth="1"/>
    <col min="15117" max="15117" width="11.625" style="297" customWidth="1"/>
    <col min="15118" max="15118" width="7.875" style="297" customWidth="1"/>
    <col min="15119" max="15121" width="7.75" style="297" customWidth="1"/>
    <col min="15122" max="15122" width="14.125" style="297" customWidth="1"/>
    <col min="15123" max="15360" width="9" style="297"/>
    <col min="15361" max="15361" width="8.125" style="297" customWidth="1"/>
    <col min="15362" max="15362" width="6.25" style="297" customWidth="1"/>
    <col min="15363" max="15363" width="6.375" style="297" customWidth="1"/>
    <col min="15364" max="15364" width="5.375" style="297" customWidth="1"/>
    <col min="15365" max="15365" width="5.875" style="297" customWidth="1"/>
    <col min="15366" max="15366" width="6.375" style="297" customWidth="1"/>
    <col min="15367" max="15367" width="5.75" style="297" customWidth="1"/>
    <col min="15368" max="15368" width="11.875" style="297" customWidth="1"/>
    <col min="15369" max="15369" width="8.5" style="297" customWidth="1"/>
    <col min="15370" max="15370" width="9" style="297"/>
    <col min="15371" max="15371" width="12.25" style="297" customWidth="1"/>
    <col min="15372" max="15372" width="11.625" style="297" bestFit="1" customWidth="1"/>
    <col min="15373" max="15373" width="11.625" style="297" customWidth="1"/>
    <col min="15374" max="15374" width="7.875" style="297" customWidth="1"/>
    <col min="15375" max="15377" width="7.75" style="297" customWidth="1"/>
    <col min="15378" max="15378" width="14.125" style="297" customWidth="1"/>
    <col min="15379" max="15616" width="9" style="297"/>
    <col min="15617" max="15617" width="8.125" style="297" customWidth="1"/>
    <col min="15618" max="15618" width="6.25" style="297" customWidth="1"/>
    <col min="15619" max="15619" width="6.375" style="297" customWidth="1"/>
    <col min="15620" max="15620" width="5.375" style="297" customWidth="1"/>
    <col min="15621" max="15621" width="5.875" style="297" customWidth="1"/>
    <col min="15622" max="15622" width="6.375" style="297" customWidth="1"/>
    <col min="15623" max="15623" width="5.75" style="297" customWidth="1"/>
    <col min="15624" max="15624" width="11.875" style="297" customWidth="1"/>
    <col min="15625" max="15625" width="8.5" style="297" customWidth="1"/>
    <col min="15626" max="15626" width="9" style="297"/>
    <col min="15627" max="15627" width="12.25" style="297" customWidth="1"/>
    <col min="15628" max="15628" width="11.625" style="297" bestFit="1" customWidth="1"/>
    <col min="15629" max="15629" width="11.625" style="297" customWidth="1"/>
    <col min="15630" max="15630" width="7.875" style="297" customWidth="1"/>
    <col min="15631" max="15633" width="7.75" style="297" customWidth="1"/>
    <col min="15634" max="15634" width="14.125" style="297" customWidth="1"/>
    <col min="15635" max="15872" width="9" style="297"/>
    <col min="15873" max="15873" width="8.125" style="297" customWidth="1"/>
    <col min="15874" max="15874" width="6.25" style="297" customWidth="1"/>
    <col min="15875" max="15875" width="6.375" style="297" customWidth="1"/>
    <col min="15876" max="15876" width="5.375" style="297" customWidth="1"/>
    <col min="15877" max="15877" width="5.875" style="297" customWidth="1"/>
    <col min="15878" max="15878" width="6.375" style="297" customWidth="1"/>
    <col min="15879" max="15879" width="5.75" style="297" customWidth="1"/>
    <col min="15880" max="15880" width="11.875" style="297" customWidth="1"/>
    <col min="15881" max="15881" width="8.5" style="297" customWidth="1"/>
    <col min="15882" max="15882" width="9" style="297"/>
    <col min="15883" max="15883" width="12.25" style="297" customWidth="1"/>
    <col min="15884" max="15884" width="11.625" style="297" bestFit="1" customWidth="1"/>
    <col min="15885" max="15885" width="11.625" style="297" customWidth="1"/>
    <col min="15886" max="15886" width="7.875" style="297" customWidth="1"/>
    <col min="15887" max="15889" width="7.75" style="297" customWidth="1"/>
    <col min="15890" max="15890" width="14.125" style="297" customWidth="1"/>
    <col min="15891" max="16128" width="9" style="297"/>
    <col min="16129" max="16129" width="8.125" style="297" customWidth="1"/>
    <col min="16130" max="16130" width="6.25" style="297" customWidth="1"/>
    <col min="16131" max="16131" width="6.375" style="297" customWidth="1"/>
    <col min="16132" max="16132" width="5.375" style="297" customWidth="1"/>
    <col min="16133" max="16133" width="5.875" style="297" customWidth="1"/>
    <col min="16134" max="16134" width="6.375" style="297" customWidth="1"/>
    <col min="16135" max="16135" width="5.75" style="297" customWidth="1"/>
    <col min="16136" max="16136" width="11.875" style="297" customWidth="1"/>
    <col min="16137" max="16137" width="8.5" style="297" customWidth="1"/>
    <col min="16138" max="16138" width="9" style="297"/>
    <col min="16139" max="16139" width="12.25" style="297" customWidth="1"/>
    <col min="16140" max="16140" width="11.625" style="297" bestFit="1" customWidth="1"/>
    <col min="16141" max="16141" width="11.625" style="297" customWidth="1"/>
    <col min="16142" max="16142" width="7.875" style="297" customWidth="1"/>
    <col min="16143" max="16145" width="7.75" style="297" customWidth="1"/>
    <col min="16146" max="16146" width="14.125" style="297" customWidth="1"/>
    <col min="16147" max="16384" width="9" style="297"/>
  </cols>
  <sheetData>
    <row r="1" spans="1:18" ht="16.5" customHeight="1">
      <c r="A1" s="296"/>
      <c r="B1" s="296"/>
      <c r="C1" s="296"/>
      <c r="D1" s="296"/>
      <c r="E1" s="296"/>
    </row>
    <row r="2" spans="1:18" ht="14.25" customHeight="1">
      <c r="A2" s="301"/>
      <c r="B2" s="301"/>
      <c r="C2" s="301"/>
      <c r="D2" s="301"/>
      <c r="E2" s="296"/>
      <c r="F2" s="1262" t="s">
        <v>986</v>
      </c>
      <c r="G2" s="1262"/>
      <c r="H2" s="1262"/>
      <c r="I2" s="1262"/>
      <c r="J2" s="1262"/>
      <c r="K2" s="1262"/>
    </row>
    <row r="3" spans="1:18" ht="18.75">
      <c r="A3" s="1263" t="s">
        <v>759</v>
      </c>
      <c r="B3" s="1263"/>
      <c r="C3" s="1263"/>
      <c r="D3" s="1263"/>
      <c r="E3" s="1263"/>
      <c r="F3" s="1263"/>
      <c r="G3" s="1263"/>
      <c r="H3" s="1263"/>
      <c r="I3" s="1263"/>
      <c r="J3" s="1263"/>
      <c r="K3" s="1263"/>
    </row>
    <row r="4" spans="1:18" ht="18" customHeight="1">
      <c r="A4" s="1264" t="s">
        <v>760</v>
      </c>
      <c r="B4" s="1264"/>
      <c r="C4" s="1265" t="e">
        <f>#REF!</f>
        <v>#REF!</v>
      </c>
      <c r="D4" s="1266"/>
      <c r="E4" s="1266"/>
      <c r="F4" s="1256" t="s">
        <v>459</v>
      </c>
      <c r="G4" s="1256"/>
      <c r="H4" s="1266" t="e">
        <f>#REF!</f>
        <v>#REF!</v>
      </c>
      <c r="I4" s="1266"/>
      <c r="J4" s="302" t="s">
        <v>761</v>
      </c>
      <c r="K4" s="303" t="str">
        <f>SUM(G10:G36)&amp;"块"</f>
        <v>0块</v>
      </c>
      <c r="R4" s="304"/>
    </row>
    <row r="5" spans="1:18" ht="19.5" customHeight="1">
      <c r="A5" s="1255" t="s">
        <v>762</v>
      </c>
      <c r="B5" s="1256"/>
      <c r="C5" s="1257" t="e">
        <f>#REF!</f>
        <v>#REF!</v>
      </c>
      <c r="D5" s="1257"/>
      <c r="E5" s="1257"/>
      <c r="F5" s="1256" t="s">
        <v>763</v>
      </c>
      <c r="G5" s="1256"/>
      <c r="H5" s="1258" t="s">
        <v>764</v>
      </c>
      <c r="I5" s="1259"/>
      <c r="J5" s="305" t="s">
        <v>765</v>
      </c>
      <c r="K5" s="306" t="e">
        <f>#REF!</f>
        <v>#REF!</v>
      </c>
      <c r="R5" s="304"/>
    </row>
    <row r="6" spans="1:18" ht="22.5" customHeight="1">
      <c r="A6" s="1256" t="s">
        <v>766</v>
      </c>
      <c r="B6" s="1256"/>
      <c r="C6" s="1260" t="s">
        <v>767</v>
      </c>
      <c r="D6" s="1260"/>
      <c r="E6" s="1260"/>
      <c r="F6" s="1261"/>
      <c r="G6" s="1261"/>
      <c r="H6" s="1261"/>
      <c r="I6" s="1261"/>
      <c r="J6" s="305" t="s">
        <v>768</v>
      </c>
      <c r="K6" s="307" t="s">
        <v>769</v>
      </c>
      <c r="R6" s="304"/>
    </row>
    <row r="7" spans="1:18" ht="24" customHeight="1" thickBot="1">
      <c r="A7" s="1278" t="s">
        <v>770</v>
      </c>
      <c r="B7" s="1278"/>
      <c r="C7" s="1278"/>
      <c r="D7" s="1278"/>
      <c r="E7" s="1278"/>
      <c r="F7" s="1278"/>
      <c r="G7" s="1278"/>
      <c r="H7" s="1278"/>
      <c r="I7" s="1278"/>
      <c r="J7" s="1278"/>
      <c r="K7" s="1278"/>
      <c r="R7" s="304"/>
    </row>
    <row r="8" spans="1:18" ht="18" customHeight="1">
      <c r="A8" s="308" t="s">
        <v>771</v>
      </c>
      <c r="B8" s="1279" t="s">
        <v>772</v>
      </c>
      <c r="C8" s="1279"/>
      <c r="D8" s="1279"/>
      <c r="E8" s="1280" t="s">
        <v>773</v>
      </c>
      <c r="F8" s="1280"/>
      <c r="G8" s="1281"/>
      <c r="H8" s="309" t="s">
        <v>774</v>
      </c>
      <c r="I8" s="1282" t="s">
        <v>775</v>
      </c>
      <c r="J8" s="1282"/>
      <c r="K8" s="1283"/>
      <c r="L8" s="1267" t="s">
        <v>776</v>
      </c>
      <c r="M8" s="1268"/>
      <c r="N8" s="1269"/>
      <c r="R8" s="304"/>
    </row>
    <row r="9" spans="1:18" ht="22.5" customHeight="1">
      <c r="A9" s="310" t="s">
        <v>777</v>
      </c>
      <c r="B9" s="311" t="s">
        <v>491</v>
      </c>
      <c r="C9" s="311" t="s">
        <v>778</v>
      </c>
      <c r="D9" s="311" t="s">
        <v>779</v>
      </c>
      <c r="E9" s="311" t="s">
        <v>780</v>
      </c>
      <c r="F9" s="311" t="s">
        <v>778</v>
      </c>
      <c r="G9" s="311" t="s">
        <v>779</v>
      </c>
      <c r="H9" s="1275" t="s">
        <v>781</v>
      </c>
      <c r="I9" s="1276"/>
      <c r="J9" s="1275"/>
      <c r="K9" s="1277"/>
      <c r="L9" s="312" t="s">
        <v>782</v>
      </c>
      <c r="M9" s="313" t="s">
        <v>783</v>
      </c>
      <c r="N9" s="314" t="s">
        <v>784</v>
      </c>
      <c r="O9" s="315" t="s">
        <v>785</v>
      </c>
      <c r="P9" s="315" t="s">
        <v>786</v>
      </c>
      <c r="Q9" s="316" t="s">
        <v>787</v>
      </c>
      <c r="R9" s="304"/>
    </row>
    <row r="10" spans="1:18" ht="17.100000000000001" customHeight="1">
      <c r="A10" s="317"/>
      <c r="B10" s="318"/>
      <c r="C10" s="318"/>
      <c r="D10" s="319"/>
      <c r="E10" s="320" t="str">
        <f>+IF(C10="","",C10-1)</f>
        <v/>
      </c>
      <c r="F10" s="320" t="str">
        <f>+IF(B10="","",B10-1)</f>
        <v/>
      </c>
      <c r="G10" s="320" t="str">
        <f>+IF(D10="","",D10)</f>
        <v/>
      </c>
      <c r="H10" s="1270"/>
      <c r="I10" s="1271"/>
      <c r="J10" s="1272"/>
      <c r="K10" s="1273"/>
      <c r="L10" s="298">
        <f t="shared" ref="L10:L35" si="0">B10*C10*D10/1000000</f>
        <v>0</v>
      </c>
      <c r="M10" s="299" t="str">
        <f t="shared" ref="M10:M35" si="1">+IF(D10&gt;0,((B10+C10)*2+240)*G10/1000,"")</f>
        <v/>
      </c>
      <c r="N10" s="299">
        <f>B10*C10*D10/1000000/1.2/2.4/0.85</f>
        <v>0</v>
      </c>
      <c r="O10" s="299">
        <f>(B10*C10*D10/1000000)+((B10+C10)*2*D10/1000)*0.02</f>
        <v>0</v>
      </c>
      <c r="P10" s="299">
        <f>(B10*C10*D10/1000000)*2+((B10+C10)*2*D10/1000)*0.02</f>
        <v>0</v>
      </c>
      <c r="Q10" s="299" t="str">
        <f>+IF(H10=$L$8,B10*D10/1000+0.1,"")</f>
        <v/>
      </c>
      <c r="R10" s="304"/>
    </row>
    <row r="11" spans="1:18" ht="17.100000000000001" customHeight="1">
      <c r="A11" s="317"/>
      <c r="B11" s="318"/>
      <c r="C11" s="318"/>
      <c r="D11" s="319"/>
      <c r="E11" s="320" t="str">
        <f t="shared" ref="E11:E35" si="2">+IF(C11="","",C11-1)</f>
        <v/>
      </c>
      <c r="F11" s="320" t="str">
        <f t="shared" ref="F11:F35" si="3">+IF(B11="","",B11-1)</f>
        <v/>
      </c>
      <c r="G11" s="320" t="str">
        <f t="shared" ref="G11:G35" si="4">+IF(D11="","",D11)</f>
        <v/>
      </c>
      <c r="H11" s="1274"/>
      <c r="I11" s="1271"/>
      <c r="J11" s="1272"/>
      <c r="K11" s="1273"/>
      <c r="L11" s="298">
        <f t="shared" si="0"/>
        <v>0</v>
      </c>
      <c r="M11" s="299" t="str">
        <f t="shared" si="1"/>
        <v/>
      </c>
      <c r="N11" s="299">
        <f t="shared" ref="N11:N36" si="5">B11*C11*D11/1000000/1.2/2.4/0.85</f>
        <v>0</v>
      </c>
      <c r="O11" s="299">
        <f t="shared" ref="O11:O35" si="6">(B11*C11*D11/1000000)+((B11+C11)*2*D11/1000)*0.02</f>
        <v>0</v>
      </c>
      <c r="P11" s="299">
        <f t="shared" ref="P11:P35" si="7">(B11*C11*D11/1000000)*2+((B11+C11)*2*D11/1000)*0.02</f>
        <v>0</v>
      </c>
      <c r="Q11" s="299" t="str">
        <f t="shared" ref="Q11:Q30" si="8">+IF(H11=$L$8,B11*D11/1000+0.1,"")</f>
        <v/>
      </c>
      <c r="R11" s="304"/>
    </row>
    <row r="12" spans="1:18" ht="17.100000000000001" customHeight="1">
      <c r="A12" s="317"/>
      <c r="B12" s="318"/>
      <c r="C12" s="318"/>
      <c r="D12" s="319"/>
      <c r="E12" s="320" t="str">
        <f t="shared" si="2"/>
        <v/>
      </c>
      <c r="F12" s="320" t="str">
        <f t="shared" si="3"/>
        <v/>
      </c>
      <c r="G12" s="320" t="str">
        <f t="shared" si="4"/>
        <v/>
      </c>
      <c r="H12" s="1274"/>
      <c r="I12" s="1271"/>
      <c r="J12" s="1272"/>
      <c r="K12" s="1273"/>
      <c r="L12" s="298">
        <f t="shared" si="0"/>
        <v>0</v>
      </c>
      <c r="M12" s="299" t="str">
        <f t="shared" si="1"/>
        <v/>
      </c>
      <c r="N12" s="299">
        <f t="shared" si="5"/>
        <v>0</v>
      </c>
      <c r="O12" s="299">
        <f t="shared" si="6"/>
        <v>0</v>
      </c>
      <c r="P12" s="299">
        <f t="shared" si="7"/>
        <v>0</v>
      </c>
      <c r="Q12" s="299" t="str">
        <f t="shared" si="8"/>
        <v/>
      </c>
      <c r="R12" s="304"/>
    </row>
    <row r="13" spans="1:18" ht="17.100000000000001" customHeight="1">
      <c r="A13" s="317"/>
      <c r="B13" s="318"/>
      <c r="C13" s="318"/>
      <c r="D13" s="319"/>
      <c r="E13" s="320" t="str">
        <f t="shared" si="2"/>
        <v/>
      </c>
      <c r="F13" s="320" t="str">
        <f t="shared" si="3"/>
        <v/>
      </c>
      <c r="G13" s="320" t="str">
        <f t="shared" si="4"/>
        <v/>
      </c>
      <c r="H13" s="1274"/>
      <c r="I13" s="1271"/>
      <c r="J13" s="1272"/>
      <c r="K13" s="1273"/>
      <c r="L13" s="298">
        <f t="shared" si="0"/>
        <v>0</v>
      </c>
      <c r="M13" s="299" t="str">
        <f t="shared" si="1"/>
        <v/>
      </c>
      <c r="N13" s="299">
        <f t="shared" si="5"/>
        <v>0</v>
      </c>
      <c r="O13" s="299">
        <f t="shared" si="6"/>
        <v>0</v>
      </c>
      <c r="P13" s="299">
        <f t="shared" si="7"/>
        <v>0</v>
      </c>
      <c r="Q13" s="299" t="str">
        <f t="shared" si="8"/>
        <v/>
      </c>
      <c r="R13" s="304"/>
    </row>
    <row r="14" spans="1:18" ht="17.100000000000001" customHeight="1">
      <c r="A14" s="317"/>
      <c r="B14" s="318"/>
      <c r="C14" s="318"/>
      <c r="D14" s="319"/>
      <c r="E14" s="320" t="str">
        <f t="shared" si="2"/>
        <v/>
      </c>
      <c r="F14" s="320" t="str">
        <f t="shared" si="3"/>
        <v/>
      </c>
      <c r="G14" s="320" t="str">
        <f t="shared" si="4"/>
        <v/>
      </c>
      <c r="H14" s="1274"/>
      <c r="I14" s="1271"/>
      <c r="J14" s="1272"/>
      <c r="K14" s="1273"/>
      <c r="L14" s="298">
        <f t="shared" si="0"/>
        <v>0</v>
      </c>
      <c r="M14" s="299" t="str">
        <f t="shared" si="1"/>
        <v/>
      </c>
      <c r="N14" s="299">
        <f t="shared" si="5"/>
        <v>0</v>
      </c>
      <c r="O14" s="299">
        <f t="shared" si="6"/>
        <v>0</v>
      </c>
      <c r="P14" s="299">
        <f t="shared" si="7"/>
        <v>0</v>
      </c>
      <c r="Q14" s="299" t="str">
        <f t="shared" si="8"/>
        <v/>
      </c>
    </row>
    <row r="15" spans="1:18" ht="17.100000000000001" customHeight="1">
      <c r="A15" s="317"/>
      <c r="B15" s="318"/>
      <c r="C15" s="318"/>
      <c r="D15" s="319"/>
      <c r="E15" s="320" t="str">
        <f t="shared" si="2"/>
        <v/>
      </c>
      <c r="F15" s="320" t="str">
        <f t="shared" si="3"/>
        <v/>
      </c>
      <c r="G15" s="320" t="str">
        <f t="shared" si="4"/>
        <v/>
      </c>
      <c r="H15" s="1274"/>
      <c r="I15" s="1271"/>
      <c r="J15" s="1272"/>
      <c r="K15" s="1273"/>
      <c r="L15" s="298">
        <f t="shared" si="0"/>
        <v>0</v>
      </c>
      <c r="M15" s="299" t="str">
        <f t="shared" si="1"/>
        <v/>
      </c>
      <c r="N15" s="299">
        <f t="shared" si="5"/>
        <v>0</v>
      </c>
      <c r="O15" s="299">
        <f t="shared" si="6"/>
        <v>0</v>
      </c>
      <c r="P15" s="299">
        <f t="shared" si="7"/>
        <v>0</v>
      </c>
      <c r="Q15" s="299" t="str">
        <f t="shared" si="8"/>
        <v/>
      </c>
    </row>
    <row r="16" spans="1:18" ht="17.100000000000001" customHeight="1">
      <c r="A16" s="317"/>
      <c r="B16" s="318"/>
      <c r="C16" s="318"/>
      <c r="D16" s="319"/>
      <c r="E16" s="320" t="str">
        <f t="shared" si="2"/>
        <v/>
      </c>
      <c r="F16" s="320" t="str">
        <f t="shared" si="3"/>
        <v/>
      </c>
      <c r="G16" s="320" t="str">
        <f t="shared" si="4"/>
        <v/>
      </c>
      <c r="H16" s="1274"/>
      <c r="I16" s="1271"/>
      <c r="J16" s="1272"/>
      <c r="K16" s="1273"/>
      <c r="L16" s="298">
        <f t="shared" si="0"/>
        <v>0</v>
      </c>
      <c r="M16" s="299" t="str">
        <f t="shared" si="1"/>
        <v/>
      </c>
      <c r="N16" s="299">
        <f t="shared" si="5"/>
        <v>0</v>
      </c>
      <c r="O16" s="299">
        <f t="shared" si="6"/>
        <v>0</v>
      </c>
      <c r="P16" s="299">
        <f t="shared" si="7"/>
        <v>0</v>
      </c>
      <c r="Q16" s="299" t="str">
        <f t="shared" si="8"/>
        <v/>
      </c>
    </row>
    <row r="17" spans="1:17" ht="17.100000000000001" customHeight="1">
      <c r="A17" s="317"/>
      <c r="B17" s="318"/>
      <c r="C17" s="318"/>
      <c r="D17" s="319"/>
      <c r="E17" s="320" t="str">
        <f t="shared" si="2"/>
        <v/>
      </c>
      <c r="F17" s="320" t="str">
        <f t="shared" si="3"/>
        <v/>
      </c>
      <c r="G17" s="320" t="str">
        <f t="shared" si="4"/>
        <v/>
      </c>
      <c r="H17" s="1274"/>
      <c r="I17" s="1271"/>
      <c r="J17" s="1272"/>
      <c r="K17" s="1273"/>
      <c r="L17" s="298">
        <f t="shared" si="0"/>
        <v>0</v>
      </c>
      <c r="M17" s="299" t="str">
        <f t="shared" si="1"/>
        <v/>
      </c>
      <c r="N17" s="299">
        <f t="shared" si="5"/>
        <v>0</v>
      </c>
      <c r="O17" s="299">
        <f t="shared" si="6"/>
        <v>0</v>
      </c>
      <c r="P17" s="299">
        <f t="shared" si="7"/>
        <v>0</v>
      </c>
      <c r="Q17" s="299" t="str">
        <f t="shared" si="8"/>
        <v/>
      </c>
    </row>
    <row r="18" spans="1:17" ht="17.100000000000001" customHeight="1">
      <c r="A18" s="317"/>
      <c r="B18" s="318"/>
      <c r="C18" s="318"/>
      <c r="D18" s="319"/>
      <c r="E18" s="320" t="str">
        <f t="shared" si="2"/>
        <v/>
      </c>
      <c r="F18" s="320" t="str">
        <f t="shared" si="3"/>
        <v/>
      </c>
      <c r="G18" s="320" t="str">
        <f t="shared" si="4"/>
        <v/>
      </c>
      <c r="H18" s="1274"/>
      <c r="I18" s="1271"/>
      <c r="J18" s="1272"/>
      <c r="K18" s="1273"/>
      <c r="L18" s="298">
        <f t="shared" si="0"/>
        <v>0</v>
      </c>
      <c r="M18" s="299" t="str">
        <f t="shared" si="1"/>
        <v/>
      </c>
      <c r="N18" s="299">
        <f t="shared" si="5"/>
        <v>0</v>
      </c>
      <c r="O18" s="299">
        <f t="shared" si="6"/>
        <v>0</v>
      </c>
      <c r="P18" s="299">
        <f t="shared" si="7"/>
        <v>0</v>
      </c>
      <c r="Q18" s="299" t="str">
        <f t="shared" si="8"/>
        <v/>
      </c>
    </row>
    <row r="19" spans="1:17" ht="17.100000000000001" customHeight="1">
      <c r="A19" s="317"/>
      <c r="B19" s="318"/>
      <c r="C19" s="318"/>
      <c r="D19" s="319"/>
      <c r="E19" s="320" t="str">
        <f t="shared" si="2"/>
        <v/>
      </c>
      <c r="F19" s="320" t="str">
        <f t="shared" si="3"/>
        <v/>
      </c>
      <c r="G19" s="320" t="str">
        <f t="shared" si="4"/>
        <v/>
      </c>
      <c r="H19" s="1274"/>
      <c r="I19" s="1271"/>
      <c r="J19" s="1272"/>
      <c r="K19" s="1273"/>
      <c r="L19" s="298">
        <f t="shared" si="0"/>
        <v>0</v>
      </c>
      <c r="M19" s="299" t="str">
        <f t="shared" si="1"/>
        <v/>
      </c>
      <c r="N19" s="299">
        <f t="shared" si="5"/>
        <v>0</v>
      </c>
      <c r="O19" s="299">
        <f t="shared" si="6"/>
        <v>0</v>
      </c>
      <c r="P19" s="299">
        <f t="shared" si="7"/>
        <v>0</v>
      </c>
      <c r="Q19" s="299" t="str">
        <f t="shared" si="8"/>
        <v/>
      </c>
    </row>
    <row r="20" spans="1:17" ht="17.100000000000001" customHeight="1">
      <c r="A20" s="317"/>
      <c r="B20" s="318"/>
      <c r="C20" s="318"/>
      <c r="D20" s="319"/>
      <c r="E20" s="320" t="str">
        <f t="shared" si="2"/>
        <v/>
      </c>
      <c r="F20" s="320" t="str">
        <f t="shared" si="3"/>
        <v/>
      </c>
      <c r="G20" s="320" t="str">
        <f t="shared" si="4"/>
        <v/>
      </c>
      <c r="H20" s="1274"/>
      <c r="I20" s="1271"/>
      <c r="J20" s="1272"/>
      <c r="K20" s="1273"/>
      <c r="L20" s="298">
        <f t="shared" si="0"/>
        <v>0</v>
      </c>
      <c r="M20" s="299" t="str">
        <f t="shared" si="1"/>
        <v/>
      </c>
      <c r="N20" s="299">
        <f t="shared" si="5"/>
        <v>0</v>
      </c>
      <c r="O20" s="299">
        <f t="shared" si="6"/>
        <v>0</v>
      </c>
      <c r="P20" s="299">
        <f t="shared" si="7"/>
        <v>0</v>
      </c>
      <c r="Q20" s="299" t="str">
        <f t="shared" si="8"/>
        <v/>
      </c>
    </row>
    <row r="21" spans="1:17" ht="17.100000000000001" customHeight="1">
      <c r="A21" s="317"/>
      <c r="B21" s="318"/>
      <c r="C21" s="318"/>
      <c r="D21" s="319"/>
      <c r="E21" s="320" t="str">
        <f t="shared" si="2"/>
        <v/>
      </c>
      <c r="F21" s="320" t="str">
        <f t="shared" si="3"/>
        <v/>
      </c>
      <c r="G21" s="320" t="str">
        <f t="shared" si="4"/>
        <v/>
      </c>
      <c r="H21" s="1274"/>
      <c r="I21" s="1271"/>
      <c r="J21" s="1272"/>
      <c r="K21" s="1273"/>
      <c r="L21" s="298">
        <f t="shared" si="0"/>
        <v>0</v>
      </c>
      <c r="M21" s="299" t="str">
        <f t="shared" si="1"/>
        <v/>
      </c>
      <c r="N21" s="299">
        <f t="shared" si="5"/>
        <v>0</v>
      </c>
      <c r="O21" s="299">
        <f t="shared" si="6"/>
        <v>0</v>
      </c>
      <c r="P21" s="299">
        <f t="shared" si="7"/>
        <v>0</v>
      </c>
      <c r="Q21" s="299" t="str">
        <f t="shared" si="8"/>
        <v/>
      </c>
    </row>
    <row r="22" spans="1:17" ht="17.100000000000001" customHeight="1">
      <c r="A22" s="321"/>
      <c r="B22" s="318"/>
      <c r="C22" s="318"/>
      <c r="D22" s="319"/>
      <c r="E22" s="320" t="str">
        <f t="shared" si="2"/>
        <v/>
      </c>
      <c r="F22" s="320" t="str">
        <f t="shared" si="3"/>
        <v/>
      </c>
      <c r="G22" s="320" t="str">
        <f t="shared" si="4"/>
        <v/>
      </c>
      <c r="H22" s="1274"/>
      <c r="I22" s="1271"/>
      <c r="J22" s="1272"/>
      <c r="K22" s="1273"/>
      <c r="L22" s="298">
        <f t="shared" si="0"/>
        <v>0</v>
      </c>
      <c r="M22" s="299" t="str">
        <f t="shared" si="1"/>
        <v/>
      </c>
      <c r="N22" s="299">
        <f t="shared" si="5"/>
        <v>0</v>
      </c>
      <c r="O22" s="299">
        <f t="shared" si="6"/>
        <v>0</v>
      </c>
      <c r="P22" s="299">
        <f t="shared" si="7"/>
        <v>0</v>
      </c>
      <c r="Q22" s="299" t="str">
        <f t="shared" si="8"/>
        <v/>
      </c>
    </row>
    <row r="23" spans="1:17" ht="17.100000000000001" customHeight="1">
      <c r="A23" s="321"/>
      <c r="B23" s="318"/>
      <c r="C23" s="318"/>
      <c r="D23" s="319"/>
      <c r="E23" s="320" t="str">
        <f t="shared" si="2"/>
        <v/>
      </c>
      <c r="F23" s="320" t="str">
        <f t="shared" si="3"/>
        <v/>
      </c>
      <c r="G23" s="320" t="str">
        <f t="shared" si="4"/>
        <v/>
      </c>
      <c r="H23" s="1274"/>
      <c r="I23" s="1271"/>
      <c r="J23" s="1272"/>
      <c r="K23" s="1273"/>
      <c r="L23" s="298">
        <f t="shared" si="0"/>
        <v>0</v>
      </c>
      <c r="M23" s="299" t="str">
        <f t="shared" si="1"/>
        <v/>
      </c>
      <c r="N23" s="299">
        <f t="shared" si="5"/>
        <v>0</v>
      </c>
      <c r="O23" s="299">
        <f t="shared" si="6"/>
        <v>0</v>
      </c>
      <c r="P23" s="299">
        <f t="shared" si="7"/>
        <v>0</v>
      </c>
      <c r="Q23" s="299" t="str">
        <f t="shared" si="8"/>
        <v/>
      </c>
    </row>
    <row r="24" spans="1:17" ht="17.100000000000001" customHeight="1">
      <c r="A24" s="321"/>
      <c r="B24" s="318"/>
      <c r="C24" s="318"/>
      <c r="D24" s="319"/>
      <c r="E24" s="320" t="str">
        <f t="shared" si="2"/>
        <v/>
      </c>
      <c r="F24" s="320" t="str">
        <f t="shared" si="3"/>
        <v/>
      </c>
      <c r="G24" s="320" t="str">
        <f t="shared" si="4"/>
        <v/>
      </c>
      <c r="H24" s="1274"/>
      <c r="I24" s="1271"/>
      <c r="J24" s="1272"/>
      <c r="K24" s="1273"/>
      <c r="L24" s="298">
        <f t="shared" si="0"/>
        <v>0</v>
      </c>
      <c r="M24" s="299" t="str">
        <f t="shared" si="1"/>
        <v/>
      </c>
      <c r="N24" s="299">
        <f t="shared" si="5"/>
        <v>0</v>
      </c>
      <c r="O24" s="299">
        <f t="shared" si="6"/>
        <v>0</v>
      </c>
      <c r="P24" s="299">
        <f t="shared" si="7"/>
        <v>0</v>
      </c>
      <c r="Q24" s="299" t="str">
        <f t="shared" si="8"/>
        <v/>
      </c>
    </row>
    <row r="25" spans="1:17" ht="17.100000000000001" customHeight="1">
      <c r="A25" s="321"/>
      <c r="B25" s="318"/>
      <c r="C25" s="318"/>
      <c r="D25" s="319"/>
      <c r="E25" s="320" t="str">
        <f t="shared" si="2"/>
        <v/>
      </c>
      <c r="F25" s="320" t="str">
        <f t="shared" si="3"/>
        <v/>
      </c>
      <c r="G25" s="320" t="str">
        <f t="shared" si="4"/>
        <v/>
      </c>
      <c r="H25" s="1274"/>
      <c r="I25" s="1271"/>
      <c r="J25" s="1272"/>
      <c r="K25" s="1273"/>
      <c r="L25" s="298">
        <f t="shared" si="0"/>
        <v>0</v>
      </c>
      <c r="M25" s="299" t="str">
        <f t="shared" si="1"/>
        <v/>
      </c>
      <c r="N25" s="299">
        <f t="shared" si="5"/>
        <v>0</v>
      </c>
      <c r="O25" s="299">
        <f t="shared" si="6"/>
        <v>0</v>
      </c>
      <c r="P25" s="299">
        <f t="shared" si="7"/>
        <v>0</v>
      </c>
      <c r="Q25" s="299" t="str">
        <f t="shared" si="8"/>
        <v/>
      </c>
    </row>
    <row r="26" spans="1:17" ht="17.100000000000001" customHeight="1">
      <c r="A26" s="321"/>
      <c r="B26" s="318"/>
      <c r="C26" s="318"/>
      <c r="D26" s="319"/>
      <c r="E26" s="320" t="str">
        <f t="shared" si="2"/>
        <v/>
      </c>
      <c r="F26" s="320" t="str">
        <f t="shared" si="3"/>
        <v/>
      </c>
      <c r="G26" s="320" t="str">
        <f t="shared" si="4"/>
        <v/>
      </c>
      <c r="H26" s="1274"/>
      <c r="I26" s="1271"/>
      <c r="J26" s="1272"/>
      <c r="K26" s="1273"/>
      <c r="L26" s="298">
        <f t="shared" si="0"/>
        <v>0</v>
      </c>
      <c r="M26" s="299" t="str">
        <f t="shared" si="1"/>
        <v/>
      </c>
      <c r="N26" s="299">
        <f t="shared" si="5"/>
        <v>0</v>
      </c>
      <c r="O26" s="299">
        <f t="shared" si="6"/>
        <v>0</v>
      </c>
      <c r="P26" s="299">
        <f t="shared" si="7"/>
        <v>0</v>
      </c>
      <c r="Q26" s="299" t="str">
        <f t="shared" si="8"/>
        <v/>
      </c>
    </row>
    <row r="27" spans="1:17" ht="17.100000000000001" customHeight="1">
      <c r="A27" s="321"/>
      <c r="B27" s="318"/>
      <c r="C27" s="318"/>
      <c r="D27" s="319"/>
      <c r="E27" s="320" t="str">
        <f t="shared" si="2"/>
        <v/>
      </c>
      <c r="F27" s="320" t="str">
        <f t="shared" si="3"/>
        <v/>
      </c>
      <c r="G27" s="320" t="str">
        <f t="shared" si="4"/>
        <v/>
      </c>
      <c r="H27" s="1274"/>
      <c r="I27" s="1271"/>
      <c r="J27" s="1272"/>
      <c r="K27" s="1273"/>
      <c r="L27" s="298">
        <f t="shared" si="0"/>
        <v>0</v>
      </c>
      <c r="M27" s="299" t="str">
        <f t="shared" si="1"/>
        <v/>
      </c>
      <c r="N27" s="299">
        <f t="shared" si="5"/>
        <v>0</v>
      </c>
      <c r="O27" s="299">
        <f t="shared" si="6"/>
        <v>0</v>
      </c>
      <c r="P27" s="299">
        <f t="shared" si="7"/>
        <v>0</v>
      </c>
      <c r="Q27" s="299" t="str">
        <f t="shared" si="8"/>
        <v/>
      </c>
    </row>
    <row r="28" spans="1:17" ht="17.100000000000001" customHeight="1">
      <c r="A28" s="322"/>
      <c r="B28" s="318"/>
      <c r="C28" s="318"/>
      <c r="D28" s="319"/>
      <c r="E28" s="320" t="str">
        <f t="shared" si="2"/>
        <v/>
      </c>
      <c r="F28" s="320" t="str">
        <f t="shared" si="3"/>
        <v/>
      </c>
      <c r="G28" s="320" t="str">
        <f t="shared" si="4"/>
        <v/>
      </c>
      <c r="H28" s="1274"/>
      <c r="I28" s="1271"/>
      <c r="J28" s="1272"/>
      <c r="K28" s="1273"/>
      <c r="L28" s="298">
        <f t="shared" si="0"/>
        <v>0</v>
      </c>
      <c r="M28" s="299" t="str">
        <f t="shared" si="1"/>
        <v/>
      </c>
      <c r="N28" s="299">
        <f t="shared" si="5"/>
        <v>0</v>
      </c>
      <c r="O28" s="299">
        <f t="shared" si="6"/>
        <v>0</v>
      </c>
      <c r="P28" s="299">
        <f t="shared" si="7"/>
        <v>0</v>
      </c>
      <c r="Q28" s="299" t="str">
        <f t="shared" si="8"/>
        <v/>
      </c>
    </row>
    <row r="29" spans="1:17" ht="17.100000000000001" customHeight="1">
      <c r="A29" s="323"/>
      <c r="B29" s="324"/>
      <c r="C29" s="324"/>
      <c r="D29" s="325"/>
      <c r="E29" s="320" t="str">
        <f t="shared" si="2"/>
        <v/>
      </c>
      <c r="F29" s="320" t="str">
        <f t="shared" si="3"/>
        <v/>
      </c>
      <c r="G29" s="320" t="str">
        <f t="shared" si="4"/>
        <v/>
      </c>
      <c r="H29" s="1274"/>
      <c r="I29" s="1271"/>
      <c r="J29" s="1272"/>
      <c r="K29" s="1273"/>
      <c r="L29" s="298">
        <f t="shared" si="0"/>
        <v>0</v>
      </c>
      <c r="M29" s="299" t="str">
        <f t="shared" si="1"/>
        <v/>
      </c>
      <c r="N29" s="299">
        <f t="shared" si="5"/>
        <v>0</v>
      </c>
      <c r="O29" s="299">
        <f t="shared" si="6"/>
        <v>0</v>
      </c>
      <c r="P29" s="299">
        <f t="shared" si="7"/>
        <v>0</v>
      </c>
      <c r="Q29" s="299" t="str">
        <f t="shared" si="8"/>
        <v/>
      </c>
    </row>
    <row r="30" spans="1:17" ht="17.100000000000001" customHeight="1">
      <c r="A30" s="326"/>
      <c r="B30" s="318"/>
      <c r="C30" s="318"/>
      <c r="D30" s="319"/>
      <c r="E30" s="320" t="str">
        <f t="shared" si="2"/>
        <v/>
      </c>
      <c r="F30" s="320" t="str">
        <f t="shared" si="3"/>
        <v/>
      </c>
      <c r="G30" s="320" t="str">
        <f t="shared" si="4"/>
        <v/>
      </c>
      <c r="H30" s="1274"/>
      <c r="I30" s="1271"/>
      <c r="J30" s="1284"/>
      <c r="K30" s="1285"/>
      <c r="L30" s="298">
        <f t="shared" si="0"/>
        <v>0</v>
      </c>
      <c r="M30" s="299" t="str">
        <f t="shared" si="1"/>
        <v/>
      </c>
      <c r="N30" s="299">
        <f t="shared" si="5"/>
        <v>0</v>
      </c>
      <c r="O30" s="299">
        <f t="shared" si="6"/>
        <v>0</v>
      </c>
      <c r="P30" s="299">
        <f t="shared" si="7"/>
        <v>0</v>
      </c>
      <c r="Q30" s="299" t="str">
        <f t="shared" si="8"/>
        <v/>
      </c>
    </row>
    <row r="31" spans="1:17" ht="17.100000000000001" customHeight="1">
      <c r="A31" s="326"/>
      <c r="B31" s="318"/>
      <c r="C31" s="318"/>
      <c r="D31" s="319"/>
      <c r="E31" s="320" t="str">
        <f t="shared" si="2"/>
        <v/>
      </c>
      <c r="F31" s="320" t="str">
        <f t="shared" si="3"/>
        <v/>
      </c>
      <c r="G31" s="320" t="str">
        <f t="shared" si="4"/>
        <v/>
      </c>
      <c r="H31" s="1274"/>
      <c r="I31" s="1271"/>
      <c r="J31" s="1287"/>
      <c r="K31" s="1288"/>
      <c r="L31" s="298">
        <f t="shared" si="0"/>
        <v>0</v>
      </c>
      <c r="M31" s="299" t="str">
        <f t="shared" si="1"/>
        <v/>
      </c>
      <c r="N31" s="299">
        <f t="shared" si="5"/>
        <v>0</v>
      </c>
      <c r="O31" s="299">
        <f t="shared" si="6"/>
        <v>0</v>
      </c>
      <c r="P31" s="299">
        <f t="shared" si="7"/>
        <v>0</v>
      </c>
    </row>
    <row r="32" spans="1:17" ht="17.100000000000001" customHeight="1">
      <c r="A32" s="326"/>
      <c r="B32" s="318"/>
      <c r="C32" s="318"/>
      <c r="D32" s="319"/>
      <c r="E32" s="320" t="str">
        <f t="shared" si="2"/>
        <v/>
      </c>
      <c r="F32" s="320" t="str">
        <f t="shared" si="3"/>
        <v/>
      </c>
      <c r="G32" s="320" t="str">
        <f t="shared" si="4"/>
        <v/>
      </c>
      <c r="H32" s="1274"/>
      <c r="I32" s="1271"/>
      <c r="J32" s="1287"/>
      <c r="K32" s="1288"/>
      <c r="L32" s="298">
        <f t="shared" si="0"/>
        <v>0</v>
      </c>
      <c r="M32" s="299" t="str">
        <f t="shared" si="1"/>
        <v/>
      </c>
      <c r="N32" s="299">
        <f t="shared" si="5"/>
        <v>0</v>
      </c>
      <c r="O32" s="299">
        <f t="shared" si="6"/>
        <v>0</v>
      </c>
      <c r="P32" s="299">
        <f t="shared" si="7"/>
        <v>0</v>
      </c>
    </row>
    <row r="33" spans="1:38" ht="17.100000000000001" customHeight="1">
      <c r="A33" s="323"/>
      <c r="B33" s="324"/>
      <c r="C33" s="324"/>
      <c r="D33" s="325"/>
      <c r="E33" s="320" t="str">
        <f t="shared" si="2"/>
        <v/>
      </c>
      <c r="F33" s="320" t="str">
        <f t="shared" si="3"/>
        <v/>
      </c>
      <c r="G33" s="320" t="str">
        <f t="shared" si="4"/>
        <v/>
      </c>
      <c r="H33" s="1274"/>
      <c r="I33" s="1271"/>
      <c r="J33" s="1287"/>
      <c r="K33" s="1288"/>
      <c r="L33" s="298">
        <f t="shared" si="0"/>
        <v>0</v>
      </c>
      <c r="M33" s="299" t="str">
        <f t="shared" si="1"/>
        <v/>
      </c>
      <c r="N33" s="299">
        <f t="shared" si="5"/>
        <v>0</v>
      </c>
      <c r="O33" s="299">
        <f t="shared" si="6"/>
        <v>0</v>
      </c>
      <c r="P33" s="299">
        <f t="shared" si="7"/>
        <v>0</v>
      </c>
    </row>
    <row r="34" spans="1:38" ht="17.100000000000001" customHeight="1">
      <c r="A34" s="323"/>
      <c r="B34" s="324"/>
      <c r="C34" s="324"/>
      <c r="D34" s="325"/>
      <c r="E34" s="320" t="str">
        <f t="shared" si="2"/>
        <v/>
      </c>
      <c r="F34" s="320" t="str">
        <f t="shared" si="3"/>
        <v/>
      </c>
      <c r="G34" s="320" t="str">
        <f t="shared" si="4"/>
        <v/>
      </c>
      <c r="H34" s="1274"/>
      <c r="I34" s="1271"/>
      <c r="J34" s="1274"/>
      <c r="K34" s="1289"/>
      <c r="L34" s="298">
        <f t="shared" si="0"/>
        <v>0</v>
      </c>
      <c r="M34" s="299" t="str">
        <f t="shared" si="1"/>
        <v/>
      </c>
      <c r="N34" s="299">
        <f t="shared" si="5"/>
        <v>0</v>
      </c>
      <c r="O34" s="299">
        <f t="shared" si="6"/>
        <v>0</v>
      </c>
      <c r="P34" s="299">
        <f t="shared" si="7"/>
        <v>0</v>
      </c>
    </row>
    <row r="35" spans="1:38" ht="17.100000000000001" customHeight="1">
      <c r="A35" s="327"/>
      <c r="B35" s="318"/>
      <c r="C35" s="318"/>
      <c r="D35" s="319"/>
      <c r="E35" s="320" t="str">
        <f t="shared" si="2"/>
        <v/>
      </c>
      <c r="F35" s="320" t="str">
        <f t="shared" si="3"/>
        <v/>
      </c>
      <c r="G35" s="320" t="str">
        <f t="shared" si="4"/>
        <v/>
      </c>
      <c r="H35" s="1274"/>
      <c r="I35" s="1271"/>
      <c r="J35" s="1287"/>
      <c r="K35" s="1288"/>
      <c r="L35" s="298">
        <f t="shared" si="0"/>
        <v>0</v>
      </c>
      <c r="M35" s="299" t="str">
        <f t="shared" si="1"/>
        <v/>
      </c>
      <c r="N35" s="299">
        <f t="shared" si="5"/>
        <v>0</v>
      </c>
      <c r="O35" s="299">
        <f t="shared" si="6"/>
        <v>0</v>
      </c>
      <c r="P35" s="299">
        <f t="shared" si="7"/>
        <v>0</v>
      </c>
    </row>
    <row r="36" spans="1:38" ht="17.100000000000001" customHeight="1" thickBot="1">
      <c r="A36" s="328"/>
      <c r="B36" s="329"/>
      <c r="C36" s="329"/>
      <c r="D36" s="330"/>
      <c r="E36" s="330"/>
      <c r="F36" s="330"/>
      <c r="G36" s="330"/>
      <c r="H36" s="1290" t="s">
        <v>788</v>
      </c>
      <c r="I36" s="1291"/>
      <c r="J36" s="1291"/>
      <c r="K36" s="331">
        <f>+O38</f>
        <v>0</v>
      </c>
      <c r="N36" s="299">
        <f t="shared" si="5"/>
        <v>0</v>
      </c>
    </row>
    <row r="37" spans="1:38" ht="17.100000000000001" customHeight="1">
      <c r="A37" s="1286"/>
      <c r="B37" s="1286"/>
      <c r="C37" s="1286"/>
      <c r="D37" s="1286"/>
      <c r="E37" s="1286"/>
      <c r="F37" s="1286"/>
      <c r="G37" s="1286"/>
      <c r="H37" s="1286"/>
      <c r="I37" s="1286"/>
      <c r="J37" s="1286"/>
      <c r="K37" s="1286"/>
    </row>
    <row r="38" spans="1:38" s="335" customFormat="1" ht="20.100000000000001" customHeight="1">
      <c r="A38" s="332"/>
      <c r="B38" s="1264" t="s">
        <v>789</v>
      </c>
      <c r="C38" s="1264"/>
      <c r="D38" s="1264"/>
      <c r="E38" s="1264"/>
      <c r="F38" s="1264"/>
      <c r="G38" s="1264"/>
      <c r="H38" s="1264"/>
      <c r="I38" s="1264"/>
      <c r="J38" s="302"/>
      <c r="K38" s="333"/>
      <c r="L38" s="298">
        <f>SUM(L9:L36)</f>
        <v>0</v>
      </c>
      <c r="M38" s="299">
        <f>+SUM(M9:M36)</f>
        <v>0</v>
      </c>
      <c r="N38" s="299">
        <f>SUM(N9:N36)</f>
        <v>0</v>
      </c>
      <c r="O38" s="299">
        <f>SUM(O9:O36)</f>
        <v>0</v>
      </c>
      <c r="P38" s="299">
        <f>SUM(P9:P36)</f>
        <v>0</v>
      </c>
      <c r="Q38" s="299">
        <f>SUM(Q10:Q36)</f>
        <v>0</v>
      </c>
      <c r="R38" s="299" t="s">
        <v>790</v>
      </c>
      <c r="S38" s="334"/>
      <c r="T38" s="334"/>
      <c r="U38" s="334"/>
      <c r="V38" s="334"/>
      <c r="W38" s="334"/>
      <c r="X38" s="334"/>
      <c r="Y38" s="334"/>
      <c r="Z38" s="334"/>
      <c r="AA38" s="334"/>
      <c r="AB38" s="334"/>
      <c r="AC38" s="334"/>
      <c r="AD38" s="334"/>
      <c r="AE38" s="334"/>
      <c r="AF38" s="334"/>
      <c r="AG38" s="334"/>
      <c r="AH38" s="334"/>
      <c r="AI38" s="334"/>
      <c r="AJ38" s="334"/>
      <c r="AK38" s="334"/>
      <c r="AL38" s="334"/>
    </row>
    <row r="39" spans="1:38" ht="21" customHeight="1">
      <c r="A39" s="1286" t="s">
        <v>791</v>
      </c>
      <c r="B39" s="1286"/>
      <c r="C39" s="1286"/>
      <c r="D39" s="1286"/>
      <c r="E39" s="1286"/>
      <c r="F39" s="1286"/>
      <c r="G39" s="1286"/>
      <c r="H39" s="1286"/>
      <c r="I39" s="1286"/>
      <c r="J39" s="1286"/>
      <c r="K39" s="1286"/>
      <c r="M39" s="336" t="s">
        <v>792</v>
      </c>
    </row>
    <row r="40" spans="1:38" ht="13.5" customHeight="1">
      <c r="A40" s="337"/>
      <c r="B40" s="338"/>
      <c r="C40" s="335"/>
      <c r="D40" s="335"/>
      <c r="E40" s="335"/>
      <c r="F40" s="339"/>
      <c r="G40" s="340"/>
      <c r="H40" s="339"/>
      <c r="I40" s="333"/>
      <c r="J40" s="333"/>
      <c r="K40" s="341"/>
    </row>
    <row r="41" spans="1:38" ht="18" customHeight="1">
      <c r="A41" s="332" t="s">
        <v>793</v>
      </c>
      <c r="B41" s="1292" t="s">
        <v>1258</v>
      </c>
      <c r="C41" s="1292"/>
      <c r="D41" s="302"/>
      <c r="E41" s="342"/>
      <c r="F41" s="1264"/>
      <c r="G41" s="1264"/>
      <c r="H41" s="302"/>
      <c r="I41" s="333"/>
      <c r="J41" s="333"/>
    </row>
    <row r="42" spans="1:38" ht="21">
      <c r="A42" s="343"/>
      <c r="B42" s="1293"/>
      <c r="C42" s="1293"/>
      <c r="D42" s="344"/>
      <c r="E42" s="333"/>
      <c r="F42" s="344"/>
      <c r="G42" s="345"/>
      <c r="H42" s="344"/>
      <c r="I42" s="346"/>
      <c r="J42" s="346"/>
      <c r="K42" s="341"/>
    </row>
    <row r="43" spans="1:38" s="300" customFormat="1" ht="20.25">
      <c r="A43" s="347"/>
      <c r="B43" s="347"/>
      <c r="C43" s="347"/>
      <c r="D43" s="347"/>
      <c r="E43" s="347"/>
      <c r="F43" s="347"/>
      <c r="G43" s="347"/>
      <c r="H43" s="347"/>
      <c r="I43" s="347"/>
      <c r="J43" s="347"/>
      <c r="K43" s="347"/>
      <c r="L43" s="298"/>
      <c r="M43" s="299"/>
      <c r="N43" s="299"/>
      <c r="O43" s="299"/>
      <c r="P43" s="299"/>
      <c r="Q43" s="299"/>
      <c r="R43" s="299"/>
    </row>
    <row r="44" spans="1:38" s="300" customFormat="1" ht="20.25">
      <c r="A44" s="347"/>
      <c r="B44" s="347"/>
      <c r="C44" s="347"/>
      <c r="D44" s="347"/>
      <c r="E44" s="347"/>
      <c r="F44" s="347"/>
      <c r="G44" s="347"/>
      <c r="H44" s="347"/>
      <c r="I44" s="347"/>
      <c r="J44" s="347"/>
      <c r="K44" s="347"/>
      <c r="L44" s="298"/>
      <c r="M44" s="299"/>
      <c r="N44" s="299"/>
      <c r="O44" s="299"/>
      <c r="P44" s="299"/>
      <c r="Q44" s="299"/>
      <c r="R44" s="299"/>
    </row>
    <row r="45" spans="1:38" s="300" customFormat="1" ht="20.25">
      <c r="A45" s="347"/>
      <c r="B45" s="347"/>
      <c r="C45" s="347"/>
      <c r="D45" s="347"/>
      <c r="E45" s="347"/>
      <c r="F45" s="347"/>
      <c r="G45" s="347"/>
      <c r="H45" s="347"/>
      <c r="I45" s="347"/>
      <c r="J45" s="347"/>
      <c r="K45" s="347"/>
      <c r="L45" s="298"/>
      <c r="M45" s="299"/>
      <c r="N45" s="299"/>
      <c r="O45" s="299"/>
      <c r="P45" s="299"/>
      <c r="Q45" s="299"/>
      <c r="R45" s="299"/>
    </row>
    <row r="46" spans="1:38" s="300" customFormat="1" ht="20.25">
      <c r="A46" s="347"/>
      <c r="B46" s="347"/>
      <c r="C46" s="347"/>
      <c r="D46" s="347"/>
      <c r="E46" s="347"/>
      <c r="F46" s="347"/>
      <c r="G46" s="347"/>
      <c r="H46" s="347"/>
      <c r="I46" s="347"/>
      <c r="J46" s="347"/>
      <c r="K46" s="347"/>
      <c r="L46" s="298"/>
      <c r="M46" s="299"/>
      <c r="N46" s="299"/>
      <c r="O46" s="299"/>
      <c r="P46" s="299"/>
      <c r="Q46" s="299"/>
      <c r="R46" s="299"/>
    </row>
    <row r="47" spans="1:38" s="300" customFormat="1" ht="20.25">
      <c r="A47" s="300" t="str">
        <f>+'料单 (4)'!L3</f>
        <v>材质</v>
      </c>
      <c r="B47" s="347"/>
      <c r="C47" s="347"/>
      <c r="D47" s="347"/>
      <c r="E47" s="347"/>
      <c r="F47" s="347"/>
      <c r="G47" s="347"/>
      <c r="H47" s="347"/>
      <c r="I47" s="347"/>
      <c r="J47" s="347"/>
      <c r="K47" s="347"/>
      <c r="L47" s="298"/>
      <c r="M47" s="299"/>
      <c r="N47" s="299"/>
      <c r="O47" s="299"/>
      <c r="P47" s="299"/>
      <c r="Q47" s="299"/>
      <c r="R47" s="299"/>
    </row>
    <row r="48" spans="1:38" s="300" customFormat="1" ht="20.25">
      <c r="B48" s="347"/>
      <c r="C48" s="347"/>
      <c r="D48" s="347"/>
      <c r="E48" s="347"/>
      <c r="F48" s="347"/>
      <c r="G48" s="347"/>
      <c r="H48" s="347"/>
      <c r="I48" s="347"/>
      <c r="J48" s="347"/>
      <c r="K48" s="347"/>
      <c r="L48" s="298"/>
      <c r="M48" s="299"/>
      <c r="N48" s="299"/>
      <c r="O48" s="299"/>
      <c r="P48" s="299"/>
      <c r="Q48" s="299"/>
      <c r="R48" s="299"/>
    </row>
    <row r="49" spans="1:18" s="300" customFormat="1" ht="20.25">
      <c r="A49" s="300" t="str">
        <f>+'料单 (4)'!L5</f>
        <v>L02象牙白</v>
      </c>
      <c r="B49" s="347"/>
      <c r="C49" s="347"/>
      <c r="D49" s="347"/>
      <c r="E49" s="347"/>
      <c r="F49" s="347"/>
      <c r="G49" s="347"/>
      <c r="H49" s="347"/>
      <c r="I49" s="347"/>
      <c r="J49" s="347"/>
      <c r="K49" s="347"/>
      <c r="L49" s="298"/>
      <c r="M49" s="299"/>
      <c r="N49" s="299"/>
      <c r="O49" s="299"/>
      <c r="P49" s="299"/>
      <c r="Q49" s="299"/>
      <c r="R49" s="299"/>
    </row>
    <row r="50" spans="1:18" s="300" customFormat="1" ht="20.25">
      <c r="A50" s="300" t="str">
        <f>+'料单 (4)'!L6</f>
        <v>L12纯白</v>
      </c>
      <c r="B50" s="347"/>
      <c r="C50" s="347"/>
      <c r="D50" s="347"/>
      <c r="E50" s="347"/>
      <c r="F50" s="347"/>
      <c r="G50" s="347"/>
      <c r="H50" s="347"/>
      <c r="I50" s="347"/>
      <c r="J50" s="347"/>
      <c r="K50" s="347"/>
      <c r="L50" s="298"/>
      <c r="M50" s="299"/>
      <c r="N50" s="299"/>
      <c r="O50" s="299"/>
      <c r="P50" s="299"/>
      <c r="Q50" s="299"/>
      <c r="R50" s="299"/>
    </row>
    <row r="51" spans="1:18" s="300" customFormat="1" ht="20.25">
      <c r="A51" s="300" t="str">
        <f>+'料单 (4)'!L7</f>
        <v>L01珍珠白</v>
      </c>
      <c r="B51" s="347"/>
      <c r="C51" s="347"/>
      <c r="D51" s="347"/>
      <c r="E51" s="347"/>
      <c r="F51" s="347"/>
      <c r="G51" s="347"/>
      <c r="H51" s="347"/>
      <c r="I51" s="347"/>
      <c r="J51" s="347"/>
      <c r="K51" s="347"/>
      <c r="L51" s="298"/>
      <c r="M51" s="299"/>
      <c r="N51" s="299"/>
      <c r="O51" s="299"/>
      <c r="P51" s="299"/>
      <c r="Q51" s="299"/>
      <c r="R51" s="299"/>
    </row>
    <row r="52" spans="1:18" s="300" customFormat="1" ht="20.25">
      <c r="A52" s="300" t="str">
        <f>+'料单 (4)'!L8</f>
        <v>L02象牙白</v>
      </c>
      <c r="B52" s="347"/>
      <c r="C52" s="347"/>
      <c r="D52" s="347"/>
      <c r="E52" s="347"/>
      <c r="F52" s="347"/>
      <c r="G52" s="347"/>
      <c r="H52" s="347"/>
      <c r="I52" s="347"/>
      <c r="J52" s="347"/>
      <c r="K52" s="347"/>
      <c r="L52" s="298"/>
      <c r="M52" s="299"/>
      <c r="N52" s="299"/>
      <c r="O52" s="299"/>
      <c r="P52" s="299"/>
      <c r="Q52" s="299"/>
      <c r="R52" s="299"/>
    </row>
    <row r="53" spans="1:18" s="300" customFormat="1" ht="20.25">
      <c r="A53" s="300" t="str">
        <f>+'料单 (4)'!L9</f>
        <v>L05浅灰</v>
      </c>
      <c r="B53" s="347"/>
      <c r="C53" s="347"/>
      <c r="D53" s="347"/>
      <c r="E53" s="347"/>
      <c r="F53" s="347"/>
      <c r="G53" s="347"/>
      <c r="H53" s="347"/>
      <c r="I53" s="347"/>
      <c r="J53" s="347"/>
      <c r="K53" s="347"/>
      <c r="L53" s="298"/>
      <c r="M53" s="299"/>
      <c r="N53" s="299"/>
      <c r="O53" s="299"/>
      <c r="P53" s="299"/>
      <c r="Q53" s="299"/>
      <c r="R53" s="299"/>
    </row>
    <row r="54" spans="1:18" s="300" customFormat="1" ht="20.25">
      <c r="A54" s="300" t="str">
        <f>+'料单 (4)'!L10</f>
        <v>L06卡布奇诺</v>
      </c>
      <c r="B54" s="347"/>
      <c r="C54" s="347"/>
      <c r="D54" s="347"/>
      <c r="E54" s="347"/>
      <c r="F54" s="347"/>
      <c r="G54" s="347"/>
      <c r="H54" s="347"/>
      <c r="I54" s="347"/>
      <c r="J54" s="347"/>
      <c r="K54" s="347"/>
      <c r="L54" s="298"/>
      <c r="M54" s="299"/>
      <c r="N54" s="299"/>
      <c r="O54" s="299"/>
      <c r="P54" s="299"/>
      <c r="Q54" s="299"/>
      <c r="R54" s="299"/>
    </row>
    <row r="55" spans="1:18" s="300" customFormat="1" ht="20.25">
      <c r="A55" s="300" t="str">
        <f>+'料单 (4)'!L11</f>
        <v>L11纯黑</v>
      </c>
      <c r="B55" s="347"/>
      <c r="C55" s="347"/>
      <c r="D55" s="347"/>
      <c r="E55" s="347"/>
      <c r="F55" s="347"/>
      <c r="G55" s="347"/>
      <c r="H55" s="347"/>
      <c r="I55" s="347"/>
      <c r="J55" s="347"/>
      <c r="K55" s="347"/>
      <c r="L55" s="298"/>
      <c r="M55" s="299"/>
      <c r="N55" s="299"/>
      <c r="O55" s="299"/>
      <c r="P55" s="299"/>
      <c r="Q55" s="299"/>
      <c r="R55" s="299"/>
    </row>
    <row r="56" spans="1:18" s="300" customFormat="1" ht="20.25">
      <c r="A56" s="300" t="str">
        <f>+'料单 (4)'!L12</f>
        <v>L12纯白</v>
      </c>
      <c r="B56" s="347"/>
      <c r="C56" s="347"/>
      <c r="D56" s="347"/>
      <c r="E56" s="347"/>
      <c r="F56" s="347"/>
      <c r="G56" s="347"/>
      <c r="H56" s="347"/>
      <c r="I56" s="347"/>
      <c r="J56" s="347"/>
      <c r="K56" s="347"/>
      <c r="L56" s="298"/>
      <c r="M56" s="299"/>
      <c r="N56" s="299"/>
      <c r="O56" s="299"/>
      <c r="P56" s="299"/>
      <c r="Q56" s="299"/>
      <c r="R56" s="299"/>
    </row>
    <row r="57" spans="1:18" s="300" customFormat="1" ht="20.25">
      <c r="A57" s="300" t="str">
        <f>+'料单 (4)'!L13</f>
        <v>G01珍珠白</v>
      </c>
      <c r="B57" s="347"/>
      <c r="C57" s="347"/>
      <c r="D57" s="347"/>
      <c r="E57" s="347"/>
      <c r="F57" s="347"/>
      <c r="G57" s="347"/>
      <c r="H57" s="347"/>
      <c r="I57" s="347"/>
      <c r="J57" s="347"/>
      <c r="K57" s="347"/>
      <c r="L57" s="298"/>
      <c r="M57" s="299"/>
      <c r="N57" s="299"/>
      <c r="O57" s="299"/>
      <c r="P57" s="299"/>
      <c r="Q57" s="299"/>
      <c r="R57" s="299"/>
    </row>
    <row r="58" spans="1:18" s="300" customFormat="1" ht="20.25">
      <c r="A58" s="300" t="str">
        <f>+'料单 (4)'!L14</f>
        <v>G02象牙白</v>
      </c>
      <c r="B58" s="347"/>
      <c r="C58" s="347"/>
      <c r="D58" s="347"/>
      <c r="E58" s="347"/>
      <c r="F58" s="347"/>
      <c r="G58" s="347"/>
      <c r="H58" s="347"/>
      <c r="I58" s="347"/>
      <c r="J58" s="347"/>
      <c r="K58" s="347"/>
      <c r="L58" s="298"/>
      <c r="M58" s="299"/>
      <c r="N58" s="299"/>
      <c r="O58" s="299"/>
      <c r="P58" s="299"/>
      <c r="Q58" s="299"/>
      <c r="R58" s="299"/>
    </row>
    <row r="59" spans="1:18" s="300" customFormat="1" ht="20.25">
      <c r="A59" s="300" t="str">
        <f>+'料单 (4)'!L15</f>
        <v>G06卡布奇诺</v>
      </c>
      <c r="B59" s="347"/>
      <c r="C59" s="347"/>
      <c r="D59" s="347"/>
      <c r="E59" s="347"/>
      <c r="F59" s="347"/>
      <c r="G59" s="347"/>
      <c r="H59" s="347"/>
      <c r="I59" s="347"/>
      <c r="J59" s="347"/>
      <c r="K59" s="347"/>
      <c r="L59" s="298"/>
      <c r="M59" s="299"/>
      <c r="N59" s="299"/>
      <c r="O59" s="299"/>
      <c r="P59" s="299"/>
      <c r="Q59" s="299"/>
      <c r="R59" s="299"/>
    </row>
    <row r="60" spans="1:18" s="300" customFormat="1" ht="20.25">
      <c r="A60" s="300" t="str">
        <f>+'料单 (4)'!L16</f>
        <v>G07深灰</v>
      </c>
      <c r="B60" s="347"/>
      <c r="C60" s="347"/>
      <c r="D60" s="347"/>
      <c r="E60" s="347"/>
      <c r="F60" s="347"/>
      <c r="G60" s="347"/>
      <c r="H60" s="347"/>
      <c r="I60" s="347"/>
      <c r="J60" s="347"/>
      <c r="K60" s="347"/>
      <c r="L60" s="298"/>
      <c r="M60" s="299"/>
      <c r="N60" s="299"/>
      <c r="O60" s="299"/>
      <c r="P60" s="299"/>
      <c r="Q60" s="299"/>
      <c r="R60" s="299"/>
    </row>
    <row r="61" spans="1:18" s="300" customFormat="1" ht="20.25">
      <c r="A61" s="300" t="str">
        <f>+'料单 (4)'!L17</f>
        <v>G08柠檬绿</v>
      </c>
      <c r="B61" s="347"/>
      <c r="C61" s="347"/>
      <c r="D61" s="347"/>
      <c r="E61" s="347"/>
      <c r="F61" s="347"/>
      <c r="G61" s="347"/>
      <c r="H61" s="347"/>
      <c r="I61" s="347"/>
      <c r="J61" s="347"/>
      <c r="K61" s="347"/>
      <c r="L61" s="298"/>
      <c r="M61" s="299"/>
      <c r="N61" s="299"/>
      <c r="O61" s="299"/>
      <c r="P61" s="299"/>
      <c r="Q61" s="299"/>
      <c r="R61" s="299"/>
    </row>
    <row r="62" spans="1:18" s="300" customFormat="1" ht="20.25">
      <c r="A62" s="300" t="str">
        <f>+'料单 (4)'!L18</f>
        <v>G09法拉利红</v>
      </c>
      <c r="B62" s="347"/>
      <c r="C62" s="347"/>
      <c r="D62" s="347"/>
      <c r="E62" s="347"/>
      <c r="F62" s="347"/>
      <c r="G62" s="347"/>
      <c r="H62" s="347"/>
      <c r="I62" s="347"/>
      <c r="J62" s="347"/>
      <c r="K62" s="347"/>
      <c r="L62" s="298"/>
      <c r="M62" s="299"/>
      <c r="N62" s="299"/>
      <c r="O62" s="299"/>
      <c r="P62" s="299"/>
      <c r="Q62" s="299"/>
      <c r="R62" s="299"/>
    </row>
    <row r="63" spans="1:18" s="300" customFormat="1" ht="20.25">
      <c r="A63" s="300" t="str">
        <f>+'料单 (4)'!L21</f>
        <v>G10酒红</v>
      </c>
      <c r="B63" s="347"/>
      <c r="C63" s="347"/>
      <c r="D63" s="347"/>
      <c r="E63" s="347"/>
      <c r="F63" s="347"/>
      <c r="G63" s="347"/>
      <c r="H63" s="347"/>
      <c r="I63" s="347"/>
      <c r="J63" s="347"/>
      <c r="K63" s="347"/>
      <c r="L63" s="298"/>
      <c r="M63" s="299"/>
      <c r="N63" s="299"/>
      <c r="O63" s="299"/>
      <c r="P63" s="299"/>
      <c r="Q63" s="299"/>
      <c r="R63" s="299"/>
    </row>
    <row r="64" spans="1:18" s="300" customFormat="1" ht="20.25">
      <c r="A64" s="300" t="str">
        <f>+'料单 (4)'!L22</f>
        <v>G11纯黑</v>
      </c>
      <c r="B64" s="347"/>
      <c r="C64" s="347"/>
      <c r="D64" s="347"/>
      <c r="E64" s="347"/>
      <c r="F64" s="347"/>
      <c r="G64" s="347"/>
      <c r="H64" s="347"/>
      <c r="I64" s="347"/>
      <c r="J64" s="347"/>
      <c r="K64" s="347"/>
      <c r="L64" s="298"/>
      <c r="M64" s="299"/>
      <c r="N64" s="299"/>
      <c r="O64" s="299"/>
      <c r="P64" s="299"/>
      <c r="Q64" s="299"/>
      <c r="R64" s="299"/>
    </row>
    <row r="65" spans="1:18" s="300" customFormat="1" ht="20.25">
      <c r="A65" s="300" t="str">
        <f>+'料单 (4)'!L23</f>
        <v>G12纯白</v>
      </c>
      <c r="B65" s="347"/>
      <c r="C65" s="347"/>
      <c r="D65" s="347"/>
      <c r="E65" s="347"/>
      <c r="F65" s="347"/>
      <c r="G65" s="347"/>
      <c r="H65" s="347"/>
      <c r="I65" s="347"/>
      <c r="J65" s="347"/>
      <c r="K65" s="347"/>
      <c r="L65" s="298"/>
      <c r="M65" s="299"/>
      <c r="N65" s="299"/>
      <c r="O65" s="299"/>
      <c r="P65" s="299"/>
      <c r="Q65" s="299"/>
      <c r="R65" s="299"/>
    </row>
    <row r="66" spans="1:18" s="300" customFormat="1" ht="20.25">
      <c r="A66" s="347"/>
      <c r="B66" s="347"/>
      <c r="C66" s="347"/>
      <c r="D66" s="347"/>
      <c r="E66" s="347"/>
      <c r="F66" s="347"/>
      <c r="G66" s="347"/>
      <c r="H66" s="347"/>
      <c r="I66" s="347"/>
      <c r="J66" s="347"/>
      <c r="K66" s="347"/>
      <c r="L66" s="298"/>
      <c r="M66" s="299"/>
      <c r="N66" s="299"/>
      <c r="O66" s="299"/>
      <c r="P66" s="299"/>
      <c r="Q66" s="299"/>
      <c r="R66" s="299"/>
    </row>
    <row r="67" spans="1:18" s="300" customFormat="1" ht="20.25">
      <c r="A67" s="347"/>
      <c r="B67" s="347"/>
      <c r="C67" s="347"/>
      <c r="D67" s="347"/>
      <c r="E67" s="347"/>
      <c r="F67" s="347"/>
      <c r="G67" s="347"/>
      <c r="H67" s="347"/>
      <c r="I67" s="347"/>
      <c r="J67" s="347"/>
      <c r="K67" s="347"/>
      <c r="L67" s="298"/>
      <c r="M67" s="299"/>
      <c r="N67" s="299"/>
      <c r="O67" s="299"/>
      <c r="P67" s="299"/>
      <c r="Q67" s="299"/>
      <c r="R67" s="299"/>
    </row>
    <row r="68" spans="1:18" s="300" customFormat="1" ht="20.25">
      <c r="A68" s="347"/>
      <c r="B68" s="347"/>
      <c r="C68" s="347"/>
      <c r="D68" s="347"/>
      <c r="E68" s="347"/>
      <c r="F68" s="347"/>
      <c r="G68" s="347"/>
      <c r="H68" s="347"/>
      <c r="I68" s="347"/>
      <c r="J68" s="347"/>
      <c r="K68" s="347"/>
      <c r="L68" s="298"/>
      <c r="M68" s="299"/>
      <c r="N68" s="299"/>
      <c r="O68" s="299"/>
      <c r="P68" s="299"/>
      <c r="Q68" s="299"/>
      <c r="R68" s="299"/>
    </row>
    <row r="69" spans="1:18" s="300" customFormat="1" ht="20.25">
      <c r="A69" s="347"/>
      <c r="B69" s="347"/>
      <c r="C69" s="347"/>
      <c r="D69" s="347"/>
      <c r="E69" s="347"/>
      <c r="F69" s="347"/>
      <c r="G69" s="347"/>
      <c r="H69" s="347"/>
      <c r="I69" s="347"/>
      <c r="J69" s="347"/>
      <c r="K69" s="347"/>
      <c r="L69" s="298"/>
      <c r="M69" s="299"/>
      <c r="N69" s="299"/>
      <c r="O69" s="299"/>
      <c r="P69" s="299"/>
      <c r="Q69" s="299"/>
      <c r="R69" s="299"/>
    </row>
    <row r="70" spans="1:18" s="300" customFormat="1" ht="20.25">
      <c r="A70" s="347"/>
      <c r="B70" s="347"/>
      <c r="C70" s="347"/>
      <c r="D70" s="347"/>
      <c r="E70" s="347"/>
      <c r="F70" s="347"/>
      <c r="G70" s="347"/>
      <c r="H70" s="347"/>
      <c r="I70" s="347"/>
      <c r="J70" s="347"/>
      <c r="K70" s="347"/>
      <c r="L70" s="298"/>
      <c r="M70" s="299"/>
      <c r="N70" s="299"/>
      <c r="O70" s="299"/>
      <c r="P70" s="299"/>
      <c r="Q70" s="299"/>
      <c r="R70" s="299"/>
    </row>
    <row r="71" spans="1:18" s="300" customFormat="1" ht="20.25">
      <c r="A71" s="347"/>
      <c r="B71" s="347"/>
      <c r="C71" s="347"/>
      <c r="D71" s="347"/>
      <c r="E71" s="347"/>
      <c r="F71" s="347"/>
      <c r="G71" s="347"/>
      <c r="H71" s="347"/>
      <c r="I71" s="347"/>
      <c r="J71" s="347"/>
      <c r="K71" s="347"/>
      <c r="L71" s="298"/>
      <c r="M71" s="299"/>
      <c r="N71" s="299"/>
      <c r="O71" s="299"/>
      <c r="P71" s="299"/>
      <c r="Q71" s="299"/>
      <c r="R71" s="299"/>
    </row>
    <row r="72" spans="1:18" s="300" customFormat="1" ht="20.25">
      <c r="A72" s="347"/>
      <c r="B72" s="347"/>
      <c r="C72" s="347"/>
      <c r="D72" s="347"/>
      <c r="E72" s="347"/>
      <c r="F72" s="347"/>
      <c r="G72" s="347"/>
      <c r="H72" s="347"/>
      <c r="I72" s="347"/>
      <c r="J72" s="347"/>
      <c r="K72" s="347"/>
      <c r="L72" s="298"/>
      <c r="M72" s="299"/>
      <c r="N72" s="299"/>
      <c r="O72" s="299"/>
      <c r="P72" s="299"/>
      <c r="Q72" s="299"/>
      <c r="R72" s="299"/>
    </row>
    <row r="73" spans="1:18" s="300" customFormat="1" ht="20.25">
      <c r="A73" s="347"/>
      <c r="B73" s="347"/>
      <c r="C73" s="347"/>
      <c r="D73" s="347"/>
      <c r="E73" s="347"/>
      <c r="F73" s="347"/>
      <c r="G73" s="347"/>
      <c r="H73" s="347"/>
      <c r="I73" s="347"/>
      <c r="J73" s="347"/>
      <c r="K73" s="347"/>
      <c r="L73" s="298"/>
      <c r="M73" s="299"/>
      <c r="N73" s="299"/>
      <c r="O73" s="299"/>
      <c r="P73" s="299"/>
      <c r="Q73" s="299"/>
      <c r="R73" s="299"/>
    </row>
    <row r="74" spans="1:18" s="300" customFormat="1" ht="20.25">
      <c r="A74" s="347"/>
      <c r="B74" s="347"/>
      <c r="C74" s="347"/>
      <c r="D74" s="347"/>
      <c r="E74" s="347"/>
      <c r="F74" s="347"/>
      <c r="G74" s="347"/>
      <c r="H74" s="347"/>
      <c r="I74" s="347"/>
      <c r="J74" s="347"/>
      <c r="K74" s="347"/>
      <c r="L74" s="298"/>
      <c r="M74" s="299"/>
      <c r="N74" s="299"/>
      <c r="O74" s="299"/>
      <c r="P74" s="299"/>
      <c r="Q74" s="299"/>
      <c r="R74" s="299"/>
    </row>
    <row r="75" spans="1:18" s="300" customFormat="1" ht="20.25">
      <c r="A75" s="347"/>
      <c r="B75" s="347"/>
      <c r="C75" s="347"/>
      <c r="D75" s="347"/>
      <c r="E75" s="347"/>
      <c r="F75" s="347"/>
      <c r="G75" s="347"/>
      <c r="H75" s="347"/>
      <c r="I75" s="347"/>
      <c r="J75" s="347"/>
      <c r="K75" s="347"/>
      <c r="L75" s="298"/>
      <c r="M75" s="299"/>
      <c r="N75" s="299"/>
      <c r="O75" s="299"/>
      <c r="P75" s="299"/>
      <c r="Q75" s="299"/>
      <c r="R75" s="299"/>
    </row>
    <row r="76" spans="1:18" s="300" customFormat="1" ht="20.25">
      <c r="A76" s="347"/>
      <c r="B76" s="347"/>
      <c r="C76" s="347"/>
      <c r="D76" s="347"/>
      <c r="E76" s="347"/>
      <c r="F76" s="347"/>
      <c r="G76" s="347"/>
      <c r="H76" s="347"/>
      <c r="I76" s="347"/>
      <c r="J76" s="347"/>
      <c r="K76" s="347"/>
      <c r="L76" s="298"/>
      <c r="M76" s="299"/>
      <c r="N76" s="299"/>
      <c r="O76" s="299"/>
      <c r="P76" s="299"/>
      <c r="Q76" s="299"/>
      <c r="R76" s="299"/>
    </row>
    <row r="77" spans="1:18" s="300" customFormat="1" ht="20.25">
      <c r="A77" s="347"/>
      <c r="B77" s="347"/>
      <c r="C77" s="347"/>
      <c r="D77" s="347"/>
      <c r="E77" s="347"/>
      <c r="F77" s="347"/>
      <c r="G77" s="347"/>
      <c r="H77" s="347"/>
      <c r="I77" s="347"/>
      <c r="J77" s="347"/>
      <c r="K77" s="347"/>
      <c r="L77" s="298"/>
      <c r="M77" s="299"/>
      <c r="N77" s="299"/>
      <c r="O77" s="299"/>
      <c r="P77" s="299"/>
      <c r="Q77" s="299"/>
      <c r="R77" s="299"/>
    </row>
    <row r="78" spans="1:18" s="300" customFormat="1" ht="20.25">
      <c r="A78" s="347"/>
      <c r="B78" s="347"/>
      <c r="C78" s="347"/>
      <c r="D78" s="347"/>
      <c r="E78" s="347"/>
      <c r="F78" s="347"/>
      <c r="G78" s="347"/>
      <c r="H78" s="347"/>
      <c r="I78" s="347"/>
      <c r="J78" s="347"/>
      <c r="K78" s="347"/>
      <c r="L78" s="298"/>
      <c r="M78" s="299"/>
      <c r="N78" s="299"/>
      <c r="O78" s="299"/>
      <c r="P78" s="299"/>
      <c r="Q78" s="299"/>
      <c r="R78" s="299"/>
    </row>
    <row r="79" spans="1:18" s="300" customFormat="1" ht="20.25">
      <c r="A79" s="347"/>
      <c r="B79" s="347"/>
      <c r="C79" s="347"/>
      <c r="D79" s="347"/>
      <c r="E79" s="347"/>
      <c r="F79" s="347"/>
      <c r="G79" s="347"/>
      <c r="H79" s="347"/>
      <c r="I79" s="347"/>
      <c r="J79" s="347"/>
      <c r="K79" s="347"/>
      <c r="L79" s="298"/>
      <c r="M79" s="299"/>
      <c r="N79" s="299"/>
      <c r="O79" s="299"/>
      <c r="P79" s="299"/>
      <c r="Q79" s="299"/>
      <c r="R79" s="299"/>
    </row>
    <row r="80" spans="1:18" s="300" customFormat="1" ht="20.25">
      <c r="A80" s="347"/>
      <c r="B80" s="347"/>
      <c r="C80" s="347"/>
      <c r="D80" s="347"/>
      <c r="E80" s="347"/>
      <c r="F80" s="347"/>
      <c r="G80" s="347"/>
      <c r="H80" s="347"/>
      <c r="I80" s="347"/>
      <c r="J80" s="347"/>
      <c r="K80" s="347"/>
      <c r="L80" s="298"/>
      <c r="M80" s="299"/>
      <c r="N80" s="299"/>
      <c r="O80" s="299"/>
      <c r="P80" s="299"/>
      <c r="Q80" s="299"/>
      <c r="R80" s="299"/>
    </row>
    <row r="81" spans="1:18" s="300" customFormat="1" ht="20.25">
      <c r="A81" s="347"/>
      <c r="B81" s="347"/>
      <c r="C81" s="347"/>
      <c r="D81" s="347"/>
      <c r="E81" s="347"/>
      <c r="F81" s="347"/>
      <c r="G81" s="347"/>
      <c r="H81" s="347"/>
      <c r="I81" s="347"/>
      <c r="J81" s="347"/>
      <c r="K81" s="347"/>
      <c r="L81" s="298"/>
      <c r="M81" s="299"/>
      <c r="N81" s="299"/>
      <c r="O81" s="299"/>
      <c r="P81" s="299"/>
      <c r="Q81" s="299"/>
      <c r="R81" s="299"/>
    </row>
    <row r="82" spans="1:18" s="300" customFormat="1" ht="20.25">
      <c r="A82" s="347"/>
      <c r="B82" s="347"/>
      <c r="C82" s="347"/>
      <c r="D82" s="347"/>
      <c r="E82" s="347"/>
      <c r="F82" s="347"/>
      <c r="G82" s="347"/>
      <c r="H82" s="347"/>
      <c r="I82" s="347"/>
      <c r="J82" s="347"/>
      <c r="K82" s="347"/>
      <c r="L82" s="298"/>
      <c r="M82" s="299"/>
      <c r="N82" s="299"/>
      <c r="O82" s="299"/>
      <c r="P82" s="299"/>
      <c r="Q82" s="299"/>
      <c r="R82" s="299"/>
    </row>
    <row r="83" spans="1:18" s="300" customFormat="1" ht="20.25">
      <c r="A83" s="347"/>
      <c r="B83" s="347"/>
      <c r="C83" s="347"/>
      <c r="D83" s="347"/>
      <c r="E83" s="347"/>
      <c r="F83" s="347"/>
      <c r="G83" s="347"/>
      <c r="H83" s="347"/>
      <c r="I83" s="347"/>
      <c r="J83" s="347"/>
      <c r="K83" s="347"/>
      <c r="L83" s="298"/>
      <c r="M83" s="299"/>
      <c r="N83" s="299"/>
      <c r="O83" s="299"/>
      <c r="P83" s="299"/>
      <c r="Q83" s="299"/>
      <c r="R83" s="299"/>
    </row>
    <row r="84" spans="1:18" s="300" customFormat="1" ht="20.25">
      <c r="A84" s="347"/>
      <c r="B84" s="347"/>
      <c r="C84" s="347"/>
      <c r="D84" s="347"/>
      <c r="E84" s="347"/>
      <c r="F84" s="347"/>
      <c r="G84" s="347"/>
      <c r="H84" s="347"/>
      <c r="I84" s="347"/>
      <c r="J84" s="347"/>
      <c r="K84" s="347"/>
      <c r="L84" s="298"/>
      <c r="M84" s="299"/>
      <c r="N84" s="299"/>
      <c r="O84" s="299"/>
      <c r="P84" s="299"/>
      <c r="Q84" s="299"/>
      <c r="R84" s="299"/>
    </row>
    <row r="85" spans="1:18" s="300" customFormat="1" ht="20.25">
      <c r="A85" s="347"/>
      <c r="B85" s="347"/>
      <c r="C85" s="347"/>
      <c r="D85" s="347"/>
      <c r="E85" s="347"/>
      <c r="F85" s="347"/>
      <c r="G85" s="347"/>
      <c r="H85" s="347"/>
      <c r="I85" s="347"/>
      <c r="J85" s="347"/>
      <c r="K85" s="347"/>
      <c r="L85" s="298"/>
      <c r="M85" s="299"/>
      <c r="N85" s="299"/>
      <c r="O85" s="299"/>
      <c r="P85" s="299"/>
      <c r="Q85" s="299"/>
      <c r="R85" s="299"/>
    </row>
    <row r="86" spans="1:18" s="300" customFormat="1" ht="20.25">
      <c r="A86" s="347"/>
      <c r="B86" s="347"/>
      <c r="C86" s="347"/>
      <c r="D86" s="347"/>
      <c r="E86" s="347"/>
      <c r="F86" s="347"/>
      <c r="G86" s="347"/>
      <c r="H86" s="347"/>
      <c r="I86" s="347"/>
      <c r="J86" s="347"/>
      <c r="K86" s="347"/>
      <c r="L86" s="298"/>
      <c r="M86" s="299"/>
      <c r="N86" s="299"/>
      <c r="O86" s="299"/>
      <c r="P86" s="299"/>
      <c r="Q86" s="299"/>
      <c r="R86" s="299"/>
    </row>
    <row r="87" spans="1:18" s="300" customFormat="1" ht="20.25">
      <c r="A87" s="347"/>
      <c r="B87" s="347"/>
      <c r="C87" s="347"/>
      <c r="D87" s="347"/>
      <c r="E87" s="347"/>
      <c r="F87" s="347"/>
      <c r="G87" s="347"/>
      <c r="H87" s="347"/>
      <c r="I87" s="347"/>
      <c r="J87" s="347"/>
      <c r="K87" s="347"/>
      <c r="L87" s="298"/>
      <c r="M87" s="299"/>
      <c r="N87" s="299"/>
      <c r="O87" s="299"/>
      <c r="P87" s="299"/>
      <c r="Q87" s="299"/>
      <c r="R87" s="299"/>
    </row>
    <row r="88" spans="1:18" s="300" customFormat="1" ht="20.25">
      <c r="A88" s="347"/>
      <c r="B88" s="347"/>
      <c r="C88" s="347"/>
      <c r="D88" s="347"/>
      <c r="E88" s="347"/>
      <c r="F88" s="347"/>
      <c r="G88" s="347"/>
      <c r="H88" s="347"/>
      <c r="I88" s="347"/>
      <c r="J88" s="347"/>
      <c r="K88" s="347"/>
      <c r="L88" s="298"/>
      <c r="M88" s="299"/>
      <c r="N88" s="299"/>
      <c r="O88" s="299"/>
      <c r="P88" s="299"/>
      <c r="Q88" s="299"/>
      <c r="R88" s="299"/>
    </row>
    <row r="89" spans="1:18" s="300" customFormat="1" ht="20.25">
      <c r="A89" s="347"/>
      <c r="B89" s="347"/>
      <c r="C89" s="347"/>
      <c r="D89" s="347"/>
      <c r="E89" s="347"/>
      <c r="F89" s="347"/>
      <c r="G89" s="347"/>
      <c r="H89" s="347"/>
      <c r="I89" s="347"/>
      <c r="J89" s="347"/>
      <c r="K89" s="347"/>
      <c r="L89" s="298"/>
      <c r="M89" s="299"/>
      <c r="N89" s="299"/>
      <c r="O89" s="299"/>
      <c r="P89" s="299"/>
      <c r="Q89" s="299"/>
      <c r="R89" s="299"/>
    </row>
    <row r="90" spans="1:18" s="300" customFormat="1" ht="20.25">
      <c r="A90" s="347"/>
      <c r="B90" s="347"/>
      <c r="C90" s="347"/>
      <c r="D90" s="347"/>
      <c r="E90" s="347"/>
      <c r="F90" s="347"/>
      <c r="G90" s="347"/>
      <c r="H90" s="347"/>
      <c r="I90" s="347"/>
      <c r="J90" s="347"/>
      <c r="K90" s="347"/>
      <c r="L90" s="298"/>
      <c r="M90" s="299"/>
      <c r="N90" s="299"/>
      <c r="O90" s="299"/>
      <c r="P90" s="299"/>
      <c r="Q90" s="299"/>
      <c r="R90" s="299"/>
    </row>
    <row r="91" spans="1:18" s="300" customFormat="1" ht="20.25">
      <c r="A91" s="347"/>
      <c r="B91" s="347"/>
      <c r="C91" s="347"/>
      <c r="D91" s="347"/>
      <c r="E91" s="347"/>
      <c r="F91" s="347"/>
      <c r="G91" s="347"/>
      <c r="H91" s="347"/>
      <c r="I91" s="347"/>
      <c r="J91" s="347"/>
      <c r="K91" s="347"/>
      <c r="L91" s="298"/>
      <c r="M91" s="299"/>
      <c r="N91" s="299"/>
      <c r="O91" s="299"/>
      <c r="P91" s="299"/>
      <c r="Q91" s="299"/>
      <c r="R91" s="299"/>
    </row>
    <row r="92" spans="1:18" s="300" customFormat="1" ht="20.25">
      <c r="A92" s="347"/>
      <c r="B92" s="347"/>
      <c r="C92" s="347"/>
      <c r="D92" s="347"/>
      <c r="E92" s="347"/>
      <c r="F92" s="347"/>
      <c r="G92" s="347"/>
      <c r="H92" s="347"/>
      <c r="I92" s="347"/>
      <c r="J92" s="347"/>
      <c r="K92" s="347"/>
      <c r="L92" s="298"/>
      <c r="M92" s="299"/>
      <c r="N92" s="299"/>
      <c r="O92" s="299"/>
      <c r="P92" s="299"/>
      <c r="Q92" s="299"/>
      <c r="R92" s="299"/>
    </row>
    <row r="93" spans="1:18" s="300" customFormat="1" ht="20.25">
      <c r="A93" s="347"/>
      <c r="B93" s="347"/>
      <c r="C93" s="347"/>
      <c r="D93" s="347"/>
      <c r="E93" s="347"/>
      <c r="F93" s="347"/>
      <c r="G93" s="347"/>
      <c r="H93" s="347"/>
      <c r="I93" s="347"/>
      <c r="J93" s="347"/>
      <c r="K93" s="347"/>
      <c r="L93" s="298"/>
      <c r="M93" s="299"/>
      <c r="N93" s="299"/>
      <c r="O93" s="299"/>
      <c r="P93" s="299"/>
      <c r="Q93" s="299"/>
      <c r="R93" s="299"/>
    </row>
    <row r="94" spans="1:18" s="300" customFormat="1" ht="20.25">
      <c r="A94" s="347"/>
      <c r="B94" s="347"/>
      <c r="C94" s="347"/>
      <c r="D94" s="347"/>
      <c r="E94" s="347"/>
      <c r="F94" s="347"/>
      <c r="G94" s="347"/>
      <c r="H94" s="347"/>
      <c r="I94" s="347"/>
      <c r="J94" s="347"/>
      <c r="K94" s="347"/>
      <c r="L94" s="298"/>
      <c r="M94" s="299"/>
      <c r="N94" s="299"/>
      <c r="O94" s="299"/>
      <c r="P94" s="299"/>
      <c r="Q94" s="299"/>
      <c r="R94" s="299"/>
    </row>
    <row r="95" spans="1:18" s="300" customFormat="1" ht="20.25">
      <c r="A95" s="347"/>
      <c r="B95" s="347"/>
      <c r="C95" s="347"/>
      <c r="D95" s="347"/>
      <c r="E95" s="347"/>
      <c r="F95" s="347"/>
      <c r="G95" s="347"/>
      <c r="H95" s="347"/>
      <c r="I95" s="347"/>
      <c r="J95" s="347"/>
      <c r="K95" s="347"/>
      <c r="L95" s="298"/>
      <c r="M95" s="299"/>
      <c r="N95" s="299"/>
      <c r="O95" s="299"/>
      <c r="P95" s="299"/>
      <c r="Q95" s="299"/>
      <c r="R95" s="299"/>
    </row>
    <row r="96" spans="1:18" s="300" customFormat="1" ht="20.25">
      <c r="A96" s="347"/>
      <c r="B96" s="347"/>
      <c r="C96" s="347"/>
      <c r="D96" s="347"/>
      <c r="E96" s="347"/>
      <c r="F96" s="347"/>
      <c r="G96" s="347"/>
      <c r="H96" s="347"/>
      <c r="I96" s="347"/>
      <c r="J96" s="347"/>
      <c r="K96" s="347"/>
      <c r="L96" s="298"/>
      <c r="M96" s="299"/>
      <c r="N96" s="299"/>
      <c r="O96" s="299"/>
      <c r="P96" s="299"/>
      <c r="Q96" s="299"/>
      <c r="R96" s="299"/>
    </row>
    <row r="97" spans="1:18" s="300" customFormat="1" ht="20.25">
      <c r="A97" s="347"/>
      <c r="B97" s="347"/>
      <c r="C97" s="347"/>
      <c r="D97" s="347"/>
      <c r="E97" s="347"/>
      <c r="F97" s="347"/>
      <c r="G97" s="347"/>
      <c r="H97" s="347"/>
      <c r="I97" s="347"/>
      <c r="J97" s="347"/>
      <c r="K97" s="347"/>
      <c r="L97" s="298"/>
      <c r="M97" s="299"/>
      <c r="N97" s="299"/>
      <c r="O97" s="299"/>
      <c r="P97" s="299"/>
      <c r="Q97" s="299"/>
      <c r="R97" s="299"/>
    </row>
    <row r="98" spans="1:18" s="300" customFormat="1" ht="20.25">
      <c r="A98" s="347"/>
      <c r="B98" s="347"/>
      <c r="C98" s="347"/>
      <c r="D98" s="347"/>
      <c r="E98" s="347"/>
      <c r="F98" s="347"/>
      <c r="G98" s="347"/>
      <c r="H98" s="347"/>
      <c r="I98" s="347"/>
      <c r="J98" s="347"/>
      <c r="K98" s="347"/>
      <c r="L98" s="298"/>
      <c r="M98" s="299"/>
      <c r="N98" s="299"/>
      <c r="O98" s="299"/>
      <c r="P98" s="299"/>
      <c r="Q98" s="299"/>
      <c r="R98" s="299"/>
    </row>
    <row r="99" spans="1:18" s="300" customFormat="1" ht="20.25">
      <c r="A99" s="347"/>
      <c r="B99" s="347"/>
      <c r="C99" s="347"/>
      <c r="D99" s="347"/>
      <c r="E99" s="347"/>
      <c r="F99" s="347"/>
      <c r="G99" s="347"/>
      <c r="H99" s="347"/>
      <c r="I99" s="347"/>
      <c r="J99" s="347"/>
      <c r="K99" s="347"/>
      <c r="L99" s="298"/>
      <c r="M99" s="299"/>
      <c r="N99" s="299"/>
      <c r="O99" s="299"/>
      <c r="P99" s="299"/>
      <c r="Q99" s="299"/>
      <c r="R99" s="299"/>
    </row>
    <row r="100" spans="1:18" s="300" customFormat="1" ht="20.25">
      <c r="A100" s="347"/>
      <c r="B100" s="347"/>
      <c r="C100" s="347"/>
      <c r="D100" s="347"/>
      <c r="E100" s="347"/>
      <c r="F100" s="347"/>
      <c r="G100" s="347"/>
      <c r="H100" s="347"/>
      <c r="I100" s="347"/>
      <c r="J100" s="347"/>
      <c r="K100" s="347"/>
      <c r="L100" s="298"/>
      <c r="M100" s="299"/>
      <c r="N100" s="299"/>
      <c r="O100" s="299"/>
      <c r="P100" s="299"/>
      <c r="Q100" s="299"/>
      <c r="R100" s="299"/>
    </row>
    <row r="101" spans="1:18" s="300" customFormat="1" ht="20.25">
      <c r="A101" s="347"/>
      <c r="B101" s="347"/>
      <c r="C101" s="347"/>
      <c r="D101" s="347"/>
      <c r="E101" s="347"/>
      <c r="F101" s="347"/>
      <c r="G101" s="347"/>
      <c r="H101" s="347"/>
      <c r="I101" s="347"/>
      <c r="J101" s="347"/>
      <c r="K101" s="347"/>
      <c r="L101" s="298"/>
      <c r="M101" s="299"/>
      <c r="N101" s="299"/>
      <c r="O101" s="299"/>
      <c r="P101" s="299"/>
      <c r="Q101" s="299"/>
      <c r="R101" s="299"/>
    </row>
    <row r="102" spans="1:18" s="300" customFormat="1" ht="20.25">
      <c r="A102" s="347"/>
      <c r="B102" s="347"/>
      <c r="C102" s="347"/>
      <c r="D102" s="347"/>
      <c r="E102" s="347"/>
      <c r="F102" s="347"/>
      <c r="G102" s="347"/>
      <c r="H102" s="347"/>
      <c r="I102" s="347"/>
      <c r="J102" s="347"/>
      <c r="K102" s="347"/>
      <c r="L102" s="298"/>
      <c r="M102" s="299"/>
      <c r="N102" s="299"/>
      <c r="O102" s="299"/>
      <c r="P102" s="299"/>
      <c r="Q102" s="299"/>
      <c r="R102" s="299"/>
    </row>
    <row r="103" spans="1:18" s="300" customFormat="1" ht="20.25">
      <c r="A103" s="347"/>
      <c r="B103" s="347"/>
      <c r="C103" s="347"/>
      <c r="D103" s="347"/>
      <c r="E103" s="347"/>
      <c r="F103" s="347"/>
      <c r="G103" s="347"/>
      <c r="H103" s="347"/>
      <c r="I103" s="347"/>
      <c r="J103" s="347"/>
      <c r="K103" s="347"/>
      <c r="L103" s="298"/>
      <c r="M103" s="299"/>
      <c r="N103" s="299"/>
      <c r="O103" s="299"/>
      <c r="P103" s="299"/>
      <c r="Q103" s="299"/>
      <c r="R103" s="299"/>
    </row>
    <row r="104" spans="1:18" s="300" customFormat="1" ht="20.25">
      <c r="A104" s="347"/>
      <c r="B104" s="347"/>
      <c r="C104" s="347"/>
      <c r="D104" s="347"/>
      <c r="E104" s="347"/>
      <c r="F104" s="347"/>
      <c r="G104" s="347"/>
      <c r="H104" s="347"/>
      <c r="I104" s="347"/>
      <c r="J104" s="347"/>
      <c r="K104" s="347"/>
      <c r="L104" s="298"/>
      <c r="M104" s="299"/>
      <c r="N104" s="299"/>
      <c r="O104" s="299"/>
      <c r="P104" s="299"/>
      <c r="Q104" s="299"/>
      <c r="R104" s="299"/>
    </row>
    <row r="105" spans="1:18" s="300" customFormat="1" ht="20.25">
      <c r="A105" s="347"/>
      <c r="B105" s="347"/>
      <c r="C105" s="347"/>
      <c r="D105" s="347"/>
      <c r="E105" s="347"/>
      <c r="F105" s="347"/>
      <c r="G105" s="347"/>
      <c r="H105" s="347"/>
      <c r="I105" s="347"/>
      <c r="J105" s="347"/>
      <c r="K105" s="347"/>
      <c r="L105" s="298"/>
      <c r="M105" s="299"/>
      <c r="N105" s="299"/>
      <c r="O105" s="299"/>
      <c r="P105" s="299"/>
      <c r="Q105" s="299"/>
      <c r="R105" s="299"/>
    </row>
    <row r="106" spans="1:18" s="300" customFormat="1" ht="20.25">
      <c r="A106" s="347"/>
      <c r="B106" s="347"/>
      <c r="C106" s="347"/>
      <c r="D106" s="347"/>
      <c r="E106" s="347"/>
      <c r="F106" s="347"/>
      <c r="G106" s="347"/>
      <c r="H106" s="347"/>
      <c r="I106" s="347"/>
      <c r="J106" s="347"/>
      <c r="K106" s="347"/>
      <c r="L106" s="298"/>
      <c r="M106" s="299"/>
      <c r="N106" s="299"/>
      <c r="O106" s="299"/>
      <c r="P106" s="299"/>
      <c r="Q106" s="299"/>
      <c r="R106" s="299"/>
    </row>
    <row r="107" spans="1:18" s="300" customFormat="1" ht="20.25">
      <c r="A107" s="347"/>
      <c r="B107" s="347"/>
      <c r="C107" s="347"/>
      <c r="D107" s="347"/>
      <c r="E107" s="347"/>
      <c r="F107" s="347"/>
      <c r="G107" s="347"/>
      <c r="H107" s="347"/>
      <c r="I107" s="347"/>
      <c r="J107" s="347"/>
      <c r="K107" s="347"/>
      <c r="L107" s="298"/>
      <c r="M107" s="299"/>
      <c r="N107" s="299"/>
      <c r="O107" s="299"/>
      <c r="P107" s="299"/>
      <c r="Q107" s="299"/>
      <c r="R107" s="299"/>
    </row>
    <row r="108" spans="1:18" s="300" customFormat="1" ht="20.25">
      <c r="A108" s="347"/>
      <c r="B108" s="347"/>
      <c r="C108" s="347"/>
      <c r="D108" s="347"/>
      <c r="E108" s="347"/>
      <c r="F108" s="347"/>
      <c r="G108" s="347"/>
      <c r="H108" s="347"/>
      <c r="I108" s="347"/>
      <c r="J108" s="347"/>
      <c r="K108" s="347"/>
      <c r="L108" s="298"/>
      <c r="M108" s="299"/>
      <c r="N108" s="299"/>
      <c r="O108" s="299"/>
      <c r="P108" s="299"/>
      <c r="Q108" s="299"/>
      <c r="R108" s="299"/>
    </row>
    <row r="109" spans="1:18" s="300" customFormat="1" ht="20.25">
      <c r="A109" s="347"/>
      <c r="B109" s="347"/>
      <c r="C109" s="347"/>
      <c r="D109" s="347"/>
      <c r="E109" s="347"/>
      <c r="F109" s="347"/>
      <c r="G109" s="347"/>
      <c r="H109" s="347"/>
      <c r="I109" s="347"/>
      <c r="J109" s="347"/>
      <c r="K109" s="347"/>
      <c r="L109" s="298"/>
      <c r="M109" s="299"/>
      <c r="N109" s="299"/>
      <c r="O109" s="299"/>
      <c r="P109" s="299"/>
      <c r="Q109" s="299"/>
      <c r="R109" s="299"/>
    </row>
    <row r="110" spans="1:18" s="300" customFormat="1" ht="20.25">
      <c r="A110" s="347"/>
      <c r="B110" s="347"/>
      <c r="C110" s="347"/>
      <c r="D110" s="347"/>
      <c r="E110" s="347"/>
      <c r="F110" s="347"/>
      <c r="G110" s="347"/>
      <c r="H110" s="347"/>
      <c r="I110" s="347"/>
      <c r="J110" s="347"/>
      <c r="K110" s="347"/>
      <c r="L110" s="298"/>
      <c r="M110" s="299"/>
      <c r="N110" s="299"/>
      <c r="O110" s="299"/>
      <c r="P110" s="299"/>
      <c r="Q110" s="299"/>
      <c r="R110" s="299"/>
    </row>
    <row r="111" spans="1:18" s="300" customFormat="1" ht="20.25">
      <c r="A111" s="347"/>
      <c r="B111" s="347"/>
      <c r="C111" s="347"/>
      <c r="D111" s="347"/>
      <c r="E111" s="347"/>
      <c r="F111" s="347"/>
      <c r="G111" s="347"/>
      <c r="H111" s="347"/>
      <c r="I111" s="347"/>
      <c r="J111" s="347"/>
      <c r="K111" s="347"/>
      <c r="L111" s="298"/>
      <c r="M111" s="299"/>
      <c r="N111" s="299"/>
      <c r="O111" s="299"/>
      <c r="P111" s="299"/>
      <c r="Q111" s="299"/>
      <c r="R111" s="299"/>
    </row>
    <row r="112" spans="1:18" s="300" customFormat="1" ht="20.25">
      <c r="A112" s="347"/>
      <c r="B112" s="347"/>
      <c r="C112" s="347"/>
      <c r="D112" s="347"/>
      <c r="E112" s="347"/>
      <c r="F112" s="347"/>
      <c r="G112" s="347"/>
      <c r="H112" s="347"/>
      <c r="I112" s="347"/>
      <c r="J112" s="347"/>
      <c r="K112" s="347"/>
      <c r="L112" s="298"/>
      <c r="M112" s="299"/>
      <c r="N112" s="299"/>
      <c r="O112" s="299"/>
      <c r="P112" s="299"/>
      <c r="Q112" s="299"/>
      <c r="R112" s="299"/>
    </row>
    <row r="113" spans="1:18" s="300" customFormat="1" ht="20.25">
      <c r="A113" s="347"/>
      <c r="B113" s="347"/>
      <c r="C113" s="347"/>
      <c r="D113" s="347"/>
      <c r="E113" s="347"/>
      <c r="F113" s="347"/>
      <c r="G113" s="347"/>
      <c r="H113" s="347"/>
      <c r="I113" s="347"/>
      <c r="J113" s="347"/>
      <c r="K113" s="347"/>
      <c r="L113" s="298"/>
      <c r="M113" s="299"/>
      <c r="N113" s="299"/>
      <c r="O113" s="299"/>
      <c r="P113" s="299"/>
      <c r="Q113" s="299"/>
      <c r="R113" s="299"/>
    </row>
    <row r="114" spans="1:18" s="300" customFormat="1" ht="20.25">
      <c r="A114" s="347"/>
      <c r="B114" s="347"/>
      <c r="C114" s="347"/>
      <c r="D114" s="347"/>
      <c r="E114" s="347"/>
      <c r="F114" s="347"/>
      <c r="G114" s="347"/>
      <c r="H114" s="347"/>
      <c r="I114" s="347"/>
      <c r="J114" s="347"/>
      <c r="K114" s="347"/>
      <c r="L114" s="298"/>
      <c r="M114" s="299"/>
      <c r="N114" s="299"/>
      <c r="O114" s="299"/>
      <c r="P114" s="299"/>
      <c r="Q114" s="299"/>
      <c r="R114" s="299"/>
    </row>
    <row r="115" spans="1:18" s="300" customFormat="1" ht="20.25">
      <c r="A115" s="347"/>
      <c r="B115" s="347"/>
      <c r="C115" s="347"/>
      <c r="D115" s="347"/>
      <c r="E115" s="347"/>
      <c r="F115" s="347"/>
      <c r="G115" s="347"/>
      <c r="H115" s="347"/>
      <c r="I115" s="347"/>
      <c r="J115" s="347"/>
      <c r="K115" s="347"/>
      <c r="L115" s="298"/>
      <c r="M115" s="299"/>
      <c r="N115" s="299"/>
      <c r="O115" s="299"/>
      <c r="P115" s="299"/>
      <c r="Q115" s="299"/>
      <c r="R115" s="299"/>
    </row>
    <row r="116" spans="1:18" s="300" customFormat="1" ht="20.25">
      <c r="A116" s="347"/>
      <c r="B116" s="347"/>
      <c r="C116" s="347"/>
      <c r="D116" s="347"/>
      <c r="E116" s="347"/>
      <c r="F116" s="347"/>
      <c r="G116" s="347"/>
      <c r="H116" s="347"/>
      <c r="I116" s="347"/>
      <c r="J116" s="347"/>
      <c r="K116" s="347"/>
      <c r="L116" s="298"/>
      <c r="M116" s="299"/>
      <c r="N116" s="299"/>
      <c r="O116" s="299"/>
      <c r="P116" s="299"/>
      <c r="Q116" s="299"/>
      <c r="R116" s="299"/>
    </row>
    <row r="117" spans="1:18" s="300" customFormat="1" ht="20.25">
      <c r="A117" s="347"/>
      <c r="B117" s="347"/>
      <c r="C117" s="347"/>
      <c r="D117" s="347"/>
      <c r="E117" s="347"/>
      <c r="F117" s="347"/>
      <c r="G117" s="347"/>
      <c r="H117" s="347"/>
      <c r="I117" s="347"/>
      <c r="J117" s="347"/>
      <c r="K117" s="347"/>
      <c r="L117" s="298"/>
      <c r="M117" s="299"/>
      <c r="N117" s="299"/>
      <c r="O117" s="299"/>
      <c r="P117" s="299"/>
      <c r="Q117" s="299"/>
      <c r="R117" s="299"/>
    </row>
    <row r="118" spans="1:18" s="300" customFormat="1" ht="20.25">
      <c r="A118" s="347"/>
      <c r="B118" s="347"/>
      <c r="C118" s="347"/>
      <c r="D118" s="347"/>
      <c r="E118" s="347"/>
      <c r="F118" s="347"/>
      <c r="G118" s="347"/>
      <c r="H118" s="347"/>
      <c r="I118" s="347"/>
      <c r="J118" s="347"/>
      <c r="K118" s="347"/>
      <c r="L118" s="298"/>
      <c r="M118" s="299"/>
      <c r="N118" s="299"/>
      <c r="O118" s="299"/>
      <c r="P118" s="299"/>
      <c r="Q118" s="299"/>
      <c r="R118" s="299"/>
    </row>
    <row r="119" spans="1:18" s="300" customFormat="1" ht="20.25">
      <c r="A119" s="347"/>
      <c r="B119" s="347"/>
      <c r="C119" s="347"/>
      <c r="D119" s="347"/>
      <c r="E119" s="347"/>
      <c r="F119" s="347"/>
      <c r="G119" s="347"/>
      <c r="H119" s="347"/>
      <c r="I119" s="347"/>
      <c r="J119" s="347"/>
      <c r="K119" s="347"/>
      <c r="L119" s="298"/>
      <c r="M119" s="299"/>
      <c r="N119" s="299"/>
      <c r="O119" s="299"/>
      <c r="P119" s="299"/>
      <c r="Q119" s="299"/>
      <c r="R119" s="299"/>
    </row>
    <row r="120" spans="1:18" s="300" customFormat="1" ht="20.25">
      <c r="A120" s="347"/>
      <c r="B120" s="347"/>
      <c r="C120" s="347"/>
      <c r="D120" s="347"/>
      <c r="E120" s="347"/>
      <c r="F120" s="347"/>
      <c r="G120" s="347"/>
      <c r="H120" s="347"/>
      <c r="I120" s="347"/>
      <c r="J120" s="347"/>
      <c r="K120" s="347"/>
      <c r="L120" s="298"/>
      <c r="M120" s="299"/>
      <c r="N120" s="299"/>
      <c r="O120" s="299"/>
      <c r="P120" s="299"/>
      <c r="Q120" s="299"/>
      <c r="R120" s="299"/>
    </row>
    <row r="121" spans="1:18" s="300" customFormat="1" ht="20.25">
      <c r="A121" s="347"/>
      <c r="B121" s="347"/>
      <c r="C121" s="347"/>
      <c r="D121" s="347"/>
      <c r="E121" s="347"/>
      <c r="F121" s="347"/>
      <c r="G121" s="347"/>
      <c r="H121" s="347"/>
      <c r="I121" s="347"/>
      <c r="J121" s="347"/>
      <c r="K121" s="347"/>
      <c r="L121" s="298"/>
      <c r="M121" s="299"/>
      <c r="N121" s="299"/>
      <c r="O121" s="299"/>
      <c r="P121" s="299"/>
      <c r="Q121" s="299"/>
      <c r="R121" s="299"/>
    </row>
    <row r="122" spans="1:18" s="300" customFormat="1" ht="20.25">
      <c r="A122" s="347"/>
      <c r="B122" s="347"/>
      <c r="C122" s="347"/>
      <c r="D122" s="347"/>
      <c r="E122" s="347"/>
      <c r="F122" s="347"/>
      <c r="G122" s="347"/>
      <c r="H122" s="347"/>
      <c r="I122" s="347"/>
      <c r="J122" s="347"/>
      <c r="K122" s="347"/>
      <c r="L122" s="298"/>
      <c r="M122" s="299"/>
      <c r="N122" s="299"/>
      <c r="O122" s="299"/>
      <c r="P122" s="299"/>
      <c r="Q122" s="299"/>
      <c r="R122" s="299"/>
    </row>
    <row r="123" spans="1:18" ht="20.25">
      <c r="A123" s="341"/>
      <c r="B123" s="341"/>
      <c r="C123" s="341"/>
      <c r="D123" s="341"/>
      <c r="E123" s="341"/>
      <c r="F123" s="341"/>
      <c r="G123" s="341"/>
      <c r="H123" s="341"/>
      <c r="I123" s="341"/>
      <c r="J123" s="341"/>
      <c r="K123" s="341"/>
    </row>
    <row r="124" spans="1:18" ht="20.25">
      <c r="A124" s="341"/>
      <c r="B124" s="341"/>
      <c r="C124" s="341"/>
      <c r="D124" s="341"/>
      <c r="E124" s="341"/>
      <c r="F124" s="341"/>
      <c r="G124" s="341"/>
      <c r="H124" s="341"/>
      <c r="I124" s="341"/>
      <c r="J124" s="341"/>
      <c r="K124" s="341"/>
    </row>
    <row r="125" spans="1:18" ht="20.25">
      <c r="A125" s="341"/>
      <c r="B125" s="341"/>
      <c r="C125" s="341"/>
      <c r="D125" s="341"/>
      <c r="E125" s="341"/>
      <c r="F125" s="341"/>
      <c r="G125" s="341"/>
      <c r="H125" s="341"/>
      <c r="I125" s="341"/>
      <c r="J125" s="341"/>
      <c r="K125" s="341"/>
    </row>
    <row r="126" spans="1:18" ht="20.25">
      <c r="A126" s="341"/>
      <c r="B126" s="341"/>
      <c r="C126" s="341"/>
      <c r="D126" s="341"/>
      <c r="E126" s="341"/>
      <c r="F126" s="341"/>
      <c r="G126" s="341"/>
      <c r="H126" s="341"/>
      <c r="I126" s="341"/>
      <c r="J126" s="341"/>
      <c r="K126" s="341"/>
    </row>
    <row r="127" spans="1:18" ht="20.25">
      <c r="A127" s="341"/>
      <c r="B127" s="341"/>
      <c r="C127" s="341"/>
      <c r="D127" s="341"/>
      <c r="E127" s="341"/>
      <c r="F127" s="341"/>
      <c r="G127" s="341"/>
      <c r="H127" s="341"/>
      <c r="I127" s="341"/>
      <c r="J127" s="341"/>
      <c r="K127" s="341"/>
    </row>
    <row r="128" spans="1:18" ht="20.25">
      <c r="A128" s="341"/>
      <c r="B128" s="341"/>
      <c r="C128" s="341"/>
      <c r="D128" s="341"/>
      <c r="E128" s="341"/>
      <c r="F128" s="341"/>
      <c r="G128" s="341"/>
      <c r="H128" s="341"/>
      <c r="I128" s="341"/>
      <c r="J128" s="341"/>
      <c r="K128" s="341"/>
    </row>
    <row r="129" spans="1:11" ht="20.25">
      <c r="A129" s="341"/>
      <c r="B129" s="341"/>
      <c r="C129" s="341"/>
      <c r="D129" s="341"/>
      <c r="E129" s="341"/>
      <c r="F129" s="341"/>
      <c r="G129" s="341"/>
      <c r="H129" s="341"/>
      <c r="I129" s="341"/>
      <c r="J129" s="341"/>
      <c r="K129" s="341"/>
    </row>
    <row r="130" spans="1:11" ht="20.25">
      <c r="A130" s="341"/>
      <c r="B130" s="341"/>
      <c r="C130" s="341"/>
      <c r="D130" s="341"/>
      <c r="E130" s="341"/>
      <c r="F130" s="341"/>
      <c r="G130" s="341"/>
      <c r="H130" s="341"/>
      <c r="I130" s="341"/>
      <c r="J130" s="341"/>
      <c r="K130" s="341"/>
    </row>
    <row r="131" spans="1:11" ht="20.25">
      <c r="A131" s="341"/>
      <c r="B131" s="341"/>
      <c r="C131" s="341"/>
      <c r="D131" s="341"/>
      <c r="E131" s="341"/>
      <c r="F131" s="341"/>
      <c r="G131" s="341"/>
      <c r="H131" s="341"/>
      <c r="I131" s="341"/>
      <c r="J131" s="341"/>
      <c r="K131" s="341"/>
    </row>
    <row r="132" spans="1:11" ht="20.25">
      <c r="A132" s="341"/>
      <c r="B132" s="341"/>
      <c r="C132" s="341"/>
      <c r="D132" s="341"/>
      <c r="E132" s="341"/>
      <c r="F132" s="341"/>
      <c r="G132" s="341"/>
      <c r="H132" s="341"/>
      <c r="I132" s="341"/>
      <c r="J132" s="341"/>
      <c r="K132" s="341"/>
    </row>
    <row r="133" spans="1:11" ht="20.25">
      <c r="A133" s="341"/>
      <c r="B133" s="341"/>
      <c r="C133" s="341"/>
      <c r="D133" s="341"/>
      <c r="E133" s="341"/>
      <c r="F133" s="341"/>
      <c r="G133" s="341"/>
      <c r="H133" s="341"/>
      <c r="I133" s="341"/>
      <c r="J133" s="341"/>
      <c r="K133" s="341"/>
    </row>
    <row r="134" spans="1:11" ht="20.25">
      <c r="A134" s="341"/>
      <c r="B134" s="341"/>
      <c r="C134" s="341"/>
      <c r="D134" s="341"/>
      <c r="E134" s="341"/>
      <c r="F134" s="341"/>
      <c r="G134" s="341"/>
      <c r="H134" s="341"/>
      <c r="I134" s="341"/>
      <c r="J134" s="341"/>
      <c r="K134" s="341"/>
    </row>
    <row r="135" spans="1:11" ht="20.25">
      <c r="A135" s="341"/>
      <c r="B135" s="341"/>
      <c r="C135" s="341"/>
      <c r="D135" s="341"/>
      <c r="E135" s="341"/>
      <c r="F135" s="341"/>
      <c r="G135" s="341"/>
      <c r="H135" s="341"/>
      <c r="I135" s="341"/>
      <c r="J135" s="341"/>
      <c r="K135" s="341"/>
    </row>
    <row r="136" spans="1:11" ht="20.25">
      <c r="A136" s="341"/>
      <c r="B136" s="341"/>
      <c r="C136" s="341"/>
      <c r="D136" s="341"/>
      <c r="E136" s="341"/>
      <c r="F136" s="341"/>
      <c r="G136" s="341"/>
      <c r="H136" s="341"/>
      <c r="I136" s="341"/>
      <c r="J136" s="341"/>
      <c r="K136" s="341"/>
    </row>
    <row r="137" spans="1:11" ht="20.25">
      <c r="A137" s="341"/>
      <c r="B137" s="341"/>
      <c r="C137" s="341"/>
      <c r="D137" s="341"/>
      <c r="E137" s="341"/>
      <c r="F137" s="341"/>
      <c r="G137" s="341"/>
      <c r="H137" s="341"/>
      <c r="I137" s="341"/>
      <c r="J137" s="341"/>
      <c r="K137" s="341"/>
    </row>
    <row r="138" spans="1:11" ht="20.25">
      <c r="A138" s="341"/>
      <c r="B138" s="341"/>
      <c r="C138" s="341"/>
      <c r="D138" s="341"/>
      <c r="E138" s="341"/>
      <c r="F138" s="341"/>
      <c r="G138" s="341"/>
      <c r="H138" s="341"/>
      <c r="I138" s="341"/>
      <c r="J138" s="341"/>
      <c r="K138" s="341"/>
    </row>
    <row r="139" spans="1:11" ht="20.25">
      <c r="A139" s="341"/>
      <c r="B139" s="341"/>
      <c r="C139" s="341"/>
      <c r="D139" s="341"/>
      <c r="E139" s="341"/>
      <c r="F139" s="341"/>
      <c r="G139" s="341"/>
      <c r="H139" s="341"/>
      <c r="I139" s="341"/>
      <c r="J139" s="341"/>
      <c r="K139" s="341"/>
    </row>
    <row r="140" spans="1:11" ht="20.25">
      <c r="A140" s="341"/>
      <c r="B140" s="341"/>
      <c r="C140" s="341"/>
      <c r="D140" s="341"/>
      <c r="E140" s="341"/>
      <c r="F140" s="341"/>
      <c r="G140" s="341"/>
      <c r="H140" s="341"/>
      <c r="I140" s="341"/>
      <c r="J140" s="341"/>
      <c r="K140" s="341"/>
    </row>
    <row r="141" spans="1:11" ht="20.25">
      <c r="A141" s="341"/>
      <c r="B141" s="341"/>
      <c r="C141" s="341"/>
      <c r="D141" s="341"/>
      <c r="E141" s="341"/>
      <c r="F141" s="341"/>
      <c r="G141" s="341"/>
      <c r="H141" s="341"/>
      <c r="I141" s="341"/>
      <c r="J141" s="341"/>
      <c r="K141" s="341"/>
    </row>
    <row r="142" spans="1:11" ht="20.25">
      <c r="A142" s="341"/>
      <c r="B142" s="341"/>
      <c r="C142" s="341"/>
      <c r="D142" s="341"/>
      <c r="E142" s="341"/>
      <c r="F142" s="341"/>
      <c r="G142" s="341"/>
      <c r="H142" s="341"/>
      <c r="I142" s="341"/>
      <c r="J142" s="341"/>
      <c r="K142" s="341"/>
    </row>
    <row r="143" spans="1:11" ht="20.25">
      <c r="A143" s="341"/>
      <c r="B143" s="341"/>
      <c r="C143" s="341"/>
      <c r="D143" s="341"/>
      <c r="E143" s="341"/>
      <c r="F143" s="341"/>
      <c r="G143" s="341"/>
      <c r="H143" s="341"/>
      <c r="I143" s="341"/>
      <c r="J143" s="341"/>
      <c r="K143" s="341"/>
    </row>
    <row r="144" spans="1:11" ht="20.25">
      <c r="A144" s="341"/>
      <c r="B144" s="341"/>
      <c r="C144" s="341"/>
      <c r="D144" s="341"/>
      <c r="E144" s="341"/>
      <c r="F144" s="341"/>
      <c r="G144" s="341"/>
      <c r="H144" s="341"/>
      <c r="I144" s="341"/>
      <c r="J144" s="341"/>
      <c r="K144" s="341"/>
    </row>
    <row r="145" spans="1:11" ht="20.25">
      <c r="A145" s="341"/>
      <c r="B145" s="341"/>
      <c r="C145" s="341"/>
      <c r="D145" s="341"/>
      <c r="E145" s="341"/>
      <c r="F145" s="341"/>
      <c r="G145" s="341"/>
      <c r="H145" s="341"/>
      <c r="I145" s="341"/>
      <c r="J145" s="341"/>
      <c r="K145" s="341"/>
    </row>
    <row r="146" spans="1:11" ht="20.25">
      <c r="A146" s="341"/>
      <c r="B146" s="341"/>
      <c r="C146" s="341"/>
      <c r="D146" s="341"/>
      <c r="E146" s="341"/>
      <c r="F146" s="341"/>
      <c r="G146" s="341"/>
      <c r="H146" s="341"/>
      <c r="I146" s="341"/>
      <c r="J146" s="341"/>
      <c r="K146" s="341"/>
    </row>
    <row r="147" spans="1:11" ht="20.25">
      <c r="A147" s="341"/>
      <c r="B147" s="341"/>
      <c r="C147" s="341"/>
      <c r="D147" s="341"/>
      <c r="E147" s="341"/>
      <c r="F147" s="341"/>
      <c r="G147" s="341"/>
      <c r="H147" s="341"/>
      <c r="I147" s="341"/>
      <c r="J147" s="341"/>
      <c r="K147" s="341"/>
    </row>
    <row r="148" spans="1:11" ht="20.25">
      <c r="A148" s="341"/>
      <c r="B148" s="341"/>
      <c r="C148" s="341"/>
      <c r="D148" s="341"/>
      <c r="E148" s="341"/>
      <c r="F148" s="341"/>
      <c r="G148" s="341"/>
      <c r="H148" s="341"/>
      <c r="I148" s="341"/>
      <c r="J148" s="341"/>
      <c r="K148" s="341"/>
    </row>
    <row r="149" spans="1:11" ht="20.25">
      <c r="A149" s="341"/>
      <c r="B149" s="341"/>
      <c r="C149" s="341"/>
      <c r="D149" s="341"/>
      <c r="E149" s="341"/>
      <c r="F149" s="341"/>
      <c r="G149" s="341"/>
      <c r="H149" s="341"/>
      <c r="I149" s="341"/>
      <c r="J149" s="341"/>
      <c r="K149" s="341"/>
    </row>
    <row r="150" spans="1:11" ht="20.25">
      <c r="A150" s="341"/>
      <c r="B150" s="341"/>
      <c r="C150" s="341"/>
      <c r="D150" s="341"/>
      <c r="E150" s="341"/>
      <c r="F150" s="341"/>
      <c r="G150" s="341"/>
      <c r="H150" s="341"/>
      <c r="I150" s="341"/>
      <c r="J150" s="341"/>
      <c r="K150" s="341"/>
    </row>
    <row r="151" spans="1:11" ht="20.25">
      <c r="A151" s="341"/>
      <c r="B151" s="341"/>
      <c r="C151" s="341"/>
      <c r="D151" s="341"/>
      <c r="E151" s="341"/>
      <c r="F151" s="341"/>
      <c r="G151" s="341"/>
      <c r="H151" s="341"/>
      <c r="I151" s="341"/>
      <c r="J151" s="341"/>
      <c r="K151" s="341"/>
    </row>
    <row r="152" spans="1:11" ht="20.25">
      <c r="A152" s="341"/>
      <c r="B152" s="341"/>
      <c r="C152" s="341"/>
      <c r="D152" s="341"/>
      <c r="E152" s="341"/>
      <c r="F152" s="341"/>
      <c r="G152" s="341"/>
      <c r="H152" s="341"/>
      <c r="I152" s="341"/>
      <c r="J152" s="341"/>
      <c r="K152" s="341"/>
    </row>
    <row r="153" spans="1:11" ht="20.25">
      <c r="A153" s="341"/>
      <c r="B153" s="341"/>
      <c r="C153" s="341"/>
      <c r="D153" s="341"/>
      <c r="E153" s="341"/>
      <c r="F153" s="341"/>
      <c r="G153" s="341"/>
      <c r="H153" s="341"/>
      <c r="I153" s="341"/>
      <c r="J153" s="341"/>
      <c r="K153" s="341"/>
    </row>
    <row r="154" spans="1:11" ht="20.25">
      <c r="A154" s="341"/>
      <c r="B154" s="341"/>
      <c r="C154" s="341"/>
      <c r="D154" s="341"/>
      <c r="E154" s="341"/>
      <c r="F154" s="341"/>
      <c r="G154" s="341"/>
      <c r="H154" s="341"/>
      <c r="I154" s="341"/>
      <c r="J154" s="341"/>
      <c r="K154" s="341"/>
    </row>
    <row r="155" spans="1:11" ht="20.25">
      <c r="A155" s="341"/>
      <c r="B155" s="341"/>
      <c r="C155" s="341"/>
      <c r="D155" s="341"/>
      <c r="E155" s="341"/>
      <c r="F155" s="341"/>
      <c r="G155" s="341"/>
      <c r="H155" s="341"/>
      <c r="I155" s="341"/>
      <c r="J155" s="341"/>
      <c r="K155" s="341"/>
    </row>
    <row r="156" spans="1:11" ht="20.25">
      <c r="A156" s="341"/>
      <c r="B156" s="341"/>
      <c r="C156" s="341"/>
      <c r="D156" s="341"/>
      <c r="E156" s="341"/>
      <c r="F156" s="341"/>
      <c r="G156" s="341"/>
      <c r="H156" s="341"/>
      <c r="I156" s="341"/>
      <c r="J156" s="341"/>
      <c r="K156" s="341"/>
    </row>
    <row r="157" spans="1:11" ht="20.25">
      <c r="A157" s="341"/>
      <c r="B157" s="341"/>
      <c r="C157" s="341"/>
      <c r="D157" s="341"/>
      <c r="E157" s="341"/>
      <c r="F157" s="341"/>
      <c r="G157" s="341"/>
      <c r="H157" s="341"/>
      <c r="I157" s="341"/>
      <c r="J157" s="341"/>
      <c r="K157" s="341"/>
    </row>
    <row r="158" spans="1:11" ht="20.25">
      <c r="A158" s="341"/>
      <c r="B158" s="341"/>
      <c r="C158" s="341"/>
      <c r="D158" s="341"/>
      <c r="E158" s="341"/>
      <c r="F158" s="341"/>
      <c r="G158" s="341"/>
      <c r="H158" s="341"/>
      <c r="I158" s="341"/>
      <c r="J158" s="341"/>
      <c r="K158" s="341"/>
    </row>
    <row r="159" spans="1:11" ht="20.25">
      <c r="A159" s="341"/>
      <c r="B159" s="341"/>
      <c r="C159" s="341"/>
      <c r="D159" s="341"/>
      <c r="E159" s="341"/>
      <c r="F159" s="341"/>
      <c r="G159" s="341"/>
      <c r="H159" s="341"/>
      <c r="I159" s="341"/>
      <c r="J159" s="341"/>
      <c r="K159" s="341"/>
    </row>
    <row r="160" spans="1:11" ht="20.25">
      <c r="A160" s="341"/>
      <c r="B160" s="341"/>
      <c r="C160" s="341"/>
      <c r="D160" s="341"/>
      <c r="E160" s="341"/>
      <c r="F160" s="341"/>
      <c r="G160" s="341"/>
      <c r="H160" s="341"/>
      <c r="I160" s="341"/>
      <c r="J160" s="341"/>
      <c r="K160" s="341"/>
    </row>
    <row r="161" spans="1:11" ht="20.25">
      <c r="A161" s="341"/>
      <c r="B161" s="341"/>
      <c r="C161" s="341"/>
      <c r="D161" s="341"/>
      <c r="E161" s="341"/>
      <c r="F161" s="341"/>
      <c r="G161" s="341"/>
      <c r="H161" s="341"/>
      <c r="I161" s="341"/>
      <c r="J161" s="341"/>
      <c r="K161" s="341"/>
    </row>
    <row r="162" spans="1:11" ht="20.25">
      <c r="A162" s="341"/>
      <c r="B162" s="341"/>
      <c r="C162" s="341"/>
      <c r="D162" s="341"/>
      <c r="E162" s="341"/>
      <c r="F162" s="341"/>
      <c r="G162" s="341"/>
      <c r="H162" s="341"/>
      <c r="I162" s="341"/>
      <c r="J162" s="341"/>
      <c r="K162" s="341"/>
    </row>
    <row r="163" spans="1:11" ht="20.25">
      <c r="A163" s="341"/>
      <c r="B163" s="341"/>
      <c r="C163" s="341"/>
      <c r="D163" s="341"/>
      <c r="E163" s="341"/>
      <c r="F163" s="341"/>
      <c r="G163" s="341"/>
      <c r="H163" s="341"/>
      <c r="I163" s="341"/>
      <c r="J163" s="341"/>
      <c r="K163" s="341"/>
    </row>
    <row r="164" spans="1:11" ht="20.25">
      <c r="A164" s="341"/>
      <c r="B164" s="341"/>
      <c r="C164" s="341"/>
      <c r="D164" s="341"/>
      <c r="E164" s="341"/>
      <c r="F164" s="341"/>
      <c r="G164" s="341"/>
      <c r="H164" s="341"/>
      <c r="I164" s="341"/>
      <c r="J164" s="341"/>
      <c r="K164" s="341"/>
    </row>
    <row r="165" spans="1:11" ht="20.25">
      <c r="A165" s="341"/>
      <c r="B165" s="341"/>
      <c r="C165" s="341"/>
      <c r="D165" s="341"/>
      <c r="E165" s="341"/>
      <c r="F165" s="341"/>
      <c r="G165" s="341"/>
      <c r="H165" s="341"/>
      <c r="I165" s="341"/>
      <c r="J165" s="341"/>
      <c r="K165" s="341"/>
    </row>
    <row r="166" spans="1:11" ht="20.25">
      <c r="A166" s="341"/>
      <c r="B166" s="341"/>
      <c r="C166" s="341"/>
      <c r="D166" s="341"/>
      <c r="E166" s="341"/>
      <c r="F166" s="341"/>
      <c r="G166" s="341"/>
      <c r="H166" s="341"/>
      <c r="I166" s="341"/>
      <c r="J166" s="341"/>
      <c r="K166" s="341"/>
    </row>
    <row r="167" spans="1:11" ht="20.25">
      <c r="A167" s="341"/>
      <c r="B167" s="341"/>
      <c r="C167" s="341"/>
      <c r="D167" s="341"/>
      <c r="E167" s="341"/>
      <c r="F167" s="341"/>
      <c r="G167" s="341"/>
      <c r="H167" s="341"/>
      <c r="I167" s="341"/>
      <c r="J167" s="341"/>
      <c r="K167" s="341"/>
    </row>
    <row r="168" spans="1:11" ht="20.25">
      <c r="A168" s="341"/>
      <c r="B168" s="341"/>
      <c r="C168" s="341"/>
      <c r="D168" s="341"/>
      <c r="E168" s="341"/>
      <c r="F168" s="341"/>
      <c r="G168" s="341"/>
      <c r="H168" s="341"/>
      <c r="I168" s="341"/>
      <c r="J168" s="341"/>
      <c r="K168" s="341"/>
    </row>
    <row r="169" spans="1:11" ht="20.25">
      <c r="A169" s="341"/>
      <c r="B169" s="341"/>
      <c r="C169" s="341"/>
      <c r="D169" s="341"/>
      <c r="E169" s="341"/>
      <c r="F169" s="341"/>
      <c r="G169" s="341"/>
      <c r="H169" s="341"/>
      <c r="I169" s="341"/>
      <c r="J169" s="341"/>
      <c r="K169" s="341"/>
    </row>
    <row r="170" spans="1:11" ht="20.25">
      <c r="A170" s="341"/>
      <c r="B170" s="341"/>
      <c r="C170" s="341"/>
      <c r="D170" s="341"/>
      <c r="E170" s="341"/>
      <c r="F170" s="341"/>
      <c r="G170" s="341"/>
      <c r="H170" s="341"/>
      <c r="I170" s="341"/>
      <c r="J170" s="341"/>
      <c r="K170" s="341"/>
    </row>
    <row r="171" spans="1:11" ht="20.25">
      <c r="A171" s="341"/>
      <c r="B171" s="341"/>
      <c r="C171" s="341"/>
      <c r="D171" s="341"/>
      <c r="E171" s="341"/>
      <c r="F171" s="341"/>
      <c r="G171" s="341"/>
      <c r="H171" s="341"/>
      <c r="I171" s="341"/>
      <c r="J171" s="341"/>
      <c r="K171" s="341"/>
    </row>
    <row r="172" spans="1:11" ht="20.25">
      <c r="A172" s="341"/>
      <c r="B172" s="341"/>
      <c r="C172" s="341"/>
      <c r="D172" s="341"/>
      <c r="E172" s="341"/>
      <c r="F172" s="341"/>
      <c r="G172" s="341"/>
      <c r="H172" s="341"/>
      <c r="I172" s="341"/>
      <c r="J172" s="341"/>
      <c r="K172" s="341"/>
    </row>
    <row r="173" spans="1:11" ht="20.25">
      <c r="A173" s="341"/>
      <c r="B173" s="341"/>
      <c r="C173" s="341"/>
      <c r="D173" s="341"/>
      <c r="E173" s="341"/>
      <c r="F173" s="341"/>
      <c r="G173" s="341"/>
      <c r="H173" s="341"/>
      <c r="I173" s="341"/>
      <c r="J173" s="341"/>
      <c r="K173" s="341"/>
    </row>
    <row r="174" spans="1:11" ht="20.25">
      <c r="A174" s="341"/>
      <c r="B174" s="341"/>
      <c r="C174" s="341"/>
      <c r="D174" s="341"/>
      <c r="E174" s="341"/>
      <c r="F174" s="341"/>
      <c r="G174" s="341"/>
      <c r="H174" s="341"/>
      <c r="I174" s="341"/>
      <c r="J174" s="341"/>
      <c r="K174" s="341"/>
    </row>
    <row r="175" spans="1:11" ht="20.25">
      <c r="A175" s="341"/>
      <c r="B175" s="341"/>
      <c r="C175" s="341"/>
      <c r="D175" s="341"/>
      <c r="E175" s="341"/>
      <c r="F175" s="341"/>
      <c r="G175" s="341"/>
      <c r="H175" s="341"/>
      <c r="I175" s="341"/>
      <c r="J175" s="341"/>
      <c r="K175" s="341"/>
    </row>
    <row r="176" spans="1:11" ht="20.25">
      <c r="A176" s="341"/>
      <c r="B176" s="341"/>
      <c r="C176" s="341"/>
      <c r="D176" s="341"/>
      <c r="E176" s="341"/>
      <c r="F176" s="341"/>
      <c r="G176" s="341"/>
      <c r="H176" s="341"/>
      <c r="I176" s="341"/>
      <c r="J176" s="341"/>
      <c r="K176" s="341"/>
    </row>
    <row r="177" spans="1:11" ht="20.25">
      <c r="A177" s="341"/>
      <c r="B177" s="341"/>
      <c r="C177" s="341"/>
      <c r="D177" s="341"/>
      <c r="E177" s="341"/>
      <c r="F177" s="341"/>
      <c r="G177" s="341"/>
      <c r="H177" s="341"/>
      <c r="I177" s="341"/>
      <c r="J177" s="341"/>
      <c r="K177" s="341"/>
    </row>
    <row r="178" spans="1:11" ht="20.25">
      <c r="A178" s="341"/>
      <c r="B178" s="341"/>
      <c r="C178" s="341"/>
      <c r="D178" s="341"/>
      <c r="E178" s="341"/>
      <c r="F178" s="341"/>
      <c r="G178" s="341"/>
      <c r="H178" s="341"/>
      <c r="I178" s="341"/>
      <c r="J178" s="341"/>
      <c r="K178" s="341"/>
    </row>
    <row r="179" spans="1:11" ht="20.25">
      <c r="A179" s="341"/>
      <c r="B179" s="341"/>
      <c r="C179" s="341"/>
      <c r="D179" s="341"/>
      <c r="E179" s="341"/>
      <c r="F179" s="341"/>
      <c r="G179" s="341"/>
      <c r="H179" s="341"/>
      <c r="I179" s="341"/>
      <c r="J179" s="341"/>
      <c r="K179" s="341"/>
    </row>
    <row r="180" spans="1:11" ht="20.25">
      <c r="A180" s="341"/>
      <c r="B180" s="341"/>
      <c r="C180" s="341"/>
      <c r="D180" s="341"/>
      <c r="E180" s="341"/>
      <c r="F180" s="341"/>
      <c r="G180" s="341"/>
      <c r="H180" s="341"/>
      <c r="I180" s="341"/>
      <c r="J180" s="341"/>
      <c r="K180" s="341"/>
    </row>
    <row r="181" spans="1:11" ht="20.25">
      <c r="A181" s="341"/>
      <c r="B181" s="341"/>
      <c r="C181" s="341"/>
      <c r="D181" s="341"/>
      <c r="E181" s="341"/>
      <c r="F181" s="341"/>
      <c r="G181" s="341"/>
      <c r="H181" s="341"/>
      <c r="I181" s="341"/>
      <c r="J181" s="341"/>
      <c r="K181" s="341"/>
    </row>
    <row r="182" spans="1:11" ht="20.25">
      <c r="A182" s="341"/>
      <c r="B182" s="341"/>
      <c r="C182" s="341"/>
      <c r="D182" s="341"/>
      <c r="E182" s="341"/>
      <c r="F182" s="341"/>
      <c r="G182" s="341"/>
      <c r="H182" s="341"/>
      <c r="I182" s="341"/>
      <c r="J182" s="341"/>
      <c r="K182" s="341"/>
    </row>
    <row r="183" spans="1:11" ht="20.25">
      <c r="A183" s="341"/>
      <c r="B183" s="341"/>
      <c r="C183" s="341"/>
      <c r="D183" s="341"/>
      <c r="E183" s="341"/>
      <c r="F183" s="341"/>
      <c r="G183" s="341"/>
      <c r="H183" s="341"/>
      <c r="I183" s="341"/>
      <c r="J183" s="341"/>
      <c r="K183" s="341"/>
    </row>
    <row r="184" spans="1:11" ht="20.25">
      <c r="A184" s="341"/>
      <c r="B184" s="341"/>
      <c r="C184" s="341"/>
      <c r="D184" s="341"/>
      <c r="E184" s="341"/>
      <c r="F184" s="341"/>
      <c r="G184" s="341"/>
      <c r="H184" s="341"/>
      <c r="I184" s="341"/>
      <c r="J184" s="341"/>
      <c r="K184" s="341"/>
    </row>
    <row r="185" spans="1:11" ht="20.25">
      <c r="A185" s="341"/>
      <c r="B185" s="341"/>
      <c r="C185" s="341"/>
      <c r="D185" s="341"/>
      <c r="E185" s="341"/>
      <c r="F185" s="341"/>
      <c r="G185" s="341"/>
      <c r="H185" s="341"/>
      <c r="I185" s="341"/>
      <c r="J185" s="341"/>
      <c r="K185" s="341"/>
    </row>
    <row r="186" spans="1:11" ht="20.25">
      <c r="A186" s="341"/>
      <c r="B186" s="341"/>
      <c r="C186" s="341"/>
      <c r="D186" s="341"/>
      <c r="E186" s="341"/>
      <c r="F186" s="341"/>
      <c r="G186" s="341"/>
      <c r="H186" s="341"/>
      <c r="I186" s="341"/>
      <c r="J186" s="341"/>
      <c r="K186" s="341"/>
    </row>
    <row r="187" spans="1:11" ht="20.25">
      <c r="A187" s="341"/>
      <c r="B187" s="341"/>
      <c r="C187" s="341"/>
      <c r="D187" s="341"/>
      <c r="E187" s="341"/>
      <c r="F187" s="341"/>
      <c r="G187" s="341"/>
      <c r="H187" s="341"/>
      <c r="I187" s="341"/>
      <c r="J187" s="341"/>
      <c r="K187" s="341"/>
    </row>
    <row r="188" spans="1:11" ht="20.25">
      <c r="A188" s="341"/>
      <c r="B188" s="341"/>
      <c r="C188" s="341"/>
      <c r="D188" s="341"/>
      <c r="E188" s="341"/>
      <c r="F188" s="341"/>
      <c r="G188" s="341"/>
      <c r="H188" s="341"/>
      <c r="I188" s="341"/>
      <c r="J188" s="341"/>
      <c r="K188" s="341"/>
    </row>
    <row r="189" spans="1:11" ht="20.25">
      <c r="A189" s="341"/>
      <c r="B189" s="341"/>
      <c r="C189" s="341"/>
      <c r="D189" s="341"/>
      <c r="E189" s="341"/>
      <c r="F189" s="341"/>
      <c r="G189" s="341"/>
      <c r="H189" s="341"/>
      <c r="I189" s="341"/>
      <c r="J189" s="341"/>
      <c r="K189" s="341"/>
    </row>
    <row r="190" spans="1:11" ht="20.25">
      <c r="A190" s="341"/>
      <c r="B190" s="341"/>
      <c r="C190" s="341"/>
      <c r="D190" s="341"/>
      <c r="E190" s="341"/>
      <c r="F190" s="341"/>
      <c r="G190" s="341"/>
      <c r="H190" s="341"/>
      <c r="I190" s="341"/>
      <c r="J190" s="341"/>
      <c r="K190" s="341"/>
    </row>
    <row r="191" spans="1:11" ht="20.25">
      <c r="A191" s="341"/>
      <c r="B191" s="341"/>
      <c r="C191" s="341"/>
      <c r="D191" s="341"/>
      <c r="E191" s="341"/>
      <c r="F191" s="341"/>
      <c r="G191" s="341"/>
      <c r="H191" s="341"/>
      <c r="I191" s="341"/>
      <c r="J191" s="341"/>
      <c r="K191" s="341"/>
    </row>
    <row r="192" spans="1:11" ht="20.25">
      <c r="A192" s="341"/>
      <c r="B192" s="341"/>
      <c r="C192" s="341"/>
      <c r="D192" s="341"/>
      <c r="E192" s="341"/>
      <c r="F192" s="341"/>
      <c r="G192" s="341"/>
      <c r="H192" s="341"/>
      <c r="I192" s="341"/>
      <c r="J192" s="341"/>
      <c r="K192" s="341"/>
    </row>
    <row r="193" spans="1:11" ht="20.25">
      <c r="A193" s="341"/>
      <c r="B193" s="341"/>
      <c r="C193" s="341"/>
      <c r="D193" s="341"/>
      <c r="E193" s="341"/>
      <c r="F193" s="341"/>
      <c r="G193" s="341"/>
      <c r="H193" s="341"/>
      <c r="I193" s="341"/>
      <c r="J193" s="341"/>
      <c r="K193" s="341"/>
    </row>
    <row r="194" spans="1:11" ht="20.25">
      <c r="A194" s="341"/>
      <c r="B194" s="341"/>
      <c r="C194" s="341"/>
      <c r="D194" s="341"/>
      <c r="E194" s="341"/>
      <c r="F194" s="341"/>
      <c r="G194" s="341"/>
      <c r="H194" s="341"/>
      <c r="I194" s="341"/>
      <c r="J194" s="341"/>
      <c r="K194" s="341"/>
    </row>
    <row r="195" spans="1:11" ht="20.25">
      <c r="A195" s="341"/>
      <c r="B195" s="341"/>
      <c r="C195" s="341"/>
      <c r="D195" s="341"/>
      <c r="E195" s="341"/>
      <c r="F195" s="341"/>
      <c r="G195" s="341"/>
      <c r="H195" s="341"/>
      <c r="I195" s="341"/>
      <c r="J195" s="341"/>
      <c r="K195" s="341"/>
    </row>
    <row r="196" spans="1:11" ht="20.25">
      <c r="A196" s="341"/>
      <c r="B196" s="341"/>
      <c r="C196" s="341"/>
      <c r="D196" s="341"/>
      <c r="E196" s="341"/>
      <c r="F196" s="341"/>
      <c r="G196" s="341"/>
      <c r="H196" s="341"/>
      <c r="I196" s="341"/>
      <c r="J196" s="341"/>
      <c r="K196" s="341"/>
    </row>
    <row r="197" spans="1:11" ht="20.25">
      <c r="A197" s="341"/>
      <c r="B197" s="341"/>
      <c r="C197" s="341"/>
      <c r="D197" s="341"/>
      <c r="E197" s="341"/>
      <c r="F197" s="341"/>
      <c r="G197" s="341"/>
      <c r="H197" s="341"/>
      <c r="I197" s="341"/>
      <c r="J197" s="341"/>
      <c r="K197" s="341"/>
    </row>
    <row r="198" spans="1:11" ht="20.25">
      <c r="A198" s="341"/>
      <c r="B198" s="341"/>
      <c r="C198" s="341"/>
      <c r="D198" s="341"/>
      <c r="E198" s="341"/>
      <c r="F198" s="341"/>
      <c r="G198" s="341"/>
      <c r="H198" s="341"/>
      <c r="I198" s="341"/>
      <c r="J198" s="341"/>
      <c r="K198" s="341"/>
    </row>
    <row r="199" spans="1:11" ht="20.25">
      <c r="A199" s="341"/>
      <c r="B199" s="341"/>
      <c r="C199" s="341"/>
      <c r="D199" s="341"/>
      <c r="E199" s="341"/>
      <c r="F199" s="341"/>
      <c r="G199" s="341"/>
      <c r="H199" s="341"/>
      <c r="I199" s="341"/>
      <c r="J199" s="341"/>
      <c r="K199" s="341"/>
    </row>
    <row r="200" spans="1:11" ht="20.25">
      <c r="A200" s="341"/>
      <c r="B200" s="341"/>
      <c r="C200" s="341"/>
      <c r="D200" s="341"/>
      <c r="E200" s="341"/>
      <c r="F200" s="341"/>
      <c r="G200" s="341"/>
      <c r="H200" s="341"/>
      <c r="I200" s="341"/>
      <c r="J200" s="341"/>
      <c r="K200" s="341"/>
    </row>
    <row r="201" spans="1:11" ht="20.25">
      <c r="A201" s="341"/>
      <c r="B201" s="341"/>
      <c r="C201" s="341"/>
      <c r="D201" s="341"/>
      <c r="E201" s="341"/>
      <c r="F201" s="341"/>
      <c r="G201" s="341"/>
      <c r="H201" s="341"/>
      <c r="I201" s="341"/>
      <c r="J201" s="341"/>
      <c r="K201" s="341"/>
    </row>
    <row r="202" spans="1:11" ht="20.25">
      <c r="A202" s="341"/>
      <c r="B202" s="341"/>
      <c r="C202" s="341"/>
      <c r="D202" s="341"/>
      <c r="E202" s="341"/>
      <c r="F202" s="341"/>
      <c r="G202" s="341"/>
      <c r="H202" s="341"/>
      <c r="I202" s="341"/>
      <c r="J202" s="341"/>
      <c r="K202" s="341"/>
    </row>
    <row r="203" spans="1:11" ht="20.25">
      <c r="A203" s="341"/>
      <c r="B203" s="341"/>
      <c r="C203" s="341"/>
      <c r="D203" s="341"/>
      <c r="E203" s="341"/>
      <c r="F203" s="341"/>
      <c r="G203" s="341"/>
      <c r="H203" s="341"/>
      <c r="I203" s="341"/>
      <c r="J203" s="341"/>
      <c r="K203" s="341"/>
    </row>
    <row r="204" spans="1:11" ht="20.25">
      <c r="A204" s="341"/>
      <c r="B204" s="341"/>
      <c r="C204" s="341"/>
      <c r="D204" s="341"/>
      <c r="E204" s="341"/>
      <c r="F204" s="341"/>
      <c r="G204" s="341"/>
      <c r="H204" s="341"/>
      <c r="I204" s="341"/>
      <c r="J204" s="341"/>
      <c r="K204" s="341"/>
    </row>
    <row r="205" spans="1:11" ht="20.25">
      <c r="A205" s="341"/>
      <c r="B205" s="341"/>
      <c r="C205" s="341"/>
      <c r="D205" s="341"/>
      <c r="E205" s="341"/>
      <c r="F205" s="341"/>
      <c r="G205" s="341"/>
      <c r="H205" s="341"/>
      <c r="I205" s="341"/>
      <c r="J205" s="341"/>
      <c r="K205" s="341"/>
    </row>
    <row r="206" spans="1:11" ht="20.25">
      <c r="A206" s="341"/>
      <c r="B206" s="341"/>
      <c r="C206" s="341"/>
      <c r="D206" s="341"/>
      <c r="E206" s="341"/>
      <c r="F206" s="341"/>
      <c r="G206" s="341"/>
      <c r="H206" s="341"/>
      <c r="I206" s="341"/>
      <c r="J206" s="341"/>
      <c r="K206" s="341"/>
    </row>
    <row r="207" spans="1:11" ht="20.25">
      <c r="A207" s="341"/>
      <c r="B207" s="341"/>
      <c r="C207" s="341"/>
      <c r="D207" s="341"/>
      <c r="E207" s="341"/>
      <c r="F207" s="341"/>
      <c r="G207" s="341"/>
      <c r="H207" s="341"/>
      <c r="I207" s="341"/>
      <c r="J207" s="341"/>
      <c r="K207" s="341"/>
    </row>
    <row r="208" spans="1:11" ht="20.25">
      <c r="A208" s="341"/>
      <c r="B208" s="341"/>
      <c r="C208" s="341"/>
      <c r="D208" s="341"/>
      <c r="E208" s="341"/>
      <c r="F208" s="341"/>
      <c r="G208" s="341"/>
      <c r="H208" s="341"/>
      <c r="I208" s="341"/>
      <c r="J208" s="341"/>
      <c r="K208" s="341"/>
    </row>
    <row r="209" spans="1:11" ht="20.25">
      <c r="A209" s="341"/>
      <c r="B209" s="341"/>
      <c r="C209" s="341"/>
      <c r="D209" s="341"/>
      <c r="E209" s="341"/>
      <c r="F209" s="341"/>
      <c r="G209" s="341"/>
      <c r="H209" s="341"/>
      <c r="I209" s="341"/>
      <c r="J209" s="341"/>
      <c r="K209" s="341"/>
    </row>
    <row r="210" spans="1:11" ht="20.25">
      <c r="A210" s="341"/>
      <c r="B210" s="341"/>
      <c r="C210" s="341"/>
      <c r="D210" s="341"/>
      <c r="E210" s="341"/>
      <c r="F210" s="341"/>
      <c r="G210" s="341"/>
      <c r="H210" s="341"/>
      <c r="I210" s="341"/>
      <c r="J210" s="341"/>
      <c r="K210" s="341"/>
    </row>
    <row r="211" spans="1:11" ht="20.25">
      <c r="A211" s="341"/>
      <c r="B211" s="341"/>
      <c r="C211" s="341"/>
      <c r="D211" s="341"/>
      <c r="E211" s="341"/>
      <c r="F211" s="341"/>
      <c r="G211" s="341"/>
      <c r="H211" s="341"/>
      <c r="I211" s="341"/>
      <c r="J211" s="341"/>
      <c r="K211" s="341"/>
    </row>
    <row r="212" spans="1:11" ht="20.25">
      <c r="A212" s="341"/>
      <c r="B212" s="341"/>
      <c r="C212" s="341"/>
      <c r="D212" s="341"/>
      <c r="E212" s="341"/>
      <c r="F212" s="341"/>
      <c r="G212" s="341"/>
      <c r="H212" s="341"/>
      <c r="I212" s="341"/>
      <c r="J212" s="341"/>
      <c r="K212" s="341"/>
    </row>
    <row r="213" spans="1:11" ht="20.25">
      <c r="A213" s="341"/>
      <c r="B213" s="341"/>
      <c r="C213" s="341"/>
      <c r="D213" s="341"/>
      <c r="E213" s="341"/>
      <c r="F213" s="341"/>
      <c r="G213" s="341"/>
      <c r="H213" s="341"/>
      <c r="I213" s="341"/>
      <c r="J213" s="341"/>
      <c r="K213" s="341"/>
    </row>
    <row r="214" spans="1:11" ht="20.25">
      <c r="A214" s="341"/>
      <c r="B214" s="341"/>
      <c r="C214" s="341"/>
      <c r="D214" s="341"/>
      <c r="E214" s="341"/>
      <c r="F214" s="341"/>
      <c r="G214" s="341"/>
      <c r="H214" s="341"/>
      <c r="I214" s="341"/>
      <c r="J214" s="341"/>
      <c r="K214" s="341"/>
    </row>
    <row r="215" spans="1:11" ht="20.25">
      <c r="A215" s="341"/>
      <c r="B215" s="341"/>
      <c r="C215" s="341"/>
      <c r="D215" s="341"/>
      <c r="E215" s="341"/>
      <c r="F215" s="341"/>
      <c r="G215" s="341"/>
      <c r="H215" s="341"/>
      <c r="I215" s="341"/>
      <c r="J215" s="341"/>
      <c r="K215" s="341"/>
    </row>
    <row r="216" spans="1:11" ht="20.25">
      <c r="A216" s="341"/>
      <c r="B216" s="341"/>
      <c r="C216" s="341"/>
      <c r="D216" s="341"/>
      <c r="E216" s="341"/>
      <c r="F216" s="341"/>
      <c r="G216" s="341"/>
      <c r="H216" s="341"/>
      <c r="I216" s="341"/>
      <c r="J216" s="341"/>
      <c r="K216" s="341"/>
    </row>
    <row r="217" spans="1:11" ht="20.25">
      <c r="A217" s="341"/>
      <c r="B217" s="341"/>
      <c r="C217" s="341"/>
      <c r="D217" s="341"/>
      <c r="E217" s="341"/>
      <c r="F217" s="341"/>
      <c r="G217" s="341"/>
      <c r="H217" s="341"/>
      <c r="I217" s="341"/>
      <c r="J217" s="341"/>
      <c r="K217" s="341"/>
    </row>
    <row r="218" spans="1:11" ht="20.25">
      <c r="A218" s="341"/>
      <c r="B218" s="341"/>
      <c r="C218" s="341"/>
      <c r="D218" s="341"/>
      <c r="E218" s="341"/>
      <c r="F218" s="341"/>
      <c r="G218" s="341"/>
      <c r="H218" s="341"/>
      <c r="I218" s="341"/>
      <c r="J218" s="341"/>
      <c r="K218" s="341"/>
    </row>
    <row r="219" spans="1:11" ht="20.25">
      <c r="A219" s="341"/>
      <c r="B219" s="341"/>
      <c r="C219" s="341"/>
      <c r="D219" s="341"/>
      <c r="E219" s="341"/>
      <c r="F219" s="341"/>
      <c r="G219" s="341"/>
      <c r="H219" s="341"/>
      <c r="I219" s="341"/>
      <c r="J219" s="341"/>
      <c r="K219" s="341"/>
    </row>
    <row r="220" spans="1:11" ht="20.25">
      <c r="A220" s="341"/>
      <c r="B220" s="341"/>
      <c r="C220" s="341"/>
      <c r="D220" s="341"/>
      <c r="E220" s="341"/>
      <c r="F220" s="341"/>
      <c r="G220" s="341"/>
      <c r="H220" s="341"/>
      <c r="I220" s="341"/>
      <c r="J220" s="341"/>
      <c r="K220" s="341"/>
    </row>
    <row r="221" spans="1:11" ht="20.25">
      <c r="A221" s="341"/>
      <c r="B221" s="341"/>
      <c r="C221" s="341"/>
      <c r="D221" s="341"/>
      <c r="E221" s="341"/>
      <c r="F221" s="341"/>
      <c r="G221" s="341"/>
      <c r="H221" s="341"/>
      <c r="I221" s="341"/>
      <c r="J221" s="341"/>
      <c r="K221" s="341"/>
    </row>
    <row r="222" spans="1:11" ht="20.25">
      <c r="A222" s="341"/>
      <c r="B222" s="341"/>
      <c r="C222" s="341"/>
      <c r="D222" s="341"/>
      <c r="E222" s="341"/>
      <c r="F222" s="341"/>
      <c r="G222" s="341"/>
      <c r="H222" s="341"/>
      <c r="I222" s="341"/>
      <c r="J222" s="341"/>
      <c r="K222" s="341"/>
    </row>
    <row r="223" spans="1:11" ht="20.25">
      <c r="A223" s="341"/>
      <c r="B223" s="341"/>
      <c r="C223" s="341"/>
      <c r="D223" s="341"/>
      <c r="E223" s="341"/>
      <c r="F223" s="341"/>
      <c r="G223" s="341"/>
      <c r="H223" s="341"/>
      <c r="I223" s="341"/>
      <c r="J223" s="341"/>
      <c r="K223" s="341"/>
    </row>
    <row r="224" spans="1:11" ht="20.25">
      <c r="A224" s="341"/>
      <c r="B224" s="341"/>
      <c r="C224" s="341"/>
      <c r="D224" s="341"/>
      <c r="E224" s="341"/>
      <c r="F224" s="341"/>
      <c r="G224" s="341"/>
      <c r="H224" s="341"/>
      <c r="I224" s="341"/>
      <c r="J224" s="341"/>
      <c r="K224" s="341"/>
    </row>
    <row r="225" spans="1:11" ht="20.25">
      <c r="A225" s="341"/>
      <c r="B225" s="341"/>
      <c r="C225" s="341"/>
      <c r="D225" s="341"/>
      <c r="E225" s="341"/>
      <c r="F225" s="341"/>
      <c r="G225" s="341"/>
      <c r="H225" s="341"/>
      <c r="I225" s="341"/>
      <c r="J225" s="341"/>
      <c r="K225" s="341"/>
    </row>
    <row r="226" spans="1:11" ht="20.25">
      <c r="A226" s="341"/>
      <c r="B226" s="341"/>
      <c r="C226" s="341"/>
      <c r="D226" s="341"/>
      <c r="E226" s="341"/>
      <c r="F226" s="341"/>
      <c r="G226" s="341"/>
      <c r="H226" s="341"/>
      <c r="I226" s="341"/>
      <c r="J226" s="341"/>
      <c r="K226" s="341"/>
    </row>
    <row r="227" spans="1:11" ht="20.25">
      <c r="A227" s="341"/>
      <c r="B227" s="341"/>
      <c r="C227" s="341"/>
      <c r="D227" s="341"/>
      <c r="E227" s="341"/>
      <c r="F227" s="341"/>
      <c r="G227" s="341"/>
      <c r="H227" s="341"/>
      <c r="I227" s="341"/>
      <c r="J227" s="341"/>
      <c r="K227" s="341"/>
    </row>
    <row r="228" spans="1:11" ht="20.25">
      <c r="A228" s="341"/>
      <c r="B228" s="341"/>
      <c r="C228" s="341"/>
      <c r="D228" s="341"/>
      <c r="E228" s="341"/>
      <c r="F228" s="341"/>
      <c r="G228" s="341"/>
      <c r="H228" s="341"/>
      <c r="I228" s="341"/>
      <c r="J228" s="341"/>
      <c r="K228" s="341"/>
    </row>
    <row r="229" spans="1:11" ht="20.25">
      <c r="A229" s="341"/>
      <c r="B229" s="341"/>
      <c r="C229" s="341"/>
      <c r="D229" s="341"/>
      <c r="E229" s="341"/>
      <c r="F229" s="341"/>
      <c r="G229" s="341"/>
      <c r="H229" s="341"/>
      <c r="I229" s="341"/>
      <c r="J229" s="341"/>
      <c r="K229" s="341"/>
    </row>
    <row r="230" spans="1:11" ht="20.25">
      <c r="A230" s="341"/>
      <c r="B230" s="341"/>
      <c r="C230" s="341"/>
      <c r="D230" s="341"/>
      <c r="E230" s="341"/>
      <c r="F230" s="341"/>
      <c r="G230" s="341"/>
      <c r="H230" s="341"/>
      <c r="I230" s="341"/>
      <c r="J230" s="341"/>
      <c r="K230" s="341"/>
    </row>
    <row r="231" spans="1:11" ht="20.25">
      <c r="A231" s="341"/>
      <c r="B231" s="341"/>
      <c r="C231" s="341"/>
      <c r="D231" s="341"/>
      <c r="E231" s="341"/>
      <c r="F231" s="341"/>
      <c r="G231" s="341"/>
      <c r="H231" s="341"/>
      <c r="I231" s="341"/>
      <c r="J231" s="341"/>
      <c r="K231" s="341"/>
    </row>
    <row r="232" spans="1:11" ht="20.25">
      <c r="A232" s="341"/>
      <c r="B232" s="341"/>
      <c r="C232" s="341"/>
      <c r="D232" s="341"/>
      <c r="E232" s="341"/>
      <c r="F232" s="341"/>
      <c r="G232" s="341"/>
      <c r="H232" s="341"/>
      <c r="I232" s="341"/>
      <c r="J232" s="341"/>
      <c r="K232" s="341"/>
    </row>
    <row r="233" spans="1:11" ht="20.25">
      <c r="A233" s="341"/>
      <c r="B233" s="341"/>
      <c r="C233" s="341"/>
      <c r="D233" s="341"/>
      <c r="E233" s="341"/>
      <c r="F233" s="341"/>
      <c r="G233" s="341"/>
      <c r="H233" s="341"/>
      <c r="I233" s="341"/>
      <c r="J233" s="341"/>
      <c r="K233" s="341"/>
    </row>
    <row r="234" spans="1:11" ht="20.25">
      <c r="A234" s="341"/>
      <c r="B234" s="341"/>
      <c r="C234" s="341"/>
      <c r="D234" s="341"/>
      <c r="E234" s="341"/>
      <c r="F234" s="341"/>
      <c r="G234" s="341"/>
      <c r="H234" s="341"/>
      <c r="I234" s="341"/>
      <c r="J234" s="341"/>
      <c r="K234" s="341"/>
    </row>
    <row r="235" spans="1:11" ht="20.25">
      <c r="A235" s="341"/>
      <c r="B235" s="341"/>
      <c r="C235" s="341"/>
      <c r="D235" s="341"/>
      <c r="E235" s="341"/>
      <c r="F235" s="341"/>
      <c r="G235" s="341"/>
      <c r="H235" s="341"/>
      <c r="I235" s="341"/>
      <c r="J235" s="341"/>
      <c r="K235" s="341"/>
    </row>
    <row r="236" spans="1:11" ht="20.25">
      <c r="A236" s="341"/>
      <c r="B236" s="341"/>
      <c r="C236" s="341"/>
      <c r="D236" s="341"/>
      <c r="E236" s="341"/>
      <c r="F236" s="341"/>
      <c r="G236" s="341"/>
      <c r="H236" s="341"/>
      <c r="I236" s="341"/>
      <c r="J236" s="341"/>
      <c r="K236" s="341"/>
    </row>
    <row r="237" spans="1:11" ht="20.25">
      <c r="A237" s="341"/>
      <c r="B237" s="341"/>
      <c r="C237" s="341"/>
      <c r="D237" s="341"/>
      <c r="E237" s="341"/>
      <c r="F237" s="341"/>
      <c r="G237" s="341"/>
      <c r="H237" s="341"/>
      <c r="I237" s="341"/>
      <c r="J237" s="341"/>
      <c r="K237" s="341"/>
    </row>
    <row r="238" spans="1:11" ht="20.25">
      <c r="A238" s="341"/>
      <c r="B238" s="341"/>
      <c r="C238" s="341"/>
      <c r="D238" s="341"/>
      <c r="E238" s="341"/>
      <c r="F238" s="341"/>
      <c r="G238" s="341"/>
      <c r="H238" s="341"/>
      <c r="I238" s="341"/>
      <c r="J238" s="341"/>
      <c r="K238" s="341"/>
    </row>
    <row r="239" spans="1:11" ht="20.25">
      <c r="A239" s="341"/>
      <c r="B239" s="341"/>
      <c r="C239" s="341"/>
      <c r="D239" s="341"/>
      <c r="E239" s="341"/>
      <c r="F239" s="341"/>
      <c r="G239" s="341"/>
      <c r="H239" s="341"/>
      <c r="I239" s="341"/>
      <c r="J239" s="341"/>
      <c r="K239" s="341"/>
    </row>
    <row r="240" spans="1:11" ht="20.25">
      <c r="A240" s="341"/>
      <c r="B240" s="341"/>
      <c r="C240" s="341"/>
      <c r="D240" s="341"/>
      <c r="E240" s="341"/>
      <c r="F240" s="341"/>
      <c r="G240" s="341"/>
      <c r="H240" s="341"/>
      <c r="I240" s="341"/>
      <c r="J240" s="341"/>
      <c r="K240" s="341"/>
    </row>
    <row r="241" spans="1:11" ht="20.25">
      <c r="A241" s="341"/>
      <c r="B241" s="341"/>
      <c r="C241" s="341"/>
      <c r="D241" s="341"/>
      <c r="E241" s="341"/>
      <c r="F241" s="341"/>
      <c r="G241" s="341"/>
      <c r="H241" s="341"/>
      <c r="I241" s="341"/>
      <c r="J241" s="341"/>
      <c r="K241" s="341"/>
    </row>
    <row r="242" spans="1:11" ht="20.25">
      <c r="A242" s="341"/>
      <c r="B242" s="341"/>
      <c r="C242" s="341"/>
      <c r="D242" s="341"/>
      <c r="E242" s="341"/>
      <c r="F242" s="341"/>
      <c r="G242" s="341"/>
      <c r="H242" s="341"/>
      <c r="I242" s="341"/>
      <c r="J242" s="341"/>
      <c r="K242" s="341"/>
    </row>
    <row r="243" spans="1:11" ht="20.25">
      <c r="A243" s="341"/>
      <c r="B243" s="341"/>
      <c r="C243" s="341"/>
      <c r="D243" s="341"/>
      <c r="E243" s="341"/>
      <c r="F243" s="341"/>
      <c r="G243" s="341"/>
      <c r="H243" s="341"/>
      <c r="I243" s="341"/>
      <c r="J243" s="341"/>
      <c r="K243" s="341"/>
    </row>
    <row r="244" spans="1:11" ht="20.25">
      <c r="A244" s="341"/>
      <c r="B244" s="341"/>
      <c r="C244" s="341"/>
      <c r="D244" s="341"/>
      <c r="E244" s="341"/>
      <c r="F244" s="341"/>
      <c r="G244" s="341"/>
      <c r="H244" s="341"/>
      <c r="I244" s="341"/>
      <c r="J244" s="341"/>
      <c r="K244" s="341"/>
    </row>
    <row r="245" spans="1:11" ht="20.25">
      <c r="A245" s="341"/>
      <c r="B245" s="341"/>
      <c r="C245" s="341"/>
      <c r="D245" s="341"/>
      <c r="E245" s="341"/>
      <c r="F245" s="341"/>
      <c r="G245" s="341"/>
      <c r="H245" s="341"/>
      <c r="I245" s="341"/>
      <c r="J245" s="341"/>
      <c r="K245" s="341"/>
    </row>
    <row r="246" spans="1:11" ht="20.25">
      <c r="A246" s="341"/>
      <c r="B246" s="341"/>
      <c r="C246" s="341"/>
      <c r="D246" s="341"/>
      <c r="E246" s="341"/>
      <c r="F246" s="341"/>
      <c r="G246" s="341"/>
      <c r="H246" s="341"/>
      <c r="I246" s="341"/>
      <c r="J246" s="341"/>
      <c r="K246" s="341"/>
    </row>
    <row r="247" spans="1:11" ht="20.25">
      <c r="A247" s="341"/>
      <c r="B247" s="341"/>
      <c r="C247" s="341"/>
      <c r="D247" s="341"/>
      <c r="E247" s="341"/>
      <c r="F247" s="341"/>
      <c r="G247" s="341"/>
      <c r="H247" s="341"/>
      <c r="I247" s="341"/>
      <c r="J247" s="341"/>
      <c r="K247" s="341"/>
    </row>
    <row r="248" spans="1:11" ht="20.25">
      <c r="A248" s="341"/>
      <c r="B248" s="341"/>
      <c r="C248" s="341"/>
      <c r="D248" s="341"/>
      <c r="E248" s="341"/>
      <c r="F248" s="341"/>
      <c r="G248" s="341"/>
      <c r="H248" s="341"/>
      <c r="I248" s="341"/>
      <c r="J248" s="341"/>
      <c r="K248" s="341"/>
    </row>
    <row r="249" spans="1:11" ht="20.25">
      <c r="A249" s="341"/>
      <c r="B249" s="341"/>
      <c r="C249" s="341"/>
      <c r="D249" s="341"/>
      <c r="E249" s="341"/>
      <c r="F249" s="341"/>
      <c r="G249" s="341"/>
      <c r="H249" s="341"/>
      <c r="I249" s="341"/>
      <c r="J249" s="341"/>
      <c r="K249" s="341"/>
    </row>
    <row r="250" spans="1:11" ht="20.25">
      <c r="A250" s="341"/>
      <c r="B250" s="341"/>
      <c r="C250" s="341"/>
      <c r="D250" s="341"/>
      <c r="E250" s="341"/>
      <c r="F250" s="341"/>
      <c r="G250" s="341"/>
      <c r="H250" s="341"/>
      <c r="I250" s="341"/>
      <c r="J250" s="341"/>
      <c r="K250" s="341"/>
    </row>
    <row r="251" spans="1:11" ht="20.25">
      <c r="A251" s="341"/>
      <c r="B251" s="341"/>
      <c r="C251" s="341"/>
      <c r="D251" s="341"/>
      <c r="E251" s="341"/>
      <c r="F251" s="341"/>
      <c r="G251" s="341"/>
      <c r="H251" s="341"/>
      <c r="I251" s="341"/>
      <c r="J251" s="341"/>
      <c r="K251" s="341"/>
    </row>
    <row r="252" spans="1:11" ht="20.25">
      <c r="A252" s="341"/>
      <c r="B252" s="341"/>
      <c r="C252" s="341"/>
      <c r="D252" s="341"/>
      <c r="E252" s="341"/>
      <c r="F252" s="341"/>
      <c r="G252" s="341"/>
      <c r="H252" s="341"/>
      <c r="I252" s="341"/>
      <c r="J252" s="341"/>
      <c r="K252" s="341"/>
    </row>
    <row r="253" spans="1:11" ht="20.25">
      <c r="A253" s="341"/>
      <c r="B253" s="341"/>
      <c r="C253" s="341"/>
      <c r="D253" s="341"/>
      <c r="E253" s="341"/>
      <c r="F253" s="341"/>
      <c r="G253" s="341"/>
      <c r="H253" s="341"/>
      <c r="I253" s="341"/>
      <c r="J253" s="341"/>
      <c r="K253" s="341"/>
    </row>
    <row r="254" spans="1:11" ht="20.25">
      <c r="A254" s="341"/>
      <c r="B254" s="341"/>
      <c r="C254" s="341"/>
      <c r="D254" s="341"/>
      <c r="E254" s="341"/>
      <c r="F254" s="341"/>
      <c r="G254" s="341"/>
      <c r="H254" s="341"/>
      <c r="I254" s="341"/>
      <c r="J254" s="341"/>
      <c r="K254" s="341"/>
    </row>
    <row r="255" spans="1:11" ht="20.25">
      <c r="A255" s="341"/>
      <c r="B255" s="341"/>
      <c r="C255" s="341"/>
      <c r="D255" s="341"/>
      <c r="E255" s="341"/>
      <c r="F255" s="341"/>
      <c r="G255" s="341"/>
      <c r="H255" s="341"/>
      <c r="I255" s="341"/>
      <c r="J255" s="341"/>
      <c r="K255" s="341"/>
    </row>
    <row r="256" spans="1:11" ht="20.25">
      <c r="A256" s="341"/>
      <c r="B256" s="341"/>
      <c r="C256" s="341"/>
      <c r="D256" s="341"/>
      <c r="E256" s="341"/>
      <c r="F256" s="341"/>
      <c r="G256" s="341"/>
      <c r="H256" s="341"/>
      <c r="I256" s="341"/>
      <c r="J256" s="341"/>
      <c r="K256" s="341"/>
    </row>
    <row r="257" spans="1:11" ht="20.25">
      <c r="A257" s="341"/>
      <c r="B257" s="341"/>
      <c r="C257" s="341"/>
      <c r="D257" s="341"/>
      <c r="E257" s="341"/>
      <c r="F257" s="341"/>
      <c r="G257" s="341"/>
      <c r="H257" s="341"/>
      <c r="I257" s="341"/>
      <c r="J257" s="341"/>
      <c r="K257" s="341"/>
    </row>
    <row r="258" spans="1:11" ht="20.25">
      <c r="A258" s="341"/>
      <c r="B258" s="341"/>
      <c r="C258" s="341"/>
      <c r="D258" s="341"/>
      <c r="E258" s="341"/>
      <c r="F258" s="341"/>
      <c r="G258" s="341"/>
      <c r="H258" s="341"/>
      <c r="I258" s="341"/>
      <c r="J258" s="341"/>
      <c r="K258" s="341"/>
    </row>
    <row r="259" spans="1:11" ht="20.25">
      <c r="A259" s="341"/>
      <c r="B259" s="341"/>
      <c r="C259" s="341"/>
      <c r="D259" s="341"/>
      <c r="E259" s="341"/>
      <c r="F259" s="341"/>
      <c r="G259" s="341"/>
      <c r="H259" s="341"/>
      <c r="I259" s="341"/>
      <c r="J259" s="341"/>
      <c r="K259" s="341"/>
    </row>
    <row r="260" spans="1:11" ht="20.25">
      <c r="A260" s="341"/>
      <c r="B260" s="341"/>
      <c r="C260" s="341"/>
      <c r="D260" s="341"/>
      <c r="E260" s="341"/>
      <c r="F260" s="341"/>
      <c r="G260" s="341"/>
      <c r="H260" s="341"/>
      <c r="I260" s="341"/>
      <c r="J260" s="341"/>
      <c r="K260" s="341"/>
    </row>
    <row r="261" spans="1:11" ht="20.25">
      <c r="A261" s="341"/>
      <c r="B261" s="341"/>
      <c r="C261" s="341"/>
      <c r="D261" s="341"/>
      <c r="E261" s="341"/>
      <c r="F261" s="341"/>
      <c r="G261" s="341"/>
      <c r="H261" s="341"/>
      <c r="I261" s="341"/>
      <c r="J261" s="341"/>
      <c r="K261" s="341"/>
    </row>
    <row r="262" spans="1:11" ht="20.25">
      <c r="A262" s="341"/>
      <c r="B262" s="341"/>
      <c r="C262" s="341"/>
      <c r="D262" s="341"/>
      <c r="E262" s="341"/>
      <c r="F262" s="341"/>
      <c r="G262" s="341"/>
      <c r="H262" s="341"/>
      <c r="I262" s="341"/>
      <c r="J262" s="341"/>
      <c r="K262" s="341"/>
    </row>
    <row r="263" spans="1:11" ht="20.25">
      <c r="A263" s="341"/>
      <c r="B263" s="341"/>
      <c r="C263" s="341"/>
      <c r="D263" s="341"/>
      <c r="E263" s="341"/>
      <c r="F263" s="341"/>
      <c r="G263" s="341"/>
      <c r="H263" s="341"/>
      <c r="I263" s="341"/>
      <c r="J263" s="341"/>
      <c r="K263" s="341"/>
    </row>
    <row r="264" spans="1:11" ht="20.25">
      <c r="A264" s="341"/>
      <c r="B264" s="341"/>
      <c r="C264" s="341"/>
      <c r="D264" s="341"/>
      <c r="E264" s="341"/>
      <c r="F264" s="341"/>
      <c r="G264" s="341"/>
      <c r="H264" s="341"/>
      <c r="I264" s="341"/>
      <c r="J264" s="341"/>
      <c r="K264" s="341"/>
    </row>
    <row r="265" spans="1:11" ht="20.25">
      <c r="A265" s="341"/>
      <c r="B265" s="341"/>
      <c r="C265" s="341"/>
      <c r="D265" s="341"/>
      <c r="E265" s="341"/>
      <c r="F265" s="341"/>
      <c r="G265" s="341"/>
      <c r="H265" s="341"/>
      <c r="I265" s="341"/>
      <c r="J265" s="341"/>
      <c r="K265" s="341"/>
    </row>
    <row r="266" spans="1:11" ht="20.25">
      <c r="A266" s="341"/>
      <c r="B266" s="341"/>
      <c r="C266" s="341"/>
      <c r="D266" s="341"/>
      <c r="E266" s="341"/>
      <c r="F266" s="341"/>
      <c r="G266" s="341"/>
      <c r="H266" s="341"/>
      <c r="I266" s="341"/>
      <c r="J266" s="341"/>
      <c r="K266" s="341"/>
    </row>
    <row r="267" spans="1:11" ht="20.25">
      <c r="A267" s="341"/>
      <c r="B267" s="341"/>
      <c r="C267" s="341"/>
      <c r="D267" s="341"/>
      <c r="E267" s="341"/>
      <c r="F267" s="341"/>
      <c r="G267" s="341"/>
      <c r="H267" s="341"/>
      <c r="I267" s="341"/>
      <c r="J267" s="341"/>
      <c r="K267" s="341"/>
    </row>
    <row r="268" spans="1:11" ht="20.25">
      <c r="A268" s="341"/>
      <c r="B268" s="341"/>
      <c r="C268" s="341"/>
      <c r="D268" s="341"/>
      <c r="E268" s="341"/>
      <c r="F268" s="341"/>
      <c r="G268" s="341"/>
      <c r="H268" s="341"/>
      <c r="I268" s="341"/>
      <c r="J268" s="341"/>
      <c r="K268" s="341"/>
    </row>
    <row r="269" spans="1:11" ht="20.25">
      <c r="A269" s="341"/>
      <c r="B269" s="341"/>
      <c r="C269" s="341"/>
      <c r="D269" s="341"/>
      <c r="E269" s="341"/>
      <c r="F269" s="341"/>
      <c r="G269" s="341"/>
      <c r="H269" s="341"/>
      <c r="I269" s="341"/>
      <c r="J269" s="341"/>
      <c r="K269" s="341"/>
    </row>
    <row r="270" spans="1:11" ht="20.25">
      <c r="A270" s="341"/>
      <c r="B270" s="341"/>
      <c r="C270" s="341"/>
      <c r="D270" s="341"/>
      <c r="E270" s="341"/>
      <c r="F270" s="341"/>
      <c r="G270" s="341"/>
      <c r="H270" s="341"/>
      <c r="I270" s="341"/>
      <c r="J270" s="341"/>
      <c r="K270" s="341"/>
    </row>
    <row r="271" spans="1:11" ht="20.25">
      <c r="A271" s="341"/>
      <c r="B271" s="341"/>
      <c r="C271" s="341"/>
      <c r="D271" s="341"/>
      <c r="E271" s="341"/>
      <c r="F271" s="341"/>
      <c r="G271" s="341"/>
      <c r="H271" s="341"/>
      <c r="I271" s="341"/>
      <c r="J271" s="341"/>
      <c r="K271" s="341"/>
    </row>
    <row r="272" spans="1:11" ht="20.25">
      <c r="A272" s="341"/>
      <c r="B272" s="341"/>
      <c r="C272" s="341"/>
      <c r="D272" s="341"/>
      <c r="E272" s="341"/>
      <c r="F272" s="341"/>
      <c r="G272" s="341"/>
      <c r="H272" s="341"/>
      <c r="I272" s="341"/>
      <c r="J272" s="341"/>
      <c r="K272" s="341"/>
    </row>
    <row r="273" spans="1:11" ht="20.25">
      <c r="A273" s="341"/>
      <c r="B273" s="341"/>
      <c r="C273" s="341"/>
      <c r="D273" s="341"/>
      <c r="E273" s="341"/>
      <c r="F273" s="341"/>
      <c r="G273" s="341"/>
      <c r="H273" s="341"/>
      <c r="I273" s="341"/>
      <c r="J273" s="341"/>
      <c r="K273" s="341"/>
    </row>
    <row r="274" spans="1:11" ht="20.25">
      <c r="A274" s="341"/>
      <c r="B274" s="341"/>
      <c r="C274" s="341"/>
      <c r="D274" s="341"/>
      <c r="E274" s="341"/>
      <c r="F274" s="341"/>
      <c r="G274" s="341"/>
      <c r="H274" s="341"/>
      <c r="I274" s="341"/>
      <c r="J274" s="341"/>
      <c r="K274" s="341"/>
    </row>
    <row r="275" spans="1:11" ht="20.25">
      <c r="A275" s="341"/>
      <c r="B275" s="341"/>
      <c r="C275" s="341"/>
      <c r="D275" s="341"/>
      <c r="E275" s="341"/>
      <c r="F275" s="341"/>
      <c r="G275" s="341"/>
      <c r="H275" s="341"/>
      <c r="I275" s="341"/>
      <c r="J275" s="341"/>
      <c r="K275" s="341"/>
    </row>
    <row r="276" spans="1:11" ht="20.25">
      <c r="A276" s="341"/>
      <c r="B276" s="341"/>
      <c r="C276" s="341"/>
      <c r="D276" s="341"/>
      <c r="E276" s="341"/>
      <c r="F276" s="341"/>
      <c r="G276" s="341"/>
      <c r="H276" s="341"/>
      <c r="I276" s="341"/>
      <c r="J276" s="341"/>
      <c r="K276" s="341"/>
    </row>
    <row r="277" spans="1:11" ht="20.25">
      <c r="A277" s="341"/>
      <c r="B277" s="341"/>
      <c r="C277" s="341"/>
      <c r="D277" s="341"/>
      <c r="E277" s="341"/>
      <c r="F277" s="341"/>
      <c r="G277" s="341"/>
      <c r="H277" s="341"/>
      <c r="I277" s="341"/>
      <c r="J277" s="341"/>
      <c r="K277" s="341"/>
    </row>
    <row r="278" spans="1:11" ht="20.25">
      <c r="A278" s="341"/>
      <c r="B278" s="341"/>
      <c r="C278" s="341"/>
      <c r="D278" s="341"/>
      <c r="E278" s="341"/>
      <c r="F278" s="341"/>
      <c r="G278" s="341"/>
      <c r="H278" s="341"/>
      <c r="I278" s="341"/>
      <c r="J278" s="341"/>
      <c r="K278" s="341"/>
    </row>
    <row r="279" spans="1:11" ht="20.25">
      <c r="A279" s="341"/>
      <c r="B279" s="341"/>
      <c r="C279" s="341"/>
      <c r="D279" s="341"/>
      <c r="E279" s="341"/>
      <c r="F279" s="341"/>
      <c r="G279" s="341"/>
      <c r="H279" s="341"/>
      <c r="I279" s="341"/>
      <c r="J279" s="341"/>
      <c r="K279" s="341"/>
    </row>
    <row r="280" spans="1:11" ht="20.25">
      <c r="A280" s="341"/>
      <c r="B280" s="341"/>
      <c r="C280" s="341"/>
      <c r="D280" s="341"/>
      <c r="E280" s="341"/>
      <c r="F280" s="341"/>
      <c r="G280" s="341"/>
      <c r="H280" s="341"/>
      <c r="I280" s="341"/>
      <c r="J280" s="341"/>
      <c r="K280" s="341"/>
    </row>
    <row r="281" spans="1:11" ht="20.25">
      <c r="A281" s="341"/>
      <c r="B281" s="341"/>
      <c r="C281" s="341"/>
      <c r="D281" s="341"/>
      <c r="E281" s="341"/>
      <c r="F281" s="341"/>
      <c r="G281" s="341"/>
      <c r="H281" s="341"/>
      <c r="I281" s="341"/>
      <c r="J281" s="341"/>
      <c r="K281" s="341"/>
    </row>
    <row r="282" spans="1:11" ht="20.25">
      <c r="A282" s="341"/>
      <c r="B282" s="341"/>
      <c r="C282" s="341"/>
      <c r="D282" s="341"/>
      <c r="E282" s="341"/>
      <c r="F282" s="341"/>
      <c r="G282" s="341"/>
      <c r="H282" s="341"/>
      <c r="I282" s="341"/>
      <c r="J282" s="341"/>
      <c r="K282" s="341"/>
    </row>
    <row r="283" spans="1:11" ht="20.25">
      <c r="A283" s="341"/>
      <c r="B283" s="341"/>
      <c r="C283" s="341"/>
      <c r="D283" s="341"/>
      <c r="E283" s="341"/>
      <c r="F283" s="341"/>
      <c r="G283" s="341"/>
      <c r="H283" s="341"/>
      <c r="I283" s="341"/>
      <c r="J283" s="341"/>
      <c r="K283" s="341"/>
    </row>
    <row r="284" spans="1:11" ht="20.25">
      <c r="A284" s="341"/>
      <c r="B284" s="341"/>
      <c r="C284" s="341"/>
      <c r="D284" s="341"/>
      <c r="E284" s="341"/>
      <c r="F284" s="341"/>
      <c r="G284" s="341"/>
      <c r="H284" s="341"/>
      <c r="I284" s="341"/>
      <c r="J284" s="341"/>
      <c r="K284" s="341"/>
    </row>
    <row r="285" spans="1:11" ht="20.25">
      <c r="A285" s="341"/>
      <c r="B285" s="341"/>
      <c r="C285" s="341"/>
      <c r="D285" s="341"/>
      <c r="E285" s="341"/>
      <c r="F285" s="341"/>
      <c r="G285" s="341"/>
      <c r="H285" s="341"/>
      <c r="I285" s="341"/>
      <c r="J285" s="341"/>
      <c r="K285" s="341"/>
    </row>
    <row r="286" spans="1:11" ht="20.25">
      <c r="A286" s="341"/>
      <c r="B286" s="341"/>
      <c r="C286" s="341"/>
      <c r="D286" s="341"/>
      <c r="E286" s="341"/>
      <c r="F286" s="341"/>
      <c r="G286" s="341"/>
      <c r="H286" s="341"/>
      <c r="I286" s="341"/>
      <c r="J286" s="341"/>
      <c r="K286" s="341"/>
    </row>
    <row r="287" spans="1:11" ht="20.25">
      <c r="A287" s="341"/>
      <c r="B287" s="341"/>
      <c r="C287" s="341"/>
      <c r="D287" s="341"/>
      <c r="E287" s="341"/>
      <c r="F287" s="341"/>
      <c r="G287" s="341"/>
      <c r="H287" s="341"/>
      <c r="I287" s="341"/>
      <c r="J287" s="341"/>
      <c r="K287" s="341"/>
    </row>
    <row r="288" spans="1:11" ht="20.25">
      <c r="A288" s="341"/>
      <c r="B288" s="341"/>
      <c r="C288" s="341"/>
      <c r="D288" s="341"/>
      <c r="E288" s="341"/>
      <c r="F288" s="341"/>
      <c r="G288" s="341"/>
      <c r="H288" s="341"/>
      <c r="I288" s="341"/>
      <c r="J288" s="341"/>
      <c r="K288" s="341"/>
    </row>
    <row r="289" spans="1:11" ht="20.25">
      <c r="A289" s="341"/>
      <c r="B289" s="341"/>
      <c r="C289" s="341"/>
      <c r="D289" s="341"/>
      <c r="E289" s="341"/>
      <c r="F289" s="341"/>
      <c r="G289" s="341"/>
      <c r="H289" s="341"/>
      <c r="I289" s="341"/>
      <c r="J289" s="341"/>
      <c r="K289" s="341"/>
    </row>
    <row r="290" spans="1:11" ht="20.25">
      <c r="A290" s="341"/>
      <c r="B290" s="341"/>
      <c r="C290" s="341"/>
      <c r="D290" s="341"/>
      <c r="E290" s="341"/>
      <c r="F290" s="341"/>
      <c r="G290" s="341"/>
      <c r="H290" s="341"/>
      <c r="I290" s="341"/>
      <c r="J290" s="341"/>
      <c r="K290" s="341"/>
    </row>
    <row r="291" spans="1:11" ht="20.25">
      <c r="A291" s="341"/>
      <c r="B291" s="341"/>
      <c r="C291" s="341"/>
      <c r="D291" s="341"/>
      <c r="E291" s="341"/>
      <c r="F291" s="341"/>
      <c r="G291" s="341"/>
      <c r="H291" s="341"/>
      <c r="I291" s="341"/>
      <c r="J291" s="341"/>
      <c r="K291" s="341"/>
    </row>
    <row r="292" spans="1:11" ht="20.25">
      <c r="A292" s="341"/>
      <c r="B292" s="341"/>
      <c r="C292" s="341"/>
      <c r="D292" s="341"/>
      <c r="E292" s="341"/>
      <c r="F292" s="341"/>
      <c r="G292" s="341"/>
      <c r="H292" s="341"/>
      <c r="I292" s="341"/>
      <c r="J292" s="341"/>
      <c r="K292" s="341"/>
    </row>
    <row r="293" spans="1:11" ht="20.25">
      <c r="A293" s="341"/>
      <c r="B293" s="341"/>
      <c r="C293" s="341"/>
      <c r="D293" s="341"/>
      <c r="E293" s="341"/>
      <c r="F293" s="341"/>
      <c r="G293" s="341"/>
      <c r="H293" s="341"/>
      <c r="I293" s="341"/>
      <c r="J293" s="341"/>
      <c r="K293" s="341"/>
    </row>
    <row r="294" spans="1:11" ht="20.25">
      <c r="A294" s="341"/>
      <c r="B294" s="341"/>
      <c r="C294" s="341"/>
      <c r="D294" s="341"/>
      <c r="E294" s="341"/>
      <c r="F294" s="341"/>
      <c r="G294" s="341"/>
      <c r="H294" s="341"/>
      <c r="I294" s="341"/>
      <c r="J294" s="341"/>
      <c r="K294" s="341"/>
    </row>
    <row r="295" spans="1:11" ht="20.25">
      <c r="A295" s="341"/>
      <c r="B295" s="341"/>
      <c r="C295" s="341"/>
      <c r="D295" s="341"/>
      <c r="E295" s="341"/>
      <c r="F295" s="341"/>
      <c r="G295" s="341"/>
      <c r="H295" s="341"/>
      <c r="I295" s="341"/>
      <c r="J295" s="341"/>
      <c r="K295" s="341"/>
    </row>
    <row r="296" spans="1:11" ht="20.25">
      <c r="A296" s="341"/>
      <c r="B296" s="341"/>
      <c r="C296" s="341"/>
      <c r="D296" s="341"/>
      <c r="E296" s="341"/>
      <c r="F296" s="341"/>
      <c r="G296" s="341"/>
      <c r="H296" s="341"/>
      <c r="I296" s="341"/>
      <c r="J296" s="341"/>
      <c r="K296" s="341"/>
    </row>
    <row r="297" spans="1:11" ht="20.25">
      <c r="A297" s="341"/>
      <c r="B297" s="341"/>
      <c r="C297" s="341"/>
      <c r="D297" s="341"/>
      <c r="E297" s="341"/>
      <c r="F297" s="341"/>
      <c r="G297" s="341"/>
      <c r="H297" s="341"/>
      <c r="I297" s="341"/>
      <c r="J297" s="341"/>
      <c r="K297" s="341"/>
    </row>
    <row r="298" spans="1:11" ht="20.25">
      <c r="A298" s="341"/>
      <c r="B298" s="341"/>
      <c r="C298" s="341"/>
      <c r="D298" s="341"/>
      <c r="E298" s="341"/>
      <c r="F298" s="341"/>
      <c r="G298" s="341"/>
      <c r="H298" s="341"/>
      <c r="I298" s="341"/>
      <c r="J298" s="341"/>
      <c r="K298" s="341"/>
    </row>
    <row r="299" spans="1:11" ht="20.25">
      <c r="A299" s="341"/>
      <c r="B299" s="341"/>
      <c r="C299" s="341"/>
      <c r="D299" s="341"/>
      <c r="E299" s="341"/>
      <c r="F299" s="341"/>
      <c r="G299" s="341"/>
      <c r="H299" s="341"/>
      <c r="I299" s="341"/>
      <c r="J299" s="341"/>
      <c r="K299" s="341"/>
    </row>
    <row r="300" spans="1:11" ht="20.25">
      <c r="A300" s="341"/>
      <c r="B300" s="341"/>
      <c r="C300" s="341"/>
      <c r="D300" s="341"/>
      <c r="E300" s="341"/>
      <c r="F300" s="341"/>
      <c r="G300" s="341"/>
      <c r="H300" s="341"/>
      <c r="I300" s="341"/>
      <c r="J300" s="341"/>
      <c r="K300" s="341"/>
    </row>
    <row r="301" spans="1:11" ht="20.25">
      <c r="A301" s="341"/>
      <c r="B301" s="341"/>
      <c r="C301" s="341"/>
      <c r="D301" s="341"/>
      <c r="E301" s="341"/>
      <c r="F301" s="341"/>
      <c r="G301" s="341"/>
      <c r="H301" s="341"/>
      <c r="I301" s="341"/>
      <c r="J301" s="341"/>
      <c r="K301" s="341"/>
    </row>
    <row r="302" spans="1:11" ht="20.25">
      <c r="A302" s="341"/>
      <c r="B302" s="341"/>
      <c r="C302" s="341"/>
      <c r="D302" s="341"/>
      <c r="E302" s="341"/>
      <c r="F302" s="341"/>
      <c r="G302" s="341"/>
      <c r="H302" s="341"/>
      <c r="I302" s="341"/>
      <c r="J302" s="341"/>
      <c r="K302" s="341"/>
    </row>
    <row r="303" spans="1:11" ht="20.25">
      <c r="A303" s="341"/>
      <c r="B303" s="341"/>
      <c r="C303" s="341"/>
      <c r="D303" s="341"/>
      <c r="E303" s="341"/>
      <c r="F303" s="341"/>
      <c r="G303" s="341"/>
      <c r="H303" s="341"/>
      <c r="I303" s="341"/>
      <c r="J303" s="341"/>
      <c r="K303" s="341"/>
    </row>
    <row r="304" spans="1:11" ht="20.25">
      <c r="A304" s="341"/>
      <c r="B304" s="341"/>
      <c r="C304" s="341"/>
      <c r="D304" s="341"/>
      <c r="E304" s="341"/>
      <c r="F304" s="341"/>
      <c r="G304" s="341"/>
      <c r="H304" s="341"/>
      <c r="I304" s="341"/>
      <c r="J304" s="341"/>
      <c r="K304" s="341"/>
    </row>
    <row r="305" spans="1:11" ht="20.25">
      <c r="A305" s="341"/>
      <c r="B305" s="341"/>
      <c r="C305" s="341"/>
      <c r="D305" s="341"/>
      <c r="E305" s="341"/>
      <c r="F305" s="341"/>
      <c r="G305" s="341"/>
      <c r="H305" s="341"/>
      <c r="I305" s="341"/>
      <c r="J305" s="341"/>
      <c r="K305" s="341"/>
    </row>
    <row r="306" spans="1:11" ht="20.25">
      <c r="A306" s="341"/>
      <c r="B306" s="341"/>
      <c r="C306" s="341"/>
      <c r="D306" s="341"/>
      <c r="E306" s="341"/>
      <c r="F306" s="341"/>
      <c r="G306" s="341"/>
      <c r="H306" s="341"/>
      <c r="I306" s="341"/>
      <c r="J306" s="341"/>
      <c r="K306" s="341"/>
    </row>
    <row r="307" spans="1:11" ht="20.25">
      <c r="A307" s="341"/>
      <c r="B307" s="341"/>
      <c r="C307" s="341"/>
      <c r="D307" s="341"/>
      <c r="E307" s="341"/>
      <c r="F307" s="341"/>
      <c r="G307" s="341"/>
      <c r="H307" s="341"/>
      <c r="I307" s="341"/>
      <c r="J307" s="341"/>
      <c r="K307" s="341"/>
    </row>
    <row r="308" spans="1:11" ht="20.25">
      <c r="A308" s="341"/>
      <c r="B308" s="341"/>
      <c r="C308" s="341"/>
      <c r="D308" s="341"/>
      <c r="E308" s="341"/>
      <c r="F308" s="341"/>
      <c r="G308" s="341"/>
      <c r="H308" s="341"/>
      <c r="I308" s="341"/>
      <c r="J308" s="341"/>
      <c r="K308" s="341"/>
    </row>
    <row r="309" spans="1:11" ht="20.25">
      <c r="A309" s="341"/>
      <c r="B309" s="341"/>
      <c r="C309" s="341"/>
      <c r="D309" s="341"/>
      <c r="E309" s="341"/>
      <c r="F309" s="341"/>
      <c r="G309" s="341"/>
      <c r="H309" s="341"/>
      <c r="I309" s="341"/>
      <c r="J309" s="341"/>
      <c r="K309" s="341"/>
    </row>
    <row r="310" spans="1:11" ht="20.25">
      <c r="A310" s="341"/>
      <c r="B310" s="341"/>
      <c r="C310" s="341"/>
      <c r="D310" s="341"/>
      <c r="E310" s="341"/>
      <c r="F310" s="341"/>
      <c r="G310" s="341"/>
      <c r="H310" s="341"/>
      <c r="I310" s="341"/>
      <c r="J310" s="341"/>
      <c r="K310" s="341"/>
    </row>
    <row r="311" spans="1:11" ht="20.25">
      <c r="A311" s="341"/>
      <c r="B311" s="341"/>
      <c r="C311" s="341"/>
      <c r="D311" s="341"/>
      <c r="E311" s="341"/>
      <c r="F311" s="341"/>
      <c r="G311" s="341"/>
      <c r="H311" s="341"/>
      <c r="I311" s="341"/>
      <c r="J311" s="341"/>
      <c r="K311" s="341"/>
    </row>
    <row r="312" spans="1:11" ht="20.25">
      <c r="A312" s="341"/>
      <c r="B312" s="341"/>
      <c r="C312" s="341"/>
      <c r="D312" s="341"/>
      <c r="E312" s="341"/>
      <c r="F312" s="341"/>
      <c r="G312" s="341"/>
      <c r="H312" s="341"/>
      <c r="I312" s="341"/>
      <c r="J312" s="341"/>
      <c r="K312" s="341"/>
    </row>
    <row r="313" spans="1:11" ht="20.25">
      <c r="A313" s="341"/>
      <c r="B313" s="341"/>
      <c r="C313" s="341"/>
      <c r="D313" s="341"/>
      <c r="E313" s="341"/>
      <c r="F313" s="341"/>
      <c r="G313" s="341"/>
      <c r="H313" s="341"/>
      <c r="I313" s="341"/>
      <c r="J313" s="341"/>
      <c r="K313" s="341"/>
    </row>
    <row r="314" spans="1:11" ht="20.25">
      <c r="A314" s="341"/>
      <c r="B314" s="341"/>
      <c r="C314" s="341"/>
      <c r="D314" s="341"/>
      <c r="E314" s="341"/>
      <c r="F314" s="341"/>
      <c r="G314" s="341"/>
      <c r="H314" s="341"/>
      <c r="I314" s="341"/>
      <c r="J314" s="341"/>
      <c r="K314" s="341"/>
    </row>
    <row r="315" spans="1:11" ht="20.25">
      <c r="A315" s="341"/>
      <c r="B315" s="341"/>
      <c r="C315" s="341"/>
      <c r="D315" s="341"/>
      <c r="E315" s="341"/>
      <c r="F315" s="341"/>
      <c r="G315" s="341"/>
      <c r="H315" s="341"/>
      <c r="I315" s="341"/>
      <c r="J315" s="341"/>
      <c r="K315" s="341"/>
    </row>
    <row r="316" spans="1:11" ht="20.25">
      <c r="A316" s="341"/>
      <c r="B316" s="341"/>
      <c r="C316" s="341"/>
      <c r="D316" s="341"/>
      <c r="E316" s="341"/>
      <c r="F316" s="341"/>
      <c r="G316" s="341"/>
      <c r="H316" s="341"/>
      <c r="I316" s="341"/>
      <c r="J316" s="341"/>
      <c r="K316" s="341"/>
    </row>
    <row r="317" spans="1:11" ht="20.25">
      <c r="A317" s="341"/>
      <c r="B317" s="341"/>
      <c r="C317" s="341"/>
      <c r="D317" s="341"/>
      <c r="E317" s="341"/>
      <c r="F317" s="341"/>
      <c r="G317" s="341"/>
      <c r="H317" s="341"/>
      <c r="I317" s="341"/>
      <c r="J317" s="341"/>
      <c r="K317" s="341"/>
    </row>
    <row r="318" spans="1:11" ht="20.25">
      <c r="A318" s="341"/>
      <c r="B318" s="341"/>
      <c r="C318" s="341"/>
      <c r="D318" s="341"/>
      <c r="E318" s="341"/>
      <c r="F318" s="341"/>
      <c r="G318" s="341"/>
      <c r="H318" s="341"/>
      <c r="I318" s="341"/>
      <c r="J318" s="341"/>
      <c r="K318" s="341"/>
    </row>
    <row r="319" spans="1:11" ht="20.25">
      <c r="A319" s="341"/>
      <c r="B319" s="341"/>
      <c r="C319" s="341"/>
      <c r="D319" s="341"/>
      <c r="E319" s="341"/>
      <c r="F319" s="341"/>
      <c r="G319" s="341"/>
      <c r="H319" s="341"/>
      <c r="I319" s="341"/>
      <c r="J319" s="341"/>
      <c r="K319" s="341"/>
    </row>
    <row r="320" spans="1:11" ht="20.25">
      <c r="A320" s="341"/>
      <c r="B320" s="341"/>
      <c r="C320" s="341"/>
      <c r="D320" s="341"/>
      <c r="E320" s="341"/>
      <c r="F320" s="341"/>
      <c r="G320" s="341"/>
      <c r="H320" s="341"/>
      <c r="I320" s="341"/>
      <c r="J320" s="341"/>
      <c r="K320" s="341"/>
    </row>
    <row r="321" spans="1:11" ht="20.25">
      <c r="A321" s="341"/>
      <c r="B321" s="341"/>
      <c r="C321" s="341"/>
      <c r="D321" s="341"/>
      <c r="E321" s="341"/>
      <c r="F321" s="341"/>
      <c r="G321" s="341"/>
      <c r="H321" s="341"/>
      <c r="I321" s="341"/>
      <c r="J321" s="341"/>
      <c r="K321" s="341"/>
    </row>
    <row r="322" spans="1:11" ht="20.25">
      <c r="A322" s="341"/>
      <c r="B322" s="341"/>
      <c r="C322" s="341"/>
      <c r="D322" s="341"/>
      <c r="E322" s="341"/>
      <c r="F322" s="341"/>
      <c r="G322" s="341"/>
      <c r="H322" s="341"/>
      <c r="I322" s="341"/>
      <c r="J322" s="341"/>
      <c r="K322" s="341"/>
    </row>
    <row r="323" spans="1:11" ht="20.25">
      <c r="A323" s="341"/>
      <c r="B323" s="341"/>
      <c r="C323" s="341"/>
      <c r="D323" s="341"/>
      <c r="E323" s="341"/>
      <c r="F323" s="341"/>
      <c r="G323" s="341"/>
      <c r="H323" s="341"/>
      <c r="I323" s="341"/>
      <c r="J323" s="341"/>
      <c r="K323" s="341"/>
    </row>
    <row r="324" spans="1:11" ht="20.25">
      <c r="A324" s="341"/>
      <c r="B324" s="341"/>
      <c r="C324" s="341"/>
      <c r="D324" s="341"/>
      <c r="E324" s="341"/>
      <c r="F324" s="341"/>
      <c r="G324" s="341"/>
      <c r="H324" s="341"/>
      <c r="I324" s="341"/>
      <c r="J324" s="341"/>
      <c r="K324" s="341"/>
    </row>
    <row r="325" spans="1:11" ht="20.25">
      <c r="A325" s="341"/>
      <c r="B325" s="341"/>
      <c r="C325" s="341"/>
      <c r="D325" s="341"/>
      <c r="E325" s="341"/>
      <c r="F325" s="341"/>
      <c r="G325" s="341"/>
      <c r="H325" s="341"/>
      <c r="I325" s="341"/>
      <c r="J325" s="341"/>
      <c r="K325" s="341"/>
    </row>
    <row r="326" spans="1:11" ht="20.25">
      <c r="A326" s="341"/>
      <c r="B326" s="341"/>
      <c r="C326" s="341"/>
      <c r="D326" s="341"/>
      <c r="E326" s="341"/>
      <c r="F326" s="341"/>
      <c r="G326" s="341"/>
      <c r="H326" s="341"/>
      <c r="I326" s="341"/>
      <c r="J326" s="341"/>
      <c r="K326" s="341"/>
    </row>
    <row r="327" spans="1:11" ht="20.25">
      <c r="A327" s="341"/>
      <c r="B327" s="341"/>
      <c r="C327" s="341"/>
      <c r="D327" s="341"/>
      <c r="E327" s="341"/>
      <c r="F327" s="341"/>
      <c r="G327" s="341"/>
      <c r="H327" s="341"/>
      <c r="I327" s="341"/>
      <c r="J327" s="341"/>
      <c r="K327" s="341"/>
    </row>
    <row r="328" spans="1:11" ht="20.25">
      <c r="A328" s="341"/>
      <c r="B328" s="341"/>
      <c r="C328" s="341"/>
      <c r="D328" s="341"/>
      <c r="E328" s="341"/>
      <c r="F328" s="341"/>
      <c r="G328" s="341"/>
      <c r="H328" s="341"/>
      <c r="I328" s="341"/>
      <c r="J328" s="341"/>
      <c r="K328" s="341"/>
    </row>
    <row r="329" spans="1:11" ht="20.25">
      <c r="A329" s="341"/>
      <c r="B329" s="341"/>
      <c r="C329" s="341"/>
      <c r="D329" s="341"/>
      <c r="E329" s="341"/>
      <c r="F329" s="341"/>
      <c r="G329" s="341"/>
      <c r="H329" s="341"/>
      <c r="I329" s="341"/>
      <c r="J329" s="341"/>
      <c r="K329" s="341"/>
    </row>
    <row r="330" spans="1:11" ht="20.25">
      <c r="A330" s="341"/>
      <c r="B330" s="341"/>
      <c r="C330" s="341"/>
      <c r="D330" s="341"/>
      <c r="E330" s="341"/>
      <c r="F330" s="341"/>
      <c r="G330" s="341"/>
      <c r="H330" s="341"/>
      <c r="I330" s="341"/>
      <c r="J330" s="341"/>
      <c r="K330" s="341"/>
    </row>
    <row r="331" spans="1:11" ht="20.25">
      <c r="A331" s="341"/>
      <c r="B331" s="341"/>
      <c r="C331" s="341"/>
      <c r="D331" s="341"/>
      <c r="E331" s="341"/>
      <c r="F331" s="341"/>
      <c r="G331" s="341"/>
      <c r="H331" s="341"/>
      <c r="I331" s="341"/>
      <c r="J331" s="341"/>
      <c r="K331" s="341"/>
    </row>
    <row r="332" spans="1:11" ht="20.25">
      <c r="A332" s="341"/>
      <c r="B332" s="341"/>
      <c r="C332" s="341"/>
      <c r="D332" s="341"/>
      <c r="E332" s="341"/>
      <c r="F332" s="341"/>
      <c r="G332" s="341"/>
      <c r="H332" s="341"/>
      <c r="I332" s="341"/>
      <c r="J332" s="341"/>
      <c r="K332" s="341"/>
    </row>
    <row r="333" spans="1:11" ht="20.25">
      <c r="A333" s="341"/>
      <c r="B333" s="341"/>
      <c r="C333" s="341"/>
      <c r="D333" s="341"/>
      <c r="E333" s="341"/>
      <c r="F333" s="341"/>
      <c r="G333" s="341"/>
      <c r="H333" s="341"/>
      <c r="I333" s="341"/>
      <c r="J333" s="341"/>
      <c r="K333" s="341"/>
    </row>
    <row r="334" spans="1:11" ht="20.25">
      <c r="A334" s="341"/>
      <c r="B334" s="341"/>
      <c r="C334" s="341"/>
      <c r="D334" s="341"/>
      <c r="E334" s="341"/>
      <c r="F334" s="341"/>
      <c r="G334" s="341"/>
      <c r="H334" s="341"/>
      <c r="I334" s="341"/>
      <c r="J334" s="341"/>
      <c r="K334" s="341"/>
    </row>
    <row r="335" spans="1:11" ht="20.25">
      <c r="A335" s="341"/>
      <c r="B335" s="341"/>
      <c r="C335" s="341"/>
      <c r="D335" s="341"/>
      <c r="E335" s="341"/>
      <c r="F335" s="341"/>
      <c r="G335" s="341"/>
      <c r="H335" s="341"/>
      <c r="I335" s="341"/>
      <c r="J335" s="341"/>
      <c r="K335" s="341"/>
    </row>
    <row r="336" spans="1:11" ht="20.25">
      <c r="A336" s="341"/>
      <c r="B336" s="341"/>
      <c r="C336" s="341"/>
      <c r="D336" s="341"/>
      <c r="E336" s="341"/>
      <c r="F336" s="341"/>
      <c r="G336" s="341"/>
      <c r="H336" s="341"/>
      <c r="I336" s="341"/>
      <c r="J336" s="341"/>
      <c r="K336" s="341"/>
    </row>
    <row r="337" spans="1:11" ht="20.25">
      <c r="A337" s="341"/>
      <c r="B337" s="341"/>
      <c r="C337" s="341"/>
      <c r="D337" s="341"/>
      <c r="E337" s="341"/>
      <c r="F337" s="341"/>
      <c r="G337" s="341"/>
      <c r="H337" s="341"/>
      <c r="I337" s="341"/>
      <c r="J337" s="341"/>
      <c r="K337" s="341"/>
    </row>
    <row r="338" spans="1:11" ht="20.25">
      <c r="A338" s="341"/>
      <c r="B338" s="341"/>
      <c r="C338" s="341"/>
      <c r="D338" s="341"/>
      <c r="E338" s="341"/>
      <c r="F338" s="341"/>
      <c r="G338" s="341"/>
      <c r="H338" s="341"/>
      <c r="I338" s="341"/>
      <c r="J338" s="341"/>
      <c r="K338" s="341"/>
    </row>
    <row r="339" spans="1:11" ht="20.25">
      <c r="A339" s="341"/>
      <c r="B339" s="341"/>
      <c r="C339" s="341"/>
      <c r="D339" s="341"/>
      <c r="E339" s="341"/>
      <c r="F339" s="341"/>
      <c r="G339" s="341"/>
      <c r="H339" s="341"/>
      <c r="I339" s="341"/>
      <c r="J339" s="341"/>
      <c r="K339" s="341"/>
    </row>
    <row r="340" spans="1:11" ht="20.25">
      <c r="A340" s="341"/>
      <c r="B340" s="341"/>
      <c r="C340" s="341"/>
      <c r="D340" s="341"/>
      <c r="E340" s="341"/>
      <c r="F340" s="341"/>
      <c r="G340" s="341"/>
      <c r="H340" s="341"/>
      <c r="I340" s="341"/>
      <c r="J340" s="341"/>
      <c r="K340" s="341"/>
    </row>
    <row r="341" spans="1:11" ht="20.25">
      <c r="A341" s="341"/>
      <c r="B341" s="341"/>
      <c r="C341" s="341"/>
      <c r="D341" s="341"/>
      <c r="E341" s="341"/>
      <c r="F341" s="341"/>
      <c r="G341" s="341"/>
      <c r="H341" s="341"/>
      <c r="I341" s="341"/>
      <c r="J341" s="341"/>
      <c r="K341" s="341"/>
    </row>
    <row r="342" spans="1:11" ht="20.25">
      <c r="A342" s="341"/>
      <c r="B342" s="341"/>
      <c r="C342" s="341"/>
      <c r="D342" s="341"/>
      <c r="E342" s="341"/>
      <c r="F342" s="341"/>
      <c r="G342" s="341"/>
      <c r="H342" s="341"/>
      <c r="I342" s="341"/>
      <c r="J342" s="341"/>
      <c r="K342" s="341"/>
    </row>
    <row r="343" spans="1:11" ht="20.25">
      <c r="A343" s="341"/>
      <c r="B343" s="341"/>
      <c r="C343" s="341"/>
      <c r="D343" s="341"/>
      <c r="E343" s="341"/>
      <c r="F343" s="341"/>
      <c r="G343" s="341"/>
      <c r="H343" s="341"/>
      <c r="I343" s="341"/>
      <c r="J343" s="341"/>
      <c r="K343" s="341"/>
    </row>
    <row r="344" spans="1:11" ht="20.25">
      <c r="A344" s="341"/>
      <c r="B344" s="341"/>
      <c r="C344" s="341"/>
      <c r="D344" s="341"/>
      <c r="E344" s="341"/>
      <c r="F344" s="341"/>
      <c r="G344" s="341"/>
      <c r="H344" s="341"/>
      <c r="I344" s="341"/>
      <c r="J344" s="341"/>
      <c r="K344" s="341"/>
    </row>
    <row r="345" spans="1:11" ht="20.25">
      <c r="A345" s="341"/>
      <c r="B345" s="341"/>
      <c r="C345" s="341"/>
      <c r="D345" s="341"/>
      <c r="E345" s="341"/>
      <c r="F345" s="341"/>
      <c r="G345" s="341"/>
      <c r="H345" s="341"/>
      <c r="I345" s="341"/>
      <c r="J345" s="341"/>
      <c r="K345" s="341"/>
    </row>
    <row r="346" spans="1:11" ht="20.25">
      <c r="A346" s="341"/>
      <c r="B346" s="341"/>
      <c r="C346" s="341"/>
      <c r="D346" s="341"/>
      <c r="E346" s="341"/>
      <c r="F346" s="341"/>
      <c r="G346" s="341"/>
      <c r="H346" s="341"/>
      <c r="I346" s="341"/>
      <c r="J346" s="341"/>
      <c r="K346" s="341"/>
    </row>
    <row r="347" spans="1:11" ht="20.25">
      <c r="A347" s="341"/>
      <c r="B347" s="341"/>
      <c r="C347" s="341"/>
      <c r="D347" s="341"/>
      <c r="E347" s="341"/>
      <c r="F347" s="341"/>
      <c r="G347" s="341"/>
      <c r="H347" s="341"/>
      <c r="I347" s="341"/>
      <c r="J347" s="341"/>
      <c r="K347" s="341"/>
    </row>
    <row r="348" spans="1:11" ht="20.25">
      <c r="A348" s="341"/>
      <c r="B348" s="341"/>
      <c r="C348" s="341"/>
      <c r="D348" s="341"/>
      <c r="E348" s="341"/>
      <c r="F348" s="341"/>
      <c r="G348" s="341"/>
      <c r="H348" s="341"/>
      <c r="I348" s="341"/>
      <c r="J348" s="341"/>
      <c r="K348" s="341"/>
    </row>
    <row r="349" spans="1:11" ht="20.25">
      <c r="A349" s="341"/>
      <c r="B349" s="341"/>
      <c r="C349" s="341"/>
      <c r="D349" s="341"/>
      <c r="E349" s="341"/>
      <c r="F349" s="341"/>
      <c r="G349" s="341"/>
      <c r="H349" s="341"/>
      <c r="I349" s="341"/>
      <c r="J349" s="341"/>
      <c r="K349" s="341"/>
    </row>
    <row r="350" spans="1:11" ht="20.25">
      <c r="A350" s="341"/>
      <c r="B350" s="341"/>
      <c r="C350" s="341"/>
      <c r="D350" s="341"/>
      <c r="E350" s="341"/>
      <c r="F350" s="341"/>
      <c r="G350" s="341"/>
      <c r="H350" s="341"/>
      <c r="I350" s="341"/>
      <c r="J350" s="341"/>
      <c r="K350" s="341"/>
    </row>
    <row r="351" spans="1:11" ht="20.25">
      <c r="A351" s="341"/>
      <c r="B351" s="341"/>
      <c r="C351" s="341"/>
      <c r="D351" s="341"/>
      <c r="E351" s="341"/>
      <c r="F351" s="341"/>
      <c r="G351" s="341"/>
      <c r="H351" s="341"/>
      <c r="I351" s="341"/>
      <c r="J351" s="341"/>
      <c r="K351" s="341"/>
    </row>
    <row r="352" spans="1:11" ht="20.25">
      <c r="A352" s="341"/>
      <c r="B352" s="341"/>
      <c r="C352" s="341"/>
      <c r="D352" s="341"/>
      <c r="E352" s="341"/>
      <c r="F352" s="341"/>
      <c r="G352" s="341"/>
      <c r="H352" s="341"/>
      <c r="I352" s="341"/>
      <c r="J352" s="341"/>
      <c r="K352" s="341"/>
    </row>
    <row r="353" spans="1:11" ht="20.25">
      <c r="A353" s="341"/>
      <c r="B353" s="341"/>
      <c r="C353" s="341"/>
      <c r="D353" s="341"/>
      <c r="E353" s="341"/>
      <c r="F353" s="341"/>
      <c r="G353" s="341"/>
      <c r="H353" s="341"/>
      <c r="I353" s="341"/>
      <c r="J353" s="341"/>
      <c r="K353" s="341"/>
    </row>
    <row r="354" spans="1:11" ht="20.25">
      <c r="A354" s="341"/>
      <c r="B354" s="341"/>
      <c r="C354" s="341"/>
      <c r="D354" s="341"/>
      <c r="E354" s="341"/>
      <c r="F354" s="341"/>
      <c r="G354" s="341"/>
      <c r="H354" s="341"/>
      <c r="I354" s="341"/>
      <c r="J354" s="341"/>
      <c r="K354" s="341"/>
    </row>
    <row r="355" spans="1:11" ht="20.25">
      <c r="A355" s="341"/>
      <c r="B355" s="341"/>
      <c r="C355" s="341"/>
      <c r="D355" s="341"/>
      <c r="E355" s="341"/>
      <c r="F355" s="341"/>
      <c r="G355" s="341"/>
      <c r="H355" s="341"/>
      <c r="I355" s="341"/>
      <c r="J355" s="341"/>
      <c r="K355" s="341"/>
    </row>
    <row r="356" spans="1:11" ht="20.25">
      <c r="A356" s="341"/>
      <c r="B356" s="341"/>
      <c r="C356" s="341"/>
      <c r="D356" s="341"/>
      <c r="E356" s="341"/>
      <c r="F356" s="341"/>
      <c r="G356" s="341"/>
      <c r="H356" s="341"/>
      <c r="I356" s="341"/>
      <c r="J356" s="341"/>
      <c r="K356" s="341"/>
    </row>
    <row r="357" spans="1:11" ht="20.25">
      <c r="A357" s="341"/>
      <c r="B357" s="341"/>
      <c r="C357" s="341"/>
      <c r="D357" s="341"/>
      <c r="E357" s="341"/>
      <c r="F357" s="341"/>
      <c r="G357" s="341"/>
      <c r="H357" s="341"/>
      <c r="I357" s="341"/>
      <c r="J357" s="341"/>
      <c r="K357" s="341"/>
    </row>
    <row r="358" spans="1:11" ht="20.25">
      <c r="A358" s="341"/>
      <c r="B358" s="341"/>
      <c r="C358" s="341"/>
      <c r="D358" s="341"/>
      <c r="E358" s="341"/>
      <c r="F358" s="341"/>
      <c r="G358" s="341"/>
      <c r="H358" s="341"/>
      <c r="I358" s="341"/>
      <c r="J358" s="341"/>
      <c r="K358" s="341"/>
    </row>
    <row r="359" spans="1:11" ht="20.25">
      <c r="A359" s="341"/>
      <c r="B359" s="341"/>
      <c r="C359" s="341"/>
      <c r="D359" s="341"/>
      <c r="E359" s="341"/>
      <c r="F359" s="341"/>
      <c r="G359" s="341"/>
      <c r="H359" s="341"/>
      <c r="I359" s="341"/>
      <c r="J359" s="341"/>
      <c r="K359" s="341"/>
    </row>
    <row r="360" spans="1:11" ht="20.25">
      <c r="A360" s="341"/>
      <c r="B360" s="341"/>
      <c r="C360" s="341"/>
      <c r="D360" s="341"/>
      <c r="E360" s="341"/>
      <c r="F360" s="341"/>
      <c r="G360" s="341"/>
      <c r="H360" s="341"/>
      <c r="I360" s="341"/>
      <c r="J360" s="341"/>
      <c r="K360" s="341"/>
    </row>
    <row r="361" spans="1:11" ht="20.25">
      <c r="A361" s="341"/>
      <c r="B361" s="341"/>
      <c r="C361" s="341"/>
      <c r="D361" s="341"/>
      <c r="E361" s="341"/>
      <c r="F361" s="341"/>
      <c r="G361" s="341"/>
      <c r="H361" s="341"/>
      <c r="I361" s="341"/>
      <c r="J361" s="341"/>
      <c r="K361" s="341"/>
    </row>
    <row r="362" spans="1:11" ht="20.25">
      <c r="A362" s="341"/>
      <c r="B362" s="341"/>
      <c r="C362" s="341"/>
      <c r="D362" s="341"/>
      <c r="E362" s="341"/>
      <c r="F362" s="341"/>
      <c r="G362" s="341"/>
      <c r="H362" s="341"/>
      <c r="I362" s="341"/>
      <c r="J362" s="341"/>
      <c r="K362" s="341"/>
    </row>
    <row r="363" spans="1:11" ht="20.25">
      <c r="A363" s="341"/>
      <c r="B363" s="341"/>
      <c r="C363" s="341"/>
      <c r="D363" s="341"/>
      <c r="E363" s="341"/>
      <c r="F363" s="341"/>
      <c r="G363" s="341"/>
      <c r="H363" s="341"/>
      <c r="I363" s="341"/>
      <c r="J363" s="341"/>
      <c r="K363" s="341"/>
    </row>
    <row r="364" spans="1:11" ht="20.25">
      <c r="A364" s="341"/>
      <c r="B364" s="341"/>
      <c r="C364" s="341"/>
      <c r="D364" s="341"/>
      <c r="E364" s="341"/>
      <c r="F364" s="341"/>
      <c r="G364" s="341"/>
      <c r="H364" s="341"/>
      <c r="I364" s="341"/>
      <c r="J364" s="341"/>
      <c r="K364" s="341"/>
    </row>
    <row r="365" spans="1:11" ht="20.25">
      <c r="A365" s="341"/>
      <c r="B365" s="341"/>
      <c r="C365" s="341"/>
      <c r="D365" s="341"/>
      <c r="E365" s="341"/>
      <c r="F365" s="341"/>
      <c r="G365" s="341"/>
      <c r="H365" s="341"/>
      <c r="I365" s="341"/>
      <c r="J365" s="341"/>
      <c r="K365" s="341"/>
    </row>
    <row r="366" spans="1:11" ht="20.25">
      <c r="A366" s="341"/>
      <c r="B366" s="341"/>
      <c r="C366" s="341"/>
      <c r="D366" s="341"/>
      <c r="E366" s="341"/>
      <c r="F366" s="341"/>
      <c r="G366" s="341"/>
      <c r="H366" s="341"/>
      <c r="I366" s="341"/>
      <c r="J366" s="341"/>
      <c r="K366" s="341"/>
    </row>
    <row r="367" spans="1:11" ht="20.25">
      <c r="A367" s="341"/>
      <c r="B367" s="341"/>
      <c r="C367" s="341"/>
      <c r="D367" s="341"/>
      <c r="E367" s="341"/>
      <c r="F367" s="341"/>
      <c r="G367" s="341"/>
      <c r="H367" s="341"/>
      <c r="I367" s="341"/>
      <c r="J367" s="341"/>
      <c r="K367" s="341"/>
    </row>
    <row r="368" spans="1:11" ht="20.25">
      <c r="A368" s="341"/>
      <c r="B368" s="341"/>
      <c r="C368" s="341"/>
      <c r="D368" s="341"/>
      <c r="E368" s="341"/>
      <c r="F368" s="341"/>
      <c r="G368" s="341"/>
      <c r="H368" s="341"/>
      <c r="I368" s="341"/>
      <c r="J368" s="341"/>
      <c r="K368" s="341"/>
    </row>
    <row r="369" spans="1:11" ht="20.25">
      <c r="A369" s="341"/>
      <c r="B369" s="341"/>
      <c r="C369" s="341"/>
      <c r="D369" s="341"/>
      <c r="E369" s="341"/>
      <c r="F369" s="341"/>
      <c r="G369" s="341"/>
      <c r="H369" s="341"/>
      <c r="I369" s="341"/>
      <c r="J369" s="341"/>
      <c r="K369" s="341"/>
    </row>
    <row r="370" spans="1:11" ht="20.25">
      <c r="A370" s="341"/>
      <c r="B370" s="341"/>
      <c r="C370" s="341"/>
      <c r="D370" s="341"/>
      <c r="E370" s="341"/>
      <c r="F370" s="341"/>
      <c r="G370" s="341"/>
      <c r="H370" s="341"/>
      <c r="I370" s="341"/>
      <c r="J370" s="341"/>
      <c r="K370" s="341"/>
    </row>
    <row r="371" spans="1:11" ht="20.25">
      <c r="A371" s="341"/>
      <c r="B371" s="341"/>
      <c r="C371" s="341"/>
      <c r="D371" s="341"/>
      <c r="E371" s="341"/>
      <c r="F371" s="341"/>
      <c r="G371" s="341"/>
      <c r="H371" s="341"/>
      <c r="I371" s="341"/>
      <c r="J371" s="341"/>
      <c r="K371" s="341"/>
    </row>
    <row r="372" spans="1:11" ht="20.25">
      <c r="A372" s="341"/>
      <c r="B372" s="341"/>
      <c r="C372" s="341"/>
      <c r="D372" s="341"/>
      <c r="E372" s="341"/>
      <c r="F372" s="341"/>
      <c r="G372" s="341"/>
      <c r="H372" s="341"/>
      <c r="I372" s="341"/>
      <c r="J372" s="341"/>
      <c r="K372" s="341"/>
    </row>
    <row r="373" spans="1:11" ht="20.25">
      <c r="A373" s="341"/>
      <c r="B373" s="341"/>
      <c r="C373" s="341"/>
      <c r="D373" s="341"/>
      <c r="E373" s="341"/>
      <c r="F373" s="341"/>
      <c r="G373" s="341"/>
      <c r="H373" s="341"/>
      <c r="I373" s="341"/>
      <c r="J373" s="341"/>
      <c r="K373" s="341"/>
    </row>
    <row r="374" spans="1:11" ht="20.25">
      <c r="A374" s="341"/>
      <c r="B374" s="341"/>
      <c r="C374" s="341"/>
      <c r="D374" s="341"/>
      <c r="E374" s="341"/>
      <c r="F374" s="341"/>
      <c r="G374" s="341"/>
      <c r="H374" s="341"/>
      <c r="I374" s="341"/>
      <c r="J374" s="341"/>
      <c r="K374" s="341"/>
    </row>
    <row r="375" spans="1:11" ht="20.25">
      <c r="A375" s="341"/>
      <c r="B375" s="341"/>
      <c r="C375" s="341"/>
      <c r="D375" s="341"/>
      <c r="E375" s="341"/>
      <c r="F375" s="341"/>
      <c r="G375" s="341"/>
      <c r="H375" s="341"/>
      <c r="I375" s="341"/>
      <c r="J375" s="341"/>
      <c r="K375" s="341"/>
    </row>
    <row r="376" spans="1:11" ht="20.25">
      <c r="A376" s="341"/>
      <c r="B376" s="341"/>
      <c r="C376" s="341"/>
      <c r="D376" s="341"/>
      <c r="E376" s="341"/>
      <c r="F376" s="341"/>
      <c r="G376" s="341"/>
      <c r="H376" s="341"/>
      <c r="I376" s="341"/>
      <c r="J376" s="341"/>
      <c r="K376" s="341"/>
    </row>
    <row r="377" spans="1:11" ht="20.25">
      <c r="A377" s="341"/>
      <c r="B377" s="341"/>
      <c r="C377" s="341"/>
      <c r="D377" s="341"/>
      <c r="E377" s="341"/>
      <c r="F377" s="341"/>
      <c r="G377" s="341"/>
      <c r="H377" s="341"/>
      <c r="I377" s="341"/>
      <c r="J377" s="341"/>
      <c r="K377" s="341"/>
    </row>
    <row r="378" spans="1:11" ht="20.25">
      <c r="A378" s="341"/>
      <c r="B378" s="341"/>
      <c r="C378" s="341"/>
      <c r="D378" s="341"/>
      <c r="E378" s="341"/>
      <c r="F378" s="341"/>
      <c r="G378" s="341"/>
      <c r="H378" s="341"/>
      <c r="I378" s="341"/>
      <c r="J378" s="341"/>
      <c r="K378" s="341"/>
    </row>
    <row r="379" spans="1:11" ht="20.25">
      <c r="A379" s="341"/>
      <c r="B379" s="341"/>
      <c r="C379" s="341"/>
      <c r="D379" s="341"/>
      <c r="E379" s="341"/>
      <c r="F379" s="341"/>
      <c r="G379" s="341"/>
      <c r="H379" s="341"/>
      <c r="I379" s="341"/>
      <c r="J379" s="341"/>
      <c r="K379" s="341"/>
    </row>
    <row r="380" spans="1:11" ht="20.25">
      <c r="A380" s="341"/>
      <c r="B380" s="341"/>
      <c r="C380" s="341"/>
      <c r="D380" s="341"/>
      <c r="E380" s="341"/>
      <c r="F380" s="341"/>
      <c r="G380" s="341"/>
      <c r="H380" s="341"/>
      <c r="I380" s="341"/>
      <c r="J380" s="341"/>
      <c r="K380" s="341"/>
    </row>
    <row r="381" spans="1:11" ht="20.25">
      <c r="A381" s="341"/>
      <c r="B381" s="341"/>
      <c r="C381" s="341"/>
      <c r="D381" s="341"/>
      <c r="E381" s="341"/>
      <c r="F381" s="341"/>
      <c r="G381" s="341"/>
      <c r="H381" s="341"/>
      <c r="I381" s="341"/>
      <c r="J381" s="341"/>
      <c r="K381" s="341"/>
    </row>
    <row r="382" spans="1:11" ht="20.25">
      <c r="A382" s="341"/>
      <c r="B382" s="341"/>
      <c r="C382" s="341"/>
      <c r="D382" s="341"/>
      <c r="E382" s="341"/>
      <c r="F382" s="341"/>
      <c r="G382" s="341"/>
      <c r="H382" s="341"/>
      <c r="I382" s="341"/>
      <c r="J382" s="341"/>
      <c r="K382" s="341"/>
    </row>
    <row r="383" spans="1:11" ht="20.25">
      <c r="A383" s="341"/>
      <c r="B383" s="341"/>
      <c r="C383" s="341"/>
      <c r="D383" s="341"/>
      <c r="E383" s="341"/>
      <c r="F383" s="341"/>
      <c r="G383" s="341"/>
      <c r="H383" s="341"/>
      <c r="I383" s="341"/>
      <c r="J383" s="341"/>
      <c r="K383" s="341"/>
    </row>
    <row r="384" spans="1:11" ht="20.25">
      <c r="A384" s="341"/>
      <c r="B384" s="341"/>
      <c r="C384" s="341"/>
      <c r="D384" s="341"/>
      <c r="E384" s="341"/>
      <c r="F384" s="341"/>
      <c r="G384" s="341"/>
      <c r="H384" s="341"/>
      <c r="I384" s="341"/>
      <c r="J384" s="341"/>
      <c r="K384" s="341"/>
    </row>
    <row r="385" spans="1:11" ht="20.25">
      <c r="A385" s="341"/>
      <c r="B385" s="341"/>
      <c r="C385" s="341"/>
      <c r="D385" s="341"/>
      <c r="E385" s="341"/>
      <c r="F385" s="341"/>
      <c r="G385" s="341"/>
      <c r="H385" s="341"/>
      <c r="I385" s="341"/>
      <c r="J385" s="341"/>
      <c r="K385" s="341"/>
    </row>
    <row r="386" spans="1:11" ht="20.25">
      <c r="A386" s="341"/>
      <c r="B386" s="341"/>
      <c r="C386" s="341"/>
      <c r="D386" s="341"/>
      <c r="E386" s="341"/>
      <c r="F386" s="341"/>
      <c r="G386" s="341"/>
      <c r="H386" s="341"/>
      <c r="I386" s="341"/>
      <c r="J386" s="341"/>
      <c r="K386" s="341"/>
    </row>
    <row r="387" spans="1:11" ht="20.25">
      <c r="A387" s="341"/>
      <c r="B387" s="341"/>
      <c r="C387" s="341"/>
      <c r="D387" s="341"/>
      <c r="E387" s="341"/>
      <c r="F387" s="341"/>
      <c r="G387" s="341"/>
      <c r="H387" s="341"/>
      <c r="I387" s="341"/>
      <c r="J387" s="341"/>
      <c r="K387" s="341"/>
    </row>
    <row r="388" spans="1:11" ht="20.25">
      <c r="A388" s="341"/>
      <c r="B388" s="341"/>
      <c r="C388" s="341"/>
      <c r="D388" s="341"/>
      <c r="E388" s="341"/>
      <c r="F388" s="341"/>
      <c r="G388" s="341"/>
      <c r="H388" s="341"/>
      <c r="I388" s="341"/>
      <c r="J388" s="341"/>
      <c r="K388" s="341"/>
    </row>
    <row r="389" spans="1:11" ht="20.25">
      <c r="A389" s="341"/>
      <c r="B389" s="341"/>
      <c r="C389" s="341"/>
      <c r="D389" s="341"/>
      <c r="E389" s="341"/>
      <c r="F389" s="341"/>
      <c r="G389" s="341"/>
      <c r="H389" s="341"/>
      <c r="I389" s="341"/>
      <c r="J389" s="341"/>
      <c r="K389" s="341"/>
    </row>
    <row r="390" spans="1:11" ht="20.25">
      <c r="A390" s="341"/>
      <c r="B390" s="341"/>
      <c r="C390" s="341"/>
      <c r="D390" s="341"/>
      <c r="E390" s="341"/>
      <c r="F390" s="341"/>
      <c r="G390" s="341"/>
      <c r="H390" s="341"/>
      <c r="I390" s="341"/>
      <c r="J390" s="341"/>
      <c r="K390" s="341"/>
    </row>
    <row r="391" spans="1:11" ht="20.25">
      <c r="A391" s="341"/>
      <c r="B391" s="341"/>
      <c r="C391" s="341"/>
      <c r="D391" s="341"/>
      <c r="E391" s="341"/>
      <c r="F391" s="341"/>
      <c r="G391" s="341"/>
      <c r="H391" s="341"/>
      <c r="I391" s="341"/>
      <c r="J391" s="341"/>
      <c r="K391" s="341"/>
    </row>
    <row r="392" spans="1:11" ht="20.25">
      <c r="A392" s="341"/>
      <c r="B392" s="341"/>
      <c r="C392" s="341"/>
      <c r="D392" s="341"/>
      <c r="E392" s="341"/>
      <c r="F392" s="341"/>
      <c r="G392" s="341"/>
      <c r="H392" s="341"/>
      <c r="I392" s="341"/>
      <c r="J392" s="341"/>
      <c r="K392" s="341"/>
    </row>
    <row r="393" spans="1:11" ht="20.25">
      <c r="A393" s="341"/>
      <c r="B393" s="341"/>
      <c r="C393" s="341"/>
      <c r="D393" s="341"/>
      <c r="E393" s="341"/>
      <c r="F393" s="341"/>
      <c r="G393" s="341"/>
      <c r="H393" s="341"/>
      <c r="I393" s="341"/>
      <c r="J393" s="341"/>
      <c r="K393" s="341"/>
    </row>
    <row r="394" spans="1:11" ht="20.25">
      <c r="A394" s="341"/>
      <c r="B394" s="341"/>
      <c r="C394" s="341"/>
      <c r="D394" s="341"/>
      <c r="E394" s="341"/>
      <c r="F394" s="341"/>
      <c r="G394" s="341"/>
      <c r="H394" s="341"/>
      <c r="I394" s="341"/>
      <c r="J394" s="341"/>
      <c r="K394" s="341"/>
    </row>
    <row r="395" spans="1:11" ht="20.25">
      <c r="A395" s="341"/>
      <c r="B395" s="341"/>
      <c r="C395" s="341"/>
      <c r="D395" s="341"/>
      <c r="E395" s="341"/>
      <c r="F395" s="341"/>
      <c r="G395" s="341"/>
      <c r="H395" s="341"/>
      <c r="I395" s="341"/>
      <c r="J395" s="341"/>
      <c r="K395" s="341"/>
    </row>
    <row r="396" spans="1:11" ht="20.25">
      <c r="A396" s="341"/>
      <c r="B396" s="341"/>
      <c r="C396" s="341"/>
      <c r="D396" s="341"/>
      <c r="E396" s="341"/>
      <c r="F396" s="341"/>
      <c r="G396" s="341"/>
      <c r="H396" s="341"/>
      <c r="I396" s="341"/>
      <c r="J396" s="341"/>
      <c r="K396" s="341"/>
    </row>
    <row r="397" spans="1:11" ht="20.25">
      <c r="A397" s="341"/>
      <c r="B397" s="341"/>
      <c r="C397" s="341"/>
      <c r="D397" s="341"/>
      <c r="E397" s="341"/>
      <c r="F397" s="341"/>
      <c r="G397" s="341"/>
      <c r="H397" s="341"/>
      <c r="I397" s="341"/>
      <c r="J397" s="341"/>
      <c r="K397" s="341"/>
    </row>
    <row r="398" spans="1:11" ht="20.25">
      <c r="A398" s="341"/>
      <c r="B398" s="341"/>
      <c r="C398" s="341"/>
      <c r="D398" s="341"/>
      <c r="E398" s="341"/>
      <c r="F398" s="341"/>
      <c r="G398" s="341"/>
      <c r="H398" s="341"/>
      <c r="I398" s="341"/>
      <c r="J398" s="341"/>
      <c r="K398" s="341"/>
    </row>
    <row r="399" spans="1:11" ht="20.25">
      <c r="A399" s="341"/>
      <c r="B399" s="341"/>
      <c r="C399" s="341"/>
      <c r="D399" s="341"/>
      <c r="E399" s="341"/>
      <c r="F399" s="341"/>
      <c r="G399" s="341"/>
      <c r="H399" s="341"/>
      <c r="I399" s="341"/>
      <c r="J399" s="341"/>
      <c r="K399" s="341"/>
    </row>
    <row r="400" spans="1:11" ht="20.25">
      <c r="A400" s="341"/>
      <c r="B400" s="341"/>
      <c r="C400" s="341"/>
      <c r="D400" s="341"/>
      <c r="E400" s="341"/>
      <c r="F400" s="341"/>
      <c r="G400" s="341"/>
      <c r="H400" s="341"/>
      <c r="I400" s="341"/>
      <c r="J400" s="341"/>
      <c r="K400" s="341"/>
    </row>
    <row r="401" spans="1:11" ht="20.25">
      <c r="A401" s="341"/>
      <c r="B401" s="341"/>
      <c r="C401" s="341"/>
      <c r="D401" s="341"/>
      <c r="E401" s="341"/>
      <c r="F401" s="341"/>
      <c r="G401" s="341"/>
      <c r="H401" s="341"/>
      <c r="I401" s="341"/>
      <c r="J401" s="341"/>
      <c r="K401" s="341"/>
    </row>
    <row r="402" spans="1:11" ht="20.25">
      <c r="A402" s="341"/>
      <c r="B402" s="341"/>
      <c r="C402" s="341"/>
      <c r="D402" s="341"/>
      <c r="E402" s="341"/>
      <c r="F402" s="341"/>
      <c r="G402" s="341"/>
      <c r="H402" s="341"/>
      <c r="I402" s="341"/>
      <c r="J402" s="341"/>
      <c r="K402" s="341"/>
    </row>
    <row r="403" spans="1:11" ht="20.25">
      <c r="A403" s="341"/>
      <c r="B403" s="341"/>
      <c r="C403" s="341"/>
      <c r="D403" s="341"/>
      <c r="E403" s="341"/>
      <c r="F403" s="341"/>
      <c r="G403" s="341"/>
      <c r="H403" s="341"/>
      <c r="I403" s="341"/>
      <c r="J403" s="341"/>
      <c r="K403" s="341"/>
    </row>
    <row r="404" spans="1:11" ht="20.25">
      <c r="A404" s="341"/>
      <c r="B404" s="341"/>
      <c r="C404" s="341"/>
      <c r="D404" s="341"/>
      <c r="E404" s="341"/>
      <c r="F404" s="341"/>
      <c r="G404" s="341"/>
      <c r="H404" s="341"/>
      <c r="I404" s="341"/>
      <c r="J404" s="341"/>
      <c r="K404" s="341"/>
    </row>
    <row r="405" spans="1:11" ht="20.25">
      <c r="A405" s="341"/>
      <c r="B405" s="341"/>
      <c r="C405" s="341"/>
      <c r="D405" s="341"/>
      <c r="E405" s="341"/>
      <c r="F405" s="341"/>
      <c r="G405" s="341"/>
      <c r="H405" s="341"/>
      <c r="I405" s="341"/>
      <c r="J405" s="341"/>
      <c r="K405" s="341"/>
    </row>
    <row r="406" spans="1:11" ht="20.25">
      <c r="A406" s="341"/>
      <c r="B406" s="341"/>
      <c r="C406" s="341"/>
      <c r="D406" s="341"/>
      <c r="E406" s="341"/>
      <c r="F406" s="341"/>
      <c r="G406" s="341"/>
      <c r="H406" s="341"/>
      <c r="I406" s="341"/>
      <c r="J406" s="341"/>
      <c r="K406" s="341"/>
    </row>
    <row r="407" spans="1:11" ht="20.25">
      <c r="A407" s="341"/>
      <c r="B407" s="341"/>
      <c r="C407" s="341"/>
      <c r="D407" s="341"/>
      <c r="E407" s="341"/>
      <c r="F407" s="341"/>
      <c r="G407" s="341"/>
      <c r="H407" s="341"/>
      <c r="I407" s="341"/>
      <c r="J407" s="341"/>
      <c r="K407" s="341"/>
    </row>
    <row r="408" spans="1:11" ht="20.25">
      <c r="A408" s="341"/>
      <c r="B408" s="341"/>
      <c r="C408" s="341"/>
      <c r="D408" s="341"/>
      <c r="E408" s="341"/>
      <c r="F408" s="341"/>
      <c r="G408" s="341"/>
      <c r="H408" s="341"/>
      <c r="I408" s="341"/>
      <c r="J408" s="341"/>
      <c r="K408" s="341"/>
    </row>
    <row r="409" spans="1:11" ht="20.25">
      <c r="A409" s="341"/>
      <c r="B409" s="341"/>
      <c r="C409" s="341"/>
      <c r="D409" s="341"/>
      <c r="E409" s="341"/>
      <c r="F409" s="341"/>
      <c r="G409" s="341"/>
      <c r="H409" s="341"/>
      <c r="I409" s="341"/>
      <c r="J409" s="341"/>
      <c r="K409" s="341"/>
    </row>
    <row r="410" spans="1:11" ht="20.25">
      <c r="A410" s="341"/>
      <c r="B410" s="341"/>
      <c r="C410" s="341"/>
      <c r="D410" s="341"/>
      <c r="E410" s="341"/>
      <c r="F410" s="341"/>
      <c r="G410" s="341"/>
      <c r="H410" s="341"/>
      <c r="I410" s="341"/>
      <c r="J410" s="341"/>
      <c r="K410" s="341"/>
    </row>
    <row r="411" spans="1:11" ht="20.25">
      <c r="A411" s="341"/>
      <c r="B411" s="341"/>
      <c r="C411" s="341"/>
      <c r="D411" s="341"/>
      <c r="E411" s="341"/>
      <c r="F411" s="341"/>
      <c r="G411" s="341"/>
      <c r="H411" s="341"/>
      <c r="I411" s="341"/>
      <c r="J411" s="341"/>
      <c r="K411" s="341"/>
    </row>
    <row r="412" spans="1:11" ht="20.25">
      <c r="A412" s="341"/>
      <c r="B412" s="341"/>
      <c r="C412" s="341"/>
      <c r="D412" s="341"/>
      <c r="E412" s="341"/>
      <c r="F412" s="341"/>
      <c r="G412" s="341"/>
      <c r="H412" s="341"/>
      <c r="I412" s="341"/>
      <c r="J412" s="341"/>
      <c r="K412" s="341"/>
    </row>
    <row r="413" spans="1:11" ht="20.25">
      <c r="A413" s="341"/>
      <c r="B413" s="341"/>
      <c r="C413" s="341"/>
      <c r="D413" s="341"/>
      <c r="E413" s="341"/>
      <c r="F413" s="341"/>
      <c r="G413" s="341"/>
      <c r="H413" s="341"/>
      <c r="I413" s="341"/>
      <c r="J413" s="341"/>
      <c r="K413" s="341"/>
    </row>
    <row r="414" spans="1:11" ht="20.25">
      <c r="A414" s="341"/>
      <c r="B414" s="341"/>
      <c r="C414" s="341"/>
      <c r="D414" s="341"/>
      <c r="E414" s="341"/>
      <c r="F414" s="341"/>
      <c r="G414" s="341"/>
      <c r="H414" s="341"/>
      <c r="I414" s="341"/>
      <c r="J414" s="341"/>
      <c r="K414" s="341"/>
    </row>
    <row r="415" spans="1:11" ht="20.25">
      <c r="A415" s="341"/>
      <c r="B415" s="341"/>
      <c r="C415" s="341"/>
      <c r="D415" s="341"/>
      <c r="E415" s="341"/>
      <c r="F415" s="341"/>
      <c r="G415" s="341"/>
      <c r="H415" s="341"/>
      <c r="I415" s="341"/>
      <c r="J415" s="341"/>
      <c r="K415" s="341"/>
    </row>
    <row r="416" spans="1:11" ht="20.25">
      <c r="A416" s="341"/>
      <c r="B416" s="341"/>
      <c r="C416" s="341"/>
      <c r="D416" s="341"/>
      <c r="E416" s="341"/>
      <c r="F416" s="341"/>
      <c r="G416" s="341"/>
      <c r="H416" s="341"/>
      <c r="I416" s="341"/>
      <c r="J416" s="341"/>
      <c r="K416" s="341"/>
    </row>
    <row r="417" spans="1:11" ht="20.25">
      <c r="A417" s="341"/>
      <c r="B417" s="341"/>
      <c r="C417" s="341"/>
      <c r="D417" s="341"/>
      <c r="E417" s="341"/>
      <c r="F417" s="341"/>
      <c r="G417" s="341"/>
      <c r="H417" s="341"/>
      <c r="I417" s="341"/>
      <c r="J417" s="341"/>
      <c r="K417" s="341"/>
    </row>
    <row r="418" spans="1:11" ht="20.25">
      <c r="A418" s="341"/>
      <c r="B418" s="341"/>
      <c r="C418" s="341"/>
      <c r="D418" s="341"/>
      <c r="E418" s="341"/>
      <c r="F418" s="341"/>
      <c r="G418" s="341"/>
      <c r="H418" s="341"/>
      <c r="I418" s="341"/>
      <c r="J418" s="341"/>
      <c r="K418" s="341"/>
    </row>
    <row r="419" spans="1:11" ht="20.25">
      <c r="A419" s="341"/>
      <c r="B419" s="341"/>
      <c r="C419" s="341"/>
      <c r="D419" s="341"/>
      <c r="E419" s="341"/>
      <c r="F419" s="341"/>
      <c r="G419" s="341"/>
      <c r="H419" s="341"/>
      <c r="I419" s="341"/>
      <c r="J419" s="341"/>
      <c r="K419" s="341"/>
    </row>
    <row r="420" spans="1:11" ht="20.25">
      <c r="A420" s="341"/>
      <c r="B420" s="341"/>
      <c r="C420" s="341"/>
      <c r="D420" s="341"/>
      <c r="E420" s="341"/>
      <c r="F420" s="341"/>
      <c r="G420" s="341"/>
      <c r="H420" s="341"/>
      <c r="I420" s="341"/>
      <c r="J420" s="341"/>
      <c r="K420" s="341"/>
    </row>
    <row r="421" spans="1:11" ht="20.25">
      <c r="A421" s="341"/>
      <c r="B421" s="341"/>
      <c r="C421" s="341"/>
      <c r="D421" s="341"/>
      <c r="E421" s="341"/>
      <c r="F421" s="341"/>
      <c r="G421" s="341"/>
      <c r="H421" s="341"/>
      <c r="I421" s="341"/>
      <c r="J421" s="341"/>
      <c r="K421" s="341"/>
    </row>
    <row r="422" spans="1:11" ht="20.25">
      <c r="A422" s="341"/>
      <c r="B422" s="341"/>
      <c r="C422" s="341"/>
      <c r="D422" s="341"/>
      <c r="E422" s="341"/>
      <c r="F422" s="341"/>
      <c r="G422" s="341"/>
      <c r="H422" s="341"/>
      <c r="I422" s="341"/>
      <c r="J422" s="341"/>
      <c r="K422" s="341"/>
    </row>
    <row r="423" spans="1:11" ht="20.25">
      <c r="A423" s="341"/>
      <c r="B423" s="341"/>
      <c r="C423" s="341"/>
      <c r="D423" s="341"/>
      <c r="E423" s="341"/>
      <c r="F423" s="341"/>
      <c r="G423" s="341"/>
      <c r="H423" s="341"/>
      <c r="I423" s="341"/>
      <c r="J423" s="341"/>
      <c r="K423" s="341"/>
    </row>
    <row r="424" spans="1:11" ht="20.25">
      <c r="A424" s="341"/>
      <c r="B424" s="341"/>
      <c r="C424" s="341"/>
      <c r="D424" s="341"/>
      <c r="E424" s="341"/>
      <c r="F424" s="341"/>
      <c r="G424" s="341"/>
      <c r="H424" s="341"/>
      <c r="I424" s="341"/>
      <c r="J424" s="341"/>
      <c r="K424" s="341"/>
    </row>
    <row r="425" spans="1:11" ht="20.25">
      <c r="A425" s="341"/>
      <c r="B425" s="341"/>
      <c r="C425" s="341"/>
      <c r="D425" s="341"/>
      <c r="E425" s="341"/>
      <c r="F425" s="341"/>
      <c r="G425" s="341"/>
      <c r="H425" s="341"/>
      <c r="I425" s="341"/>
      <c r="J425" s="341"/>
      <c r="K425" s="341"/>
    </row>
    <row r="426" spans="1:11" ht="20.25">
      <c r="A426" s="341"/>
      <c r="B426" s="341"/>
      <c r="C426" s="341"/>
      <c r="D426" s="341"/>
      <c r="E426" s="341"/>
      <c r="F426" s="341"/>
      <c r="G426" s="341"/>
      <c r="H426" s="341"/>
      <c r="I426" s="341"/>
      <c r="J426" s="341"/>
      <c r="K426" s="341"/>
    </row>
    <row r="427" spans="1:11" ht="20.25">
      <c r="A427" s="341"/>
      <c r="B427" s="341"/>
      <c r="C427" s="341"/>
      <c r="D427" s="341"/>
      <c r="E427" s="341"/>
      <c r="F427" s="341"/>
      <c r="G427" s="341"/>
      <c r="H427" s="341"/>
      <c r="I427" s="341"/>
      <c r="J427" s="341"/>
      <c r="K427" s="341"/>
    </row>
    <row r="428" spans="1:11" ht="20.25">
      <c r="A428" s="341"/>
      <c r="B428" s="341"/>
      <c r="C428" s="341"/>
      <c r="D428" s="341"/>
      <c r="E428" s="341"/>
      <c r="F428" s="341"/>
      <c r="G428" s="341"/>
      <c r="H428" s="341"/>
      <c r="I428" s="341"/>
      <c r="J428" s="341"/>
      <c r="K428" s="341"/>
    </row>
    <row r="429" spans="1:11" ht="20.25">
      <c r="A429" s="341"/>
      <c r="B429" s="341"/>
      <c r="C429" s="341"/>
      <c r="D429" s="341"/>
      <c r="E429" s="341"/>
      <c r="F429" s="341"/>
      <c r="G429" s="341"/>
      <c r="H429" s="341"/>
      <c r="I429" s="341"/>
      <c r="J429" s="341"/>
      <c r="K429" s="341"/>
    </row>
    <row r="430" spans="1:11" ht="20.25">
      <c r="A430" s="341"/>
      <c r="B430" s="341"/>
      <c r="C430" s="341"/>
      <c r="D430" s="341"/>
      <c r="E430" s="341"/>
      <c r="F430" s="341"/>
      <c r="G430" s="341"/>
      <c r="H430" s="341"/>
      <c r="I430" s="341"/>
      <c r="J430" s="341"/>
      <c r="K430" s="341"/>
    </row>
    <row r="431" spans="1:11" ht="20.25">
      <c r="A431" s="341"/>
      <c r="B431" s="341"/>
      <c r="C431" s="341"/>
      <c r="D431" s="341"/>
      <c r="E431" s="341"/>
      <c r="F431" s="341"/>
      <c r="G431" s="341"/>
      <c r="H431" s="341"/>
      <c r="I431" s="341"/>
      <c r="J431" s="341"/>
      <c r="K431" s="341"/>
    </row>
    <row r="432" spans="1:11" ht="20.25">
      <c r="A432" s="341"/>
      <c r="B432" s="341"/>
      <c r="C432" s="341"/>
      <c r="D432" s="341"/>
      <c r="E432" s="341"/>
      <c r="F432" s="341"/>
      <c r="G432" s="341"/>
      <c r="H432" s="341"/>
      <c r="I432" s="341"/>
      <c r="J432" s="341"/>
      <c r="K432" s="341"/>
    </row>
    <row r="433" spans="1:11" ht="20.25">
      <c r="A433" s="341"/>
      <c r="B433" s="341"/>
      <c r="C433" s="341"/>
      <c r="D433" s="341"/>
      <c r="E433" s="341"/>
      <c r="F433" s="341"/>
      <c r="G433" s="341"/>
      <c r="H433" s="341"/>
      <c r="I433" s="341"/>
      <c r="J433" s="341"/>
      <c r="K433" s="341"/>
    </row>
    <row r="434" spans="1:11" ht="20.25">
      <c r="A434" s="341"/>
      <c r="B434" s="341"/>
      <c r="C434" s="341"/>
      <c r="D434" s="341"/>
      <c r="E434" s="341"/>
      <c r="F434" s="341"/>
      <c r="G434" s="341"/>
      <c r="H434" s="341"/>
      <c r="I434" s="341"/>
      <c r="J434" s="341"/>
      <c r="K434" s="341"/>
    </row>
    <row r="435" spans="1:11" ht="20.25">
      <c r="A435" s="341"/>
      <c r="B435" s="341"/>
      <c r="C435" s="341"/>
      <c r="D435" s="341"/>
      <c r="E435" s="341"/>
      <c r="F435" s="341"/>
      <c r="G435" s="341"/>
      <c r="H435" s="341"/>
      <c r="I435" s="341"/>
      <c r="J435" s="341"/>
      <c r="K435" s="341"/>
    </row>
    <row r="436" spans="1:11" ht="20.25">
      <c r="A436" s="341"/>
      <c r="B436" s="341"/>
      <c r="C436" s="341"/>
      <c r="D436" s="341"/>
      <c r="E436" s="341"/>
      <c r="F436" s="341"/>
      <c r="G436" s="341"/>
      <c r="H436" s="341"/>
      <c r="I436" s="341"/>
      <c r="J436" s="341"/>
      <c r="K436" s="341"/>
    </row>
    <row r="437" spans="1:11" ht="20.25">
      <c r="A437" s="341"/>
      <c r="B437" s="341"/>
      <c r="C437" s="341"/>
      <c r="D437" s="341"/>
      <c r="E437" s="341"/>
      <c r="F437" s="341"/>
      <c r="G437" s="341"/>
      <c r="H437" s="341"/>
      <c r="I437" s="341"/>
      <c r="J437" s="341"/>
      <c r="K437" s="341"/>
    </row>
    <row r="438" spans="1:11" ht="20.25">
      <c r="A438" s="341"/>
      <c r="B438" s="341"/>
      <c r="C438" s="341"/>
      <c r="D438" s="341"/>
      <c r="E438" s="341"/>
      <c r="F438" s="341"/>
      <c r="G438" s="341"/>
      <c r="H438" s="341"/>
      <c r="I438" s="341"/>
      <c r="J438" s="341"/>
      <c r="K438" s="341"/>
    </row>
    <row r="439" spans="1:11" ht="20.25">
      <c r="A439" s="341"/>
      <c r="B439" s="341"/>
      <c r="C439" s="341"/>
      <c r="D439" s="341"/>
      <c r="E439" s="341"/>
      <c r="F439" s="341"/>
      <c r="G439" s="341"/>
      <c r="H439" s="341"/>
      <c r="I439" s="341"/>
      <c r="J439" s="341"/>
      <c r="K439" s="341"/>
    </row>
    <row r="440" spans="1:11" ht="20.25">
      <c r="A440" s="341"/>
      <c r="B440" s="341"/>
      <c r="C440" s="341"/>
      <c r="D440" s="341"/>
      <c r="E440" s="341"/>
      <c r="F440" s="341"/>
      <c r="G440" s="341"/>
      <c r="H440" s="341"/>
      <c r="I440" s="341"/>
      <c r="J440" s="341"/>
      <c r="K440" s="341"/>
    </row>
    <row r="441" spans="1:11" ht="20.25">
      <c r="A441" s="341"/>
      <c r="B441" s="341"/>
      <c r="C441" s="341"/>
      <c r="D441" s="341"/>
      <c r="E441" s="341"/>
      <c r="F441" s="341"/>
      <c r="G441" s="341"/>
      <c r="H441" s="341"/>
      <c r="I441" s="341"/>
      <c r="J441" s="341"/>
      <c r="K441" s="341"/>
    </row>
    <row r="442" spans="1:11" ht="20.25">
      <c r="A442" s="341"/>
      <c r="B442" s="341"/>
      <c r="C442" s="341"/>
      <c r="D442" s="341"/>
      <c r="E442" s="341"/>
      <c r="F442" s="341"/>
      <c r="G442" s="341"/>
      <c r="H442" s="341"/>
      <c r="I442" s="341"/>
      <c r="J442" s="341"/>
      <c r="K442" s="341"/>
    </row>
    <row r="443" spans="1:11" ht="20.25">
      <c r="A443" s="341"/>
      <c r="B443" s="341"/>
      <c r="C443" s="341"/>
      <c r="D443" s="341"/>
      <c r="E443" s="341"/>
      <c r="F443" s="341"/>
      <c r="G443" s="341"/>
      <c r="H443" s="341"/>
      <c r="I443" s="341"/>
      <c r="J443" s="341"/>
      <c r="K443" s="341"/>
    </row>
    <row r="444" spans="1:11" ht="20.25">
      <c r="A444" s="341"/>
      <c r="B444" s="341"/>
      <c r="C444" s="341"/>
      <c r="D444" s="341"/>
      <c r="E444" s="341"/>
      <c r="F444" s="341"/>
      <c r="G444" s="341"/>
      <c r="H444" s="341"/>
      <c r="I444" s="341"/>
      <c r="J444" s="341"/>
      <c r="K444" s="341"/>
    </row>
    <row r="445" spans="1:11" ht="20.25">
      <c r="A445" s="341"/>
      <c r="B445" s="341"/>
      <c r="C445" s="341"/>
      <c r="D445" s="341"/>
      <c r="E445" s="341"/>
      <c r="F445" s="341"/>
      <c r="G445" s="341"/>
      <c r="H445" s="341"/>
      <c r="I445" s="341"/>
      <c r="J445" s="341"/>
      <c r="K445" s="341"/>
    </row>
    <row r="446" spans="1:11" ht="20.25">
      <c r="A446" s="341"/>
      <c r="B446" s="341"/>
      <c r="C446" s="341"/>
      <c r="D446" s="341"/>
      <c r="E446" s="341"/>
      <c r="F446" s="341"/>
      <c r="G446" s="341"/>
      <c r="H446" s="341"/>
      <c r="I446" s="341"/>
      <c r="J446" s="341"/>
      <c r="K446" s="341"/>
    </row>
    <row r="447" spans="1:11" ht="20.25">
      <c r="A447" s="341"/>
      <c r="B447" s="341"/>
      <c r="C447" s="341"/>
      <c r="D447" s="341"/>
      <c r="E447" s="341"/>
      <c r="F447" s="341"/>
      <c r="G447" s="341"/>
      <c r="H447" s="341"/>
      <c r="I447" s="341"/>
      <c r="J447" s="341"/>
      <c r="K447" s="341"/>
    </row>
    <row r="448" spans="1:11" ht="20.25">
      <c r="A448" s="341"/>
      <c r="B448" s="341"/>
      <c r="C448" s="341"/>
      <c r="D448" s="341"/>
      <c r="E448" s="341"/>
      <c r="F448" s="341"/>
      <c r="G448" s="341"/>
      <c r="H448" s="341"/>
      <c r="I448" s="341"/>
      <c r="J448" s="341"/>
      <c r="K448" s="341"/>
    </row>
    <row r="449" spans="1:11" ht="20.25">
      <c r="A449" s="341"/>
      <c r="B449" s="341"/>
      <c r="C449" s="341"/>
      <c r="D449" s="341"/>
      <c r="E449" s="341"/>
      <c r="F449" s="341"/>
      <c r="G449" s="341"/>
      <c r="H449" s="341"/>
      <c r="I449" s="341"/>
      <c r="J449" s="341"/>
      <c r="K449" s="341"/>
    </row>
    <row r="450" spans="1:11" ht="20.25">
      <c r="A450" s="341"/>
      <c r="B450" s="341"/>
      <c r="C450" s="341"/>
      <c r="D450" s="341"/>
      <c r="E450" s="341"/>
      <c r="F450" s="341"/>
      <c r="G450" s="341"/>
      <c r="H450" s="341"/>
      <c r="I450" s="341"/>
      <c r="J450" s="341"/>
      <c r="K450" s="341"/>
    </row>
    <row r="451" spans="1:11" ht="20.25">
      <c r="A451" s="341"/>
      <c r="B451" s="341"/>
      <c r="C451" s="341"/>
      <c r="D451" s="341"/>
      <c r="E451" s="341"/>
      <c r="F451" s="341"/>
      <c r="G451" s="341"/>
      <c r="H451" s="341"/>
      <c r="I451" s="341"/>
      <c r="J451" s="341"/>
      <c r="K451" s="341"/>
    </row>
    <row r="452" spans="1:11" ht="20.25">
      <c r="A452" s="341"/>
      <c r="B452" s="341"/>
      <c r="C452" s="341"/>
      <c r="D452" s="341"/>
      <c r="E452" s="341"/>
      <c r="F452" s="341"/>
      <c r="G452" s="341"/>
      <c r="H452" s="341"/>
      <c r="I452" s="341"/>
      <c r="J452" s="341"/>
      <c r="K452" s="341"/>
    </row>
    <row r="453" spans="1:11" ht="20.25">
      <c r="A453" s="341"/>
      <c r="B453" s="341"/>
      <c r="C453" s="341"/>
      <c r="D453" s="341"/>
      <c r="E453" s="341"/>
      <c r="F453" s="341"/>
      <c r="G453" s="341"/>
      <c r="H453" s="341"/>
      <c r="I453" s="341"/>
      <c r="J453" s="341"/>
      <c r="K453" s="341"/>
    </row>
    <row r="454" spans="1:11" ht="20.25">
      <c r="A454" s="341"/>
      <c r="B454" s="341"/>
      <c r="C454" s="341"/>
      <c r="D454" s="341"/>
      <c r="E454" s="341"/>
      <c r="F454" s="341"/>
      <c r="G454" s="341"/>
      <c r="H454" s="341"/>
      <c r="I454" s="341"/>
      <c r="J454" s="341"/>
      <c r="K454" s="341"/>
    </row>
    <row r="455" spans="1:11" ht="20.25">
      <c r="A455" s="341"/>
      <c r="B455" s="341"/>
      <c r="C455" s="341"/>
      <c r="D455" s="341"/>
      <c r="E455" s="341"/>
      <c r="F455" s="341"/>
      <c r="G455" s="341"/>
      <c r="H455" s="341"/>
      <c r="I455" s="341"/>
      <c r="J455" s="341"/>
      <c r="K455" s="341"/>
    </row>
    <row r="456" spans="1:11" ht="20.25">
      <c r="A456" s="341"/>
      <c r="B456" s="341"/>
      <c r="C456" s="341"/>
      <c r="D456" s="341"/>
      <c r="E456" s="341"/>
      <c r="F456" s="341"/>
      <c r="G456" s="341"/>
      <c r="H456" s="341"/>
      <c r="I456" s="341"/>
      <c r="J456" s="341"/>
      <c r="K456" s="341"/>
    </row>
    <row r="457" spans="1:11" ht="20.25">
      <c r="A457" s="341"/>
      <c r="B457" s="341"/>
      <c r="C457" s="341"/>
      <c r="D457" s="341"/>
      <c r="E457" s="341"/>
      <c r="F457" s="341"/>
      <c r="G457" s="341"/>
      <c r="H457" s="341"/>
      <c r="I457" s="341"/>
      <c r="J457" s="341"/>
      <c r="K457" s="341"/>
    </row>
    <row r="458" spans="1:11" ht="20.25">
      <c r="A458" s="341"/>
      <c r="B458" s="341"/>
      <c r="C458" s="341"/>
      <c r="D458" s="341"/>
      <c r="E458" s="341"/>
      <c r="F458" s="341"/>
      <c r="G458" s="341"/>
      <c r="H458" s="341"/>
      <c r="I458" s="341"/>
      <c r="J458" s="341"/>
      <c r="K458" s="341"/>
    </row>
    <row r="459" spans="1:11" ht="20.25">
      <c r="A459" s="341"/>
      <c r="B459" s="341"/>
      <c r="C459" s="341"/>
      <c r="D459" s="341"/>
      <c r="E459" s="341"/>
      <c r="F459" s="341"/>
      <c r="G459" s="341"/>
      <c r="H459" s="341"/>
      <c r="I459" s="341"/>
      <c r="J459" s="341"/>
      <c r="K459" s="341"/>
    </row>
    <row r="460" spans="1:11" ht="20.25">
      <c r="A460" s="341"/>
      <c r="B460" s="341"/>
      <c r="C460" s="341"/>
      <c r="D460" s="341"/>
      <c r="E460" s="341"/>
      <c r="F460" s="341"/>
      <c r="G460" s="341"/>
      <c r="H460" s="341"/>
      <c r="I460" s="341"/>
      <c r="J460" s="341"/>
      <c r="K460" s="341"/>
    </row>
    <row r="461" spans="1:11" ht="20.25">
      <c r="A461" s="341"/>
      <c r="B461" s="341"/>
      <c r="C461" s="341"/>
      <c r="D461" s="341"/>
      <c r="E461" s="341"/>
      <c r="F461" s="341"/>
      <c r="G461" s="341"/>
      <c r="H461" s="341"/>
      <c r="I461" s="341"/>
      <c r="J461" s="341"/>
      <c r="K461" s="341"/>
    </row>
    <row r="462" spans="1:11" ht="20.25">
      <c r="A462" s="341"/>
      <c r="B462" s="341"/>
      <c r="C462" s="341"/>
      <c r="D462" s="341"/>
      <c r="E462" s="341"/>
      <c r="F462" s="341"/>
      <c r="G462" s="341"/>
      <c r="H462" s="341"/>
      <c r="I462" s="341"/>
      <c r="J462" s="341"/>
      <c r="K462" s="341"/>
    </row>
    <row r="463" spans="1:11" ht="20.25">
      <c r="A463" s="341"/>
      <c r="B463" s="341"/>
      <c r="C463" s="341"/>
      <c r="D463" s="341"/>
      <c r="E463" s="341"/>
      <c r="F463" s="341"/>
      <c r="G463" s="341"/>
      <c r="H463" s="341"/>
      <c r="I463" s="341"/>
      <c r="J463" s="341"/>
      <c r="K463" s="341"/>
    </row>
    <row r="464" spans="1:11" ht="20.25">
      <c r="A464" s="341"/>
      <c r="B464" s="341"/>
      <c r="C464" s="341"/>
      <c r="D464" s="341"/>
      <c r="E464" s="341"/>
      <c r="F464" s="341"/>
      <c r="G464" s="341"/>
      <c r="H464" s="341"/>
      <c r="I464" s="341"/>
      <c r="J464" s="341"/>
      <c r="K464" s="341"/>
    </row>
    <row r="465" spans="1:11" ht="20.25">
      <c r="A465" s="341"/>
      <c r="B465" s="341"/>
      <c r="C465" s="341"/>
      <c r="D465" s="341"/>
      <c r="E465" s="341"/>
      <c r="F465" s="341"/>
      <c r="G465" s="341"/>
      <c r="H465" s="341"/>
      <c r="I465" s="341"/>
      <c r="J465" s="341"/>
      <c r="K465" s="341"/>
    </row>
    <row r="466" spans="1:11" ht="20.25">
      <c r="A466" s="341"/>
      <c r="B466" s="341"/>
      <c r="C466" s="341"/>
      <c r="D466" s="341"/>
      <c r="E466" s="341"/>
      <c r="F466" s="341"/>
      <c r="G466" s="341"/>
      <c r="H466" s="341"/>
      <c r="I466" s="341"/>
      <c r="J466" s="341"/>
      <c r="K466" s="341"/>
    </row>
    <row r="467" spans="1:11" ht="20.25">
      <c r="A467" s="341"/>
      <c r="B467" s="341"/>
      <c r="C467" s="341"/>
      <c r="D467" s="341"/>
      <c r="E467" s="341"/>
      <c r="F467" s="341"/>
      <c r="G467" s="341"/>
      <c r="H467" s="341"/>
      <c r="I467" s="341"/>
      <c r="J467" s="341"/>
      <c r="K467" s="341"/>
    </row>
    <row r="468" spans="1:11" ht="20.25">
      <c r="A468" s="341"/>
      <c r="B468" s="341"/>
      <c r="C468" s="341"/>
      <c r="D468" s="341"/>
      <c r="E468" s="341"/>
      <c r="F468" s="341"/>
      <c r="G468" s="341"/>
      <c r="H468" s="341"/>
      <c r="I468" s="341"/>
      <c r="J468" s="341"/>
      <c r="K468" s="341"/>
    </row>
    <row r="469" spans="1:11" ht="20.25">
      <c r="A469" s="341"/>
      <c r="B469" s="341"/>
      <c r="C469" s="341"/>
      <c r="D469" s="341"/>
      <c r="E469" s="341"/>
      <c r="F469" s="341"/>
      <c r="G469" s="341"/>
      <c r="H469" s="341"/>
      <c r="I469" s="341"/>
      <c r="J469" s="341"/>
      <c r="K469" s="341"/>
    </row>
    <row r="470" spans="1:11" ht="20.25">
      <c r="A470" s="341"/>
      <c r="B470" s="341"/>
      <c r="C470" s="341"/>
      <c r="D470" s="341"/>
      <c r="E470" s="341"/>
      <c r="F470" s="341"/>
      <c r="G470" s="341"/>
      <c r="H470" s="341"/>
      <c r="I470" s="341"/>
      <c r="J470" s="341"/>
      <c r="K470" s="341"/>
    </row>
    <row r="471" spans="1:11" ht="20.25">
      <c r="A471" s="341"/>
      <c r="B471" s="341"/>
      <c r="C471" s="341"/>
      <c r="D471" s="341"/>
      <c r="E471" s="341"/>
      <c r="F471" s="341"/>
      <c r="G471" s="341"/>
      <c r="H471" s="341"/>
      <c r="I471" s="341"/>
      <c r="J471" s="341"/>
      <c r="K471" s="341"/>
    </row>
    <row r="472" spans="1:11" ht="20.25">
      <c r="A472" s="341"/>
      <c r="B472" s="341"/>
      <c r="C472" s="341"/>
      <c r="D472" s="341"/>
      <c r="E472" s="341"/>
      <c r="F472" s="341"/>
      <c r="G472" s="341"/>
      <c r="H472" s="341"/>
      <c r="I472" s="341"/>
      <c r="J472" s="341"/>
      <c r="K472" s="341"/>
    </row>
    <row r="473" spans="1:11" ht="20.25">
      <c r="A473" s="341"/>
      <c r="B473" s="341"/>
      <c r="C473" s="341"/>
      <c r="D473" s="341"/>
      <c r="E473" s="341"/>
      <c r="F473" s="341"/>
      <c r="G473" s="341"/>
      <c r="H473" s="341"/>
      <c r="I473" s="341"/>
      <c r="J473" s="341"/>
      <c r="K473" s="341"/>
    </row>
    <row r="474" spans="1:11" ht="20.25">
      <c r="A474" s="341"/>
      <c r="B474" s="341"/>
      <c r="C474" s="341"/>
      <c r="D474" s="341"/>
      <c r="E474" s="341"/>
      <c r="F474" s="341"/>
      <c r="G474" s="341"/>
      <c r="H474" s="341"/>
      <c r="I474" s="341"/>
      <c r="J474" s="341"/>
      <c r="K474" s="341"/>
    </row>
    <row r="475" spans="1:11" ht="20.25">
      <c r="A475" s="341"/>
      <c r="B475" s="341"/>
      <c r="C475" s="341"/>
      <c r="D475" s="341"/>
      <c r="E475" s="341"/>
      <c r="F475" s="341"/>
      <c r="G475" s="341"/>
      <c r="H475" s="341"/>
      <c r="I475" s="341"/>
      <c r="J475" s="341"/>
      <c r="K475" s="341"/>
    </row>
    <row r="476" spans="1:11" ht="20.25">
      <c r="A476" s="341"/>
      <c r="B476" s="341"/>
      <c r="C476" s="341"/>
      <c r="D476" s="341"/>
      <c r="E476" s="341"/>
      <c r="F476" s="341"/>
      <c r="G476" s="341"/>
      <c r="H476" s="341"/>
      <c r="I476" s="341"/>
      <c r="J476" s="341"/>
      <c r="K476" s="341"/>
    </row>
    <row r="477" spans="1:11" ht="20.25">
      <c r="A477" s="341"/>
      <c r="B477" s="341"/>
      <c r="C477" s="341"/>
      <c r="D477" s="341"/>
      <c r="E477" s="341"/>
      <c r="F477" s="341"/>
      <c r="G477" s="341"/>
      <c r="H477" s="341"/>
      <c r="I477" s="341"/>
      <c r="J477" s="341"/>
      <c r="K477" s="341"/>
    </row>
    <row r="478" spans="1:11" ht="20.25">
      <c r="A478" s="341"/>
      <c r="B478" s="341"/>
      <c r="C478" s="341"/>
      <c r="D478" s="341"/>
      <c r="E478" s="341"/>
      <c r="F478" s="341"/>
      <c r="G478" s="341"/>
      <c r="H478" s="341"/>
      <c r="I478" s="341"/>
      <c r="J478" s="341"/>
      <c r="K478" s="341"/>
    </row>
    <row r="479" spans="1:11" ht="20.25">
      <c r="A479" s="341"/>
      <c r="B479" s="341"/>
      <c r="C479" s="341"/>
      <c r="D479" s="341"/>
      <c r="E479" s="341"/>
      <c r="F479" s="341"/>
      <c r="G479" s="341"/>
      <c r="H479" s="341"/>
      <c r="I479" s="341"/>
      <c r="J479" s="341"/>
      <c r="K479" s="341"/>
    </row>
    <row r="480" spans="1:11" ht="20.25">
      <c r="A480" s="341"/>
      <c r="B480" s="341"/>
      <c r="C480" s="341"/>
      <c r="D480" s="341"/>
      <c r="E480" s="341"/>
      <c r="F480" s="341"/>
      <c r="G480" s="341"/>
      <c r="H480" s="341"/>
      <c r="I480" s="341"/>
      <c r="J480" s="341"/>
      <c r="K480" s="341"/>
    </row>
    <row r="481" spans="1:11" ht="20.25">
      <c r="A481" s="341"/>
      <c r="B481" s="341"/>
      <c r="C481" s="341"/>
      <c r="D481" s="341"/>
      <c r="E481" s="341"/>
      <c r="F481" s="341"/>
      <c r="G481" s="341"/>
      <c r="H481" s="341"/>
      <c r="I481" s="341"/>
      <c r="J481" s="341"/>
      <c r="K481" s="341"/>
    </row>
    <row r="482" spans="1:11" ht="20.25">
      <c r="A482" s="341"/>
      <c r="B482" s="341"/>
      <c r="C482" s="341"/>
      <c r="D482" s="341"/>
      <c r="E482" s="341"/>
      <c r="F482" s="341"/>
      <c r="G482" s="341"/>
      <c r="H482" s="341"/>
      <c r="I482" s="341"/>
      <c r="J482" s="341"/>
      <c r="K482" s="341"/>
    </row>
    <row r="483" spans="1:11" ht="20.25">
      <c r="A483" s="341"/>
      <c r="B483" s="341"/>
      <c r="C483" s="341"/>
      <c r="D483" s="341"/>
      <c r="E483" s="341"/>
      <c r="F483" s="341"/>
      <c r="G483" s="341"/>
      <c r="H483" s="341"/>
      <c r="I483" s="341"/>
      <c r="J483" s="341"/>
      <c r="K483" s="341"/>
    </row>
    <row r="484" spans="1:11" ht="20.25">
      <c r="A484" s="341"/>
      <c r="B484" s="341"/>
      <c r="C484" s="341"/>
      <c r="D484" s="341"/>
      <c r="E484" s="341"/>
      <c r="F484" s="341"/>
      <c r="G484" s="341"/>
      <c r="H484" s="341"/>
      <c r="I484" s="341"/>
      <c r="J484" s="341"/>
      <c r="K484" s="341"/>
    </row>
    <row r="485" spans="1:11" ht="20.25">
      <c r="A485" s="341"/>
      <c r="B485" s="341"/>
      <c r="C485" s="341"/>
      <c r="D485" s="341"/>
      <c r="E485" s="341"/>
      <c r="F485" s="341"/>
      <c r="G485" s="341"/>
      <c r="H485" s="341"/>
      <c r="I485" s="341"/>
      <c r="J485" s="341"/>
      <c r="K485" s="341"/>
    </row>
    <row r="486" spans="1:11" ht="20.25">
      <c r="A486" s="341"/>
      <c r="B486" s="341"/>
      <c r="C486" s="341"/>
      <c r="D486" s="341"/>
      <c r="E486" s="341"/>
      <c r="F486" s="341"/>
      <c r="G486" s="341"/>
      <c r="H486" s="341"/>
      <c r="I486" s="341"/>
      <c r="J486" s="341"/>
      <c r="K486" s="341"/>
    </row>
    <row r="487" spans="1:11" ht="20.25">
      <c r="A487" s="341"/>
      <c r="B487" s="341"/>
      <c r="C487" s="341"/>
      <c r="D487" s="341"/>
      <c r="E487" s="341"/>
      <c r="F487" s="341"/>
      <c r="G487" s="341"/>
      <c r="H487" s="341"/>
      <c r="I487" s="341"/>
      <c r="J487" s="341"/>
      <c r="K487" s="341"/>
    </row>
    <row r="488" spans="1:11" ht="20.25">
      <c r="A488" s="341"/>
      <c r="B488" s="341"/>
      <c r="C488" s="341"/>
      <c r="D488" s="341"/>
      <c r="E488" s="341"/>
      <c r="F488" s="341"/>
      <c r="G488" s="341"/>
      <c r="H488" s="341"/>
      <c r="I488" s="341"/>
      <c r="J488" s="341"/>
      <c r="K488" s="341"/>
    </row>
    <row r="489" spans="1:11" ht="20.25">
      <c r="A489" s="341"/>
      <c r="B489" s="341"/>
      <c r="C489" s="341"/>
      <c r="D489" s="341"/>
      <c r="E489" s="341"/>
      <c r="F489" s="341"/>
      <c r="G489" s="341"/>
      <c r="H489" s="341"/>
      <c r="I489" s="341"/>
      <c r="J489" s="341"/>
      <c r="K489" s="341"/>
    </row>
    <row r="490" spans="1:11" ht="20.25">
      <c r="A490" s="341"/>
      <c r="B490" s="341"/>
      <c r="C490" s="341"/>
      <c r="D490" s="341"/>
      <c r="E490" s="341"/>
      <c r="F490" s="341"/>
      <c r="G490" s="341"/>
      <c r="H490" s="341"/>
      <c r="I490" s="341"/>
      <c r="J490" s="341"/>
      <c r="K490" s="341"/>
    </row>
    <row r="491" spans="1:11" ht="20.25">
      <c r="A491" s="341"/>
      <c r="B491" s="341"/>
      <c r="C491" s="341"/>
      <c r="D491" s="341"/>
      <c r="E491" s="341"/>
      <c r="F491" s="341"/>
      <c r="G491" s="341"/>
      <c r="H491" s="341"/>
      <c r="I491" s="341"/>
      <c r="J491" s="341"/>
      <c r="K491" s="341"/>
    </row>
    <row r="492" spans="1:11" ht="20.25">
      <c r="A492" s="341"/>
      <c r="B492" s="341"/>
      <c r="C492" s="341"/>
      <c r="D492" s="341"/>
      <c r="E492" s="341"/>
      <c r="F492" s="341"/>
      <c r="G492" s="341"/>
      <c r="H492" s="341"/>
      <c r="I492" s="341"/>
      <c r="J492" s="341"/>
      <c r="K492" s="341"/>
    </row>
    <row r="493" spans="1:11" ht="20.25">
      <c r="A493" s="341"/>
      <c r="B493" s="341"/>
      <c r="C493" s="341"/>
      <c r="D493" s="341"/>
      <c r="E493" s="341"/>
      <c r="F493" s="341"/>
      <c r="G493" s="341"/>
      <c r="H493" s="341"/>
      <c r="I493" s="341"/>
      <c r="J493" s="341"/>
      <c r="K493" s="341"/>
    </row>
    <row r="494" spans="1:11" ht="20.25">
      <c r="A494" s="341"/>
      <c r="B494" s="341"/>
      <c r="C494" s="341"/>
      <c r="D494" s="341"/>
      <c r="E494" s="341"/>
      <c r="F494" s="341"/>
      <c r="G494" s="341"/>
      <c r="H494" s="341"/>
      <c r="I494" s="341"/>
      <c r="J494" s="341"/>
      <c r="K494" s="341"/>
    </row>
    <row r="495" spans="1:11" ht="20.25">
      <c r="A495" s="341"/>
      <c r="B495" s="341"/>
      <c r="C495" s="341"/>
      <c r="D495" s="341"/>
      <c r="E495" s="341"/>
      <c r="F495" s="341"/>
      <c r="G495" s="341"/>
      <c r="H495" s="341"/>
      <c r="I495" s="341"/>
      <c r="J495" s="341"/>
      <c r="K495" s="341"/>
    </row>
    <row r="496" spans="1:11" ht="20.25">
      <c r="A496" s="341"/>
      <c r="B496" s="341"/>
      <c r="C496" s="341"/>
      <c r="D496" s="341"/>
      <c r="E496" s="341"/>
      <c r="F496" s="341"/>
      <c r="G496" s="341"/>
      <c r="H496" s="341"/>
      <c r="I496" s="341"/>
      <c r="J496" s="341"/>
      <c r="K496" s="341"/>
    </row>
    <row r="497" spans="1:11" ht="20.25">
      <c r="A497" s="341"/>
      <c r="B497" s="341"/>
      <c r="C497" s="341"/>
      <c r="D497" s="341"/>
      <c r="E497" s="341"/>
      <c r="F497" s="341"/>
      <c r="G497" s="341"/>
      <c r="H497" s="341"/>
      <c r="I497" s="341"/>
      <c r="J497" s="341"/>
      <c r="K497" s="341"/>
    </row>
    <row r="498" spans="1:11" ht="20.25">
      <c r="A498" s="341"/>
      <c r="B498" s="341"/>
      <c r="C498" s="341"/>
      <c r="D498" s="341"/>
      <c r="E498" s="341"/>
      <c r="F498" s="341"/>
      <c r="G498" s="341"/>
      <c r="H498" s="341"/>
      <c r="I498" s="341"/>
      <c r="J498" s="341"/>
      <c r="K498" s="341"/>
    </row>
    <row r="499" spans="1:11" ht="20.25">
      <c r="A499" s="341"/>
      <c r="B499" s="341"/>
      <c r="C499" s="341"/>
      <c r="D499" s="341"/>
      <c r="E499" s="341"/>
      <c r="F499" s="341"/>
      <c r="G499" s="341"/>
      <c r="H499" s="341"/>
      <c r="I499" s="341"/>
      <c r="J499" s="341"/>
      <c r="K499" s="341"/>
    </row>
    <row r="500" spans="1:11" ht="20.25">
      <c r="A500" s="341"/>
      <c r="B500" s="341"/>
      <c r="C500" s="341"/>
      <c r="D500" s="341"/>
      <c r="E500" s="341"/>
      <c r="F500" s="341"/>
      <c r="G500" s="341"/>
      <c r="H500" s="341"/>
      <c r="I500" s="341"/>
      <c r="J500" s="341"/>
      <c r="K500" s="341"/>
    </row>
    <row r="501" spans="1:11" ht="20.25">
      <c r="A501" s="341"/>
      <c r="B501" s="341"/>
      <c r="C501" s="341"/>
      <c r="D501" s="341"/>
      <c r="E501" s="341"/>
      <c r="F501" s="341"/>
      <c r="G501" s="341"/>
      <c r="H501" s="341"/>
      <c r="I501" s="341"/>
      <c r="J501" s="341"/>
      <c r="K501" s="341"/>
    </row>
    <row r="502" spans="1:11" ht="20.25">
      <c r="A502" s="341"/>
      <c r="B502" s="341"/>
      <c r="C502" s="341"/>
      <c r="D502" s="341"/>
      <c r="E502" s="341"/>
      <c r="F502" s="341"/>
      <c r="G502" s="341"/>
      <c r="H502" s="341"/>
      <c r="I502" s="341"/>
      <c r="J502" s="341"/>
      <c r="K502" s="341"/>
    </row>
    <row r="503" spans="1:11" ht="20.25">
      <c r="A503" s="341"/>
      <c r="B503" s="341"/>
      <c r="C503" s="341"/>
      <c r="D503" s="341"/>
      <c r="E503" s="341"/>
      <c r="F503" s="341"/>
      <c r="G503" s="341"/>
      <c r="H503" s="341"/>
      <c r="I503" s="341"/>
      <c r="J503" s="341"/>
      <c r="K503" s="341"/>
    </row>
    <row r="504" spans="1:11" ht="20.25">
      <c r="A504" s="341"/>
      <c r="B504" s="341"/>
      <c r="C504" s="341"/>
      <c r="D504" s="341"/>
      <c r="E504" s="341"/>
      <c r="F504" s="341"/>
      <c r="G504" s="341"/>
      <c r="H504" s="341"/>
      <c r="I504" s="341"/>
      <c r="J504" s="341"/>
      <c r="K504" s="341"/>
    </row>
    <row r="505" spans="1:11" ht="20.25">
      <c r="A505" s="341"/>
      <c r="B505" s="341"/>
      <c r="C505" s="341"/>
      <c r="D505" s="341"/>
      <c r="E505" s="341"/>
      <c r="F505" s="341"/>
      <c r="G505" s="341"/>
      <c r="H505" s="341"/>
      <c r="I505" s="341"/>
      <c r="J505" s="341"/>
      <c r="K505" s="341"/>
    </row>
    <row r="506" spans="1:11" ht="20.25">
      <c r="A506" s="341"/>
      <c r="B506" s="341"/>
      <c r="C506" s="341"/>
      <c r="D506" s="341"/>
      <c r="E506" s="341"/>
      <c r="F506" s="341"/>
      <c r="G506" s="341"/>
      <c r="H506" s="341"/>
      <c r="I506" s="341"/>
      <c r="J506" s="341"/>
      <c r="K506" s="341"/>
    </row>
    <row r="507" spans="1:11" ht="20.25">
      <c r="A507" s="341"/>
      <c r="B507" s="341"/>
      <c r="C507" s="341"/>
      <c r="D507" s="341"/>
      <c r="E507" s="341"/>
      <c r="F507" s="341"/>
      <c r="G507" s="341"/>
      <c r="H507" s="341"/>
      <c r="I507" s="341"/>
      <c r="J507" s="341"/>
      <c r="K507" s="341"/>
    </row>
    <row r="508" spans="1:11" ht="20.25">
      <c r="A508" s="341"/>
      <c r="B508" s="341"/>
      <c r="C508" s="341"/>
      <c r="D508" s="341"/>
      <c r="E508" s="341"/>
      <c r="F508" s="341"/>
      <c r="G508" s="341"/>
      <c r="H508" s="341"/>
      <c r="I508" s="341"/>
      <c r="J508" s="341"/>
      <c r="K508" s="341"/>
    </row>
    <row r="509" spans="1:11" ht="20.25">
      <c r="A509" s="341"/>
      <c r="B509" s="341"/>
      <c r="C509" s="341"/>
      <c r="D509" s="341"/>
      <c r="E509" s="341"/>
      <c r="F509" s="341"/>
      <c r="G509" s="341"/>
      <c r="H509" s="341"/>
      <c r="I509" s="341"/>
      <c r="J509" s="341"/>
      <c r="K509" s="341"/>
    </row>
    <row r="510" spans="1:11" ht="20.25">
      <c r="A510" s="341"/>
      <c r="B510" s="341"/>
      <c r="C510" s="341"/>
      <c r="D510" s="341"/>
      <c r="E510" s="341"/>
      <c r="F510" s="341"/>
      <c r="G510" s="341"/>
      <c r="H510" s="341"/>
      <c r="I510" s="341"/>
      <c r="J510" s="341"/>
      <c r="K510" s="341"/>
    </row>
    <row r="511" spans="1:11" ht="20.25">
      <c r="A511" s="341"/>
      <c r="B511" s="341"/>
      <c r="C511" s="341"/>
      <c r="D511" s="341"/>
      <c r="E511" s="341"/>
      <c r="F511" s="341"/>
      <c r="G511" s="341"/>
      <c r="H511" s="341"/>
      <c r="I511" s="341"/>
      <c r="J511" s="341"/>
      <c r="K511" s="341"/>
    </row>
    <row r="512" spans="1:11" ht="20.25">
      <c r="A512" s="341"/>
      <c r="B512" s="341"/>
      <c r="C512" s="341"/>
      <c r="D512" s="341"/>
      <c r="E512" s="341"/>
      <c r="F512" s="341"/>
      <c r="G512" s="341"/>
      <c r="H512" s="341"/>
      <c r="I512" s="341"/>
      <c r="J512" s="341"/>
      <c r="K512" s="341"/>
    </row>
    <row r="513" spans="1:11" ht="20.25">
      <c r="A513" s="341"/>
      <c r="B513" s="341"/>
      <c r="C513" s="341"/>
      <c r="D513" s="341"/>
      <c r="E513" s="341"/>
      <c r="F513" s="341"/>
      <c r="G513" s="341"/>
      <c r="H513" s="341"/>
      <c r="I513" s="341"/>
      <c r="J513" s="341"/>
      <c r="K513" s="341"/>
    </row>
    <row r="514" spans="1:11" ht="20.25">
      <c r="A514" s="341"/>
      <c r="B514" s="341"/>
      <c r="C514" s="341"/>
      <c r="D514" s="341"/>
      <c r="E514" s="341"/>
      <c r="F514" s="341"/>
      <c r="G514" s="341"/>
      <c r="H514" s="341"/>
      <c r="I514" s="341"/>
      <c r="J514" s="341"/>
      <c r="K514" s="341"/>
    </row>
    <row r="515" spans="1:11" ht="20.25">
      <c r="A515" s="341"/>
      <c r="B515" s="341"/>
      <c r="C515" s="341"/>
      <c r="D515" s="341"/>
      <c r="E515" s="341"/>
      <c r="F515" s="341"/>
      <c r="G515" s="341"/>
      <c r="H515" s="341"/>
      <c r="I515" s="341"/>
      <c r="J515" s="341"/>
      <c r="K515" s="341"/>
    </row>
    <row r="516" spans="1:11" ht="20.25">
      <c r="A516" s="341"/>
      <c r="B516" s="341"/>
      <c r="C516" s="341"/>
      <c r="D516" s="341"/>
      <c r="E516" s="341"/>
      <c r="F516" s="341"/>
      <c r="G516" s="341"/>
      <c r="H516" s="341"/>
      <c r="I516" s="341"/>
      <c r="J516" s="341"/>
      <c r="K516" s="341"/>
    </row>
    <row r="517" spans="1:11" ht="20.25">
      <c r="A517" s="341"/>
      <c r="B517" s="341"/>
      <c r="C517" s="341"/>
      <c r="D517" s="341"/>
      <c r="E517" s="341"/>
      <c r="F517" s="341"/>
      <c r="G517" s="341"/>
      <c r="H517" s="341"/>
      <c r="I517" s="341"/>
      <c r="J517" s="341"/>
      <c r="K517" s="341"/>
    </row>
    <row r="518" spans="1:11" ht="20.25">
      <c r="A518" s="341"/>
      <c r="B518" s="341"/>
      <c r="C518" s="341"/>
      <c r="D518" s="341"/>
      <c r="E518" s="341"/>
      <c r="F518" s="341"/>
      <c r="G518" s="341"/>
      <c r="H518" s="341"/>
      <c r="I518" s="341"/>
      <c r="J518" s="341"/>
      <c r="K518" s="341"/>
    </row>
    <row r="519" spans="1:11" ht="20.25">
      <c r="A519" s="341"/>
      <c r="B519" s="341"/>
      <c r="C519" s="341"/>
      <c r="D519" s="341"/>
      <c r="E519" s="341"/>
      <c r="F519" s="341"/>
      <c r="G519" s="341"/>
      <c r="H519" s="341"/>
      <c r="I519" s="341"/>
      <c r="J519" s="341"/>
      <c r="K519" s="341"/>
    </row>
    <row r="520" spans="1:11" ht="20.25">
      <c r="A520" s="341"/>
      <c r="B520" s="341"/>
      <c r="C520" s="341"/>
      <c r="D520" s="341"/>
      <c r="E520" s="341"/>
      <c r="F520" s="341"/>
      <c r="G520" s="341"/>
      <c r="H520" s="341"/>
      <c r="I520" s="341"/>
      <c r="J520" s="341"/>
      <c r="K520" s="341"/>
    </row>
    <row r="521" spans="1:11" ht="20.25">
      <c r="A521" s="341"/>
      <c r="B521" s="341"/>
      <c r="C521" s="341"/>
      <c r="D521" s="341"/>
      <c r="E521" s="341"/>
      <c r="F521" s="341"/>
      <c r="G521" s="341"/>
      <c r="H521" s="341"/>
      <c r="I521" s="341"/>
      <c r="J521" s="341"/>
      <c r="K521" s="341"/>
    </row>
    <row r="522" spans="1:11" ht="20.25">
      <c r="A522" s="341"/>
      <c r="B522" s="341"/>
      <c r="C522" s="341"/>
      <c r="D522" s="341"/>
      <c r="E522" s="341"/>
      <c r="F522" s="341"/>
      <c r="G522" s="341"/>
      <c r="H522" s="341"/>
      <c r="I522" s="341"/>
      <c r="J522" s="341"/>
      <c r="K522" s="341"/>
    </row>
    <row r="523" spans="1:11" ht="20.25">
      <c r="A523" s="341"/>
      <c r="B523" s="341"/>
      <c r="C523" s="341"/>
      <c r="D523" s="341"/>
      <c r="E523" s="341"/>
      <c r="F523" s="341"/>
      <c r="G523" s="341"/>
      <c r="H523" s="341"/>
      <c r="I523" s="341"/>
      <c r="J523" s="341"/>
      <c r="K523" s="341"/>
    </row>
    <row r="524" spans="1:11" ht="20.25">
      <c r="A524" s="341"/>
      <c r="B524" s="341"/>
      <c r="C524" s="341"/>
      <c r="D524" s="341"/>
      <c r="E524" s="341"/>
      <c r="F524" s="341"/>
      <c r="G524" s="341"/>
      <c r="H524" s="341"/>
      <c r="I524" s="341"/>
      <c r="J524" s="341"/>
      <c r="K524" s="341"/>
    </row>
    <row r="525" spans="1:11" ht="20.25">
      <c r="A525" s="341"/>
      <c r="B525" s="341"/>
      <c r="C525" s="341"/>
      <c r="D525" s="341"/>
      <c r="E525" s="341"/>
      <c r="F525" s="341"/>
      <c r="G525" s="341"/>
      <c r="H525" s="341"/>
      <c r="I525" s="341"/>
      <c r="J525" s="341"/>
      <c r="K525" s="341"/>
    </row>
    <row r="526" spans="1:11" ht="20.25">
      <c r="A526" s="341"/>
      <c r="B526" s="341"/>
      <c r="C526" s="341"/>
      <c r="D526" s="341"/>
      <c r="E526" s="341"/>
      <c r="F526" s="341"/>
      <c r="G526" s="341"/>
      <c r="H526" s="341"/>
      <c r="I526" s="341"/>
      <c r="J526" s="341"/>
      <c r="K526" s="341"/>
    </row>
    <row r="527" spans="1:11" ht="20.25">
      <c r="A527" s="341"/>
      <c r="B527" s="341"/>
      <c r="C527" s="341"/>
      <c r="D527" s="341"/>
      <c r="E527" s="341"/>
      <c r="F527" s="341"/>
      <c r="G527" s="341"/>
      <c r="H527" s="341"/>
      <c r="I527" s="341"/>
      <c r="J527" s="341"/>
      <c r="K527" s="341"/>
    </row>
    <row r="528" spans="1:11" ht="20.25">
      <c r="A528" s="341"/>
      <c r="B528" s="341"/>
      <c r="C528" s="341"/>
      <c r="D528" s="341"/>
      <c r="E528" s="341"/>
      <c r="F528" s="341"/>
      <c r="G528" s="341"/>
      <c r="H528" s="341"/>
      <c r="I528" s="341"/>
      <c r="J528" s="341"/>
      <c r="K528" s="341"/>
    </row>
    <row r="529" spans="1:11" ht="20.25">
      <c r="A529" s="341"/>
      <c r="B529" s="341"/>
      <c r="C529" s="341"/>
      <c r="D529" s="341"/>
      <c r="E529" s="341"/>
      <c r="F529" s="341"/>
      <c r="G529" s="341"/>
      <c r="H529" s="341"/>
      <c r="I529" s="341"/>
      <c r="J529" s="341"/>
      <c r="K529" s="341"/>
    </row>
    <row r="530" spans="1:11" ht="20.25">
      <c r="A530" s="341"/>
      <c r="B530" s="341"/>
      <c r="C530" s="341"/>
      <c r="D530" s="341"/>
      <c r="E530" s="341"/>
      <c r="F530" s="341"/>
      <c r="G530" s="341"/>
      <c r="H530" s="341"/>
      <c r="I530" s="341"/>
      <c r="J530" s="341"/>
      <c r="K530" s="341"/>
    </row>
    <row r="531" spans="1:11" ht="20.25">
      <c r="A531" s="341"/>
      <c r="B531" s="341"/>
      <c r="C531" s="341"/>
      <c r="D531" s="341"/>
      <c r="E531" s="341"/>
      <c r="F531" s="341"/>
      <c r="G531" s="341"/>
      <c r="H531" s="341"/>
      <c r="I531" s="341"/>
      <c r="J531" s="341"/>
      <c r="K531" s="341"/>
    </row>
    <row r="532" spans="1:11" ht="20.25">
      <c r="A532" s="341"/>
      <c r="B532" s="341"/>
      <c r="C532" s="341"/>
      <c r="D532" s="341"/>
      <c r="E532" s="341"/>
      <c r="F532" s="341"/>
      <c r="G532" s="341"/>
      <c r="H532" s="341"/>
      <c r="I532" s="341"/>
      <c r="J532" s="341"/>
      <c r="K532" s="341"/>
    </row>
    <row r="533" spans="1:11" ht="20.25">
      <c r="A533" s="341"/>
      <c r="B533" s="341"/>
      <c r="C533" s="341"/>
      <c r="D533" s="341"/>
      <c r="E533" s="341"/>
      <c r="F533" s="341"/>
      <c r="G533" s="341"/>
      <c r="H533" s="341"/>
      <c r="I533" s="341"/>
      <c r="J533" s="341"/>
      <c r="K533" s="341"/>
    </row>
    <row r="534" spans="1:11" ht="20.25">
      <c r="A534" s="341"/>
      <c r="B534" s="341"/>
      <c r="C534" s="341"/>
      <c r="D534" s="341"/>
      <c r="E534" s="341"/>
      <c r="F534" s="341"/>
      <c r="G534" s="341"/>
      <c r="H534" s="341"/>
      <c r="I534" s="341"/>
      <c r="J534" s="341"/>
      <c r="K534" s="341"/>
    </row>
    <row r="535" spans="1:11" ht="20.25">
      <c r="A535" s="341"/>
      <c r="B535" s="341"/>
      <c r="C535" s="341"/>
      <c r="D535" s="341"/>
      <c r="E535" s="341"/>
      <c r="F535" s="341"/>
      <c r="G535" s="341"/>
      <c r="H535" s="341"/>
      <c r="I535" s="341"/>
      <c r="J535" s="341"/>
      <c r="K535" s="341"/>
    </row>
    <row r="536" spans="1:11" ht="20.25">
      <c r="A536" s="341"/>
      <c r="B536" s="341"/>
      <c r="C536" s="341"/>
      <c r="D536" s="341"/>
      <c r="E536" s="341"/>
      <c r="F536" s="341"/>
      <c r="G536" s="341"/>
      <c r="H536" s="341"/>
      <c r="I536" s="341"/>
      <c r="J536" s="341"/>
      <c r="K536" s="341"/>
    </row>
    <row r="537" spans="1:11" ht="20.25">
      <c r="A537" s="341"/>
      <c r="B537" s="341"/>
      <c r="C537" s="341"/>
      <c r="D537" s="341"/>
      <c r="E537" s="341"/>
      <c r="F537" s="341"/>
      <c r="G537" s="341"/>
      <c r="H537" s="341"/>
      <c r="I537" s="341"/>
      <c r="J537" s="341"/>
      <c r="K537" s="341"/>
    </row>
    <row r="538" spans="1:11" ht="20.25">
      <c r="A538" s="341"/>
      <c r="B538" s="341"/>
      <c r="C538" s="341"/>
      <c r="D538" s="341"/>
      <c r="E538" s="341"/>
      <c r="F538" s="341"/>
      <c r="G538" s="341"/>
      <c r="H538" s="341"/>
      <c r="I538" s="341"/>
      <c r="J538" s="341"/>
      <c r="K538" s="341"/>
    </row>
    <row r="539" spans="1:11" ht="20.25">
      <c r="A539" s="341"/>
      <c r="B539" s="341"/>
      <c r="C539" s="341"/>
      <c r="D539" s="341"/>
      <c r="E539" s="341"/>
      <c r="F539" s="341"/>
      <c r="G539" s="341"/>
      <c r="H539" s="341"/>
      <c r="I539" s="341"/>
      <c r="J539" s="341"/>
      <c r="K539" s="341"/>
    </row>
    <row r="540" spans="1:11" ht="20.25">
      <c r="A540" s="341"/>
      <c r="B540" s="341"/>
      <c r="C540" s="341"/>
      <c r="D540" s="341"/>
      <c r="E540" s="341"/>
      <c r="F540" s="341"/>
      <c r="G540" s="341"/>
      <c r="H540" s="341"/>
      <c r="I540" s="341"/>
      <c r="J540" s="341"/>
      <c r="K540" s="341"/>
    </row>
    <row r="541" spans="1:11" ht="20.25">
      <c r="A541" s="341"/>
      <c r="B541" s="341"/>
      <c r="C541" s="341"/>
      <c r="D541" s="341"/>
      <c r="E541" s="341"/>
      <c r="F541" s="341"/>
      <c r="G541" s="341"/>
      <c r="H541" s="341"/>
      <c r="I541" s="341"/>
      <c r="J541" s="341"/>
      <c r="K541" s="341"/>
    </row>
    <row r="542" spans="1:11" ht="20.25">
      <c r="A542" s="341"/>
      <c r="B542" s="341"/>
      <c r="C542" s="341"/>
      <c r="D542" s="341"/>
      <c r="E542" s="341"/>
      <c r="F542" s="341"/>
      <c r="G542" s="341"/>
      <c r="H542" s="341"/>
      <c r="I542" s="341"/>
      <c r="J542" s="341"/>
      <c r="K542" s="341"/>
    </row>
    <row r="543" spans="1:11" ht="20.25">
      <c r="A543" s="341"/>
      <c r="B543" s="341"/>
      <c r="C543" s="341"/>
      <c r="D543" s="341"/>
      <c r="E543" s="341"/>
      <c r="F543" s="341"/>
      <c r="G543" s="341"/>
      <c r="H543" s="341"/>
      <c r="I543" s="341"/>
      <c r="J543" s="341"/>
      <c r="K543" s="341"/>
    </row>
    <row r="544" spans="1:11" ht="20.25">
      <c r="A544" s="341"/>
      <c r="B544" s="341"/>
      <c r="C544" s="341"/>
      <c r="D544" s="341"/>
      <c r="E544" s="341"/>
      <c r="F544" s="341"/>
      <c r="G544" s="341"/>
      <c r="H544" s="341"/>
      <c r="I544" s="341"/>
      <c r="J544" s="341"/>
      <c r="K544" s="341"/>
    </row>
    <row r="545" spans="1:11" ht="20.25">
      <c r="A545" s="341"/>
      <c r="B545" s="341"/>
      <c r="C545" s="341"/>
      <c r="D545" s="341"/>
      <c r="E545" s="341"/>
      <c r="F545" s="341"/>
      <c r="G545" s="341"/>
      <c r="H545" s="341"/>
      <c r="I545" s="341"/>
      <c r="J545" s="341"/>
      <c r="K545" s="341"/>
    </row>
    <row r="546" spans="1:11" ht="20.25">
      <c r="A546" s="341"/>
      <c r="B546" s="341"/>
      <c r="C546" s="341"/>
      <c r="D546" s="341"/>
      <c r="E546" s="341"/>
      <c r="F546" s="341"/>
      <c r="G546" s="341"/>
      <c r="H546" s="341"/>
      <c r="I546" s="341"/>
      <c r="J546" s="341"/>
      <c r="K546" s="341"/>
    </row>
    <row r="547" spans="1:11" ht="20.25">
      <c r="A547" s="341"/>
      <c r="B547" s="341"/>
      <c r="C547" s="341"/>
      <c r="D547" s="341"/>
      <c r="E547" s="341"/>
      <c r="F547" s="341"/>
      <c r="G547" s="341"/>
      <c r="H547" s="341"/>
      <c r="I547" s="341"/>
      <c r="J547" s="341"/>
      <c r="K547" s="341"/>
    </row>
    <row r="548" spans="1:11" ht="20.25">
      <c r="A548" s="341"/>
      <c r="B548" s="341"/>
      <c r="C548" s="341"/>
      <c r="D548" s="341"/>
      <c r="E548" s="341"/>
      <c r="F548" s="341"/>
      <c r="G548" s="341"/>
      <c r="H548" s="341"/>
      <c r="I548" s="341"/>
      <c r="J548" s="341"/>
      <c r="K548" s="341"/>
    </row>
    <row r="549" spans="1:11" ht="20.25">
      <c r="A549" s="341"/>
      <c r="B549" s="341"/>
      <c r="C549" s="341"/>
      <c r="D549" s="341"/>
      <c r="E549" s="341"/>
      <c r="F549" s="341"/>
      <c r="G549" s="341"/>
      <c r="H549" s="341"/>
      <c r="I549" s="341"/>
      <c r="J549" s="341"/>
      <c r="K549" s="341"/>
    </row>
    <row r="550" spans="1:11" ht="20.25">
      <c r="A550" s="341"/>
      <c r="B550" s="341"/>
      <c r="C550" s="341"/>
      <c r="D550" s="341"/>
      <c r="E550" s="341"/>
      <c r="F550" s="341"/>
      <c r="G550" s="341"/>
      <c r="H550" s="341"/>
      <c r="I550" s="341"/>
      <c r="J550" s="341"/>
      <c r="K550" s="341"/>
    </row>
    <row r="551" spans="1:11" ht="20.25">
      <c r="A551" s="341"/>
      <c r="B551" s="341"/>
      <c r="C551" s="341"/>
      <c r="D551" s="341"/>
      <c r="E551" s="341"/>
      <c r="F551" s="341"/>
      <c r="G551" s="341"/>
      <c r="H551" s="341"/>
      <c r="I551" s="341"/>
      <c r="J551" s="341"/>
      <c r="K551" s="341"/>
    </row>
    <row r="552" spans="1:11" ht="20.25">
      <c r="A552" s="341"/>
      <c r="B552" s="341"/>
      <c r="C552" s="341"/>
      <c r="D552" s="341"/>
      <c r="E552" s="341"/>
      <c r="F552" s="341"/>
      <c r="G552" s="341"/>
      <c r="H552" s="341"/>
      <c r="I552" s="341"/>
      <c r="J552" s="341"/>
      <c r="K552" s="341"/>
    </row>
    <row r="553" spans="1:11" ht="20.25">
      <c r="A553" s="341"/>
      <c r="B553" s="341"/>
      <c r="C553" s="341"/>
      <c r="D553" s="341"/>
      <c r="E553" s="341"/>
      <c r="F553" s="341"/>
      <c r="G553" s="341"/>
      <c r="H553" s="341"/>
      <c r="I553" s="341"/>
      <c r="J553" s="341"/>
      <c r="K553" s="341"/>
    </row>
    <row r="554" spans="1:11" ht="20.25">
      <c r="A554" s="341"/>
      <c r="B554" s="341"/>
      <c r="C554" s="341"/>
      <c r="D554" s="341"/>
      <c r="E554" s="341"/>
      <c r="F554" s="341"/>
      <c r="G554" s="341"/>
      <c r="H554" s="341"/>
      <c r="I554" s="341"/>
      <c r="J554" s="341"/>
      <c r="K554" s="341"/>
    </row>
    <row r="555" spans="1:11" ht="20.25">
      <c r="A555" s="341"/>
      <c r="B555" s="341"/>
      <c r="C555" s="341"/>
      <c r="D555" s="341"/>
      <c r="E555" s="341"/>
      <c r="F555" s="341"/>
      <c r="G555" s="341"/>
      <c r="H555" s="341"/>
      <c r="I555" s="341"/>
      <c r="J555" s="341"/>
      <c r="K555" s="341"/>
    </row>
    <row r="556" spans="1:11" ht="20.25">
      <c r="A556" s="341"/>
      <c r="B556" s="341"/>
      <c r="C556" s="341"/>
      <c r="D556" s="341"/>
      <c r="E556" s="341"/>
      <c r="F556" s="341"/>
      <c r="G556" s="341"/>
      <c r="H556" s="341"/>
      <c r="I556" s="341"/>
      <c r="J556" s="341"/>
      <c r="K556" s="341"/>
    </row>
    <row r="557" spans="1:11" ht="20.25">
      <c r="A557" s="341"/>
      <c r="B557" s="341"/>
      <c r="C557" s="341"/>
      <c r="D557" s="341"/>
      <c r="E557" s="341"/>
      <c r="F557" s="341"/>
      <c r="G557" s="341"/>
      <c r="H557" s="341"/>
      <c r="I557" s="341"/>
      <c r="J557" s="341"/>
      <c r="K557" s="341"/>
    </row>
    <row r="558" spans="1:11" ht="20.25">
      <c r="A558" s="341"/>
      <c r="B558" s="341"/>
      <c r="C558" s="341"/>
      <c r="D558" s="341"/>
      <c r="E558" s="341"/>
      <c r="F558" s="341"/>
      <c r="G558" s="341"/>
      <c r="H558" s="341"/>
      <c r="I558" s="341"/>
      <c r="J558" s="341"/>
      <c r="K558" s="341"/>
    </row>
    <row r="559" spans="1:11" ht="20.25">
      <c r="A559" s="341"/>
      <c r="B559" s="341"/>
      <c r="C559" s="341"/>
      <c r="D559" s="341"/>
      <c r="E559" s="341"/>
      <c r="F559" s="341"/>
      <c r="G559" s="341"/>
      <c r="H559" s="341"/>
      <c r="I559" s="341"/>
      <c r="J559" s="341"/>
      <c r="K559" s="341"/>
    </row>
    <row r="560" spans="1:11" ht="20.25">
      <c r="A560" s="341"/>
      <c r="B560" s="341"/>
      <c r="C560" s="341"/>
      <c r="D560" s="341"/>
      <c r="E560" s="341"/>
      <c r="F560" s="341"/>
      <c r="G560" s="341"/>
      <c r="H560" s="341"/>
      <c r="I560" s="341"/>
      <c r="J560" s="341"/>
      <c r="K560" s="341"/>
    </row>
    <row r="561" spans="1:11" ht="20.25">
      <c r="A561" s="341"/>
      <c r="B561" s="341"/>
      <c r="C561" s="341"/>
      <c r="D561" s="341"/>
      <c r="E561" s="341"/>
      <c r="F561" s="341"/>
      <c r="G561" s="341"/>
      <c r="H561" s="341"/>
      <c r="I561" s="341"/>
      <c r="J561" s="341"/>
      <c r="K561" s="341"/>
    </row>
    <row r="562" spans="1:11" ht="20.25">
      <c r="A562" s="341"/>
      <c r="B562" s="341"/>
      <c r="C562" s="341"/>
      <c r="D562" s="341"/>
      <c r="E562" s="341"/>
      <c r="F562" s="341"/>
      <c r="G562" s="341"/>
      <c r="H562" s="341"/>
      <c r="I562" s="341"/>
      <c r="J562" s="341"/>
      <c r="K562" s="341"/>
    </row>
    <row r="563" spans="1:11" ht="20.25">
      <c r="A563" s="341"/>
      <c r="B563" s="341"/>
      <c r="C563" s="341"/>
      <c r="D563" s="341"/>
      <c r="E563" s="341"/>
      <c r="F563" s="341"/>
      <c r="G563" s="341"/>
      <c r="H563" s="341"/>
      <c r="I563" s="341"/>
      <c r="J563" s="341"/>
      <c r="K563" s="341"/>
    </row>
    <row r="564" spans="1:11" ht="20.25">
      <c r="A564" s="341"/>
      <c r="B564" s="341"/>
      <c r="C564" s="341"/>
      <c r="D564" s="341"/>
      <c r="E564" s="341"/>
      <c r="F564" s="341"/>
      <c r="G564" s="341"/>
      <c r="H564" s="341"/>
      <c r="I564" s="341"/>
      <c r="J564" s="341"/>
      <c r="K564" s="341"/>
    </row>
    <row r="565" spans="1:11" ht="20.25">
      <c r="A565" s="341"/>
      <c r="B565" s="341"/>
      <c r="C565" s="341"/>
      <c r="D565" s="341"/>
      <c r="E565" s="341"/>
      <c r="F565" s="341"/>
      <c r="G565" s="341"/>
      <c r="H565" s="341"/>
      <c r="I565" s="341"/>
      <c r="J565" s="341"/>
      <c r="K565" s="341"/>
    </row>
    <row r="566" spans="1:11" ht="20.25">
      <c r="A566" s="341"/>
      <c r="B566" s="341"/>
      <c r="C566" s="341"/>
      <c r="D566" s="341"/>
      <c r="E566" s="341"/>
      <c r="F566" s="341"/>
      <c r="G566" s="341"/>
      <c r="H566" s="341"/>
      <c r="I566" s="341"/>
      <c r="J566" s="341"/>
      <c r="K566" s="341"/>
    </row>
    <row r="567" spans="1:11" ht="20.25">
      <c r="A567" s="341"/>
      <c r="B567" s="341"/>
      <c r="C567" s="341"/>
      <c r="D567" s="341"/>
      <c r="E567" s="341"/>
      <c r="F567" s="341"/>
      <c r="G567" s="341"/>
      <c r="H567" s="341"/>
      <c r="I567" s="341"/>
      <c r="J567" s="341"/>
      <c r="K567" s="341"/>
    </row>
    <row r="568" spans="1:11" ht="20.25">
      <c r="A568" s="341"/>
      <c r="B568" s="341"/>
      <c r="C568" s="341"/>
      <c r="D568" s="341"/>
      <c r="E568" s="341"/>
      <c r="F568" s="341"/>
      <c r="G568" s="341"/>
      <c r="H568" s="341"/>
      <c r="I568" s="341"/>
      <c r="J568" s="341"/>
      <c r="K568" s="341"/>
    </row>
    <row r="569" spans="1:11" ht="20.25">
      <c r="A569" s="341"/>
      <c r="B569" s="341"/>
      <c r="C569" s="341"/>
      <c r="D569" s="341"/>
      <c r="E569" s="341"/>
      <c r="F569" s="341"/>
      <c r="G569" s="341"/>
      <c r="H569" s="341"/>
      <c r="I569" s="341"/>
      <c r="J569" s="341"/>
      <c r="K569" s="341"/>
    </row>
    <row r="570" spans="1:11" ht="20.25">
      <c r="A570" s="341"/>
      <c r="B570" s="341"/>
      <c r="C570" s="341"/>
      <c r="D570" s="341"/>
      <c r="E570" s="341"/>
      <c r="F570" s="341"/>
      <c r="G570" s="341"/>
      <c r="H570" s="341"/>
      <c r="I570" s="341"/>
      <c r="J570" s="341"/>
      <c r="K570" s="341"/>
    </row>
    <row r="571" spans="1:11" ht="20.25">
      <c r="A571" s="341"/>
      <c r="B571" s="341"/>
      <c r="C571" s="341"/>
      <c r="D571" s="341"/>
      <c r="E571" s="341"/>
      <c r="F571" s="341"/>
      <c r="G571" s="341"/>
      <c r="H571" s="341"/>
      <c r="I571" s="341"/>
      <c r="J571" s="341"/>
      <c r="K571" s="341"/>
    </row>
    <row r="572" spans="1:11" ht="20.25">
      <c r="A572" s="341"/>
      <c r="B572" s="341"/>
      <c r="C572" s="341"/>
      <c r="D572" s="341"/>
      <c r="E572" s="341"/>
      <c r="F572" s="341"/>
      <c r="G572" s="341"/>
      <c r="H572" s="341"/>
      <c r="I572" s="341"/>
      <c r="J572" s="341"/>
      <c r="K572" s="341"/>
    </row>
    <row r="573" spans="1:11" ht="20.25">
      <c r="A573" s="341"/>
      <c r="B573" s="341"/>
      <c r="C573" s="341"/>
      <c r="D573" s="341"/>
      <c r="E573" s="341"/>
      <c r="F573" s="341"/>
      <c r="G573" s="341"/>
      <c r="H573" s="341"/>
      <c r="I573" s="341"/>
      <c r="J573" s="341"/>
      <c r="K573" s="341"/>
    </row>
    <row r="574" spans="1:11" ht="20.25">
      <c r="A574" s="341"/>
      <c r="B574" s="341"/>
      <c r="C574" s="341"/>
      <c r="D574" s="341"/>
      <c r="E574" s="341"/>
      <c r="F574" s="341"/>
      <c r="G574" s="341"/>
      <c r="H574" s="341"/>
      <c r="I574" s="341"/>
      <c r="J574" s="341"/>
      <c r="K574" s="341"/>
    </row>
    <row r="575" spans="1:11" ht="20.25">
      <c r="A575" s="341"/>
      <c r="B575" s="341"/>
      <c r="C575" s="341"/>
      <c r="D575" s="341"/>
      <c r="E575" s="341"/>
      <c r="F575" s="341"/>
      <c r="G575" s="341"/>
      <c r="H575" s="341"/>
      <c r="I575" s="341"/>
      <c r="J575" s="341"/>
      <c r="K575" s="341"/>
    </row>
    <row r="576" spans="1:11" ht="20.25">
      <c r="A576" s="341"/>
      <c r="B576" s="341"/>
      <c r="C576" s="341"/>
      <c r="D576" s="341"/>
      <c r="E576" s="341"/>
      <c r="F576" s="341"/>
      <c r="G576" s="341"/>
      <c r="H576" s="341"/>
      <c r="I576" s="341"/>
      <c r="J576" s="341"/>
      <c r="K576" s="341"/>
    </row>
    <row r="577" spans="1:11" ht="20.25">
      <c r="A577" s="341"/>
      <c r="B577" s="341"/>
      <c r="C577" s="341"/>
      <c r="D577" s="341"/>
      <c r="E577" s="341"/>
      <c r="F577" s="341"/>
      <c r="G577" s="341"/>
      <c r="H577" s="341"/>
      <c r="I577" s="341"/>
      <c r="J577" s="341"/>
      <c r="K577" s="341"/>
    </row>
    <row r="578" spans="1:11" ht="20.25">
      <c r="A578" s="341"/>
      <c r="B578" s="341"/>
      <c r="C578" s="341"/>
      <c r="D578" s="341"/>
      <c r="E578" s="341"/>
      <c r="F578" s="341"/>
      <c r="G578" s="341"/>
      <c r="H578" s="341"/>
      <c r="I578" s="341"/>
      <c r="J578" s="341"/>
      <c r="K578" s="341"/>
    </row>
    <row r="579" spans="1:11" ht="20.25">
      <c r="A579" s="341"/>
      <c r="B579" s="341"/>
      <c r="C579" s="341"/>
      <c r="D579" s="341"/>
      <c r="E579" s="341"/>
      <c r="F579" s="341"/>
      <c r="G579" s="341"/>
      <c r="H579" s="341"/>
      <c r="I579" s="341"/>
      <c r="J579" s="341"/>
      <c r="K579" s="341"/>
    </row>
    <row r="580" spans="1:11" ht="20.25">
      <c r="A580" s="341"/>
      <c r="B580" s="341"/>
      <c r="C580" s="341"/>
      <c r="D580" s="341"/>
      <c r="E580" s="341"/>
      <c r="F580" s="341"/>
      <c r="G580" s="341"/>
      <c r="H580" s="341"/>
      <c r="I580" s="341"/>
      <c r="J580" s="341"/>
      <c r="K580" s="341"/>
    </row>
    <row r="581" spans="1:11" ht="20.25">
      <c r="A581" s="341"/>
      <c r="B581" s="341"/>
      <c r="C581" s="341"/>
      <c r="D581" s="341"/>
      <c r="E581" s="341"/>
      <c r="F581" s="341"/>
      <c r="G581" s="341"/>
      <c r="H581" s="341"/>
      <c r="I581" s="341"/>
      <c r="J581" s="341"/>
      <c r="K581" s="341"/>
    </row>
    <row r="582" spans="1:11" ht="20.25">
      <c r="A582" s="341"/>
      <c r="B582" s="341"/>
      <c r="C582" s="341"/>
      <c r="D582" s="341"/>
      <c r="E582" s="341"/>
      <c r="F582" s="341"/>
      <c r="G582" s="341"/>
      <c r="H582" s="341"/>
      <c r="I582" s="341"/>
      <c r="J582" s="341"/>
      <c r="K582" s="341"/>
    </row>
    <row r="583" spans="1:11" ht="20.25">
      <c r="A583" s="341"/>
      <c r="B583" s="341"/>
      <c r="C583" s="341"/>
      <c r="D583" s="341"/>
      <c r="E583" s="341"/>
      <c r="F583" s="341"/>
      <c r="G583" s="341"/>
      <c r="H583" s="341"/>
      <c r="I583" s="341"/>
      <c r="J583" s="341"/>
      <c r="K583" s="341"/>
    </row>
    <row r="584" spans="1:11" ht="20.25">
      <c r="A584" s="341"/>
      <c r="B584" s="341"/>
      <c r="C584" s="341"/>
      <c r="D584" s="341"/>
      <c r="E584" s="341"/>
      <c r="F584" s="341"/>
      <c r="G584" s="341"/>
      <c r="H584" s="341"/>
      <c r="I584" s="341"/>
      <c r="J584" s="341"/>
      <c r="K584" s="341"/>
    </row>
    <row r="585" spans="1:11" ht="20.25">
      <c r="A585" s="341"/>
      <c r="B585" s="341"/>
      <c r="C585" s="341"/>
      <c r="D585" s="341"/>
      <c r="E585" s="341"/>
      <c r="F585" s="341"/>
      <c r="G585" s="341"/>
      <c r="H585" s="341"/>
      <c r="I585" s="341"/>
      <c r="J585" s="341"/>
      <c r="K585" s="341"/>
    </row>
    <row r="586" spans="1:11" ht="20.25">
      <c r="A586" s="341"/>
      <c r="B586" s="341"/>
      <c r="C586" s="341"/>
      <c r="D586" s="341"/>
      <c r="E586" s="341"/>
      <c r="F586" s="341"/>
      <c r="G586" s="341"/>
      <c r="H586" s="341"/>
      <c r="I586" s="341"/>
      <c r="J586" s="341"/>
      <c r="K586" s="341"/>
    </row>
    <row r="587" spans="1:11" ht="20.25">
      <c r="A587" s="341"/>
      <c r="B587" s="341"/>
      <c r="C587" s="341"/>
      <c r="D587" s="341"/>
      <c r="E587" s="341"/>
      <c r="F587" s="341"/>
      <c r="G587" s="341"/>
      <c r="H587" s="341"/>
      <c r="I587" s="341"/>
      <c r="J587" s="341"/>
      <c r="K587" s="341"/>
    </row>
    <row r="588" spans="1:11" ht="20.25">
      <c r="A588" s="341"/>
      <c r="B588" s="341"/>
      <c r="C588" s="341"/>
      <c r="D588" s="341"/>
      <c r="E588" s="341"/>
      <c r="F588" s="341"/>
      <c r="G588" s="341"/>
      <c r="H588" s="341"/>
      <c r="I588" s="341"/>
      <c r="J588" s="341"/>
      <c r="K588" s="341"/>
    </row>
    <row r="589" spans="1:11" ht="20.25">
      <c r="A589" s="341"/>
      <c r="B589" s="341"/>
      <c r="C589" s="341"/>
      <c r="D589" s="341"/>
      <c r="E589" s="341"/>
      <c r="F589" s="341"/>
      <c r="G589" s="341"/>
      <c r="H589" s="341"/>
      <c r="I589" s="341"/>
      <c r="J589" s="341"/>
      <c r="K589" s="341"/>
    </row>
    <row r="590" spans="1:11" ht="20.25">
      <c r="A590" s="341"/>
      <c r="B590" s="341"/>
      <c r="C590" s="341"/>
      <c r="D590" s="341"/>
      <c r="E590" s="341"/>
      <c r="F590" s="341"/>
      <c r="G590" s="341"/>
      <c r="H590" s="341"/>
      <c r="I590" s="341"/>
      <c r="J590" s="341"/>
      <c r="K590" s="341"/>
    </row>
    <row r="591" spans="1:11" ht="20.25">
      <c r="A591" s="341"/>
      <c r="B591" s="341"/>
      <c r="C591" s="341"/>
      <c r="D591" s="341"/>
      <c r="E591" s="341"/>
      <c r="F591" s="341"/>
      <c r="G591" s="341"/>
      <c r="H591" s="341"/>
      <c r="I591" s="341"/>
      <c r="J591" s="341"/>
      <c r="K591" s="341"/>
    </row>
    <row r="592" spans="1:11" ht="20.25">
      <c r="A592" s="341"/>
      <c r="B592" s="341"/>
      <c r="C592" s="341"/>
      <c r="D592" s="341"/>
      <c r="E592" s="341"/>
      <c r="F592" s="341"/>
      <c r="G592" s="341"/>
      <c r="H592" s="341"/>
      <c r="I592" s="341"/>
      <c r="J592" s="341"/>
      <c r="K592" s="341"/>
    </row>
    <row r="593" spans="1:11" ht="20.25">
      <c r="A593" s="341"/>
      <c r="B593" s="341"/>
      <c r="C593" s="341"/>
      <c r="D593" s="341"/>
      <c r="E593" s="341"/>
      <c r="F593" s="341"/>
      <c r="G593" s="341"/>
      <c r="H593" s="341"/>
      <c r="I593" s="341"/>
      <c r="J593" s="341"/>
      <c r="K593" s="341"/>
    </row>
    <row r="594" spans="1:11" ht="20.25">
      <c r="A594" s="341"/>
      <c r="B594" s="341"/>
      <c r="C594" s="341"/>
      <c r="D594" s="341"/>
      <c r="E594" s="341"/>
      <c r="F594" s="341"/>
      <c r="G594" s="341"/>
      <c r="H594" s="341"/>
      <c r="I594" s="341"/>
      <c r="J594" s="341"/>
      <c r="K594" s="341"/>
    </row>
    <row r="595" spans="1:11" ht="20.25">
      <c r="A595" s="341"/>
      <c r="B595" s="341"/>
      <c r="C595" s="341"/>
      <c r="D595" s="341"/>
      <c r="E595" s="341"/>
      <c r="F595" s="341"/>
      <c r="G595" s="341"/>
      <c r="H595" s="341"/>
      <c r="I595" s="341"/>
      <c r="J595" s="341"/>
      <c r="K595" s="341"/>
    </row>
    <row r="596" spans="1:11" ht="20.25">
      <c r="A596" s="341"/>
      <c r="B596" s="341"/>
      <c r="C596" s="341"/>
      <c r="D596" s="341"/>
      <c r="E596" s="341"/>
      <c r="F596" s="341"/>
      <c r="G596" s="341"/>
      <c r="H596" s="341"/>
      <c r="I596" s="341"/>
      <c r="J596" s="341"/>
      <c r="K596" s="341"/>
    </row>
    <row r="597" spans="1:11" ht="20.25">
      <c r="A597" s="341"/>
      <c r="B597" s="341"/>
      <c r="C597" s="341"/>
      <c r="D597" s="341"/>
      <c r="E597" s="341"/>
      <c r="F597" s="341"/>
      <c r="G597" s="341"/>
      <c r="H597" s="341"/>
      <c r="I597" s="341"/>
      <c r="J597" s="341"/>
      <c r="K597" s="341"/>
    </row>
    <row r="598" spans="1:11" ht="20.25">
      <c r="A598" s="341"/>
      <c r="B598" s="341"/>
      <c r="C598" s="341"/>
      <c r="D598" s="341"/>
      <c r="E598" s="341"/>
      <c r="F598" s="341"/>
      <c r="G598" s="341"/>
      <c r="H598" s="341"/>
      <c r="I598" s="341"/>
      <c r="J598" s="341"/>
      <c r="K598" s="341"/>
    </row>
    <row r="599" spans="1:11" ht="20.25">
      <c r="A599" s="341"/>
      <c r="B599" s="341"/>
      <c r="C599" s="341"/>
      <c r="D599" s="341"/>
      <c r="E599" s="341"/>
      <c r="F599" s="341"/>
      <c r="G599" s="341"/>
      <c r="H599" s="341"/>
      <c r="I599" s="341"/>
      <c r="J599" s="341"/>
      <c r="K599" s="341"/>
    </row>
    <row r="600" spans="1:11" ht="20.25">
      <c r="A600" s="341"/>
      <c r="B600" s="341"/>
      <c r="C600" s="341"/>
      <c r="D600" s="341"/>
      <c r="E600" s="341"/>
      <c r="F600" s="341"/>
      <c r="G600" s="341"/>
      <c r="H600" s="341"/>
      <c r="I600" s="341"/>
      <c r="J600" s="341"/>
      <c r="K600" s="341"/>
    </row>
    <row r="601" spans="1:11" ht="20.25">
      <c r="A601" s="341"/>
      <c r="B601" s="341"/>
      <c r="C601" s="341"/>
      <c r="D601" s="341"/>
      <c r="E601" s="341"/>
      <c r="F601" s="341"/>
      <c r="G601" s="341"/>
      <c r="H601" s="341"/>
      <c r="I601" s="341"/>
      <c r="J601" s="341"/>
      <c r="K601" s="341"/>
    </row>
    <row r="602" spans="1:11" ht="20.25">
      <c r="A602" s="341"/>
      <c r="B602" s="341"/>
      <c r="C602" s="341"/>
      <c r="D602" s="341"/>
      <c r="E602" s="341"/>
      <c r="F602" s="341"/>
      <c r="G602" s="341"/>
      <c r="H602" s="341"/>
      <c r="I602" s="341"/>
      <c r="J602" s="341"/>
      <c r="K602" s="341"/>
    </row>
    <row r="603" spans="1:11" ht="20.25">
      <c r="A603" s="341"/>
      <c r="B603" s="341"/>
      <c r="C603" s="341"/>
      <c r="D603" s="341"/>
      <c r="E603" s="341"/>
      <c r="F603" s="341"/>
      <c r="G603" s="341"/>
      <c r="H603" s="341"/>
      <c r="I603" s="341"/>
      <c r="J603" s="341"/>
      <c r="K603" s="341"/>
    </row>
    <row r="604" spans="1:11" ht="20.25">
      <c r="A604" s="341"/>
      <c r="B604" s="341"/>
      <c r="C604" s="341"/>
      <c r="D604" s="341"/>
      <c r="E604" s="341"/>
      <c r="F604" s="341"/>
      <c r="G604" s="341"/>
      <c r="H604" s="341"/>
      <c r="I604" s="341"/>
      <c r="J604" s="341"/>
      <c r="K604" s="341"/>
    </row>
    <row r="605" spans="1:11" ht="20.25">
      <c r="A605" s="341"/>
      <c r="B605" s="341"/>
      <c r="C605" s="341"/>
      <c r="D605" s="341"/>
      <c r="E605" s="341"/>
      <c r="F605" s="341"/>
      <c r="G605" s="341"/>
      <c r="H605" s="341"/>
      <c r="I605" s="341"/>
      <c r="J605" s="341"/>
      <c r="K605" s="341"/>
    </row>
    <row r="606" spans="1:11" ht="20.25">
      <c r="A606" s="341"/>
      <c r="B606" s="341"/>
      <c r="C606" s="341"/>
      <c r="D606" s="341"/>
      <c r="E606" s="341"/>
      <c r="F606" s="341"/>
      <c r="G606" s="341"/>
      <c r="H606" s="341"/>
      <c r="I606" s="341"/>
      <c r="J606" s="341"/>
      <c r="K606" s="341"/>
    </row>
    <row r="607" spans="1:11" ht="20.25">
      <c r="A607" s="341"/>
      <c r="B607" s="341"/>
      <c r="C607" s="341"/>
      <c r="D607" s="341"/>
      <c r="E607" s="341"/>
      <c r="F607" s="341"/>
      <c r="G607" s="341"/>
      <c r="H607" s="341"/>
      <c r="I607" s="341"/>
      <c r="J607" s="341"/>
      <c r="K607" s="341"/>
    </row>
    <row r="608" spans="1:11" ht="20.25">
      <c r="A608" s="341"/>
      <c r="B608" s="341"/>
      <c r="C608" s="341"/>
      <c r="D608" s="341"/>
      <c r="E608" s="341"/>
      <c r="F608" s="341"/>
      <c r="G608" s="341"/>
      <c r="H608" s="341"/>
      <c r="I608" s="341"/>
      <c r="J608" s="341"/>
      <c r="K608" s="341"/>
    </row>
    <row r="609" spans="1:11" ht="20.25">
      <c r="A609" s="341"/>
      <c r="B609" s="341"/>
      <c r="C609" s="341"/>
      <c r="D609" s="341"/>
      <c r="E609" s="341"/>
      <c r="F609" s="341"/>
      <c r="G609" s="341"/>
      <c r="H609" s="341"/>
      <c r="I609" s="341"/>
      <c r="J609" s="341"/>
      <c r="K609" s="341"/>
    </row>
    <row r="610" spans="1:11" ht="20.25">
      <c r="A610" s="341"/>
      <c r="B610" s="341"/>
      <c r="C610" s="341"/>
      <c r="D610" s="341"/>
      <c r="E610" s="341"/>
      <c r="F610" s="341"/>
      <c r="G610" s="341"/>
      <c r="H610" s="341"/>
      <c r="I610" s="341"/>
      <c r="J610" s="341"/>
      <c r="K610" s="341"/>
    </row>
    <row r="611" spans="1:11" ht="20.25">
      <c r="A611" s="341"/>
      <c r="B611" s="341"/>
      <c r="C611" s="341"/>
      <c r="D611" s="341"/>
      <c r="E611" s="341"/>
      <c r="F611" s="341"/>
      <c r="G611" s="341"/>
      <c r="H611" s="341"/>
      <c r="I611" s="341"/>
      <c r="J611" s="341"/>
      <c r="K611" s="341"/>
    </row>
    <row r="612" spans="1:11" ht="20.25">
      <c r="A612" s="341"/>
      <c r="B612" s="341"/>
      <c r="C612" s="341"/>
      <c r="D612" s="341"/>
      <c r="E612" s="341"/>
      <c r="F612" s="341"/>
      <c r="G612" s="341"/>
      <c r="H612" s="341"/>
      <c r="I612" s="341"/>
      <c r="J612" s="341"/>
      <c r="K612" s="341"/>
    </row>
    <row r="613" spans="1:11" ht="20.25">
      <c r="A613" s="341"/>
      <c r="B613" s="341"/>
      <c r="C613" s="341"/>
      <c r="D613" s="341"/>
      <c r="E613" s="341"/>
      <c r="F613" s="341"/>
      <c r="G613" s="341"/>
      <c r="H613" s="341"/>
      <c r="I613" s="341"/>
      <c r="J613" s="341"/>
      <c r="K613" s="341"/>
    </row>
    <row r="614" spans="1:11" ht="20.25">
      <c r="A614" s="341"/>
      <c r="B614" s="341"/>
      <c r="C614" s="341"/>
      <c r="D614" s="341"/>
      <c r="E614" s="341"/>
      <c r="F614" s="341"/>
      <c r="G614" s="341"/>
      <c r="H614" s="341"/>
      <c r="I614" s="341"/>
      <c r="J614" s="341"/>
      <c r="K614" s="341"/>
    </row>
    <row r="615" spans="1:11" ht="20.25">
      <c r="A615" s="341"/>
      <c r="B615" s="341"/>
      <c r="C615" s="341"/>
      <c r="D615" s="341"/>
      <c r="E615" s="341"/>
      <c r="F615" s="341"/>
      <c r="G615" s="341"/>
      <c r="H615" s="341"/>
      <c r="I615" s="341"/>
      <c r="J615" s="341"/>
      <c r="K615" s="341"/>
    </row>
    <row r="616" spans="1:11" ht="20.25">
      <c r="A616" s="341"/>
      <c r="B616" s="341"/>
      <c r="C616" s="341"/>
      <c r="D616" s="341"/>
      <c r="E616" s="341"/>
      <c r="F616" s="341"/>
      <c r="G616" s="341"/>
      <c r="H616" s="341"/>
      <c r="I616" s="341"/>
      <c r="J616" s="341"/>
      <c r="K616" s="341"/>
    </row>
    <row r="617" spans="1:11" ht="20.25">
      <c r="A617" s="341"/>
      <c r="B617" s="341"/>
      <c r="C617" s="341"/>
      <c r="D617" s="341"/>
      <c r="E617" s="341"/>
      <c r="F617" s="341"/>
      <c r="G617" s="341"/>
      <c r="H617" s="341"/>
      <c r="I617" s="341"/>
      <c r="J617" s="341"/>
      <c r="K617" s="341"/>
    </row>
    <row r="618" spans="1:11" ht="20.25">
      <c r="A618" s="341"/>
      <c r="B618" s="341"/>
      <c r="C618" s="341"/>
      <c r="D618" s="341"/>
      <c r="E618" s="341"/>
      <c r="F618" s="341"/>
      <c r="G618" s="341"/>
      <c r="H618" s="341"/>
      <c r="I618" s="341"/>
      <c r="J618" s="341"/>
      <c r="K618" s="341"/>
    </row>
    <row r="619" spans="1:11" ht="20.25">
      <c r="A619" s="341"/>
      <c r="B619" s="341"/>
      <c r="C619" s="341"/>
      <c r="D619" s="341"/>
      <c r="E619" s="341"/>
      <c r="F619" s="341"/>
      <c r="G619" s="341"/>
      <c r="H619" s="341"/>
      <c r="I619" s="341"/>
      <c r="J619" s="341"/>
      <c r="K619" s="341"/>
    </row>
    <row r="620" spans="1:11" ht="20.25">
      <c r="A620" s="341"/>
      <c r="B620" s="341"/>
      <c r="C620" s="341"/>
      <c r="D620" s="341"/>
      <c r="E620" s="341"/>
      <c r="F620" s="341"/>
      <c r="G620" s="341"/>
      <c r="H620" s="341"/>
      <c r="I620" s="341"/>
      <c r="J620" s="341"/>
      <c r="K620" s="341"/>
    </row>
    <row r="621" spans="1:11" ht="20.25">
      <c r="A621" s="341"/>
      <c r="B621" s="341"/>
      <c r="C621" s="341"/>
      <c r="D621" s="341"/>
      <c r="E621" s="341"/>
      <c r="F621" s="341"/>
      <c r="G621" s="341"/>
      <c r="H621" s="341"/>
      <c r="I621" s="341"/>
      <c r="J621" s="341"/>
      <c r="K621" s="341"/>
    </row>
    <row r="622" spans="1:11" ht="20.25">
      <c r="A622" s="341"/>
      <c r="B622" s="341"/>
      <c r="C622" s="341"/>
      <c r="D622" s="341"/>
      <c r="E622" s="341"/>
      <c r="F622" s="341"/>
      <c r="G622" s="341"/>
      <c r="H622" s="341"/>
      <c r="I622" s="341"/>
      <c r="J622" s="341"/>
      <c r="K622" s="341"/>
    </row>
    <row r="623" spans="1:11" ht="20.25">
      <c r="A623" s="341"/>
      <c r="B623" s="341"/>
      <c r="C623" s="341"/>
      <c r="D623" s="341"/>
      <c r="E623" s="341"/>
      <c r="F623" s="341"/>
      <c r="G623" s="341"/>
      <c r="H623" s="341"/>
      <c r="I623" s="341"/>
      <c r="J623" s="341"/>
      <c r="K623" s="341"/>
    </row>
    <row r="624" spans="1:11" ht="20.25">
      <c r="A624" s="341"/>
      <c r="B624" s="341"/>
      <c r="C624" s="341"/>
      <c r="D624" s="341"/>
      <c r="E624" s="341"/>
      <c r="F624" s="341"/>
      <c r="G624" s="341"/>
      <c r="H624" s="341"/>
      <c r="I624" s="341"/>
      <c r="J624" s="341"/>
      <c r="K624" s="341"/>
    </row>
    <row r="625" spans="1:11" ht="20.25">
      <c r="A625" s="341"/>
      <c r="B625" s="341"/>
      <c r="C625" s="341"/>
      <c r="D625" s="341"/>
      <c r="E625" s="341"/>
      <c r="F625" s="341"/>
      <c r="G625" s="341"/>
      <c r="H625" s="341"/>
      <c r="I625" s="341"/>
      <c r="J625" s="341"/>
      <c r="K625" s="341"/>
    </row>
    <row r="626" spans="1:11" ht="20.25">
      <c r="A626" s="341"/>
      <c r="B626" s="341"/>
      <c r="C626" s="341"/>
      <c r="D626" s="341"/>
      <c r="E626" s="341"/>
      <c r="F626" s="341"/>
      <c r="G626" s="341"/>
      <c r="H626" s="341"/>
      <c r="I626" s="341"/>
      <c r="J626" s="341"/>
      <c r="K626" s="341"/>
    </row>
    <row r="627" spans="1:11" ht="20.25">
      <c r="A627" s="341"/>
      <c r="B627" s="341"/>
      <c r="C627" s="341"/>
      <c r="D627" s="341"/>
      <c r="E627" s="341"/>
      <c r="F627" s="341"/>
      <c r="G627" s="341"/>
      <c r="H627" s="341"/>
      <c r="I627" s="341"/>
      <c r="J627" s="341"/>
      <c r="K627" s="341"/>
    </row>
    <row r="628" spans="1:11" ht="20.25">
      <c r="A628" s="341"/>
      <c r="B628" s="341"/>
      <c r="C628" s="341"/>
      <c r="D628" s="341"/>
      <c r="E628" s="341"/>
      <c r="F628" s="341"/>
      <c r="G628" s="341"/>
      <c r="H628" s="341"/>
      <c r="I628" s="341"/>
      <c r="J628" s="341"/>
      <c r="K628" s="341"/>
    </row>
    <row r="629" spans="1:11" ht="20.25">
      <c r="A629" s="341"/>
      <c r="B629" s="341"/>
      <c r="C629" s="341"/>
      <c r="D629" s="341"/>
      <c r="E629" s="341"/>
      <c r="F629" s="341"/>
      <c r="G629" s="341"/>
      <c r="H629" s="341"/>
      <c r="I629" s="341"/>
      <c r="J629" s="341"/>
      <c r="K629" s="341"/>
    </row>
    <row r="630" spans="1:11" ht="20.25">
      <c r="A630" s="341"/>
      <c r="B630" s="341"/>
      <c r="C630" s="341"/>
      <c r="D630" s="341"/>
      <c r="E630" s="341"/>
      <c r="F630" s="341"/>
      <c r="G630" s="341"/>
      <c r="H630" s="341"/>
      <c r="I630" s="341"/>
      <c r="J630" s="341"/>
      <c r="K630" s="341"/>
    </row>
    <row r="631" spans="1:11" ht="20.25">
      <c r="A631" s="341"/>
      <c r="B631" s="341"/>
      <c r="C631" s="341"/>
      <c r="D631" s="341"/>
      <c r="E631" s="341"/>
      <c r="F631" s="341"/>
      <c r="G631" s="341"/>
      <c r="H631" s="341"/>
      <c r="I631" s="341"/>
      <c r="J631" s="341"/>
      <c r="K631" s="341"/>
    </row>
    <row r="632" spans="1:11" ht="20.25">
      <c r="A632" s="341"/>
      <c r="B632" s="341"/>
      <c r="C632" s="341"/>
      <c r="D632" s="341"/>
      <c r="E632" s="341"/>
      <c r="F632" s="341"/>
      <c r="G632" s="341"/>
      <c r="H632" s="341"/>
      <c r="I632" s="341"/>
      <c r="J632" s="341"/>
      <c r="K632" s="341"/>
    </row>
    <row r="633" spans="1:11" ht="20.25">
      <c r="A633" s="341"/>
      <c r="B633" s="341"/>
      <c r="C633" s="341"/>
      <c r="D633" s="341"/>
      <c r="E633" s="341"/>
      <c r="F633" s="341"/>
      <c r="G633" s="341"/>
      <c r="H633" s="341"/>
      <c r="I633" s="341"/>
      <c r="J633" s="341"/>
      <c r="K633" s="341"/>
    </row>
    <row r="634" spans="1:11" ht="20.25">
      <c r="A634" s="341"/>
      <c r="B634" s="341"/>
      <c r="C634" s="341"/>
      <c r="D634" s="341"/>
      <c r="E634" s="341"/>
      <c r="F634" s="341"/>
      <c r="G634" s="341"/>
      <c r="H634" s="341"/>
      <c r="I634" s="341"/>
      <c r="J634" s="341"/>
      <c r="K634" s="341"/>
    </row>
    <row r="635" spans="1:11" ht="20.25">
      <c r="A635" s="341"/>
      <c r="B635" s="341"/>
      <c r="C635" s="341"/>
      <c r="D635" s="341"/>
      <c r="E635" s="341"/>
      <c r="F635" s="341"/>
      <c r="G635" s="341"/>
      <c r="H635" s="341"/>
      <c r="I635" s="341"/>
      <c r="J635" s="341"/>
      <c r="K635" s="341"/>
    </row>
    <row r="636" spans="1:11" ht="20.25">
      <c r="A636" s="341"/>
      <c r="B636" s="341"/>
      <c r="C636" s="341"/>
      <c r="D636" s="341"/>
      <c r="E636" s="341"/>
      <c r="F636" s="341"/>
      <c r="G636" s="341"/>
      <c r="H636" s="341"/>
      <c r="I636" s="341"/>
      <c r="J636" s="341"/>
      <c r="K636" s="341"/>
    </row>
    <row r="637" spans="1:11" ht="20.25">
      <c r="A637" s="341"/>
      <c r="B637" s="341"/>
      <c r="C637" s="341"/>
      <c r="D637" s="341"/>
      <c r="E637" s="341"/>
      <c r="F637" s="341"/>
      <c r="G637" s="341"/>
      <c r="H637" s="341"/>
      <c r="I637" s="341"/>
      <c r="J637" s="341"/>
      <c r="K637" s="341"/>
    </row>
    <row r="638" spans="1:11" ht="20.25">
      <c r="A638" s="341"/>
      <c r="B638" s="341"/>
      <c r="C638" s="341"/>
      <c r="D638" s="341"/>
      <c r="E638" s="341"/>
      <c r="F638" s="341"/>
      <c r="G638" s="341"/>
      <c r="H638" s="341"/>
      <c r="I638" s="341"/>
      <c r="J638" s="341"/>
      <c r="K638" s="341"/>
    </row>
    <row r="639" spans="1:11" ht="20.25">
      <c r="A639" s="341"/>
      <c r="B639" s="341"/>
      <c r="C639" s="341"/>
      <c r="D639" s="341"/>
      <c r="E639" s="341"/>
      <c r="F639" s="341"/>
      <c r="G639" s="341"/>
      <c r="H639" s="341"/>
      <c r="I639" s="341"/>
      <c r="J639" s="341"/>
      <c r="K639" s="341"/>
    </row>
    <row r="640" spans="1:11" ht="20.25">
      <c r="A640" s="341"/>
      <c r="B640" s="341"/>
      <c r="C640" s="341"/>
      <c r="D640" s="341"/>
      <c r="E640" s="341"/>
      <c r="F640" s="341"/>
      <c r="G640" s="341"/>
      <c r="H640" s="341"/>
      <c r="I640" s="341"/>
      <c r="J640" s="341"/>
      <c r="K640" s="341"/>
    </row>
    <row r="641" spans="1:11" ht="20.25">
      <c r="A641" s="341"/>
      <c r="B641" s="341"/>
      <c r="C641" s="341"/>
      <c r="D641" s="341"/>
      <c r="E641" s="341"/>
      <c r="F641" s="341"/>
      <c r="G641" s="341"/>
      <c r="H641" s="341"/>
      <c r="I641" s="341"/>
      <c r="J641" s="341"/>
      <c r="K641" s="341"/>
    </row>
    <row r="642" spans="1:11" ht="20.25">
      <c r="A642" s="341"/>
      <c r="B642" s="341"/>
      <c r="C642" s="341"/>
      <c r="D642" s="341"/>
      <c r="E642" s="341"/>
      <c r="F642" s="341"/>
      <c r="G642" s="341"/>
      <c r="H642" s="341"/>
      <c r="I642" s="341"/>
      <c r="J642" s="341"/>
      <c r="K642" s="341"/>
    </row>
    <row r="643" spans="1:11" ht="20.25">
      <c r="A643" s="341"/>
      <c r="B643" s="341"/>
      <c r="C643" s="341"/>
      <c r="D643" s="341"/>
      <c r="E643" s="341"/>
      <c r="F643" s="341"/>
      <c r="G643" s="341"/>
      <c r="H643" s="341"/>
      <c r="I643" s="341"/>
      <c r="J643" s="341"/>
      <c r="K643" s="341"/>
    </row>
    <row r="644" spans="1:11" ht="20.25">
      <c r="A644" s="341"/>
      <c r="B644" s="341"/>
      <c r="C644" s="341"/>
      <c r="D644" s="341"/>
      <c r="E644" s="341"/>
      <c r="F644" s="341"/>
      <c r="G644" s="341"/>
      <c r="H644" s="341"/>
      <c r="I644" s="341"/>
      <c r="J644" s="341"/>
      <c r="K644" s="341"/>
    </row>
    <row r="645" spans="1:11" ht="20.25">
      <c r="A645" s="341"/>
      <c r="B645" s="341"/>
      <c r="C645" s="341"/>
      <c r="D645" s="341"/>
      <c r="E645" s="341"/>
      <c r="F645" s="341"/>
      <c r="G645" s="341"/>
      <c r="H645" s="341"/>
      <c r="I645" s="341"/>
      <c r="J645" s="341"/>
      <c r="K645" s="341"/>
    </row>
    <row r="646" spans="1:11" ht="20.25">
      <c r="A646" s="341"/>
      <c r="B646" s="341"/>
      <c r="C646" s="341"/>
      <c r="D646" s="341"/>
      <c r="E646" s="341"/>
      <c r="F646" s="341"/>
      <c r="G646" s="341"/>
      <c r="H646" s="341"/>
      <c r="I646" s="341"/>
      <c r="J646" s="341"/>
      <c r="K646" s="341"/>
    </row>
    <row r="647" spans="1:11" ht="20.25">
      <c r="A647" s="341"/>
      <c r="B647" s="341"/>
      <c r="C647" s="341"/>
      <c r="D647" s="341"/>
      <c r="E647" s="341"/>
      <c r="F647" s="341"/>
      <c r="G647" s="341"/>
      <c r="H647" s="341"/>
      <c r="I647" s="341"/>
      <c r="J647" s="341"/>
      <c r="K647" s="341"/>
    </row>
    <row r="648" spans="1:11" ht="20.25">
      <c r="A648" s="341"/>
      <c r="B648" s="341"/>
      <c r="C648" s="341"/>
      <c r="D648" s="341"/>
      <c r="E648" s="341"/>
      <c r="F648" s="341"/>
      <c r="G648" s="341"/>
      <c r="H648" s="341"/>
      <c r="I648" s="341"/>
      <c r="J648" s="341"/>
      <c r="K648" s="341"/>
    </row>
    <row r="649" spans="1:11" ht="20.25">
      <c r="A649" s="341"/>
      <c r="B649" s="341"/>
      <c r="C649" s="341"/>
      <c r="D649" s="341"/>
      <c r="E649" s="341"/>
      <c r="F649" s="341"/>
      <c r="G649" s="341"/>
      <c r="H649" s="341"/>
      <c r="I649" s="341"/>
      <c r="J649" s="341"/>
      <c r="K649" s="341"/>
    </row>
    <row r="650" spans="1:11" ht="20.25">
      <c r="A650" s="341"/>
      <c r="B650" s="341"/>
      <c r="C650" s="341"/>
      <c r="D650" s="341"/>
      <c r="E650" s="341"/>
      <c r="F650" s="341"/>
      <c r="G650" s="341"/>
      <c r="H650" s="341"/>
      <c r="I650" s="341"/>
      <c r="J650" s="341"/>
      <c r="K650" s="341"/>
    </row>
    <row r="651" spans="1:11" ht="20.25">
      <c r="A651" s="341"/>
      <c r="B651" s="341"/>
      <c r="C651" s="341"/>
      <c r="D651" s="341"/>
      <c r="E651" s="341"/>
      <c r="F651" s="341"/>
      <c r="G651" s="341"/>
      <c r="H651" s="341"/>
      <c r="I651" s="341"/>
      <c r="J651" s="341"/>
      <c r="K651" s="341"/>
    </row>
    <row r="652" spans="1:11" ht="20.25">
      <c r="A652" s="341"/>
      <c r="B652" s="341"/>
      <c r="C652" s="341"/>
      <c r="D652" s="341"/>
      <c r="E652" s="341"/>
      <c r="F652" s="341"/>
      <c r="G652" s="341"/>
      <c r="H652" s="341"/>
      <c r="I652" s="341"/>
      <c r="J652" s="341"/>
      <c r="K652" s="341"/>
    </row>
    <row r="653" spans="1:11" ht="20.25">
      <c r="A653" s="341"/>
      <c r="B653" s="341"/>
      <c r="C653" s="341"/>
      <c r="D653" s="341"/>
      <c r="E653" s="341"/>
      <c r="F653" s="341"/>
      <c r="G653" s="341"/>
      <c r="H653" s="341"/>
      <c r="I653" s="341"/>
      <c r="J653" s="341"/>
      <c r="K653" s="341"/>
    </row>
    <row r="654" spans="1:11" ht="20.25">
      <c r="A654" s="341"/>
      <c r="B654" s="341"/>
      <c r="C654" s="341"/>
      <c r="D654" s="341"/>
      <c r="E654" s="341"/>
      <c r="F654" s="341"/>
      <c r="G654" s="341"/>
      <c r="H654" s="341"/>
      <c r="I654" s="341"/>
      <c r="J654" s="341"/>
      <c r="K654" s="341"/>
    </row>
    <row r="655" spans="1:11" ht="20.25">
      <c r="A655" s="341"/>
      <c r="B655" s="341"/>
      <c r="C655" s="341"/>
      <c r="D655" s="341"/>
      <c r="E655" s="341"/>
      <c r="F655" s="341"/>
      <c r="G655" s="341"/>
      <c r="H655" s="341"/>
      <c r="I655" s="341"/>
      <c r="J655" s="341"/>
      <c r="K655" s="341"/>
    </row>
    <row r="656" spans="1:11" ht="20.25">
      <c r="A656" s="341"/>
      <c r="B656" s="341"/>
      <c r="C656" s="341"/>
      <c r="D656" s="341"/>
      <c r="E656" s="341"/>
      <c r="F656" s="341"/>
      <c r="G656" s="341"/>
      <c r="H656" s="341"/>
      <c r="I656" s="341"/>
      <c r="J656" s="341"/>
      <c r="K656" s="341"/>
    </row>
    <row r="657" spans="1:11" ht="20.25">
      <c r="A657" s="341"/>
      <c r="B657" s="341"/>
      <c r="C657" s="341"/>
      <c r="D657" s="341"/>
      <c r="E657" s="341"/>
      <c r="F657" s="341"/>
      <c r="G657" s="341"/>
      <c r="H657" s="341"/>
      <c r="I657" s="341"/>
      <c r="J657" s="341"/>
      <c r="K657" s="341"/>
    </row>
    <row r="658" spans="1:11" ht="20.25">
      <c r="A658" s="341"/>
      <c r="B658" s="341"/>
      <c r="C658" s="341"/>
      <c r="D658" s="341"/>
      <c r="E658" s="341"/>
      <c r="F658" s="341"/>
      <c r="G658" s="341"/>
      <c r="H658" s="341"/>
      <c r="I658" s="341"/>
      <c r="J658" s="341"/>
      <c r="K658" s="341"/>
    </row>
    <row r="659" spans="1:11" ht="20.25">
      <c r="A659" s="341"/>
      <c r="B659" s="341"/>
      <c r="C659" s="341"/>
      <c r="D659" s="341"/>
      <c r="E659" s="341"/>
      <c r="F659" s="341"/>
      <c r="G659" s="341"/>
      <c r="H659" s="341"/>
      <c r="I659" s="341"/>
      <c r="J659" s="341"/>
      <c r="K659" s="341"/>
    </row>
    <row r="660" spans="1:11" ht="20.25">
      <c r="A660" s="341"/>
      <c r="B660" s="341"/>
      <c r="C660" s="341"/>
      <c r="D660" s="341"/>
      <c r="E660" s="341"/>
      <c r="F660" s="341"/>
      <c r="G660" s="341"/>
      <c r="H660" s="341"/>
      <c r="I660" s="341"/>
      <c r="J660" s="341"/>
      <c r="K660" s="341"/>
    </row>
    <row r="661" spans="1:11" ht="20.25">
      <c r="A661" s="341"/>
      <c r="B661" s="341"/>
      <c r="C661" s="341"/>
      <c r="D661" s="341"/>
      <c r="E661" s="341"/>
      <c r="F661" s="341"/>
      <c r="G661" s="341"/>
      <c r="H661" s="341"/>
      <c r="I661" s="341"/>
      <c r="J661" s="341"/>
      <c r="K661" s="341"/>
    </row>
    <row r="662" spans="1:11" ht="20.25">
      <c r="A662" s="341"/>
      <c r="B662" s="341"/>
      <c r="C662" s="341"/>
      <c r="D662" s="341"/>
      <c r="E662" s="341"/>
      <c r="F662" s="341"/>
      <c r="G662" s="341"/>
      <c r="H662" s="341"/>
      <c r="I662" s="341"/>
      <c r="J662" s="341"/>
      <c r="K662" s="341"/>
    </row>
    <row r="663" spans="1:11" ht="20.25">
      <c r="A663" s="341"/>
      <c r="B663" s="341"/>
      <c r="C663" s="341"/>
      <c r="D663" s="341"/>
      <c r="E663" s="341"/>
      <c r="F663" s="341"/>
      <c r="G663" s="341"/>
      <c r="H663" s="341"/>
      <c r="I663" s="341"/>
      <c r="J663" s="341"/>
      <c r="K663" s="341"/>
    </row>
    <row r="664" spans="1:11" ht="20.25">
      <c r="A664" s="341"/>
      <c r="B664" s="341"/>
      <c r="C664" s="341"/>
      <c r="D664" s="341"/>
      <c r="E664" s="341"/>
      <c r="F664" s="341"/>
      <c r="G664" s="341"/>
      <c r="H664" s="341"/>
      <c r="I664" s="341"/>
      <c r="J664" s="341"/>
      <c r="K664" s="341"/>
    </row>
    <row r="665" spans="1:11" ht="20.25">
      <c r="A665" s="341"/>
      <c r="B665" s="341"/>
      <c r="C665" s="341"/>
      <c r="D665" s="341"/>
      <c r="E665" s="341"/>
      <c r="F665" s="341"/>
      <c r="G665" s="341"/>
      <c r="H665" s="341"/>
      <c r="I665" s="341"/>
      <c r="J665" s="341"/>
      <c r="K665" s="341"/>
    </row>
    <row r="666" spans="1:11" ht="20.25">
      <c r="A666" s="341"/>
      <c r="B666" s="341"/>
      <c r="C666" s="341"/>
      <c r="D666" s="341"/>
      <c r="E666" s="341"/>
      <c r="F666" s="341"/>
      <c r="G666" s="341"/>
      <c r="H666" s="341"/>
      <c r="I666" s="341"/>
      <c r="J666" s="341"/>
      <c r="K666" s="341"/>
    </row>
    <row r="667" spans="1:11" ht="20.25">
      <c r="A667" s="341"/>
      <c r="B667" s="341"/>
      <c r="C667" s="341"/>
      <c r="D667" s="341"/>
      <c r="E667" s="341"/>
      <c r="F667" s="341"/>
      <c r="G667" s="341"/>
      <c r="H667" s="341"/>
      <c r="I667" s="341"/>
      <c r="J667" s="341"/>
      <c r="K667" s="341"/>
    </row>
    <row r="668" spans="1:11" ht="20.25">
      <c r="A668" s="341"/>
      <c r="B668" s="341"/>
      <c r="C668" s="341"/>
      <c r="D668" s="341"/>
      <c r="E668" s="341"/>
      <c r="F668" s="341"/>
      <c r="G668" s="341"/>
      <c r="H668" s="341"/>
      <c r="I668" s="341"/>
      <c r="J668" s="341"/>
      <c r="K668" s="341"/>
    </row>
    <row r="669" spans="1:11" ht="20.25">
      <c r="A669" s="341"/>
      <c r="B669" s="341"/>
      <c r="C669" s="341"/>
      <c r="D669" s="341"/>
      <c r="E669" s="341"/>
      <c r="F669" s="341"/>
      <c r="G669" s="341"/>
      <c r="H669" s="341"/>
      <c r="I669" s="341"/>
      <c r="J669" s="341"/>
      <c r="K669" s="341"/>
    </row>
    <row r="670" spans="1:11" ht="20.25">
      <c r="A670" s="341"/>
      <c r="B670" s="341"/>
      <c r="C670" s="341"/>
      <c r="D670" s="341"/>
      <c r="E670" s="341"/>
      <c r="F670" s="341"/>
      <c r="G670" s="341"/>
      <c r="H670" s="341"/>
      <c r="I670" s="341"/>
      <c r="J670" s="341"/>
      <c r="K670" s="341"/>
    </row>
    <row r="671" spans="1:11" ht="20.25">
      <c r="A671" s="341"/>
      <c r="B671" s="341"/>
      <c r="C671" s="341"/>
      <c r="D671" s="341"/>
      <c r="E671" s="341"/>
      <c r="F671" s="341"/>
      <c r="G671" s="341"/>
      <c r="H671" s="341"/>
      <c r="I671" s="341"/>
      <c r="J671" s="341"/>
      <c r="K671" s="341"/>
    </row>
    <row r="672" spans="1:11" ht="20.25">
      <c r="A672" s="341"/>
      <c r="B672" s="341"/>
      <c r="C672" s="341"/>
      <c r="D672" s="341"/>
      <c r="E672" s="341"/>
      <c r="F672" s="341"/>
      <c r="G672" s="341"/>
      <c r="H672" s="341"/>
      <c r="I672" s="341"/>
      <c r="J672" s="341"/>
      <c r="K672" s="341"/>
    </row>
    <row r="673" spans="1:11" ht="20.25">
      <c r="A673" s="341"/>
      <c r="B673" s="341"/>
      <c r="C673" s="341"/>
      <c r="D673" s="341"/>
      <c r="E673" s="341"/>
      <c r="F673" s="341"/>
      <c r="G673" s="341"/>
      <c r="H673" s="341"/>
      <c r="I673" s="341"/>
      <c r="J673" s="341"/>
      <c r="K673" s="341"/>
    </row>
    <row r="674" spans="1:11" ht="20.25">
      <c r="A674" s="341"/>
      <c r="B674" s="341"/>
      <c r="C674" s="341"/>
      <c r="D674" s="341"/>
      <c r="E674" s="341"/>
      <c r="F674" s="341"/>
      <c r="G674" s="341"/>
      <c r="H674" s="341"/>
      <c r="I674" s="341"/>
      <c r="J674" s="341"/>
      <c r="K674" s="341"/>
    </row>
    <row r="675" spans="1:11" ht="20.25">
      <c r="A675" s="341"/>
      <c r="B675" s="341"/>
      <c r="C675" s="341"/>
      <c r="D675" s="341"/>
      <c r="E675" s="341"/>
      <c r="F675" s="341"/>
      <c r="G675" s="341"/>
      <c r="H675" s="341"/>
      <c r="I675" s="341"/>
      <c r="J675" s="341"/>
      <c r="K675" s="341"/>
    </row>
    <row r="676" spans="1:11" ht="20.25">
      <c r="A676" s="341"/>
      <c r="B676" s="341"/>
      <c r="C676" s="341"/>
      <c r="D676" s="341"/>
      <c r="E676" s="341"/>
      <c r="F676" s="341"/>
      <c r="G676" s="341"/>
      <c r="H676" s="341"/>
      <c r="I676" s="341"/>
      <c r="J676" s="341"/>
      <c r="K676" s="341"/>
    </row>
    <row r="677" spans="1:11" ht="20.25">
      <c r="A677" s="341"/>
      <c r="B677" s="341"/>
      <c r="C677" s="341"/>
      <c r="D677" s="341"/>
      <c r="E677" s="341"/>
      <c r="F677" s="341"/>
      <c r="G677" s="341"/>
      <c r="H677" s="341"/>
      <c r="I677" s="341"/>
      <c r="J677" s="341"/>
      <c r="K677" s="341"/>
    </row>
    <row r="678" spans="1:11" ht="20.25">
      <c r="A678" s="341"/>
      <c r="B678" s="341"/>
      <c r="C678" s="341"/>
      <c r="D678" s="341"/>
      <c r="E678" s="341"/>
      <c r="F678" s="341"/>
      <c r="G678" s="341"/>
      <c r="H678" s="341"/>
      <c r="I678" s="341"/>
      <c r="J678" s="341"/>
      <c r="K678" s="341"/>
    </row>
    <row r="679" spans="1:11" ht="20.25">
      <c r="A679" s="341"/>
      <c r="B679" s="341"/>
      <c r="C679" s="341"/>
      <c r="D679" s="341"/>
      <c r="E679" s="341"/>
      <c r="F679" s="341"/>
      <c r="G679" s="341"/>
      <c r="H679" s="341"/>
      <c r="I679" s="341"/>
      <c r="J679" s="341"/>
      <c r="K679" s="341"/>
    </row>
    <row r="680" spans="1:11" ht="20.25">
      <c r="A680" s="341"/>
      <c r="B680" s="341"/>
      <c r="C680" s="341"/>
      <c r="D680" s="341"/>
      <c r="E680" s="341"/>
      <c r="F680" s="341"/>
      <c r="G680" s="341"/>
      <c r="H680" s="341"/>
      <c r="I680" s="341"/>
      <c r="J680" s="341"/>
      <c r="K680" s="341"/>
    </row>
    <row r="681" spans="1:11" ht="20.25">
      <c r="A681" s="341"/>
      <c r="B681" s="341"/>
      <c r="C681" s="341"/>
      <c r="D681" s="341"/>
      <c r="E681" s="341"/>
      <c r="F681" s="341"/>
      <c r="G681" s="341"/>
      <c r="H681" s="341"/>
      <c r="I681" s="341"/>
      <c r="J681" s="341"/>
      <c r="K681" s="341"/>
    </row>
    <row r="682" spans="1:11" ht="20.25">
      <c r="A682" s="341"/>
      <c r="B682" s="341"/>
      <c r="C682" s="341"/>
      <c r="D682" s="341"/>
      <c r="E682" s="341"/>
      <c r="F682" s="341"/>
      <c r="G682" s="341"/>
      <c r="H682" s="341"/>
      <c r="I682" s="341"/>
      <c r="J682" s="341"/>
      <c r="K682" s="341"/>
    </row>
    <row r="683" spans="1:11" ht="20.25">
      <c r="A683" s="341"/>
      <c r="B683" s="341"/>
      <c r="C683" s="341"/>
      <c r="D683" s="341"/>
      <c r="E683" s="341"/>
      <c r="F683" s="341"/>
      <c r="G683" s="341"/>
      <c r="H683" s="341"/>
      <c r="I683" s="341"/>
      <c r="J683" s="341"/>
      <c r="K683" s="341"/>
    </row>
    <row r="684" spans="1:11" ht="20.25">
      <c r="A684" s="341"/>
      <c r="B684" s="341"/>
      <c r="C684" s="341"/>
      <c r="D684" s="341"/>
      <c r="E684" s="341"/>
      <c r="F684" s="341"/>
      <c r="G684" s="341"/>
      <c r="H684" s="341"/>
      <c r="I684" s="341"/>
      <c r="J684" s="341"/>
      <c r="K684" s="341"/>
    </row>
    <row r="685" spans="1:11" ht="20.25">
      <c r="A685" s="341"/>
      <c r="B685" s="341"/>
      <c r="C685" s="341"/>
      <c r="D685" s="341"/>
      <c r="E685" s="341"/>
      <c r="F685" s="341"/>
      <c r="G685" s="341"/>
      <c r="H685" s="341"/>
      <c r="I685" s="341"/>
      <c r="J685" s="341"/>
      <c r="K685" s="341"/>
    </row>
    <row r="686" spans="1:11" ht="20.25">
      <c r="A686" s="341"/>
      <c r="B686" s="341"/>
      <c r="C686" s="341"/>
      <c r="D686" s="341"/>
      <c r="E686" s="341"/>
      <c r="F686" s="341"/>
      <c r="G686" s="341"/>
      <c r="H686" s="341"/>
      <c r="I686" s="341"/>
      <c r="J686" s="341"/>
      <c r="K686" s="341"/>
    </row>
    <row r="687" spans="1:11" ht="20.25">
      <c r="A687" s="341"/>
      <c r="B687" s="341"/>
      <c r="C687" s="341"/>
      <c r="D687" s="341"/>
      <c r="E687" s="341"/>
      <c r="F687" s="341"/>
      <c r="G687" s="341"/>
      <c r="H687" s="341"/>
      <c r="I687" s="341"/>
      <c r="J687" s="341"/>
      <c r="K687" s="341"/>
    </row>
    <row r="688" spans="1:11" ht="20.25">
      <c r="A688" s="341"/>
      <c r="B688" s="341"/>
      <c r="C688" s="341"/>
      <c r="D688" s="341"/>
      <c r="E688" s="341"/>
      <c r="F688" s="341"/>
      <c r="G688" s="341"/>
      <c r="H688" s="341"/>
      <c r="I688" s="341"/>
      <c r="J688" s="341"/>
      <c r="K688" s="341"/>
    </row>
    <row r="689" spans="1:11" ht="20.25">
      <c r="A689" s="341"/>
      <c r="B689" s="341"/>
      <c r="C689" s="341"/>
      <c r="D689" s="341"/>
      <c r="E689" s="341"/>
      <c r="F689" s="341"/>
      <c r="G689" s="341"/>
      <c r="H689" s="341"/>
      <c r="I689" s="341"/>
      <c r="J689" s="341"/>
      <c r="K689" s="341"/>
    </row>
    <row r="690" spans="1:11" ht="20.25">
      <c r="A690" s="341"/>
      <c r="B690" s="341"/>
      <c r="C690" s="341"/>
      <c r="D690" s="341"/>
      <c r="E690" s="341"/>
      <c r="F690" s="341"/>
      <c r="G690" s="341"/>
      <c r="H690" s="341"/>
      <c r="I690" s="341"/>
      <c r="J690" s="341"/>
      <c r="K690" s="341"/>
    </row>
    <row r="691" spans="1:11" ht="20.25">
      <c r="A691" s="341"/>
      <c r="B691" s="341"/>
      <c r="C691" s="341"/>
      <c r="D691" s="341"/>
      <c r="E691" s="341"/>
      <c r="F691" s="341"/>
      <c r="G691" s="341"/>
      <c r="H691" s="341"/>
      <c r="I691" s="341"/>
      <c r="J691" s="341"/>
      <c r="K691" s="341"/>
    </row>
    <row r="692" spans="1:11" ht="20.25">
      <c r="A692" s="341"/>
      <c r="B692" s="341"/>
      <c r="C692" s="341"/>
      <c r="D692" s="341"/>
      <c r="E692" s="341"/>
      <c r="F692" s="341"/>
      <c r="G692" s="341"/>
      <c r="H692" s="341"/>
      <c r="I692" s="341"/>
      <c r="J692" s="341"/>
      <c r="K692" s="341"/>
    </row>
    <row r="693" spans="1:11" ht="20.25">
      <c r="A693" s="341"/>
      <c r="B693" s="341"/>
      <c r="C693" s="341"/>
      <c r="D693" s="341"/>
      <c r="E693" s="341"/>
      <c r="F693" s="341"/>
      <c r="G693" s="341"/>
      <c r="H693" s="341"/>
      <c r="I693" s="341"/>
      <c r="J693" s="341"/>
      <c r="K693" s="341"/>
    </row>
    <row r="694" spans="1:11" ht="20.25">
      <c r="A694" s="341"/>
      <c r="B694" s="341"/>
      <c r="C694" s="341"/>
      <c r="D694" s="341"/>
      <c r="E694" s="341"/>
      <c r="F694" s="341"/>
      <c r="G694" s="341"/>
      <c r="H694" s="341"/>
      <c r="I694" s="341"/>
      <c r="J694" s="341"/>
      <c r="K694" s="341"/>
    </row>
    <row r="695" spans="1:11" ht="20.25">
      <c r="A695" s="341"/>
      <c r="B695" s="341"/>
      <c r="C695" s="341"/>
      <c r="D695" s="341"/>
      <c r="E695" s="341"/>
      <c r="F695" s="341"/>
      <c r="G695" s="341"/>
      <c r="H695" s="341"/>
      <c r="I695" s="341"/>
      <c r="J695" s="341"/>
      <c r="K695" s="341"/>
    </row>
    <row r="696" spans="1:11" ht="20.25">
      <c r="A696" s="341"/>
      <c r="B696" s="341"/>
      <c r="C696" s="341"/>
      <c r="D696" s="341"/>
      <c r="E696" s="341"/>
      <c r="F696" s="341"/>
      <c r="G696" s="341"/>
      <c r="H696" s="341"/>
      <c r="I696" s="341"/>
      <c r="J696" s="341"/>
      <c r="K696" s="341"/>
    </row>
    <row r="697" spans="1:11" ht="20.25">
      <c r="A697" s="341"/>
      <c r="B697" s="341"/>
      <c r="C697" s="341"/>
      <c r="D697" s="341"/>
      <c r="E697" s="341"/>
      <c r="F697" s="341"/>
      <c r="G697" s="341"/>
      <c r="H697" s="341"/>
      <c r="I697" s="341"/>
      <c r="J697" s="341"/>
      <c r="K697" s="341"/>
    </row>
    <row r="698" spans="1:11" ht="20.25">
      <c r="A698" s="341"/>
      <c r="B698" s="341"/>
      <c r="C698" s="341"/>
      <c r="D698" s="341"/>
      <c r="E698" s="341"/>
      <c r="F698" s="341"/>
      <c r="G698" s="341"/>
      <c r="H698" s="341"/>
      <c r="I698" s="341"/>
      <c r="J698" s="341"/>
      <c r="K698" s="341"/>
    </row>
    <row r="699" spans="1:11" ht="20.25">
      <c r="A699" s="341"/>
      <c r="B699" s="341"/>
      <c r="C699" s="341"/>
      <c r="D699" s="341"/>
      <c r="E699" s="341"/>
      <c r="F699" s="341"/>
      <c r="G699" s="341"/>
      <c r="H699" s="341"/>
      <c r="I699" s="341"/>
      <c r="J699" s="341"/>
      <c r="K699" s="341"/>
    </row>
    <row r="700" spans="1:11" ht="20.25">
      <c r="A700" s="341"/>
      <c r="B700" s="341"/>
      <c r="C700" s="341"/>
      <c r="D700" s="341"/>
      <c r="E700" s="341"/>
      <c r="F700" s="341"/>
      <c r="G700" s="341"/>
      <c r="H700" s="341"/>
      <c r="I700" s="341"/>
      <c r="J700" s="341"/>
      <c r="K700" s="341"/>
    </row>
    <row r="701" spans="1:11" ht="20.25">
      <c r="A701" s="341"/>
      <c r="B701" s="341"/>
      <c r="C701" s="341"/>
      <c r="D701" s="341"/>
      <c r="E701" s="341"/>
      <c r="F701" s="341"/>
      <c r="G701" s="341"/>
      <c r="H701" s="341"/>
      <c r="I701" s="341"/>
      <c r="J701" s="341"/>
      <c r="K701" s="341"/>
    </row>
    <row r="702" spans="1:11" ht="20.25">
      <c r="A702" s="341"/>
      <c r="B702" s="341"/>
      <c r="C702" s="341"/>
      <c r="D702" s="341"/>
      <c r="E702" s="341"/>
      <c r="F702" s="341"/>
      <c r="G702" s="341"/>
      <c r="H702" s="341"/>
      <c r="I702" s="341"/>
      <c r="J702" s="341"/>
      <c r="K702" s="341"/>
    </row>
    <row r="703" spans="1:11" ht="20.25">
      <c r="A703" s="341"/>
      <c r="B703" s="341"/>
      <c r="C703" s="341"/>
      <c r="D703" s="341"/>
      <c r="E703" s="341"/>
      <c r="F703" s="341"/>
      <c r="G703" s="341"/>
      <c r="H703" s="341"/>
      <c r="I703" s="341"/>
      <c r="J703" s="341"/>
      <c r="K703" s="341"/>
    </row>
    <row r="704" spans="1:11" ht="20.25">
      <c r="A704" s="341"/>
      <c r="B704" s="341"/>
      <c r="C704" s="341"/>
      <c r="D704" s="341"/>
      <c r="E704" s="341"/>
      <c r="F704" s="341"/>
      <c r="G704" s="341"/>
      <c r="H704" s="341"/>
      <c r="I704" s="341"/>
      <c r="J704" s="341"/>
      <c r="K704" s="341"/>
    </row>
    <row r="705" spans="1:11" ht="20.25">
      <c r="A705" s="341"/>
      <c r="B705" s="341"/>
      <c r="C705" s="341"/>
      <c r="D705" s="341"/>
      <c r="E705" s="341"/>
      <c r="F705" s="341"/>
      <c r="G705" s="341"/>
      <c r="H705" s="341"/>
      <c r="I705" s="341"/>
      <c r="J705" s="341"/>
      <c r="K705" s="341"/>
    </row>
    <row r="706" spans="1:11" ht="20.25">
      <c r="A706" s="341"/>
      <c r="B706" s="341"/>
      <c r="C706" s="341"/>
      <c r="D706" s="341"/>
      <c r="E706" s="341"/>
      <c r="F706" s="341"/>
      <c r="G706" s="341"/>
      <c r="H706" s="341"/>
      <c r="I706" s="341"/>
      <c r="J706" s="341"/>
      <c r="K706" s="341"/>
    </row>
    <row r="707" spans="1:11" ht="20.25">
      <c r="A707" s="341"/>
      <c r="B707" s="341"/>
      <c r="C707" s="341"/>
      <c r="D707" s="341"/>
      <c r="E707" s="341"/>
      <c r="F707" s="341"/>
      <c r="G707" s="341"/>
      <c r="H707" s="341"/>
      <c r="I707" s="341"/>
      <c r="J707" s="341"/>
      <c r="K707" s="341"/>
    </row>
    <row r="708" spans="1:11" ht="20.25">
      <c r="A708" s="341"/>
      <c r="B708" s="341"/>
      <c r="C708" s="341"/>
      <c r="D708" s="341"/>
      <c r="E708" s="341"/>
      <c r="F708" s="341"/>
      <c r="G708" s="341"/>
      <c r="H708" s="341"/>
      <c r="I708" s="341"/>
      <c r="J708" s="341"/>
      <c r="K708" s="341"/>
    </row>
    <row r="709" spans="1:11" ht="20.25">
      <c r="A709" s="341"/>
      <c r="B709" s="341"/>
      <c r="C709" s="341"/>
      <c r="D709" s="341"/>
      <c r="E709" s="341"/>
      <c r="F709" s="341"/>
      <c r="G709" s="341"/>
      <c r="H709" s="341"/>
      <c r="I709" s="341"/>
      <c r="J709" s="341"/>
      <c r="K709" s="341"/>
    </row>
    <row r="710" spans="1:11" ht="20.25">
      <c r="A710" s="341"/>
      <c r="B710" s="341"/>
      <c r="C710" s="341"/>
      <c r="D710" s="341"/>
      <c r="E710" s="341"/>
      <c r="F710" s="341"/>
      <c r="G710" s="341"/>
      <c r="H710" s="341"/>
      <c r="I710" s="341"/>
      <c r="J710" s="341"/>
      <c r="K710" s="341"/>
    </row>
    <row r="711" spans="1:11" ht="20.25">
      <c r="A711" s="341"/>
      <c r="B711" s="341"/>
      <c r="C711" s="341"/>
      <c r="D711" s="341"/>
      <c r="E711" s="341"/>
      <c r="F711" s="341"/>
      <c r="G711" s="341"/>
      <c r="H711" s="341"/>
      <c r="I711" s="341"/>
      <c r="J711" s="341"/>
      <c r="K711" s="341"/>
    </row>
    <row r="712" spans="1:11" ht="20.25">
      <c r="A712" s="341"/>
      <c r="B712" s="341"/>
      <c r="C712" s="341"/>
      <c r="D712" s="341"/>
      <c r="E712" s="341"/>
      <c r="F712" s="341"/>
      <c r="G712" s="341"/>
      <c r="H712" s="341"/>
      <c r="I712" s="341"/>
      <c r="J712" s="341"/>
      <c r="K712" s="341"/>
    </row>
    <row r="713" spans="1:11" ht="20.25">
      <c r="A713" s="341"/>
      <c r="B713" s="341"/>
      <c r="C713" s="341"/>
      <c r="D713" s="341"/>
      <c r="E713" s="341"/>
      <c r="F713" s="341"/>
      <c r="G713" s="341"/>
      <c r="H713" s="341"/>
      <c r="I713" s="341"/>
      <c r="J713" s="341"/>
      <c r="K713" s="341"/>
    </row>
    <row r="714" spans="1:11" ht="20.25">
      <c r="A714" s="341"/>
      <c r="B714" s="341"/>
      <c r="C714" s="341"/>
      <c r="D714" s="341"/>
      <c r="E714" s="341"/>
      <c r="F714" s="341"/>
      <c r="G714" s="341"/>
      <c r="H714" s="341"/>
      <c r="I714" s="341"/>
      <c r="J714" s="341"/>
      <c r="K714" s="341"/>
    </row>
    <row r="715" spans="1:11" ht="20.25">
      <c r="A715" s="341"/>
      <c r="B715" s="341"/>
      <c r="C715" s="341"/>
      <c r="D715" s="341"/>
      <c r="E715" s="341"/>
      <c r="F715" s="341"/>
      <c r="G715" s="341"/>
      <c r="H715" s="341"/>
      <c r="I715" s="341"/>
      <c r="J715" s="341"/>
      <c r="K715" s="341"/>
    </row>
    <row r="716" spans="1:11" ht="20.25">
      <c r="A716" s="341"/>
      <c r="B716" s="341"/>
      <c r="C716" s="341"/>
      <c r="D716" s="341"/>
      <c r="E716" s="341"/>
      <c r="F716" s="341"/>
      <c r="G716" s="341"/>
      <c r="H716" s="341"/>
      <c r="I716" s="341"/>
      <c r="J716" s="341"/>
      <c r="K716" s="341"/>
    </row>
    <row r="717" spans="1:11" ht="20.25">
      <c r="A717" s="341"/>
      <c r="B717" s="341"/>
      <c r="C717" s="341"/>
      <c r="D717" s="341"/>
      <c r="E717" s="341"/>
      <c r="F717" s="341"/>
      <c r="G717" s="341"/>
      <c r="H717" s="341"/>
      <c r="I717" s="341"/>
      <c r="J717" s="341"/>
      <c r="K717" s="341"/>
    </row>
    <row r="718" spans="1:11" ht="20.25">
      <c r="A718" s="341"/>
      <c r="B718" s="341"/>
      <c r="C718" s="341"/>
      <c r="D718" s="341"/>
      <c r="E718" s="341"/>
      <c r="F718" s="341"/>
      <c r="G718" s="341"/>
      <c r="H718" s="341"/>
      <c r="I718" s="341"/>
      <c r="J718" s="341"/>
      <c r="K718" s="341"/>
    </row>
    <row r="719" spans="1:11" ht="20.25">
      <c r="A719" s="341"/>
      <c r="B719" s="341"/>
      <c r="C719" s="341"/>
      <c r="D719" s="341"/>
      <c r="E719" s="341"/>
      <c r="F719" s="341"/>
      <c r="G719" s="341"/>
      <c r="H719" s="341"/>
      <c r="I719" s="341"/>
      <c r="J719" s="341"/>
      <c r="K719" s="341"/>
    </row>
    <row r="720" spans="1:11" ht="20.25">
      <c r="A720" s="341"/>
      <c r="B720" s="341"/>
      <c r="C720" s="341"/>
      <c r="D720" s="341"/>
      <c r="E720" s="341"/>
      <c r="F720" s="341"/>
      <c r="G720" s="341"/>
      <c r="H720" s="341"/>
      <c r="I720" s="341"/>
      <c r="J720" s="341"/>
      <c r="K720" s="341"/>
    </row>
    <row r="721" spans="1:11" ht="20.25">
      <c r="A721" s="341"/>
      <c r="B721" s="341"/>
      <c r="C721" s="341"/>
      <c r="D721" s="341"/>
      <c r="E721" s="341"/>
      <c r="F721" s="341"/>
      <c r="G721" s="341"/>
      <c r="H721" s="341"/>
      <c r="I721" s="341"/>
      <c r="J721" s="341"/>
      <c r="K721" s="341"/>
    </row>
    <row r="722" spans="1:11" ht="20.25">
      <c r="A722" s="341"/>
      <c r="B722" s="341"/>
      <c r="C722" s="341"/>
      <c r="D722" s="341"/>
      <c r="E722" s="341"/>
      <c r="F722" s="341"/>
      <c r="G722" s="341"/>
      <c r="H722" s="341"/>
      <c r="I722" s="341"/>
      <c r="J722" s="341"/>
      <c r="K722" s="341"/>
    </row>
    <row r="723" spans="1:11" ht="20.25">
      <c r="A723" s="341"/>
      <c r="B723" s="341"/>
      <c r="C723" s="341"/>
      <c r="D723" s="341"/>
      <c r="E723" s="341"/>
      <c r="F723" s="341"/>
      <c r="G723" s="341"/>
      <c r="H723" s="341"/>
      <c r="I723" s="341"/>
      <c r="J723" s="341"/>
      <c r="K723" s="341"/>
    </row>
    <row r="724" spans="1:11" ht="20.25">
      <c r="A724" s="341"/>
      <c r="B724" s="341"/>
      <c r="C724" s="341"/>
      <c r="D724" s="341"/>
      <c r="E724" s="341"/>
      <c r="F724" s="341"/>
      <c r="G724" s="341"/>
      <c r="H724" s="341"/>
      <c r="I724" s="341"/>
      <c r="J724" s="341"/>
      <c r="K724" s="341"/>
    </row>
    <row r="725" spans="1:11" ht="20.25">
      <c r="A725" s="341"/>
      <c r="B725" s="341"/>
      <c r="C725" s="341"/>
      <c r="D725" s="341"/>
      <c r="E725" s="341"/>
      <c r="F725" s="341"/>
      <c r="G725" s="341"/>
      <c r="H725" s="341"/>
      <c r="I725" s="341"/>
      <c r="J725" s="341"/>
      <c r="K725" s="341"/>
    </row>
    <row r="726" spans="1:11" ht="20.25">
      <c r="A726" s="341"/>
      <c r="B726" s="341"/>
      <c r="C726" s="341"/>
      <c r="D726" s="341"/>
      <c r="E726" s="341"/>
      <c r="F726" s="341"/>
      <c r="G726" s="341"/>
      <c r="H726" s="341"/>
      <c r="I726" s="341"/>
      <c r="J726" s="341"/>
      <c r="K726" s="341"/>
    </row>
    <row r="727" spans="1:11" ht="20.25">
      <c r="A727" s="341"/>
      <c r="B727" s="341"/>
      <c r="C727" s="341"/>
      <c r="D727" s="341"/>
      <c r="E727" s="341"/>
      <c r="F727" s="341"/>
      <c r="G727" s="341"/>
      <c r="H727" s="341"/>
      <c r="I727" s="341"/>
      <c r="J727" s="341"/>
      <c r="K727" s="341"/>
    </row>
    <row r="728" spans="1:11" ht="20.25">
      <c r="A728" s="341"/>
      <c r="B728" s="341"/>
      <c r="C728" s="341"/>
      <c r="D728" s="341"/>
      <c r="E728" s="341"/>
      <c r="F728" s="341"/>
      <c r="G728" s="341"/>
      <c r="H728" s="341"/>
      <c r="I728" s="341"/>
      <c r="J728" s="341"/>
      <c r="K728" s="341"/>
    </row>
    <row r="729" spans="1:11" ht="20.25">
      <c r="A729" s="341"/>
      <c r="B729" s="341"/>
      <c r="C729" s="341"/>
      <c r="D729" s="341"/>
      <c r="E729" s="341"/>
      <c r="F729" s="341"/>
      <c r="G729" s="341"/>
      <c r="H729" s="341"/>
      <c r="I729" s="341"/>
      <c r="J729" s="341"/>
      <c r="K729" s="341"/>
    </row>
    <row r="730" spans="1:11" ht="20.25">
      <c r="A730" s="341"/>
      <c r="B730" s="341"/>
      <c r="C730" s="341"/>
      <c r="D730" s="341"/>
      <c r="E730" s="341"/>
      <c r="F730" s="341"/>
      <c r="G730" s="341"/>
      <c r="H730" s="341"/>
      <c r="I730" s="341"/>
      <c r="J730" s="341"/>
      <c r="K730" s="341"/>
    </row>
    <row r="731" spans="1:11" ht="20.25">
      <c r="A731" s="341"/>
      <c r="B731" s="341"/>
      <c r="C731" s="341"/>
      <c r="D731" s="341"/>
      <c r="E731" s="341"/>
      <c r="F731" s="341"/>
      <c r="G731" s="341"/>
      <c r="H731" s="341"/>
      <c r="I731" s="341"/>
      <c r="J731" s="341"/>
      <c r="K731" s="341"/>
    </row>
    <row r="732" spans="1:11" ht="20.25">
      <c r="A732" s="341"/>
      <c r="B732" s="341"/>
      <c r="C732" s="341"/>
      <c r="D732" s="341"/>
      <c r="E732" s="341"/>
      <c r="F732" s="341"/>
      <c r="G732" s="341"/>
      <c r="H732" s="341"/>
      <c r="I732" s="341"/>
      <c r="J732" s="341"/>
      <c r="K732" s="341"/>
    </row>
    <row r="733" spans="1:11" ht="20.25">
      <c r="A733" s="341"/>
      <c r="B733" s="341"/>
      <c r="C733" s="341"/>
      <c r="D733" s="341"/>
      <c r="E733" s="341"/>
      <c r="F733" s="341"/>
      <c r="G733" s="341"/>
      <c r="H733" s="341"/>
      <c r="I733" s="341"/>
      <c r="J733" s="341"/>
      <c r="K733" s="341"/>
    </row>
    <row r="734" spans="1:11" ht="20.25">
      <c r="A734" s="341"/>
      <c r="B734" s="341"/>
      <c r="C734" s="341"/>
      <c r="D734" s="341"/>
      <c r="E734" s="341"/>
      <c r="F734" s="341"/>
      <c r="G734" s="341"/>
      <c r="H734" s="341"/>
      <c r="I734" s="341"/>
      <c r="J734" s="341"/>
      <c r="K734" s="341"/>
    </row>
    <row r="735" spans="1:11" ht="20.25">
      <c r="A735" s="341"/>
      <c r="B735" s="341"/>
      <c r="C735" s="341"/>
      <c r="D735" s="341"/>
      <c r="E735" s="341"/>
      <c r="F735" s="341"/>
      <c r="G735" s="341"/>
      <c r="H735" s="341"/>
      <c r="I735" s="341"/>
      <c r="J735" s="341"/>
      <c r="K735" s="341"/>
    </row>
    <row r="736" spans="1:11" ht="20.25">
      <c r="A736" s="341"/>
      <c r="B736" s="341"/>
      <c r="C736" s="341"/>
      <c r="D736" s="341"/>
      <c r="E736" s="341"/>
      <c r="F736" s="341"/>
      <c r="G736" s="341"/>
      <c r="H736" s="341"/>
      <c r="I736" s="341"/>
      <c r="J736" s="341"/>
      <c r="K736" s="341"/>
    </row>
    <row r="737" spans="1:11" ht="20.25">
      <c r="A737" s="341"/>
      <c r="B737" s="341"/>
      <c r="C737" s="341"/>
      <c r="D737" s="341"/>
      <c r="E737" s="341"/>
      <c r="F737" s="341"/>
      <c r="G737" s="341"/>
      <c r="H737" s="341"/>
      <c r="I737" s="341"/>
      <c r="J737" s="341"/>
      <c r="K737" s="341"/>
    </row>
    <row r="738" spans="1:11" ht="20.25">
      <c r="A738" s="341"/>
      <c r="B738" s="341"/>
      <c r="C738" s="341"/>
      <c r="D738" s="341"/>
      <c r="E738" s="341"/>
      <c r="F738" s="341"/>
      <c r="G738" s="341"/>
      <c r="H738" s="341"/>
      <c r="I738" s="341"/>
      <c r="J738" s="341"/>
      <c r="K738" s="341"/>
    </row>
    <row r="739" spans="1:11" ht="20.25">
      <c r="A739" s="341"/>
      <c r="B739" s="341"/>
      <c r="C739" s="341"/>
      <c r="D739" s="341"/>
      <c r="E739" s="341"/>
      <c r="F739" s="341"/>
      <c r="G739" s="341"/>
      <c r="H739" s="341"/>
      <c r="I739" s="341"/>
      <c r="J739" s="341"/>
      <c r="K739" s="341"/>
    </row>
    <row r="740" spans="1:11" ht="20.25">
      <c r="A740" s="341"/>
      <c r="B740" s="341"/>
      <c r="C740" s="341"/>
      <c r="D740" s="341"/>
      <c r="E740" s="341"/>
      <c r="F740" s="341"/>
      <c r="G740" s="341"/>
      <c r="H740" s="341"/>
      <c r="I740" s="341"/>
      <c r="J740" s="341"/>
      <c r="K740" s="341"/>
    </row>
    <row r="741" spans="1:11" ht="20.25">
      <c r="A741" s="341"/>
      <c r="B741" s="341"/>
      <c r="C741" s="341"/>
      <c r="D741" s="341"/>
      <c r="E741" s="341"/>
      <c r="F741" s="341"/>
      <c r="G741" s="341"/>
      <c r="H741" s="341"/>
      <c r="I741" s="341"/>
      <c r="J741" s="341"/>
      <c r="K741" s="341"/>
    </row>
    <row r="742" spans="1:11" ht="20.25">
      <c r="A742" s="341"/>
      <c r="B742" s="341"/>
      <c r="C742" s="341"/>
      <c r="D742" s="341"/>
      <c r="E742" s="341"/>
      <c r="F742" s="341"/>
      <c r="G742" s="341"/>
      <c r="H742" s="341"/>
      <c r="I742" s="341"/>
      <c r="J742" s="341"/>
      <c r="K742" s="341"/>
    </row>
    <row r="743" spans="1:11" ht="20.25">
      <c r="A743" s="341"/>
      <c r="B743" s="341"/>
      <c r="C743" s="341"/>
      <c r="D743" s="341"/>
      <c r="E743" s="341"/>
      <c r="F743" s="341"/>
      <c r="G743" s="341"/>
      <c r="H743" s="341"/>
      <c r="I743" s="341"/>
      <c r="J743" s="341"/>
      <c r="K743" s="341"/>
    </row>
    <row r="744" spans="1:11" ht="20.25">
      <c r="A744" s="341"/>
      <c r="B744" s="341"/>
      <c r="C744" s="341"/>
      <c r="D744" s="341"/>
      <c r="E744" s="341"/>
      <c r="F744" s="341"/>
      <c r="G744" s="341"/>
      <c r="H744" s="341"/>
      <c r="I744" s="341"/>
      <c r="J744" s="341"/>
      <c r="K744" s="341"/>
    </row>
    <row r="745" spans="1:11" ht="20.25">
      <c r="A745" s="341"/>
      <c r="B745" s="341"/>
      <c r="C745" s="341"/>
      <c r="D745" s="341"/>
      <c r="E745" s="341"/>
      <c r="F745" s="341"/>
      <c r="G745" s="341"/>
      <c r="H745" s="341"/>
      <c r="I745" s="341"/>
      <c r="J745" s="341"/>
      <c r="K745" s="341"/>
    </row>
    <row r="746" spans="1:11" ht="20.25">
      <c r="A746" s="341"/>
      <c r="B746" s="341"/>
      <c r="C746" s="341"/>
      <c r="D746" s="341"/>
      <c r="E746" s="341"/>
      <c r="F746" s="341"/>
      <c r="G746" s="341"/>
      <c r="H746" s="341"/>
      <c r="I746" s="341"/>
      <c r="J746" s="341"/>
      <c r="K746" s="341"/>
    </row>
    <row r="747" spans="1:11" ht="20.25">
      <c r="A747" s="341"/>
      <c r="B747" s="341"/>
      <c r="C747" s="341"/>
      <c r="D747" s="341"/>
      <c r="E747" s="341"/>
      <c r="F747" s="341"/>
      <c r="G747" s="341"/>
      <c r="H747" s="341"/>
      <c r="I747" s="341"/>
      <c r="J747" s="341"/>
      <c r="K747" s="341"/>
    </row>
    <row r="748" spans="1:11" ht="20.25">
      <c r="A748" s="341"/>
      <c r="B748" s="341"/>
      <c r="C748" s="341"/>
      <c r="D748" s="341"/>
      <c r="E748" s="341"/>
      <c r="F748" s="341"/>
      <c r="G748" s="341"/>
      <c r="H748" s="341"/>
      <c r="I748" s="341"/>
      <c r="J748" s="341"/>
      <c r="K748" s="341"/>
    </row>
    <row r="749" spans="1:11" ht="20.25">
      <c r="A749" s="341"/>
      <c r="B749" s="341"/>
      <c r="C749" s="341"/>
      <c r="D749" s="341"/>
      <c r="E749" s="341"/>
      <c r="F749" s="341"/>
      <c r="G749" s="341"/>
      <c r="H749" s="341"/>
      <c r="I749" s="341"/>
      <c r="J749" s="341"/>
      <c r="K749" s="341"/>
    </row>
    <row r="750" spans="1:11" ht="20.25">
      <c r="A750" s="341"/>
      <c r="B750" s="341"/>
      <c r="C750" s="341"/>
      <c r="D750" s="341"/>
      <c r="E750" s="341"/>
      <c r="F750" s="341"/>
      <c r="G750" s="341"/>
      <c r="H750" s="341"/>
      <c r="I750" s="341"/>
      <c r="J750" s="341"/>
      <c r="K750" s="341"/>
    </row>
    <row r="751" spans="1:11" ht="20.25">
      <c r="A751" s="341"/>
      <c r="B751" s="341"/>
      <c r="C751" s="341"/>
      <c r="D751" s="341"/>
      <c r="E751" s="341"/>
      <c r="F751" s="341"/>
      <c r="G751" s="341"/>
      <c r="H751" s="341"/>
      <c r="I751" s="341"/>
      <c r="J751" s="341"/>
      <c r="K751" s="341"/>
    </row>
    <row r="752" spans="1:11" ht="20.25">
      <c r="A752" s="341"/>
      <c r="B752" s="341"/>
      <c r="C752" s="341"/>
      <c r="D752" s="341"/>
      <c r="E752" s="341"/>
      <c r="F752" s="341"/>
      <c r="G752" s="341"/>
      <c r="H752" s="341"/>
      <c r="I752" s="341"/>
      <c r="J752" s="341"/>
      <c r="K752" s="341"/>
    </row>
    <row r="753" spans="1:11" ht="20.25">
      <c r="A753" s="341"/>
      <c r="B753" s="341"/>
      <c r="C753" s="341"/>
      <c r="D753" s="341"/>
      <c r="E753" s="341"/>
      <c r="F753" s="341"/>
      <c r="G753" s="341"/>
      <c r="H753" s="341"/>
      <c r="I753" s="341"/>
      <c r="J753" s="341"/>
      <c r="K753" s="341"/>
    </row>
    <row r="754" spans="1:11" ht="20.25">
      <c r="A754" s="341"/>
      <c r="B754" s="341"/>
      <c r="C754" s="341"/>
      <c r="D754" s="341"/>
      <c r="E754" s="341"/>
      <c r="F754" s="341"/>
      <c r="G754" s="341"/>
      <c r="H754" s="341"/>
      <c r="I754" s="341"/>
      <c r="J754" s="341"/>
      <c r="K754" s="341"/>
    </row>
  </sheetData>
  <mergeCells count="79">
    <mergeCell ref="B38:I38"/>
    <mergeCell ref="A39:K39"/>
    <mergeCell ref="B41:C41"/>
    <mergeCell ref="F41:G41"/>
    <mergeCell ref="B42:C42"/>
    <mergeCell ref="A37:K37"/>
    <mergeCell ref="H31:I31"/>
    <mergeCell ref="J31:K31"/>
    <mergeCell ref="H32:I32"/>
    <mergeCell ref="J32:K32"/>
    <mergeCell ref="H33:I33"/>
    <mergeCell ref="J33:K33"/>
    <mergeCell ref="H34:I34"/>
    <mergeCell ref="J34:K34"/>
    <mergeCell ref="H35:I35"/>
    <mergeCell ref="J35:K35"/>
    <mergeCell ref="H36:J36"/>
    <mergeCell ref="H28:I28"/>
    <mergeCell ref="J28:K28"/>
    <mergeCell ref="H29:I29"/>
    <mergeCell ref="J29:K29"/>
    <mergeCell ref="H30:I30"/>
    <mergeCell ref="J30:K30"/>
    <mergeCell ref="H25:I25"/>
    <mergeCell ref="J25:K25"/>
    <mergeCell ref="H26:I26"/>
    <mergeCell ref="J26:K26"/>
    <mergeCell ref="H27:I27"/>
    <mergeCell ref="J27:K27"/>
    <mergeCell ref="H22:I22"/>
    <mergeCell ref="J22:K22"/>
    <mergeCell ref="H23:I23"/>
    <mergeCell ref="J23:K23"/>
    <mergeCell ref="H24:I24"/>
    <mergeCell ref="J24:K24"/>
    <mergeCell ref="H19:I19"/>
    <mergeCell ref="J19:K19"/>
    <mergeCell ref="H20:I20"/>
    <mergeCell ref="J20:K20"/>
    <mergeCell ref="H21:I21"/>
    <mergeCell ref="J21:K21"/>
    <mergeCell ref="H16:I16"/>
    <mergeCell ref="J16:K16"/>
    <mergeCell ref="H17:I17"/>
    <mergeCell ref="J17:K17"/>
    <mergeCell ref="H18:I18"/>
    <mergeCell ref="J18:K18"/>
    <mergeCell ref="H13:I13"/>
    <mergeCell ref="J13:K13"/>
    <mergeCell ref="H14:I14"/>
    <mergeCell ref="J14:K14"/>
    <mergeCell ref="H15:I15"/>
    <mergeCell ref="J15:K15"/>
    <mergeCell ref="A7:K7"/>
    <mergeCell ref="B8:D8"/>
    <mergeCell ref="E8:G8"/>
    <mergeCell ref="I8:K8"/>
    <mergeCell ref="H12:I12"/>
    <mergeCell ref="J12:K12"/>
    <mergeCell ref="L8:N8"/>
    <mergeCell ref="H10:I10"/>
    <mergeCell ref="J10:K10"/>
    <mergeCell ref="H11:I11"/>
    <mergeCell ref="J11:K11"/>
    <mergeCell ref="H9:I9"/>
    <mergeCell ref="J9:K9"/>
    <mergeCell ref="F2:K2"/>
    <mergeCell ref="A3:K3"/>
    <mergeCell ref="A4:B4"/>
    <mergeCell ref="C4:E4"/>
    <mergeCell ref="F4:G4"/>
    <mergeCell ref="H4:I4"/>
    <mergeCell ref="A5:B5"/>
    <mergeCell ref="C5:E5"/>
    <mergeCell ref="F5:G5"/>
    <mergeCell ref="H5:I5"/>
    <mergeCell ref="A6:B6"/>
    <mergeCell ref="C6:E6"/>
    <mergeCell ref="F6:I6"/>
  </mergeCells>
  <phoneticPr fontId="76" type="noConversion"/>
  <dataValidations count="1">
    <dataValidation type="list" allowBlank="1" showInputMessage="1" showErrorMessage="1" sqref="F6:I6 JB6:JE6 SX6:TA6 ACT6:ACW6 AMP6:AMS6 AWL6:AWO6 BGH6:BGK6 BQD6:BQG6 BZZ6:CAC6 CJV6:CJY6 CTR6:CTU6 DDN6:DDQ6 DNJ6:DNM6 DXF6:DXI6 EHB6:EHE6 EQX6:ERA6 FAT6:FAW6 FKP6:FKS6 FUL6:FUO6 GEH6:GEK6 GOD6:GOG6 GXZ6:GYC6 HHV6:HHY6 HRR6:HRU6 IBN6:IBQ6 ILJ6:ILM6 IVF6:IVI6 JFB6:JFE6 JOX6:JPA6 JYT6:JYW6 KIP6:KIS6 KSL6:KSO6 LCH6:LCK6 LMD6:LMG6 LVZ6:LWC6 MFV6:MFY6 MPR6:MPU6 MZN6:MZQ6 NJJ6:NJM6 NTF6:NTI6 ODB6:ODE6 OMX6:ONA6 OWT6:OWW6 PGP6:PGS6 PQL6:PQO6 QAH6:QAK6 QKD6:QKG6 QTZ6:QUC6 RDV6:RDY6 RNR6:RNU6 RXN6:RXQ6 SHJ6:SHM6 SRF6:SRI6 TBB6:TBE6 TKX6:TLA6 TUT6:TUW6 UEP6:UES6 UOL6:UOO6 UYH6:UYK6 VID6:VIG6 VRZ6:VSC6 WBV6:WBY6 WLR6:WLU6 WVN6:WVQ6 F65542:I65542 JB65542:JE65542 SX65542:TA65542 ACT65542:ACW65542 AMP65542:AMS65542 AWL65542:AWO65542 BGH65542:BGK65542 BQD65542:BQG65542 BZZ65542:CAC65542 CJV65542:CJY65542 CTR65542:CTU65542 DDN65542:DDQ65542 DNJ65542:DNM65542 DXF65542:DXI65542 EHB65542:EHE65542 EQX65542:ERA65542 FAT65542:FAW65542 FKP65542:FKS65542 FUL65542:FUO65542 GEH65542:GEK65542 GOD65542:GOG65542 GXZ65542:GYC65542 HHV65542:HHY65542 HRR65542:HRU65542 IBN65542:IBQ65542 ILJ65542:ILM65542 IVF65542:IVI65542 JFB65542:JFE65542 JOX65542:JPA65542 JYT65542:JYW65542 KIP65542:KIS65542 KSL65542:KSO65542 LCH65542:LCK65542 LMD65542:LMG65542 LVZ65542:LWC65542 MFV65542:MFY65542 MPR65542:MPU65542 MZN65542:MZQ65542 NJJ65542:NJM65542 NTF65542:NTI65542 ODB65542:ODE65542 OMX65542:ONA65542 OWT65542:OWW65542 PGP65542:PGS65542 PQL65542:PQO65542 QAH65542:QAK65542 QKD65542:QKG65542 QTZ65542:QUC65542 RDV65542:RDY65542 RNR65542:RNU65542 RXN65542:RXQ65542 SHJ65542:SHM65542 SRF65542:SRI65542 TBB65542:TBE65542 TKX65542:TLA65542 TUT65542:TUW65542 UEP65542:UES65542 UOL65542:UOO65542 UYH65542:UYK65542 VID65542:VIG65542 VRZ65542:VSC65542 WBV65542:WBY65542 WLR65542:WLU65542 WVN65542:WVQ65542 F131078:I131078 JB131078:JE131078 SX131078:TA131078 ACT131078:ACW131078 AMP131078:AMS131078 AWL131078:AWO131078 BGH131078:BGK131078 BQD131078:BQG131078 BZZ131078:CAC131078 CJV131078:CJY131078 CTR131078:CTU131078 DDN131078:DDQ131078 DNJ131078:DNM131078 DXF131078:DXI131078 EHB131078:EHE131078 EQX131078:ERA131078 FAT131078:FAW131078 FKP131078:FKS131078 FUL131078:FUO131078 GEH131078:GEK131078 GOD131078:GOG131078 GXZ131078:GYC131078 HHV131078:HHY131078 HRR131078:HRU131078 IBN131078:IBQ131078 ILJ131078:ILM131078 IVF131078:IVI131078 JFB131078:JFE131078 JOX131078:JPA131078 JYT131078:JYW131078 KIP131078:KIS131078 KSL131078:KSO131078 LCH131078:LCK131078 LMD131078:LMG131078 LVZ131078:LWC131078 MFV131078:MFY131078 MPR131078:MPU131078 MZN131078:MZQ131078 NJJ131078:NJM131078 NTF131078:NTI131078 ODB131078:ODE131078 OMX131078:ONA131078 OWT131078:OWW131078 PGP131078:PGS131078 PQL131078:PQO131078 QAH131078:QAK131078 QKD131078:QKG131078 QTZ131078:QUC131078 RDV131078:RDY131078 RNR131078:RNU131078 RXN131078:RXQ131078 SHJ131078:SHM131078 SRF131078:SRI131078 TBB131078:TBE131078 TKX131078:TLA131078 TUT131078:TUW131078 UEP131078:UES131078 UOL131078:UOO131078 UYH131078:UYK131078 VID131078:VIG131078 VRZ131078:VSC131078 WBV131078:WBY131078 WLR131078:WLU131078 WVN131078:WVQ131078 F196614:I196614 JB196614:JE196614 SX196614:TA196614 ACT196614:ACW196614 AMP196614:AMS196614 AWL196614:AWO196614 BGH196614:BGK196614 BQD196614:BQG196614 BZZ196614:CAC196614 CJV196614:CJY196614 CTR196614:CTU196614 DDN196614:DDQ196614 DNJ196614:DNM196614 DXF196614:DXI196614 EHB196614:EHE196614 EQX196614:ERA196614 FAT196614:FAW196614 FKP196614:FKS196614 FUL196614:FUO196614 GEH196614:GEK196614 GOD196614:GOG196614 GXZ196614:GYC196614 HHV196614:HHY196614 HRR196614:HRU196614 IBN196614:IBQ196614 ILJ196614:ILM196614 IVF196614:IVI196614 JFB196614:JFE196614 JOX196614:JPA196614 JYT196614:JYW196614 KIP196614:KIS196614 KSL196614:KSO196614 LCH196614:LCK196614 LMD196614:LMG196614 LVZ196614:LWC196614 MFV196614:MFY196614 MPR196614:MPU196614 MZN196614:MZQ196614 NJJ196614:NJM196614 NTF196614:NTI196614 ODB196614:ODE196614 OMX196614:ONA196614 OWT196614:OWW196614 PGP196614:PGS196614 PQL196614:PQO196614 QAH196614:QAK196614 QKD196614:QKG196614 QTZ196614:QUC196614 RDV196614:RDY196614 RNR196614:RNU196614 RXN196614:RXQ196614 SHJ196614:SHM196614 SRF196614:SRI196614 TBB196614:TBE196614 TKX196614:TLA196614 TUT196614:TUW196614 UEP196614:UES196614 UOL196614:UOO196614 UYH196614:UYK196614 VID196614:VIG196614 VRZ196614:VSC196614 WBV196614:WBY196614 WLR196614:WLU196614 WVN196614:WVQ196614 F262150:I262150 JB262150:JE262150 SX262150:TA262150 ACT262150:ACW262150 AMP262150:AMS262150 AWL262150:AWO262150 BGH262150:BGK262150 BQD262150:BQG262150 BZZ262150:CAC262150 CJV262150:CJY262150 CTR262150:CTU262150 DDN262150:DDQ262150 DNJ262150:DNM262150 DXF262150:DXI262150 EHB262150:EHE262150 EQX262150:ERA262150 FAT262150:FAW262150 FKP262150:FKS262150 FUL262150:FUO262150 GEH262150:GEK262150 GOD262150:GOG262150 GXZ262150:GYC262150 HHV262150:HHY262150 HRR262150:HRU262150 IBN262150:IBQ262150 ILJ262150:ILM262150 IVF262150:IVI262150 JFB262150:JFE262150 JOX262150:JPA262150 JYT262150:JYW262150 KIP262150:KIS262150 KSL262150:KSO262150 LCH262150:LCK262150 LMD262150:LMG262150 LVZ262150:LWC262150 MFV262150:MFY262150 MPR262150:MPU262150 MZN262150:MZQ262150 NJJ262150:NJM262150 NTF262150:NTI262150 ODB262150:ODE262150 OMX262150:ONA262150 OWT262150:OWW262150 PGP262150:PGS262150 PQL262150:PQO262150 QAH262150:QAK262150 QKD262150:QKG262150 QTZ262150:QUC262150 RDV262150:RDY262150 RNR262150:RNU262150 RXN262150:RXQ262150 SHJ262150:SHM262150 SRF262150:SRI262150 TBB262150:TBE262150 TKX262150:TLA262150 TUT262150:TUW262150 UEP262150:UES262150 UOL262150:UOO262150 UYH262150:UYK262150 VID262150:VIG262150 VRZ262150:VSC262150 WBV262150:WBY262150 WLR262150:WLU262150 WVN262150:WVQ262150 F327686:I327686 JB327686:JE327686 SX327686:TA327686 ACT327686:ACW327686 AMP327686:AMS327686 AWL327686:AWO327686 BGH327686:BGK327686 BQD327686:BQG327686 BZZ327686:CAC327686 CJV327686:CJY327686 CTR327686:CTU327686 DDN327686:DDQ327686 DNJ327686:DNM327686 DXF327686:DXI327686 EHB327686:EHE327686 EQX327686:ERA327686 FAT327686:FAW327686 FKP327686:FKS327686 FUL327686:FUO327686 GEH327686:GEK327686 GOD327686:GOG327686 GXZ327686:GYC327686 HHV327686:HHY327686 HRR327686:HRU327686 IBN327686:IBQ327686 ILJ327686:ILM327686 IVF327686:IVI327686 JFB327686:JFE327686 JOX327686:JPA327686 JYT327686:JYW327686 KIP327686:KIS327686 KSL327686:KSO327686 LCH327686:LCK327686 LMD327686:LMG327686 LVZ327686:LWC327686 MFV327686:MFY327686 MPR327686:MPU327686 MZN327686:MZQ327686 NJJ327686:NJM327686 NTF327686:NTI327686 ODB327686:ODE327686 OMX327686:ONA327686 OWT327686:OWW327686 PGP327686:PGS327686 PQL327686:PQO327686 QAH327686:QAK327686 QKD327686:QKG327686 QTZ327686:QUC327686 RDV327686:RDY327686 RNR327686:RNU327686 RXN327686:RXQ327686 SHJ327686:SHM327686 SRF327686:SRI327686 TBB327686:TBE327686 TKX327686:TLA327686 TUT327686:TUW327686 UEP327686:UES327686 UOL327686:UOO327686 UYH327686:UYK327686 VID327686:VIG327686 VRZ327686:VSC327686 WBV327686:WBY327686 WLR327686:WLU327686 WVN327686:WVQ327686 F393222:I393222 JB393222:JE393222 SX393222:TA393222 ACT393222:ACW393222 AMP393222:AMS393222 AWL393222:AWO393222 BGH393222:BGK393222 BQD393222:BQG393222 BZZ393222:CAC393222 CJV393222:CJY393222 CTR393222:CTU393222 DDN393222:DDQ393222 DNJ393222:DNM393222 DXF393222:DXI393222 EHB393222:EHE393222 EQX393222:ERA393222 FAT393222:FAW393222 FKP393222:FKS393222 FUL393222:FUO393222 GEH393222:GEK393222 GOD393222:GOG393222 GXZ393222:GYC393222 HHV393222:HHY393222 HRR393222:HRU393222 IBN393222:IBQ393222 ILJ393222:ILM393222 IVF393222:IVI393222 JFB393222:JFE393222 JOX393222:JPA393222 JYT393222:JYW393222 KIP393222:KIS393222 KSL393222:KSO393222 LCH393222:LCK393222 LMD393222:LMG393222 LVZ393222:LWC393222 MFV393222:MFY393222 MPR393222:MPU393222 MZN393222:MZQ393222 NJJ393222:NJM393222 NTF393222:NTI393222 ODB393222:ODE393222 OMX393222:ONA393222 OWT393222:OWW393222 PGP393222:PGS393222 PQL393222:PQO393222 QAH393222:QAK393222 QKD393222:QKG393222 QTZ393222:QUC393222 RDV393222:RDY393222 RNR393222:RNU393222 RXN393222:RXQ393222 SHJ393222:SHM393222 SRF393222:SRI393222 TBB393222:TBE393222 TKX393222:TLA393222 TUT393222:TUW393222 UEP393222:UES393222 UOL393222:UOO393222 UYH393222:UYK393222 VID393222:VIG393222 VRZ393222:VSC393222 WBV393222:WBY393222 WLR393222:WLU393222 WVN393222:WVQ393222 F458758:I458758 JB458758:JE458758 SX458758:TA458758 ACT458758:ACW458758 AMP458758:AMS458758 AWL458758:AWO458758 BGH458758:BGK458758 BQD458758:BQG458758 BZZ458758:CAC458758 CJV458758:CJY458758 CTR458758:CTU458758 DDN458758:DDQ458758 DNJ458758:DNM458758 DXF458758:DXI458758 EHB458758:EHE458758 EQX458758:ERA458758 FAT458758:FAW458758 FKP458758:FKS458758 FUL458758:FUO458758 GEH458758:GEK458758 GOD458758:GOG458758 GXZ458758:GYC458758 HHV458758:HHY458758 HRR458758:HRU458758 IBN458758:IBQ458758 ILJ458758:ILM458758 IVF458758:IVI458758 JFB458758:JFE458758 JOX458758:JPA458758 JYT458758:JYW458758 KIP458758:KIS458758 KSL458758:KSO458758 LCH458758:LCK458758 LMD458758:LMG458758 LVZ458758:LWC458758 MFV458758:MFY458758 MPR458758:MPU458758 MZN458758:MZQ458758 NJJ458758:NJM458758 NTF458758:NTI458758 ODB458758:ODE458758 OMX458758:ONA458758 OWT458758:OWW458758 PGP458758:PGS458758 PQL458758:PQO458758 QAH458758:QAK458758 QKD458758:QKG458758 QTZ458758:QUC458758 RDV458758:RDY458758 RNR458758:RNU458758 RXN458758:RXQ458758 SHJ458758:SHM458758 SRF458758:SRI458758 TBB458758:TBE458758 TKX458758:TLA458758 TUT458758:TUW458758 UEP458758:UES458758 UOL458758:UOO458758 UYH458758:UYK458758 VID458758:VIG458758 VRZ458758:VSC458758 WBV458758:WBY458758 WLR458758:WLU458758 WVN458758:WVQ458758 F524294:I524294 JB524294:JE524294 SX524294:TA524294 ACT524294:ACW524294 AMP524294:AMS524294 AWL524294:AWO524294 BGH524294:BGK524294 BQD524294:BQG524294 BZZ524294:CAC524294 CJV524294:CJY524294 CTR524294:CTU524294 DDN524294:DDQ524294 DNJ524294:DNM524294 DXF524294:DXI524294 EHB524294:EHE524294 EQX524294:ERA524294 FAT524294:FAW524294 FKP524294:FKS524294 FUL524294:FUO524294 GEH524294:GEK524294 GOD524294:GOG524294 GXZ524294:GYC524294 HHV524294:HHY524294 HRR524294:HRU524294 IBN524294:IBQ524294 ILJ524294:ILM524294 IVF524294:IVI524294 JFB524294:JFE524294 JOX524294:JPA524294 JYT524294:JYW524294 KIP524294:KIS524294 KSL524294:KSO524294 LCH524294:LCK524294 LMD524294:LMG524294 LVZ524294:LWC524294 MFV524294:MFY524294 MPR524294:MPU524294 MZN524294:MZQ524294 NJJ524294:NJM524294 NTF524294:NTI524294 ODB524294:ODE524294 OMX524294:ONA524294 OWT524294:OWW524294 PGP524294:PGS524294 PQL524294:PQO524294 QAH524294:QAK524294 QKD524294:QKG524294 QTZ524294:QUC524294 RDV524294:RDY524294 RNR524294:RNU524294 RXN524294:RXQ524294 SHJ524294:SHM524294 SRF524294:SRI524294 TBB524294:TBE524294 TKX524294:TLA524294 TUT524294:TUW524294 UEP524294:UES524294 UOL524294:UOO524294 UYH524294:UYK524294 VID524294:VIG524294 VRZ524294:VSC524294 WBV524294:WBY524294 WLR524294:WLU524294 WVN524294:WVQ524294 F589830:I589830 JB589830:JE589830 SX589830:TA589830 ACT589830:ACW589830 AMP589830:AMS589830 AWL589830:AWO589830 BGH589830:BGK589830 BQD589830:BQG589830 BZZ589830:CAC589830 CJV589830:CJY589830 CTR589830:CTU589830 DDN589830:DDQ589830 DNJ589830:DNM589830 DXF589830:DXI589830 EHB589830:EHE589830 EQX589830:ERA589830 FAT589830:FAW589830 FKP589830:FKS589830 FUL589830:FUO589830 GEH589830:GEK589830 GOD589830:GOG589830 GXZ589830:GYC589830 HHV589830:HHY589830 HRR589830:HRU589830 IBN589830:IBQ589830 ILJ589830:ILM589830 IVF589830:IVI589830 JFB589830:JFE589830 JOX589830:JPA589830 JYT589830:JYW589830 KIP589830:KIS589830 KSL589830:KSO589830 LCH589830:LCK589830 LMD589830:LMG589830 LVZ589830:LWC589830 MFV589830:MFY589830 MPR589830:MPU589830 MZN589830:MZQ589830 NJJ589830:NJM589830 NTF589830:NTI589830 ODB589830:ODE589830 OMX589830:ONA589830 OWT589830:OWW589830 PGP589830:PGS589830 PQL589830:PQO589830 QAH589830:QAK589830 QKD589830:QKG589830 QTZ589830:QUC589830 RDV589830:RDY589830 RNR589830:RNU589830 RXN589830:RXQ589830 SHJ589830:SHM589830 SRF589830:SRI589830 TBB589830:TBE589830 TKX589830:TLA589830 TUT589830:TUW589830 UEP589830:UES589830 UOL589830:UOO589830 UYH589830:UYK589830 VID589830:VIG589830 VRZ589830:VSC589830 WBV589830:WBY589830 WLR589830:WLU589830 WVN589830:WVQ589830 F655366:I655366 JB655366:JE655366 SX655366:TA655366 ACT655366:ACW655366 AMP655366:AMS655366 AWL655366:AWO655366 BGH655366:BGK655366 BQD655366:BQG655366 BZZ655366:CAC655366 CJV655366:CJY655366 CTR655366:CTU655366 DDN655366:DDQ655366 DNJ655366:DNM655366 DXF655366:DXI655366 EHB655366:EHE655366 EQX655366:ERA655366 FAT655366:FAW655366 FKP655366:FKS655366 FUL655366:FUO655366 GEH655366:GEK655366 GOD655366:GOG655366 GXZ655366:GYC655366 HHV655366:HHY655366 HRR655366:HRU655366 IBN655366:IBQ655366 ILJ655366:ILM655366 IVF655366:IVI655366 JFB655366:JFE655366 JOX655366:JPA655366 JYT655366:JYW655366 KIP655366:KIS655366 KSL655366:KSO655366 LCH655366:LCK655366 LMD655366:LMG655366 LVZ655366:LWC655366 MFV655366:MFY655366 MPR655366:MPU655366 MZN655366:MZQ655366 NJJ655366:NJM655366 NTF655366:NTI655366 ODB655366:ODE655366 OMX655366:ONA655366 OWT655366:OWW655366 PGP655366:PGS655366 PQL655366:PQO655366 QAH655366:QAK655366 QKD655366:QKG655366 QTZ655366:QUC655366 RDV655366:RDY655366 RNR655366:RNU655366 RXN655366:RXQ655366 SHJ655366:SHM655366 SRF655366:SRI655366 TBB655366:TBE655366 TKX655366:TLA655366 TUT655366:TUW655366 UEP655366:UES655366 UOL655366:UOO655366 UYH655366:UYK655366 VID655366:VIG655366 VRZ655366:VSC655366 WBV655366:WBY655366 WLR655366:WLU655366 WVN655366:WVQ655366 F720902:I720902 JB720902:JE720902 SX720902:TA720902 ACT720902:ACW720902 AMP720902:AMS720902 AWL720902:AWO720902 BGH720902:BGK720902 BQD720902:BQG720902 BZZ720902:CAC720902 CJV720902:CJY720902 CTR720902:CTU720902 DDN720902:DDQ720902 DNJ720902:DNM720902 DXF720902:DXI720902 EHB720902:EHE720902 EQX720902:ERA720902 FAT720902:FAW720902 FKP720902:FKS720902 FUL720902:FUO720902 GEH720902:GEK720902 GOD720902:GOG720902 GXZ720902:GYC720902 HHV720902:HHY720902 HRR720902:HRU720902 IBN720902:IBQ720902 ILJ720902:ILM720902 IVF720902:IVI720902 JFB720902:JFE720902 JOX720902:JPA720902 JYT720902:JYW720902 KIP720902:KIS720902 KSL720902:KSO720902 LCH720902:LCK720902 LMD720902:LMG720902 LVZ720902:LWC720902 MFV720902:MFY720902 MPR720902:MPU720902 MZN720902:MZQ720902 NJJ720902:NJM720902 NTF720902:NTI720902 ODB720902:ODE720902 OMX720902:ONA720902 OWT720902:OWW720902 PGP720902:PGS720902 PQL720902:PQO720902 QAH720902:QAK720902 QKD720902:QKG720902 QTZ720902:QUC720902 RDV720902:RDY720902 RNR720902:RNU720902 RXN720902:RXQ720902 SHJ720902:SHM720902 SRF720902:SRI720902 TBB720902:TBE720902 TKX720902:TLA720902 TUT720902:TUW720902 UEP720902:UES720902 UOL720902:UOO720902 UYH720902:UYK720902 VID720902:VIG720902 VRZ720902:VSC720902 WBV720902:WBY720902 WLR720902:WLU720902 WVN720902:WVQ720902 F786438:I786438 JB786438:JE786438 SX786438:TA786438 ACT786438:ACW786438 AMP786438:AMS786438 AWL786438:AWO786438 BGH786438:BGK786438 BQD786438:BQG786438 BZZ786438:CAC786438 CJV786438:CJY786438 CTR786438:CTU786438 DDN786438:DDQ786438 DNJ786438:DNM786438 DXF786438:DXI786438 EHB786438:EHE786438 EQX786438:ERA786438 FAT786438:FAW786438 FKP786438:FKS786438 FUL786438:FUO786438 GEH786438:GEK786438 GOD786438:GOG786438 GXZ786438:GYC786438 HHV786438:HHY786438 HRR786438:HRU786438 IBN786438:IBQ786438 ILJ786438:ILM786438 IVF786438:IVI786438 JFB786438:JFE786438 JOX786438:JPA786438 JYT786438:JYW786438 KIP786438:KIS786438 KSL786438:KSO786438 LCH786438:LCK786438 LMD786438:LMG786438 LVZ786438:LWC786438 MFV786438:MFY786438 MPR786438:MPU786438 MZN786438:MZQ786438 NJJ786438:NJM786438 NTF786438:NTI786438 ODB786438:ODE786438 OMX786438:ONA786438 OWT786438:OWW786438 PGP786438:PGS786438 PQL786438:PQO786438 QAH786438:QAK786438 QKD786438:QKG786438 QTZ786438:QUC786438 RDV786438:RDY786438 RNR786438:RNU786438 RXN786438:RXQ786438 SHJ786438:SHM786438 SRF786438:SRI786438 TBB786438:TBE786438 TKX786438:TLA786438 TUT786438:TUW786438 UEP786438:UES786438 UOL786438:UOO786438 UYH786438:UYK786438 VID786438:VIG786438 VRZ786438:VSC786438 WBV786438:WBY786438 WLR786438:WLU786438 WVN786438:WVQ786438 F851974:I851974 JB851974:JE851974 SX851974:TA851974 ACT851974:ACW851974 AMP851974:AMS851974 AWL851974:AWO851974 BGH851974:BGK851974 BQD851974:BQG851974 BZZ851974:CAC851974 CJV851974:CJY851974 CTR851974:CTU851974 DDN851974:DDQ851974 DNJ851974:DNM851974 DXF851974:DXI851974 EHB851974:EHE851974 EQX851974:ERA851974 FAT851974:FAW851974 FKP851974:FKS851974 FUL851974:FUO851974 GEH851974:GEK851974 GOD851974:GOG851974 GXZ851974:GYC851974 HHV851974:HHY851974 HRR851974:HRU851974 IBN851974:IBQ851974 ILJ851974:ILM851974 IVF851974:IVI851974 JFB851974:JFE851974 JOX851974:JPA851974 JYT851974:JYW851974 KIP851974:KIS851974 KSL851974:KSO851974 LCH851974:LCK851974 LMD851974:LMG851974 LVZ851974:LWC851974 MFV851974:MFY851974 MPR851974:MPU851974 MZN851974:MZQ851974 NJJ851974:NJM851974 NTF851974:NTI851974 ODB851974:ODE851974 OMX851974:ONA851974 OWT851974:OWW851974 PGP851974:PGS851974 PQL851974:PQO851974 QAH851974:QAK851974 QKD851974:QKG851974 QTZ851974:QUC851974 RDV851974:RDY851974 RNR851974:RNU851974 RXN851974:RXQ851974 SHJ851974:SHM851974 SRF851974:SRI851974 TBB851974:TBE851974 TKX851974:TLA851974 TUT851974:TUW851974 UEP851974:UES851974 UOL851974:UOO851974 UYH851974:UYK851974 VID851974:VIG851974 VRZ851974:VSC851974 WBV851974:WBY851974 WLR851974:WLU851974 WVN851974:WVQ851974 F917510:I917510 JB917510:JE917510 SX917510:TA917510 ACT917510:ACW917510 AMP917510:AMS917510 AWL917510:AWO917510 BGH917510:BGK917510 BQD917510:BQG917510 BZZ917510:CAC917510 CJV917510:CJY917510 CTR917510:CTU917510 DDN917510:DDQ917510 DNJ917510:DNM917510 DXF917510:DXI917510 EHB917510:EHE917510 EQX917510:ERA917510 FAT917510:FAW917510 FKP917510:FKS917510 FUL917510:FUO917510 GEH917510:GEK917510 GOD917510:GOG917510 GXZ917510:GYC917510 HHV917510:HHY917510 HRR917510:HRU917510 IBN917510:IBQ917510 ILJ917510:ILM917510 IVF917510:IVI917510 JFB917510:JFE917510 JOX917510:JPA917510 JYT917510:JYW917510 KIP917510:KIS917510 KSL917510:KSO917510 LCH917510:LCK917510 LMD917510:LMG917510 LVZ917510:LWC917510 MFV917510:MFY917510 MPR917510:MPU917510 MZN917510:MZQ917510 NJJ917510:NJM917510 NTF917510:NTI917510 ODB917510:ODE917510 OMX917510:ONA917510 OWT917510:OWW917510 PGP917510:PGS917510 PQL917510:PQO917510 QAH917510:QAK917510 QKD917510:QKG917510 QTZ917510:QUC917510 RDV917510:RDY917510 RNR917510:RNU917510 RXN917510:RXQ917510 SHJ917510:SHM917510 SRF917510:SRI917510 TBB917510:TBE917510 TKX917510:TLA917510 TUT917510:TUW917510 UEP917510:UES917510 UOL917510:UOO917510 UYH917510:UYK917510 VID917510:VIG917510 VRZ917510:VSC917510 WBV917510:WBY917510 WLR917510:WLU917510 WVN917510:WVQ917510 F983046:I983046 JB983046:JE983046 SX983046:TA983046 ACT983046:ACW983046 AMP983046:AMS983046 AWL983046:AWO983046 BGH983046:BGK983046 BQD983046:BQG983046 BZZ983046:CAC983046 CJV983046:CJY983046 CTR983046:CTU983046 DDN983046:DDQ983046 DNJ983046:DNM983046 DXF983046:DXI983046 EHB983046:EHE983046 EQX983046:ERA983046 FAT983046:FAW983046 FKP983046:FKS983046 FUL983046:FUO983046 GEH983046:GEK983046 GOD983046:GOG983046 GXZ983046:GYC983046 HHV983046:HHY983046 HRR983046:HRU983046 IBN983046:IBQ983046 ILJ983046:ILM983046 IVF983046:IVI983046 JFB983046:JFE983046 JOX983046:JPA983046 JYT983046:JYW983046 KIP983046:KIS983046 KSL983046:KSO983046 LCH983046:LCK983046 LMD983046:LMG983046 LVZ983046:LWC983046 MFV983046:MFY983046 MPR983046:MPU983046 MZN983046:MZQ983046 NJJ983046:NJM983046 NTF983046:NTI983046 ODB983046:ODE983046 OMX983046:ONA983046 OWT983046:OWW983046 PGP983046:PGS983046 PQL983046:PQO983046 QAH983046:QAK983046 QKD983046:QKG983046 QTZ983046:QUC983046 RDV983046:RDY983046 RNR983046:RNU983046 RXN983046:RXQ983046 SHJ983046:SHM983046 SRF983046:SRI983046 TBB983046:TBE983046 TKX983046:TLA983046 TUT983046:TUW983046 UEP983046:UES983046 UOL983046:UOO983046 UYH983046:UYK983046 VID983046:VIG983046 VRZ983046:VSC983046 WBV983046:WBY983046 WLR983046:WLU983046 WVN983046:WVQ983046">
      <formula1>$A$48:$A$67</formula1>
    </dataValidation>
  </dataValidations>
  <printOptions horizontalCentered="1"/>
  <pageMargins left="0.39370078740157483" right="0.39370078740157483" top="0.43307086614173229" bottom="0.59055118110236227" header="0.51181102362204722" footer="0.39370078740157483"/>
  <pageSetup paperSize="9" scale="99" orientation="portrait" r:id="rId1"/>
  <headerFooter alignWithMargins="0"/>
</worksheet>
</file>

<file path=xl/worksheets/sheet18.xml><?xml version="1.0" encoding="utf-8"?>
<worksheet xmlns="http://schemas.openxmlformats.org/spreadsheetml/2006/main" xmlns:r="http://schemas.openxmlformats.org/officeDocument/2006/relationships">
  <dimension ref="A1:AE33"/>
  <sheetViews>
    <sheetView zoomScaleSheetLayoutView="85" workbookViewId="0">
      <selection activeCell="F18" sqref="F18:H18"/>
    </sheetView>
  </sheetViews>
  <sheetFormatPr defaultRowHeight="14.25"/>
  <cols>
    <col min="1" max="1" width="4.75" style="296" customWidth="1"/>
    <col min="2" max="2" width="6.875" style="296" customWidth="1"/>
    <col min="3" max="3" width="18.5" style="296" customWidth="1"/>
    <col min="4" max="4" width="10.875" style="296" customWidth="1"/>
    <col min="5" max="5" width="6.75" style="296" customWidth="1"/>
    <col min="6" max="6" width="9.375" style="403" customWidth="1"/>
    <col min="7" max="7" width="8.875" style="296" customWidth="1"/>
    <col min="8" max="8" width="14" style="296" customWidth="1"/>
    <col min="9" max="9" width="9.375" style="296" customWidth="1"/>
    <col min="10" max="10" width="8.625" style="296" customWidth="1"/>
    <col min="11" max="11" width="12.875" style="349" customWidth="1"/>
    <col min="12" max="12" width="13.375" style="349" bestFit="1" customWidth="1"/>
    <col min="13" max="13" width="7.625" style="349" customWidth="1"/>
    <col min="14" max="14" width="7.625" style="349" bestFit="1" customWidth="1"/>
    <col min="15" max="15" width="4.625" style="349" bestFit="1" customWidth="1"/>
    <col min="16" max="16" width="7.625" style="350" customWidth="1"/>
    <col min="17" max="17" width="7.625" style="349" customWidth="1"/>
    <col min="18" max="18" width="7.625" style="296" bestFit="1" customWidth="1"/>
    <col min="19" max="19" width="4.625" style="296" bestFit="1" customWidth="1"/>
    <col min="20" max="20" width="9.625" style="296" bestFit="1" customWidth="1"/>
    <col min="21" max="21" width="8.75" style="296" bestFit="1" customWidth="1"/>
    <col min="22" max="22" width="11.5" style="296" bestFit="1" customWidth="1"/>
    <col min="23" max="23" width="6.125" style="296" bestFit="1" customWidth="1"/>
    <col min="24" max="24" width="4.625" style="296" bestFit="1" customWidth="1"/>
    <col min="25" max="27" width="6.125" style="296" bestFit="1" customWidth="1"/>
    <col min="28" max="28" width="9" style="296"/>
    <col min="29" max="29" width="9.125" style="351" customWidth="1"/>
    <col min="30" max="31" width="9" style="351"/>
    <col min="32" max="256" width="9" style="296"/>
    <col min="257" max="257" width="4.75" style="296" customWidth="1"/>
    <col min="258" max="258" width="6.875" style="296" customWidth="1"/>
    <col min="259" max="259" width="18.5" style="296" customWidth="1"/>
    <col min="260" max="260" width="10.875" style="296" customWidth="1"/>
    <col min="261" max="261" width="6.75" style="296" customWidth="1"/>
    <col min="262" max="262" width="9.375" style="296" customWidth="1"/>
    <col min="263" max="263" width="8.875" style="296" customWidth="1"/>
    <col min="264" max="264" width="14" style="296" customWidth="1"/>
    <col min="265" max="265" width="9.375" style="296" customWidth="1"/>
    <col min="266" max="266" width="8.625" style="296" customWidth="1"/>
    <col min="267" max="267" width="12.875" style="296" customWidth="1"/>
    <col min="268" max="268" width="13.375" style="296" bestFit="1" customWidth="1"/>
    <col min="269" max="269" width="7.625" style="296" customWidth="1"/>
    <col min="270" max="270" width="7.625" style="296" bestFit="1" customWidth="1"/>
    <col min="271" max="271" width="4.625" style="296" bestFit="1" customWidth="1"/>
    <col min="272" max="273" width="7.625" style="296" customWidth="1"/>
    <col min="274" max="274" width="7.625" style="296" bestFit="1" customWidth="1"/>
    <col min="275" max="275" width="4.625" style="296" bestFit="1" customWidth="1"/>
    <col min="276" max="276" width="9.625" style="296" bestFit="1" customWidth="1"/>
    <col min="277" max="277" width="8.75" style="296" bestFit="1" customWidth="1"/>
    <col min="278" max="278" width="11.5" style="296" bestFit="1" customWidth="1"/>
    <col min="279" max="279" width="6.125" style="296" bestFit="1" customWidth="1"/>
    <col min="280" max="280" width="4.625" style="296" bestFit="1" customWidth="1"/>
    <col min="281" max="283" width="6.125" style="296" bestFit="1" customWidth="1"/>
    <col min="284" max="284" width="9" style="296"/>
    <col min="285" max="285" width="9.125" style="296" customWidth="1"/>
    <col min="286" max="512" width="9" style="296"/>
    <col min="513" max="513" width="4.75" style="296" customWidth="1"/>
    <col min="514" max="514" width="6.875" style="296" customWidth="1"/>
    <col min="515" max="515" width="18.5" style="296" customWidth="1"/>
    <col min="516" max="516" width="10.875" style="296" customWidth="1"/>
    <col min="517" max="517" width="6.75" style="296" customWidth="1"/>
    <col min="518" max="518" width="9.375" style="296" customWidth="1"/>
    <col min="519" max="519" width="8.875" style="296" customWidth="1"/>
    <col min="520" max="520" width="14" style="296" customWidth="1"/>
    <col min="521" max="521" width="9.375" style="296" customWidth="1"/>
    <col min="522" max="522" width="8.625" style="296" customWidth="1"/>
    <col min="523" max="523" width="12.875" style="296" customWidth="1"/>
    <col min="524" max="524" width="13.375" style="296" bestFit="1" customWidth="1"/>
    <col min="525" max="525" width="7.625" style="296" customWidth="1"/>
    <col min="526" max="526" width="7.625" style="296" bestFit="1" customWidth="1"/>
    <col min="527" max="527" width="4.625" style="296" bestFit="1" customWidth="1"/>
    <col min="528" max="529" width="7.625" style="296" customWidth="1"/>
    <col min="530" max="530" width="7.625" style="296" bestFit="1" customWidth="1"/>
    <col min="531" max="531" width="4.625" style="296" bestFit="1" customWidth="1"/>
    <col min="532" max="532" width="9.625" style="296" bestFit="1" customWidth="1"/>
    <col min="533" max="533" width="8.75" style="296" bestFit="1" customWidth="1"/>
    <col min="534" max="534" width="11.5" style="296" bestFit="1" customWidth="1"/>
    <col min="535" max="535" width="6.125" style="296" bestFit="1" customWidth="1"/>
    <col min="536" max="536" width="4.625" style="296" bestFit="1" customWidth="1"/>
    <col min="537" max="539" width="6.125" style="296" bestFit="1" customWidth="1"/>
    <col min="540" max="540" width="9" style="296"/>
    <col min="541" max="541" width="9.125" style="296" customWidth="1"/>
    <col min="542" max="768" width="9" style="296"/>
    <col min="769" max="769" width="4.75" style="296" customWidth="1"/>
    <col min="770" max="770" width="6.875" style="296" customWidth="1"/>
    <col min="771" max="771" width="18.5" style="296" customWidth="1"/>
    <col min="772" max="772" width="10.875" style="296" customWidth="1"/>
    <col min="773" max="773" width="6.75" style="296" customWidth="1"/>
    <col min="774" max="774" width="9.375" style="296" customWidth="1"/>
    <col min="775" max="775" width="8.875" style="296" customWidth="1"/>
    <col min="776" max="776" width="14" style="296" customWidth="1"/>
    <col min="777" max="777" width="9.375" style="296" customWidth="1"/>
    <col min="778" max="778" width="8.625" style="296" customWidth="1"/>
    <col min="779" max="779" width="12.875" style="296" customWidth="1"/>
    <col min="780" max="780" width="13.375" style="296" bestFit="1" customWidth="1"/>
    <col min="781" max="781" width="7.625" style="296" customWidth="1"/>
    <col min="782" max="782" width="7.625" style="296" bestFit="1" customWidth="1"/>
    <col min="783" max="783" width="4.625" style="296" bestFit="1" customWidth="1"/>
    <col min="784" max="785" width="7.625" style="296" customWidth="1"/>
    <col min="786" max="786" width="7.625" style="296" bestFit="1" customWidth="1"/>
    <col min="787" max="787" width="4.625" style="296" bestFit="1" customWidth="1"/>
    <col min="788" max="788" width="9.625" style="296" bestFit="1" customWidth="1"/>
    <col min="789" max="789" width="8.75" style="296" bestFit="1" customWidth="1"/>
    <col min="790" max="790" width="11.5" style="296" bestFit="1" customWidth="1"/>
    <col min="791" max="791" width="6.125" style="296" bestFit="1" customWidth="1"/>
    <col min="792" max="792" width="4.625" style="296" bestFit="1" customWidth="1"/>
    <col min="793" max="795" width="6.125" style="296" bestFit="1" customWidth="1"/>
    <col min="796" max="796" width="9" style="296"/>
    <col min="797" max="797" width="9.125" style="296" customWidth="1"/>
    <col min="798" max="1024" width="9" style="296"/>
    <col min="1025" max="1025" width="4.75" style="296" customWidth="1"/>
    <col min="1026" max="1026" width="6.875" style="296" customWidth="1"/>
    <col min="1027" max="1027" width="18.5" style="296" customWidth="1"/>
    <col min="1028" max="1028" width="10.875" style="296" customWidth="1"/>
    <col min="1029" max="1029" width="6.75" style="296" customWidth="1"/>
    <col min="1030" max="1030" width="9.375" style="296" customWidth="1"/>
    <col min="1031" max="1031" width="8.875" style="296" customWidth="1"/>
    <col min="1032" max="1032" width="14" style="296" customWidth="1"/>
    <col min="1033" max="1033" width="9.375" style="296" customWidth="1"/>
    <col min="1034" max="1034" width="8.625" style="296" customWidth="1"/>
    <col min="1035" max="1035" width="12.875" style="296" customWidth="1"/>
    <col min="1036" max="1036" width="13.375" style="296" bestFit="1" customWidth="1"/>
    <col min="1037" max="1037" width="7.625" style="296" customWidth="1"/>
    <col min="1038" max="1038" width="7.625" style="296" bestFit="1" customWidth="1"/>
    <col min="1039" max="1039" width="4.625" style="296" bestFit="1" customWidth="1"/>
    <col min="1040" max="1041" width="7.625" style="296" customWidth="1"/>
    <col min="1042" max="1042" width="7.625" style="296" bestFit="1" customWidth="1"/>
    <col min="1043" max="1043" width="4.625" style="296" bestFit="1" customWidth="1"/>
    <col min="1044" max="1044" width="9.625" style="296" bestFit="1" customWidth="1"/>
    <col min="1045" max="1045" width="8.75" style="296" bestFit="1" customWidth="1"/>
    <col min="1046" max="1046" width="11.5" style="296" bestFit="1" customWidth="1"/>
    <col min="1047" max="1047" width="6.125" style="296" bestFit="1" customWidth="1"/>
    <col min="1048" max="1048" width="4.625" style="296" bestFit="1" customWidth="1"/>
    <col min="1049" max="1051" width="6.125" style="296" bestFit="1" customWidth="1"/>
    <col min="1052" max="1052" width="9" style="296"/>
    <col min="1053" max="1053" width="9.125" style="296" customWidth="1"/>
    <col min="1054" max="1280" width="9" style="296"/>
    <col min="1281" max="1281" width="4.75" style="296" customWidth="1"/>
    <col min="1282" max="1282" width="6.875" style="296" customWidth="1"/>
    <col min="1283" max="1283" width="18.5" style="296" customWidth="1"/>
    <col min="1284" max="1284" width="10.875" style="296" customWidth="1"/>
    <col min="1285" max="1285" width="6.75" style="296" customWidth="1"/>
    <col min="1286" max="1286" width="9.375" style="296" customWidth="1"/>
    <col min="1287" max="1287" width="8.875" style="296" customWidth="1"/>
    <col min="1288" max="1288" width="14" style="296" customWidth="1"/>
    <col min="1289" max="1289" width="9.375" style="296" customWidth="1"/>
    <col min="1290" max="1290" width="8.625" style="296" customWidth="1"/>
    <col min="1291" max="1291" width="12.875" style="296" customWidth="1"/>
    <col min="1292" max="1292" width="13.375" style="296" bestFit="1" customWidth="1"/>
    <col min="1293" max="1293" width="7.625" style="296" customWidth="1"/>
    <col min="1294" max="1294" width="7.625" style="296" bestFit="1" customWidth="1"/>
    <col min="1295" max="1295" width="4.625" style="296" bestFit="1" customWidth="1"/>
    <col min="1296" max="1297" width="7.625" style="296" customWidth="1"/>
    <col min="1298" max="1298" width="7.625" style="296" bestFit="1" customWidth="1"/>
    <col min="1299" max="1299" width="4.625" style="296" bestFit="1" customWidth="1"/>
    <col min="1300" max="1300" width="9.625" style="296" bestFit="1" customWidth="1"/>
    <col min="1301" max="1301" width="8.75" style="296" bestFit="1" customWidth="1"/>
    <col min="1302" max="1302" width="11.5" style="296" bestFit="1" customWidth="1"/>
    <col min="1303" max="1303" width="6.125" style="296" bestFit="1" customWidth="1"/>
    <col min="1304" max="1304" width="4.625" style="296" bestFit="1" customWidth="1"/>
    <col min="1305" max="1307" width="6.125" style="296" bestFit="1" customWidth="1"/>
    <col min="1308" max="1308" width="9" style="296"/>
    <col min="1309" max="1309" width="9.125" style="296" customWidth="1"/>
    <col min="1310" max="1536" width="9" style="296"/>
    <col min="1537" max="1537" width="4.75" style="296" customWidth="1"/>
    <col min="1538" max="1538" width="6.875" style="296" customWidth="1"/>
    <col min="1539" max="1539" width="18.5" style="296" customWidth="1"/>
    <col min="1540" max="1540" width="10.875" style="296" customWidth="1"/>
    <col min="1541" max="1541" width="6.75" style="296" customWidth="1"/>
    <col min="1542" max="1542" width="9.375" style="296" customWidth="1"/>
    <col min="1543" max="1543" width="8.875" style="296" customWidth="1"/>
    <col min="1544" max="1544" width="14" style="296" customWidth="1"/>
    <col min="1545" max="1545" width="9.375" style="296" customWidth="1"/>
    <col min="1546" max="1546" width="8.625" style="296" customWidth="1"/>
    <col min="1547" max="1547" width="12.875" style="296" customWidth="1"/>
    <col min="1548" max="1548" width="13.375" style="296" bestFit="1" customWidth="1"/>
    <col min="1549" max="1549" width="7.625" style="296" customWidth="1"/>
    <col min="1550" max="1550" width="7.625" style="296" bestFit="1" customWidth="1"/>
    <col min="1551" max="1551" width="4.625" style="296" bestFit="1" customWidth="1"/>
    <col min="1552" max="1553" width="7.625" style="296" customWidth="1"/>
    <col min="1554" max="1554" width="7.625" style="296" bestFit="1" customWidth="1"/>
    <col min="1555" max="1555" width="4.625" style="296" bestFit="1" customWidth="1"/>
    <col min="1556" max="1556" width="9.625" style="296" bestFit="1" customWidth="1"/>
    <col min="1557" max="1557" width="8.75" style="296" bestFit="1" customWidth="1"/>
    <col min="1558" max="1558" width="11.5" style="296" bestFit="1" customWidth="1"/>
    <col min="1559" max="1559" width="6.125" style="296" bestFit="1" customWidth="1"/>
    <col min="1560" max="1560" width="4.625" style="296" bestFit="1" customWidth="1"/>
    <col min="1561" max="1563" width="6.125" style="296" bestFit="1" customWidth="1"/>
    <col min="1564" max="1564" width="9" style="296"/>
    <col min="1565" max="1565" width="9.125" style="296" customWidth="1"/>
    <col min="1566" max="1792" width="9" style="296"/>
    <col min="1793" max="1793" width="4.75" style="296" customWidth="1"/>
    <col min="1794" max="1794" width="6.875" style="296" customWidth="1"/>
    <col min="1795" max="1795" width="18.5" style="296" customWidth="1"/>
    <col min="1796" max="1796" width="10.875" style="296" customWidth="1"/>
    <col min="1797" max="1797" width="6.75" style="296" customWidth="1"/>
    <col min="1798" max="1798" width="9.375" style="296" customWidth="1"/>
    <col min="1799" max="1799" width="8.875" style="296" customWidth="1"/>
    <col min="1800" max="1800" width="14" style="296" customWidth="1"/>
    <col min="1801" max="1801" width="9.375" style="296" customWidth="1"/>
    <col min="1802" max="1802" width="8.625" style="296" customWidth="1"/>
    <col min="1803" max="1803" width="12.875" style="296" customWidth="1"/>
    <col min="1804" max="1804" width="13.375" style="296" bestFit="1" customWidth="1"/>
    <col min="1805" max="1805" width="7.625" style="296" customWidth="1"/>
    <col min="1806" max="1806" width="7.625" style="296" bestFit="1" customWidth="1"/>
    <col min="1807" max="1807" width="4.625" style="296" bestFit="1" customWidth="1"/>
    <col min="1808" max="1809" width="7.625" style="296" customWidth="1"/>
    <col min="1810" max="1810" width="7.625" style="296" bestFit="1" customWidth="1"/>
    <col min="1811" max="1811" width="4.625" style="296" bestFit="1" customWidth="1"/>
    <col min="1812" max="1812" width="9.625" style="296" bestFit="1" customWidth="1"/>
    <col min="1813" max="1813" width="8.75" style="296" bestFit="1" customWidth="1"/>
    <col min="1814" max="1814" width="11.5" style="296" bestFit="1" customWidth="1"/>
    <col min="1815" max="1815" width="6.125" style="296" bestFit="1" customWidth="1"/>
    <col min="1816" max="1816" width="4.625" style="296" bestFit="1" customWidth="1"/>
    <col min="1817" max="1819" width="6.125" style="296" bestFit="1" customWidth="1"/>
    <col min="1820" max="1820" width="9" style="296"/>
    <col min="1821" max="1821" width="9.125" style="296" customWidth="1"/>
    <col min="1822" max="2048" width="9" style="296"/>
    <col min="2049" max="2049" width="4.75" style="296" customWidth="1"/>
    <col min="2050" max="2050" width="6.875" style="296" customWidth="1"/>
    <col min="2051" max="2051" width="18.5" style="296" customWidth="1"/>
    <col min="2052" max="2052" width="10.875" style="296" customWidth="1"/>
    <col min="2053" max="2053" width="6.75" style="296" customWidth="1"/>
    <col min="2054" max="2054" width="9.375" style="296" customWidth="1"/>
    <col min="2055" max="2055" width="8.875" style="296" customWidth="1"/>
    <col min="2056" max="2056" width="14" style="296" customWidth="1"/>
    <col min="2057" max="2057" width="9.375" style="296" customWidth="1"/>
    <col min="2058" max="2058" width="8.625" style="296" customWidth="1"/>
    <col min="2059" max="2059" width="12.875" style="296" customWidth="1"/>
    <col min="2060" max="2060" width="13.375" style="296" bestFit="1" customWidth="1"/>
    <col min="2061" max="2061" width="7.625" style="296" customWidth="1"/>
    <col min="2062" max="2062" width="7.625" style="296" bestFit="1" customWidth="1"/>
    <col min="2063" max="2063" width="4.625" style="296" bestFit="1" customWidth="1"/>
    <col min="2064" max="2065" width="7.625" style="296" customWidth="1"/>
    <col min="2066" max="2066" width="7.625" style="296" bestFit="1" customWidth="1"/>
    <col min="2067" max="2067" width="4.625" style="296" bestFit="1" customWidth="1"/>
    <col min="2068" max="2068" width="9.625" style="296" bestFit="1" customWidth="1"/>
    <col min="2069" max="2069" width="8.75" style="296" bestFit="1" customWidth="1"/>
    <col min="2070" max="2070" width="11.5" style="296" bestFit="1" customWidth="1"/>
    <col min="2071" max="2071" width="6.125" style="296" bestFit="1" customWidth="1"/>
    <col min="2072" max="2072" width="4.625" style="296" bestFit="1" customWidth="1"/>
    <col min="2073" max="2075" width="6.125" style="296" bestFit="1" customWidth="1"/>
    <col min="2076" max="2076" width="9" style="296"/>
    <col min="2077" max="2077" width="9.125" style="296" customWidth="1"/>
    <col min="2078" max="2304" width="9" style="296"/>
    <col min="2305" max="2305" width="4.75" style="296" customWidth="1"/>
    <col min="2306" max="2306" width="6.875" style="296" customWidth="1"/>
    <col min="2307" max="2307" width="18.5" style="296" customWidth="1"/>
    <col min="2308" max="2308" width="10.875" style="296" customWidth="1"/>
    <col min="2309" max="2309" width="6.75" style="296" customWidth="1"/>
    <col min="2310" max="2310" width="9.375" style="296" customWidth="1"/>
    <col min="2311" max="2311" width="8.875" style="296" customWidth="1"/>
    <col min="2312" max="2312" width="14" style="296" customWidth="1"/>
    <col min="2313" max="2313" width="9.375" style="296" customWidth="1"/>
    <col min="2314" max="2314" width="8.625" style="296" customWidth="1"/>
    <col min="2315" max="2315" width="12.875" style="296" customWidth="1"/>
    <col min="2316" max="2316" width="13.375" style="296" bestFit="1" customWidth="1"/>
    <col min="2317" max="2317" width="7.625" style="296" customWidth="1"/>
    <col min="2318" max="2318" width="7.625" style="296" bestFit="1" customWidth="1"/>
    <col min="2319" max="2319" width="4.625" style="296" bestFit="1" customWidth="1"/>
    <col min="2320" max="2321" width="7.625" style="296" customWidth="1"/>
    <col min="2322" max="2322" width="7.625" style="296" bestFit="1" customWidth="1"/>
    <col min="2323" max="2323" width="4.625" style="296" bestFit="1" customWidth="1"/>
    <col min="2324" max="2324" width="9.625" style="296" bestFit="1" customWidth="1"/>
    <col min="2325" max="2325" width="8.75" style="296" bestFit="1" customWidth="1"/>
    <col min="2326" max="2326" width="11.5" style="296" bestFit="1" customWidth="1"/>
    <col min="2327" max="2327" width="6.125" style="296" bestFit="1" customWidth="1"/>
    <col min="2328" max="2328" width="4.625" style="296" bestFit="1" customWidth="1"/>
    <col min="2329" max="2331" width="6.125" style="296" bestFit="1" customWidth="1"/>
    <col min="2332" max="2332" width="9" style="296"/>
    <col min="2333" max="2333" width="9.125" style="296" customWidth="1"/>
    <col min="2334" max="2560" width="9" style="296"/>
    <col min="2561" max="2561" width="4.75" style="296" customWidth="1"/>
    <col min="2562" max="2562" width="6.875" style="296" customWidth="1"/>
    <col min="2563" max="2563" width="18.5" style="296" customWidth="1"/>
    <col min="2564" max="2564" width="10.875" style="296" customWidth="1"/>
    <col min="2565" max="2565" width="6.75" style="296" customWidth="1"/>
    <col min="2566" max="2566" width="9.375" style="296" customWidth="1"/>
    <col min="2567" max="2567" width="8.875" style="296" customWidth="1"/>
    <col min="2568" max="2568" width="14" style="296" customWidth="1"/>
    <col min="2569" max="2569" width="9.375" style="296" customWidth="1"/>
    <col min="2570" max="2570" width="8.625" style="296" customWidth="1"/>
    <col min="2571" max="2571" width="12.875" style="296" customWidth="1"/>
    <col min="2572" max="2572" width="13.375" style="296" bestFit="1" customWidth="1"/>
    <col min="2573" max="2573" width="7.625" style="296" customWidth="1"/>
    <col min="2574" max="2574" width="7.625" style="296" bestFit="1" customWidth="1"/>
    <col min="2575" max="2575" width="4.625" style="296" bestFit="1" customWidth="1"/>
    <col min="2576" max="2577" width="7.625" style="296" customWidth="1"/>
    <col min="2578" max="2578" width="7.625" style="296" bestFit="1" customWidth="1"/>
    <col min="2579" max="2579" width="4.625" style="296" bestFit="1" customWidth="1"/>
    <col min="2580" max="2580" width="9.625" style="296" bestFit="1" customWidth="1"/>
    <col min="2581" max="2581" width="8.75" style="296" bestFit="1" customWidth="1"/>
    <col min="2582" max="2582" width="11.5" style="296" bestFit="1" customWidth="1"/>
    <col min="2583" max="2583" width="6.125" style="296" bestFit="1" customWidth="1"/>
    <col min="2584" max="2584" width="4.625" style="296" bestFit="1" customWidth="1"/>
    <col min="2585" max="2587" width="6.125" style="296" bestFit="1" customWidth="1"/>
    <col min="2588" max="2588" width="9" style="296"/>
    <col min="2589" max="2589" width="9.125" style="296" customWidth="1"/>
    <col min="2590" max="2816" width="9" style="296"/>
    <col min="2817" max="2817" width="4.75" style="296" customWidth="1"/>
    <col min="2818" max="2818" width="6.875" style="296" customWidth="1"/>
    <col min="2819" max="2819" width="18.5" style="296" customWidth="1"/>
    <col min="2820" max="2820" width="10.875" style="296" customWidth="1"/>
    <col min="2821" max="2821" width="6.75" style="296" customWidth="1"/>
    <col min="2822" max="2822" width="9.375" style="296" customWidth="1"/>
    <col min="2823" max="2823" width="8.875" style="296" customWidth="1"/>
    <col min="2824" max="2824" width="14" style="296" customWidth="1"/>
    <col min="2825" max="2825" width="9.375" style="296" customWidth="1"/>
    <col min="2826" max="2826" width="8.625" style="296" customWidth="1"/>
    <col min="2827" max="2827" width="12.875" style="296" customWidth="1"/>
    <col min="2828" max="2828" width="13.375" style="296" bestFit="1" customWidth="1"/>
    <col min="2829" max="2829" width="7.625" style="296" customWidth="1"/>
    <col min="2830" max="2830" width="7.625" style="296" bestFit="1" customWidth="1"/>
    <col min="2831" max="2831" width="4.625" style="296" bestFit="1" customWidth="1"/>
    <col min="2832" max="2833" width="7.625" style="296" customWidth="1"/>
    <col min="2834" max="2834" width="7.625" style="296" bestFit="1" customWidth="1"/>
    <col min="2835" max="2835" width="4.625" style="296" bestFit="1" customWidth="1"/>
    <col min="2836" max="2836" width="9.625" style="296" bestFit="1" customWidth="1"/>
    <col min="2837" max="2837" width="8.75" style="296" bestFit="1" customWidth="1"/>
    <col min="2838" max="2838" width="11.5" style="296" bestFit="1" customWidth="1"/>
    <col min="2839" max="2839" width="6.125" style="296" bestFit="1" customWidth="1"/>
    <col min="2840" max="2840" width="4.625" style="296" bestFit="1" customWidth="1"/>
    <col min="2841" max="2843" width="6.125" style="296" bestFit="1" customWidth="1"/>
    <col min="2844" max="2844" width="9" style="296"/>
    <col min="2845" max="2845" width="9.125" style="296" customWidth="1"/>
    <col min="2846" max="3072" width="9" style="296"/>
    <col min="3073" max="3073" width="4.75" style="296" customWidth="1"/>
    <col min="3074" max="3074" width="6.875" style="296" customWidth="1"/>
    <col min="3075" max="3075" width="18.5" style="296" customWidth="1"/>
    <col min="3076" max="3076" width="10.875" style="296" customWidth="1"/>
    <col min="3077" max="3077" width="6.75" style="296" customWidth="1"/>
    <col min="3078" max="3078" width="9.375" style="296" customWidth="1"/>
    <col min="3079" max="3079" width="8.875" style="296" customWidth="1"/>
    <col min="3080" max="3080" width="14" style="296" customWidth="1"/>
    <col min="3081" max="3081" width="9.375" style="296" customWidth="1"/>
    <col min="3082" max="3082" width="8.625" style="296" customWidth="1"/>
    <col min="3083" max="3083" width="12.875" style="296" customWidth="1"/>
    <col min="3084" max="3084" width="13.375" style="296" bestFit="1" customWidth="1"/>
    <col min="3085" max="3085" width="7.625" style="296" customWidth="1"/>
    <col min="3086" max="3086" width="7.625" style="296" bestFit="1" customWidth="1"/>
    <col min="3087" max="3087" width="4.625" style="296" bestFit="1" customWidth="1"/>
    <col min="3088" max="3089" width="7.625" style="296" customWidth="1"/>
    <col min="3090" max="3090" width="7.625" style="296" bestFit="1" customWidth="1"/>
    <col min="3091" max="3091" width="4.625" style="296" bestFit="1" customWidth="1"/>
    <col min="3092" max="3092" width="9.625" style="296" bestFit="1" customWidth="1"/>
    <col min="3093" max="3093" width="8.75" style="296" bestFit="1" customWidth="1"/>
    <col min="3094" max="3094" width="11.5" style="296" bestFit="1" customWidth="1"/>
    <col min="3095" max="3095" width="6.125" style="296" bestFit="1" customWidth="1"/>
    <col min="3096" max="3096" width="4.625" style="296" bestFit="1" customWidth="1"/>
    <col min="3097" max="3099" width="6.125" style="296" bestFit="1" customWidth="1"/>
    <col min="3100" max="3100" width="9" style="296"/>
    <col min="3101" max="3101" width="9.125" style="296" customWidth="1"/>
    <col min="3102" max="3328" width="9" style="296"/>
    <col min="3329" max="3329" width="4.75" style="296" customWidth="1"/>
    <col min="3330" max="3330" width="6.875" style="296" customWidth="1"/>
    <col min="3331" max="3331" width="18.5" style="296" customWidth="1"/>
    <col min="3332" max="3332" width="10.875" style="296" customWidth="1"/>
    <col min="3333" max="3333" width="6.75" style="296" customWidth="1"/>
    <col min="3334" max="3334" width="9.375" style="296" customWidth="1"/>
    <col min="3335" max="3335" width="8.875" style="296" customWidth="1"/>
    <col min="3336" max="3336" width="14" style="296" customWidth="1"/>
    <col min="3337" max="3337" width="9.375" style="296" customWidth="1"/>
    <col min="3338" max="3338" width="8.625" style="296" customWidth="1"/>
    <col min="3339" max="3339" width="12.875" style="296" customWidth="1"/>
    <col min="3340" max="3340" width="13.375" style="296" bestFit="1" customWidth="1"/>
    <col min="3341" max="3341" width="7.625" style="296" customWidth="1"/>
    <col min="3342" max="3342" width="7.625" style="296" bestFit="1" customWidth="1"/>
    <col min="3343" max="3343" width="4.625" style="296" bestFit="1" customWidth="1"/>
    <col min="3344" max="3345" width="7.625" style="296" customWidth="1"/>
    <col min="3346" max="3346" width="7.625" style="296" bestFit="1" customWidth="1"/>
    <col min="3347" max="3347" width="4.625" style="296" bestFit="1" customWidth="1"/>
    <col min="3348" max="3348" width="9.625" style="296" bestFit="1" customWidth="1"/>
    <col min="3349" max="3349" width="8.75" style="296" bestFit="1" customWidth="1"/>
    <col min="3350" max="3350" width="11.5" style="296" bestFit="1" customWidth="1"/>
    <col min="3351" max="3351" width="6.125" style="296" bestFit="1" customWidth="1"/>
    <col min="3352" max="3352" width="4.625" style="296" bestFit="1" customWidth="1"/>
    <col min="3353" max="3355" width="6.125" style="296" bestFit="1" customWidth="1"/>
    <col min="3356" max="3356" width="9" style="296"/>
    <col min="3357" max="3357" width="9.125" style="296" customWidth="1"/>
    <col min="3358" max="3584" width="9" style="296"/>
    <col min="3585" max="3585" width="4.75" style="296" customWidth="1"/>
    <col min="3586" max="3586" width="6.875" style="296" customWidth="1"/>
    <col min="3587" max="3587" width="18.5" style="296" customWidth="1"/>
    <col min="3588" max="3588" width="10.875" style="296" customWidth="1"/>
    <col min="3589" max="3589" width="6.75" style="296" customWidth="1"/>
    <col min="3590" max="3590" width="9.375" style="296" customWidth="1"/>
    <col min="3591" max="3591" width="8.875" style="296" customWidth="1"/>
    <col min="3592" max="3592" width="14" style="296" customWidth="1"/>
    <col min="3593" max="3593" width="9.375" style="296" customWidth="1"/>
    <col min="3594" max="3594" width="8.625" style="296" customWidth="1"/>
    <col min="3595" max="3595" width="12.875" style="296" customWidth="1"/>
    <col min="3596" max="3596" width="13.375" style="296" bestFit="1" customWidth="1"/>
    <col min="3597" max="3597" width="7.625" style="296" customWidth="1"/>
    <col min="3598" max="3598" width="7.625" style="296" bestFit="1" customWidth="1"/>
    <col min="3599" max="3599" width="4.625" style="296" bestFit="1" customWidth="1"/>
    <col min="3600" max="3601" width="7.625" style="296" customWidth="1"/>
    <col min="3602" max="3602" width="7.625" style="296" bestFit="1" customWidth="1"/>
    <col min="3603" max="3603" width="4.625" style="296" bestFit="1" customWidth="1"/>
    <col min="3604" max="3604" width="9.625" style="296" bestFit="1" customWidth="1"/>
    <col min="3605" max="3605" width="8.75" style="296" bestFit="1" customWidth="1"/>
    <col min="3606" max="3606" width="11.5" style="296" bestFit="1" customWidth="1"/>
    <col min="3607" max="3607" width="6.125" style="296" bestFit="1" customWidth="1"/>
    <col min="3608" max="3608" width="4.625" style="296" bestFit="1" customWidth="1"/>
    <col min="3609" max="3611" width="6.125" style="296" bestFit="1" customWidth="1"/>
    <col min="3612" max="3612" width="9" style="296"/>
    <col min="3613" max="3613" width="9.125" style="296" customWidth="1"/>
    <col min="3614" max="3840" width="9" style="296"/>
    <col min="3841" max="3841" width="4.75" style="296" customWidth="1"/>
    <col min="3842" max="3842" width="6.875" style="296" customWidth="1"/>
    <col min="3843" max="3843" width="18.5" style="296" customWidth="1"/>
    <col min="3844" max="3844" width="10.875" style="296" customWidth="1"/>
    <col min="3845" max="3845" width="6.75" style="296" customWidth="1"/>
    <col min="3846" max="3846" width="9.375" style="296" customWidth="1"/>
    <col min="3847" max="3847" width="8.875" style="296" customWidth="1"/>
    <col min="3848" max="3848" width="14" style="296" customWidth="1"/>
    <col min="3849" max="3849" width="9.375" style="296" customWidth="1"/>
    <col min="3850" max="3850" width="8.625" style="296" customWidth="1"/>
    <col min="3851" max="3851" width="12.875" style="296" customWidth="1"/>
    <col min="3852" max="3852" width="13.375" style="296" bestFit="1" customWidth="1"/>
    <col min="3853" max="3853" width="7.625" style="296" customWidth="1"/>
    <col min="3854" max="3854" width="7.625" style="296" bestFit="1" customWidth="1"/>
    <col min="3855" max="3855" width="4.625" style="296" bestFit="1" customWidth="1"/>
    <col min="3856" max="3857" width="7.625" style="296" customWidth="1"/>
    <col min="3858" max="3858" width="7.625" style="296" bestFit="1" customWidth="1"/>
    <col min="3859" max="3859" width="4.625" style="296" bestFit="1" customWidth="1"/>
    <col min="3860" max="3860" width="9.625" style="296" bestFit="1" customWidth="1"/>
    <col min="3861" max="3861" width="8.75" style="296" bestFit="1" customWidth="1"/>
    <col min="3862" max="3862" width="11.5" style="296" bestFit="1" customWidth="1"/>
    <col min="3863" max="3863" width="6.125" style="296" bestFit="1" customWidth="1"/>
    <col min="3864" max="3864" width="4.625" style="296" bestFit="1" customWidth="1"/>
    <col min="3865" max="3867" width="6.125" style="296" bestFit="1" customWidth="1"/>
    <col min="3868" max="3868" width="9" style="296"/>
    <col min="3869" max="3869" width="9.125" style="296" customWidth="1"/>
    <col min="3870" max="4096" width="9" style="296"/>
    <col min="4097" max="4097" width="4.75" style="296" customWidth="1"/>
    <col min="4098" max="4098" width="6.875" style="296" customWidth="1"/>
    <col min="4099" max="4099" width="18.5" style="296" customWidth="1"/>
    <col min="4100" max="4100" width="10.875" style="296" customWidth="1"/>
    <col min="4101" max="4101" width="6.75" style="296" customWidth="1"/>
    <col min="4102" max="4102" width="9.375" style="296" customWidth="1"/>
    <col min="4103" max="4103" width="8.875" style="296" customWidth="1"/>
    <col min="4104" max="4104" width="14" style="296" customWidth="1"/>
    <col min="4105" max="4105" width="9.375" style="296" customWidth="1"/>
    <col min="4106" max="4106" width="8.625" style="296" customWidth="1"/>
    <col min="4107" max="4107" width="12.875" style="296" customWidth="1"/>
    <col min="4108" max="4108" width="13.375" style="296" bestFit="1" customWidth="1"/>
    <col min="4109" max="4109" width="7.625" style="296" customWidth="1"/>
    <col min="4110" max="4110" width="7.625" style="296" bestFit="1" customWidth="1"/>
    <col min="4111" max="4111" width="4.625" style="296" bestFit="1" customWidth="1"/>
    <col min="4112" max="4113" width="7.625" style="296" customWidth="1"/>
    <col min="4114" max="4114" width="7.625" style="296" bestFit="1" customWidth="1"/>
    <col min="4115" max="4115" width="4.625" style="296" bestFit="1" customWidth="1"/>
    <col min="4116" max="4116" width="9.625" style="296" bestFit="1" customWidth="1"/>
    <col min="4117" max="4117" width="8.75" style="296" bestFit="1" customWidth="1"/>
    <col min="4118" max="4118" width="11.5" style="296" bestFit="1" customWidth="1"/>
    <col min="4119" max="4119" width="6.125" style="296" bestFit="1" customWidth="1"/>
    <col min="4120" max="4120" width="4.625" style="296" bestFit="1" customWidth="1"/>
    <col min="4121" max="4123" width="6.125" style="296" bestFit="1" customWidth="1"/>
    <col min="4124" max="4124" width="9" style="296"/>
    <col min="4125" max="4125" width="9.125" style="296" customWidth="1"/>
    <col min="4126" max="4352" width="9" style="296"/>
    <col min="4353" max="4353" width="4.75" style="296" customWidth="1"/>
    <col min="4354" max="4354" width="6.875" style="296" customWidth="1"/>
    <col min="4355" max="4355" width="18.5" style="296" customWidth="1"/>
    <col min="4356" max="4356" width="10.875" style="296" customWidth="1"/>
    <col min="4357" max="4357" width="6.75" style="296" customWidth="1"/>
    <col min="4358" max="4358" width="9.375" style="296" customWidth="1"/>
    <col min="4359" max="4359" width="8.875" style="296" customWidth="1"/>
    <col min="4360" max="4360" width="14" style="296" customWidth="1"/>
    <col min="4361" max="4361" width="9.375" style="296" customWidth="1"/>
    <col min="4362" max="4362" width="8.625" style="296" customWidth="1"/>
    <col min="4363" max="4363" width="12.875" style="296" customWidth="1"/>
    <col min="4364" max="4364" width="13.375" style="296" bestFit="1" customWidth="1"/>
    <col min="4365" max="4365" width="7.625" style="296" customWidth="1"/>
    <col min="4366" max="4366" width="7.625" style="296" bestFit="1" customWidth="1"/>
    <col min="4367" max="4367" width="4.625" style="296" bestFit="1" customWidth="1"/>
    <col min="4368" max="4369" width="7.625" style="296" customWidth="1"/>
    <col min="4370" max="4370" width="7.625" style="296" bestFit="1" customWidth="1"/>
    <col min="4371" max="4371" width="4.625" style="296" bestFit="1" customWidth="1"/>
    <col min="4372" max="4372" width="9.625" style="296" bestFit="1" customWidth="1"/>
    <col min="4373" max="4373" width="8.75" style="296" bestFit="1" customWidth="1"/>
    <col min="4374" max="4374" width="11.5" style="296" bestFit="1" customWidth="1"/>
    <col min="4375" max="4375" width="6.125" style="296" bestFit="1" customWidth="1"/>
    <col min="4376" max="4376" width="4.625" style="296" bestFit="1" customWidth="1"/>
    <col min="4377" max="4379" width="6.125" style="296" bestFit="1" customWidth="1"/>
    <col min="4380" max="4380" width="9" style="296"/>
    <col min="4381" max="4381" width="9.125" style="296" customWidth="1"/>
    <col min="4382" max="4608" width="9" style="296"/>
    <col min="4609" max="4609" width="4.75" style="296" customWidth="1"/>
    <col min="4610" max="4610" width="6.875" style="296" customWidth="1"/>
    <col min="4611" max="4611" width="18.5" style="296" customWidth="1"/>
    <col min="4612" max="4612" width="10.875" style="296" customWidth="1"/>
    <col min="4613" max="4613" width="6.75" style="296" customWidth="1"/>
    <col min="4614" max="4614" width="9.375" style="296" customWidth="1"/>
    <col min="4615" max="4615" width="8.875" style="296" customWidth="1"/>
    <col min="4616" max="4616" width="14" style="296" customWidth="1"/>
    <col min="4617" max="4617" width="9.375" style="296" customWidth="1"/>
    <col min="4618" max="4618" width="8.625" style="296" customWidth="1"/>
    <col min="4619" max="4619" width="12.875" style="296" customWidth="1"/>
    <col min="4620" max="4620" width="13.375" style="296" bestFit="1" customWidth="1"/>
    <col min="4621" max="4621" width="7.625" style="296" customWidth="1"/>
    <col min="4622" max="4622" width="7.625" style="296" bestFit="1" customWidth="1"/>
    <col min="4623" max="4623" width="4.625" style="296" bestFit="1" customWidth="1"/>
    <col min="4624" max="4625" width="7.625" style="296" customWidth="1"/>
    <col min="4626" max="4626" width="7.625" style="296" bestFit="1" customWidth="1"/>
    <col min="4627" max="4627" width="4.625" style="296" bestFit="1" customWidth="1"/>
    <col min="4628" max="4628" width="9.625" style="296" bestFit="1" customWidth="1"/>
    <col min="4629" max="4629" width="8.75" style="296" bestFit="1" customWidth="1"/>
    <col min="4630" max="4630" width="11.5" style="296" bestFit="1" customWidth="1"/>
    <col min="4631" max="4631" width="6.125" style="296" bestFit="1" customWidth="1"/>
    <col min="4632" max="4632" width="4.625" style="296" bestFit="1" customWidth="1"/>
    <col min="4633" max="4635" width="6.125" style="296" bestFit="1" customWidth="1"/>
    <col min="4636" max="4636" width="9" style="296"/>
    <col min="4637" max="4637" width="9.125" style="296" customWidth="1"/>
    <col min="4638" max="4864" width="9" style="296"/>
    <col min="4865" max="4865" width="4.75" style="296" customWidth="1"/>
    <col min="4866" max="4866" width="6.875" style="296" customWidth="1"/>
    <col min="4867" max="4867" width="18.5" style="296" customWidth="1"/>
    <col min="4868" max="4868" width="10.875" style="296" customWidth="1"/>
    <col min="4869" max="4869" width="6.75" style="296" customWidth="1"/>
    <col min="4870" max="4870" width="9.375" style="296" customWidth="1"/>
    <col min="4871" max="4871" width="8.875" style="296" customWidth="1"/>
    <col min="4872" max="4872" width="14" style="296" customWidth="1"/>
    <col min="4873" max="4873" width="9.375" style="296" customWidth="1"/>
    <col min="4874" max="4874" width="8.625" style="296" customWidth="1"/>
    <col min="4875" max="4875" width="12.875" style="296" customWidth="1"/>
    <col min="4876" max="4876" width="13.375" style="296" bestFit="1" customWidth="1"/>
    <col min="4877" max="4877" width="7.625" style="296" customWidth="1"/>
    <col min="4878" max="4878" width="7.625" style="296" bestFit="1" customWidth="1"/>
    <col min="4879" max="4879" width="4.625" style="296" bestFit="1" customWidth="1"/>
    <col min="4880" max="4881" width="7.625" style="296" customWidth="1"/>
    <col min="4882" max="4882" width="7.625" style="296" bestFit="1" customWidth="1"/>
    <col min="4883" max="4883" width="4.625" style="296" bestFit="1" customWidth="1"/>
    <col min="4884" max="4884" width="9.625" style="296" bestFit="1" customWidth="1"/>
    <col min="4885" max="4885" width="8.75" style="296" bestFit="1" customWidth="1"/>
    <col min="4886" max="4886" width="11.5" style="296" bestFit="1" customWidth="1"/>
    <col min="4887" max="4887" width="6.125" style="296" bestFit="1" customWidth="1"/>
    <col min="4888" max="4888" width="4.625" style="296" bestFit="1" customWidth="1"/>
    <col min="4889" max="4891" width="6.125" style="296" bestFit="1" customWidth="1"/>
    <col min="4892" max="4892" width="9" style="296"/>
    <col min="4893" max="4893" width="9.125" style="296" customWidth="1"/>
    <col min="4894" max="5120" width="9" style="296"/>
    <col min="5121" max="5121" width="4.75" style="296" customWidth="1"/>
    <col min="5122" max="5122" width="6.875" style="296" customWidth="1"/>
    <col min="5123" max="5123" width="18.5" style="296" customWidth="1"/>
    <col min="5124" max="5124" width="10.875" style="296" customWidth="1"/>
    <col min="5125" max="5125" width="6.75" style="296" customWidth="1"/>
    <col min="5126" max="5126" width="9.375" style="296" customWidth="1"/>
    <col min="5127" max="5127" width="8.875" style="296" customWidth="1"/>
    <col min="5128" max="5128" width="14" style="296" customWidth="1"/>
    <col min="5129" max="5129" width="9.375" style="296" customWidth="1"/>
    <col min="5130" max="5130" width="8.625" style="296" customWidth="1"/>
    <col min="5131" max="5131" width="12.875" style="296" customWidth="1"/>
    <col min="5132" max="5132" width="13.375" style="296" bestFit="1" customWidth="1"/>
    <col min="5133" max="5133" width="7.625" style="296" customWidth="1"/>
    <col min="5134" max="5134" width="7.625" style="296" bestFit="1" customWidth="1"/>
    <col min="5135" max="5135" width="4.625" style="296" bestFit="1" customWidth="1"/>
    <col min="5136" max="5137" width="7.625" style="296" customWidth="1"/>
    <col min="5138" max="5138" width="7.625" style="296" bestFit="1" customWidth="1"/>
    <col min="5139" max="5139" width="4.625" style="296" bestFit="1" customWidth="1"/>
    <col min="5140" max="5140" width="9.625" style="296" bestFit="1" customWidth="1"/>
    <col min="5141" max="5141" width="8.75" style="296" bestFit="1" customWidth="1"/>
    <col min="5142" max="5142" width="11.5" style="296" bestFit="1" customWidth="1"/>
    <col min="5143" max="5143" width="6.125" style="296" bestFit="1" customWidth="1"/>
    <col min="5144" max="5144" width="4.625" style="296" bestFit="1" customWidth="1"/>
    <col min="5145" max="5147" width="6.125" style="296" bestFit="1" customWidth="1"/>
    <col min="5148" max="5148" width="9" style="296"/>
    <col min="5149" max="5149" width="9.125" style="296" customWidth="1"/>
    <col min="5150" max="5376" width="9" style="296"/>
    <col min="5377" max="5377" width="4.75" style="296" customWidth="1"/>
    <col min="5378" max="5378" width="6.875" style="296" customWidth="1"/>
    <col min="5379" max="5379" width="18.5" style="296" customWidth="1"/>
    <col min="5380" max="5380" width="10.875" style="296" customWidth="1"/>
    <col min="5381" max="5381" width="6.75" style="296" customWidth="1"/>
    <col min="5382" max="5382" width="9.375" style="296" customWidth="1"/>
    <col min="5383" max="5383" width="8.875" style="296" customWidth="1"/>
    <col min="5384" max="5384" width="14" style="296" customWidth="1"/>
    <col min="5385" max="5385" width="9.375" style="296" customWidth="1"/>
    <col min="5386" max="5386" width="8.625" style="296" customWidth="1"/>
    <col min="5387" max="5387" width="12.875" style="296" customWidth="1"/>
    <col min="5388" max="5388" width="13.375" style="296" bestFit="1" customWidth="1"/>
    <col min="5389" max="5389" width="7.625" style="296" customWidth="1"/>
    <col min="5390" max="5390" width="7.625" style="296" bestFit="1" customWidth="1"/>
    <col min="5391" max="5391" width="4.625" style="296" bestFit="1" customWidth="1"/>
    <col min="5392" max="5393" width="7.625" style="296" customWidth="1"/>
    <col min="5394" max="5394" width="7.625" style="296" bestFit="1" customWidth="1"/>
    <col min="5395" max="5395" width="4.625" style="296" bestFit="1" customWidth="1"/>
    <col min="5396" max="5396" width="9.625" style="296" bestFit="1" customWidth="1"/>
    <col min="5397" max="5397" width="8.75" style="296" bestFit="1" customWidth="1"/>
    <col min="5398" max="5398" width="11.5" style="296" bestFit="1" customWidth="1"/>
    <col min="5399" max="5399" width="6.125" style="296" bestFit="1" customWidth="1"/>
    <col min="5400" max="5400" width="4.625" style="296" bestFit="1" customWidth="1"/>
    <col min="5401" max="5403" width="6.125" style="296" bestFit="1" customWidth="1"/>
    <col min="5404" max="5404" width="9" style="296"/>
    <col min="5405" max="5405" width="9.125" style="296" customWidth="1"/>
    <col min="5406" max="5632" width="9" style="296"/>
    <col min="5633" max="5633" width="4.75" style="296" customWidth="1"/>
    <col min="5634" max="5634" width="6.875" style="296" customWidth="1"/>
    <col min="5635" max="5635" width="18.5" style="296" customWidth="1"/>
    <col min="5636" max="5636" width="10.875" style="296" customWidth="1"/>
    <col min="5637" max="5637" width="6.75" style="296" customWidth="1"/>
    <col min="5638" max="5638" width="9.375" style="296" customWidth="1"/>
    <col min="5639" max="5639" width="8.875" style="296" customWidth="1"/>
    <col min="5640" max="5640" width="14" style="296" customWidth="1"/>
    <col min="5641" max="5641" width="9.375" style="296" customWidth="1"/>
    <col min="5642" max="5642" width="8.625" style="296" customWidth="1"/>
    <col min="5643" max="5643" width="12.875" style="296" customWidth="1"/>
    <col min="5644" max="5644" width="13.375" style="296" bestFit="1" customWidth="1"/>
    <col min="5645" max="5645" width="7.625" style="296" customWidth="1"/>
    <col min="5646" max="5646" width="7.625" style="296" bestFit="1" customWidth="1"/>
    <col min="5647" max="5647" width="4.625" style="296" bestFit="1" customWidth="1"/>
    <col min="5648" max="5649" width="7.625" style="296" customWidth="1"/>
    <col min="5650" max="5650" width="7.625" style="296" bestFit="1" customWidth="1"/>
    <col min="5651" max="5651" width="4.625" style="296" bestFit="1" customWidth="1"/>
    <col min="5652" max="5652" width="9.625" style="296" bestFit="1" customWidth="1"/>
    <col min="5653" max="5653" width="8.75" style="296" bestFit="1" customWidth="1"/>
    <col min="5654" max="5654" width="11.5" style="296" bestFit="1" customWidth="1"/>
    <col min="5655" max="5655" width="6.125" style="296" bestFit="1" customWidth="1"/>
    <col min="5656" max="5656" width="4.625" style="296" bestFit="1" customWidth="1"/>
    <col min="5657" max="5659" width="6.125" style="296" bestFit="1" customWidth="1"/>
    <col min="5660" max="5660" width="9" style="296"/>
    <col min="5661" max="5661" width="9.125" style="296" customWidth="1"/>
    <col min="5662" max="5888" width="9" style="296"/>
    <col min="5889" max="5889" width="4.75" style="296" customWidth="1"/>
    <col min="5890" max="5890" width="6.875" style="296" customWidth="1"/>
    <col min="5891" max="5891" width="18.5" style="296" customWidth="1"/>
    <col min="5892" max="5892" width="10.875" style="296" customWidth="1"/>
    <col min="5893" max="5893" width="6.75" style="296" customWidth="1"/>
    <col min="5894" max="5894" width="9.375" style="296" customWidth="1"/>
    <col min="5895" max="5895" width="8.875" style="296" customWidth="1"/>
    <col min="5896" max="5896" width="14" style="296" customWidth="1"/>
    <col min="5897" max="5897" width="9.375" style="296" customWidth="1"/>
    <col min="5898" max="5898" width="8.625" style="296" customWidth="1"/>
    <col min="5899" max="5899" width="12.875" style="296" customWidth="1"/>
    <col min="5900" max="5900" width="13.375" style="296" bestFit="1" customWidth="1"/>
    <col min="5901" max="5901" width="7.625" style="296" customWidth="1"/>
    <col min="5902" max="5902" width="7.625" style="296" bestFit="1" customWidth="1"/>
    <col min="5903" max="5903" width="4.625" style="296" bestFit="1" customWidth="1"/>
    <col min="5904" max="5905" width="7.625" style="296" customWidth="1"/>
    <col min="5906" max="5906" width="7.625" style="296" bestFit="1" customWidth="1"/>
    <col min="5907" max="5907" width="4.625" style="296" bestFit="1" customWidth="1"/>
    <col min="5908" max="5908" width="9.625" style="296" bestFit="1" customWidth="1"/>
    <col min="5909" max="5909" width="8.75" style="296" bestFit="1" customWidth="1"/>
    <col min="5910" max="5910" width="11.5" style="296" bestFit="1" customWidth="1"/>
    <col min="5911" max="5911" width="6.125" style="296" bestFit="1" customWidth="1"/>
    <col min="5912" max="5912" width="4.625" style="296" bestFit="1" customWidth="1"/>
    <col min="5913" max="5915" width="6.125" style="296" bestFit="1" customWidth="1"/>
    <col min="5916" max="5916" width="9" style="296"/>
    <col min="5917" max="5917" width="9.125" style="296" customWidth="1"/>
    <col min="5918" max="6144" width="9" style="296"/>
    <col min="6145" max="6145" width="4.75" style="296" customWidth="1"/>
    <col min="6146" max="6146" width="6.875" style="296" customWidth="1"/>
    <col min="6147" max="6147" width="18.5" style="296" customWidth="1"/>
    <col min="6148" max="6148" width="10.875" style="296" customWidth="1"/>
    <col min="6149" max="6149" width="6.75" style="296" customWidth="1"/>
    <col min="6150" max="6150" width="9.375" style="296" customWidth="1"/>
    <col min="6151" max="6151" width="8.875" style="296" customWidth="1"/>
    <col min="6152" max="6152" width="14" style="296" customWidth="1"/>
    <col min="6153" max="6153" width="9.375" style="296" customWidth="1"/>
    <col min="6154" max="6154" width="8.625" style="296" customWidth="1"/>
    <col min="6155" max="6155" width="12.875" style="296" customWidth="1"/>
    <col min="6156" max="6156" width="13.375" style="296" bestFit="1" customWidth="1"/>
    <col min="6157" max="6157" width="7.625" style="296" customWidth="1"/>
    <col min="6158" max="6158" width="7.625" style="296" bestFit="1" customWidth="1"/>
    <col min="6159" max="6159" width="4.625" style="296" bestFit="1" customWidth="1"/>
    <col min="6160" max="6161" width="7.625" style="296" customWidth="1"/>
    <col min="6162" max="6162" width="7.625" style="296" bestFit="1" customWidth="1"/>
    <col min="6163" max="6163" width="4.625" style="296" bestFit="1" customWidth="1"/>
    <col min="6164" max="6164" width="9.625" style="296" bestFit="1" customWidth="1"/>
    <col min="6165" max="6165" width="8.75" style="296" bestFit="1" customWidth="1"/>
    <col min="6166" max="6166" width="11.5" style="296" bestFit="1" customWidth="1"/>
    <col min="6167" max="6167" width="6.125" style="296" bestFit="1" customWidth="1"/>
    <col min="6168" max="6168" width="4.625" style="296" bestFit="1" customWidth="1"/>
    <col min="6169" max="6171" width="6.125" style="296" bestFit="1" customWidth="1"/>
    <col min="6172" max="6172" width="9" style="296"/>
    <col min="6173" max="6173" width="9.125" style="296" customWidth="1"/>
    <col min="6174" max="6400" width="9" style="296"/>
    <col min="6401" max="6401" width="4.75" style="296" customWidth="1"/>
    <col min="6402" max="6402" width="6.875" style="296" customWidth="1"/>
    <col min="6403" max="6403" width="18.5" style="296" customWidth="1"/>
    <col min="6404" max="6404" width="10.875" style="296" customWidth="1"/>
    <col min="6405" max="6405" width="6.75" style="296" customWidth="1"/>
    <col min="6406" max="6406" width="9.375" style="296" customWidth="1"/>
    <col min="6407" max="6407" width="8.875" style="296" customWidth="1"/>
    <col min="6408" max="6408" width="14" style="296" customWidth="1"/>
    <col min="6409" max="6409" width="9.375" style="296" customWidth="1"/>
    <col min="6410" max="6410" width="8.625" style="296" customWidth="1"/>
    <col min="6411" max="6411" width="12.875" style="296" customWidth="1"/>
    <col min="6412" max="6412" width="13.375" style="296" bestFit="1" customWidth="1"/>
    <col min="6413" max="6413" width="7.625" style="296" customWidth="1"/>
    <col min="6414" max="6414" width="7.625" style="296" bestFit="1" customWidth="1"/>
    <col min="6415" max="6415" width="4.625" style="296" bestFit="1" customWidth="1"/>
    <col min="6416" max="6417" width="7.625" style="296" customWidth="1"/>
    <col min="6418" max="6418" width="7.625" style="296" bestFit="1" customWidth="1"/>
    <col min="6419" max="6419" width="4.625" style="296" bestFit="1" customWidth="1"/>
    <col min="6420" max="6420" width="9.625" style="296" bestFit="1" customWidth="1"/>
    <col min="6421" max="6421" width="8.75" style="296" bestFit="1" customWidth="1"/>
    <col min="6422" max="6422" width="11.5" style="296" bestFit="1" customWidth="1"/>
    <col min="6423" max="6423" width="6.125" style="296" bestFit="1" customWidth="1"/>
    <col min="6424" max="6424" width="4.625" style="296" bestFit="1" customWidth="1"/>
    <col min="6425" max="6427" width="6.125" style="296" bestFit="1" customWidth="1"/>
    <col min="6428" max="6428" width="9" style="296"/>
    <col min="6429" max="6429" width="9.125" style="296" customWidth="1"/>
    <col min="6430" max="6656" width="9" style="296"/>
    <col min="6657" max="6657" width="4.75" style="296" customWidth="1"/>
    <col min="6658" max="6658" width="6.875" style="296" customWidth="1"/>
    <col min="6659" max="6659" width="18.5" style="296" customWidth="1"/>
    <col min="6660" max="6660" width="10.875" style="296" customWidth="1"/>
    <col min="6661" max="6661" width="6.75" style="296" customWidth="1"/>
    <col min="6662" max="6662" width="9.375" style="296" customWidth="1"/>
    <col min="6663" max="6663" width="8.875" style="296" customWidth="1"/>
    <col min="6664" max="6664" width="14" style="296" customWidth="1"/>
    <col min="6665" max="6665" width="9.375" style="296" customWidth="1"/>
    <col min="6666" max="6666" width="8.625" style="296" customWidth="1"/>
    <col min="6667" max="6667" width="12.875" style="296" customWidth="1"/>
    <col min="6668" max="6668" width="13.375" style="296" bestFit="1" customWidth="1"/>
    <col min="6669" max="6669" width="7.625" style="296" customWidth="1"/>
    <col min="6670" max="6670" width="7.625" style="296" bestFit="1" customWidth="1"/>
    <col min="6671" max="6671" width="4.625" style="296" bestFit="1" customWidth="1"/>
    <col min="6672" max="6673" width="7.625" style="296" customWidth="1"/>
    <col min="6674" max="6674" width="7.625" style="296" bestFit="1" customWidth="1"/>
    <col min="6675" max="6675" width="4.625" style="296" bestFit="1" customWidth="1"/>
    <col min="6676" max="6676" width="9.625" style="296" bestFit="1" customWidth="1"/>
    <col min="6677" max="6677" width="8.75" style="296" bestFit="1" customWidth="1"/>
    <col min="6678" max="6678" width="11.5" style="296" bestFit="1" customWidth="1"/>
    <col min="6679" max="6679" width="6.125" style="296" bestFit="1" customWidth="1"/>
    <col min="6680" max="6680" width="4.625" style="296" bestFit="1" customWidth="1"/>
    <col min="6681" max="6683" width="6.125" style="296" bestFit="1" customWidth="1"/>
    <col min="6684" max="6684" width="9" style="296"/>
    <col min="6685" max="6685" width="9.125" style="296" customWidth="1"/>
    <col min="6686" max="6912" width="9" style="296"/>
    <col min="6913" max="6913" width="4.75" style="296" customWidth="1"/>
    <col min="6914" max="6914" width="6.875" style="296" customWidth="1"/>
    <col min="6915" max="6915" width="18.5" style="296" customWidth="1"/>
    <col min="6916" max="6916" width="10.875" style="296" customWidth="1"/>
    <col min="6917" max="6917" width="6.75" style="296" customWidth="1"/>
    <col min="6918" max="6918" width="9.375" style="296" customWidth="1"/>
    <col min="6919" max="6919" width="8.875" style="296" customWidth="1"/>
    <col min="6920" max="6920" width="14" style="296" customWidth="1"/>
    <col min="6921" max="6921" width="9.375" style="296" customWidth="1"/>
    <col min="6922" max="6922" width="8.625" style="296" customWidth="1"/>
    <col min="6923" max="6923" width="12.875" style="296" customWidth="1"/>
    <col min="6924" max="6924" width="13.375" style="296" bestFit="1" customWidth="1"/>
    <col min="6925" max="6925" width="7.625" style="296" customWidth="1"/>
    <col min="6926" max="6926" width="7.625" style="296" bestFit="1" customWidth="1"/>
    <col min="6927" max="6927" width="4.625" style="296" bestFit="1" customWidth="1"/>
    <col min="6928" max="6929" width="7.625" style="296" customWidth="1"/>
    <col min="6930" max="6930" width="7.625" style="296" bestFit="1" customWidth="1"/>
    <col min="6931" max="6931" width="4.625" style="296" bestFit="1" customWidth="1"/>
    <col min="6932" max="6932" width="9.625" style="296" bestFit="1" customWidth="1"/>
    <col min="6933" max="6933" width="8.75" style="296" bestFit="1" customWidth="1"/>
    <col min="6934" max="6934" width="11.5" style="296" bestFit="1" customWidth="1"/>
    <col min="6935" max="6935" width="6.125" style="296" bestFit="1" customWidth="1"/>
    <col min="6936" max="6936" width="4.625" style="296" bestFit="1" customWidth="1"/>
    <col min="6937" max="6939" width="6.125" style="296" bestFit="1" customWidth="1"/>
    <col min="6940" max="6940" width="9" style="296"/>
    <col min="6941" max="6941" width="9.125" style="296" customWidth="1"/>
    <col min="6942" max="7168" width="9" style="296"/>
    <col min="7169" max="7169" width="4.75" style="296" customWidth="1"/>
    <col min="7170" max="7170" width="6.875" style="296" customWidth="1"/>
    <col min="7171" max="7171" width="18.5" style="296" customWidth="1"/>
    <col min="7172" max="7172" width="10.875" style="296" customWidth="1"/>
    <col min="7173" max="7173" width="6.75" style="296" customWidth="1"/>
    <col min="7174" max="7174" width="9.375" style="296" customWidth="1"/>
    <col min="7175" max="7175" width="8.875" style="296" customWidth="1"/>
    <col min="7176" max="7176" width="14" style="296" customWidth="1"/>
    <col min="7177" max="7177" width="9.375" style="296" customWidth="1"/>
    <col min="7178" max="7178" width="8.625" style="296" customWidth="1"/>
    <col min="7179" max="7179" width="12.875" style="296" customWidth="1"/>
    <col min="7180" max="7180" width="13.375" style="296" bestFit="1" customWidth="1"/>
    <col min="7181" max="7181" width="7.625" style="296" customWidth="1"/>
    <col min="7182" max="7182" width="7.625" style="296" bestFit="1" customWidth="1"/>
    <col min="7183" max="7183" width="4.625" style="296" bestFit="1" customWidth="1"/>
    <col min="7184" max="7185" width="7.625" style="296" customWidth="1"/>
    <col min="7186" max="7186" width="7.625" style="296" bestFit="1" customWidth="1"/>
    <col min="7187" max="7187" width="4.625" style="296" bestFit="1" customWidth="1"/>
    <col min="7188" max="7188" width="9.625" style="296" bestFit="1" customWidth="1"/>
    <col min="7189" max="7189" width="8.75" style="296" bestFit="1" customWidth="1"/>
    <col min="7190" max="7190" width="11.5" style="296" bestFit="1" customWidth="1"/>
    <col min="7191" max="7191" width="6.125" style="296" bestFit="1" customWidth="1"/>
    <col min="7192" max="7192" width="4.625" style="296" bestFit="1" customWidth="1"/>
    <col min="7193" max="7195" width="6.125" style="296" bestFit="1" customWidth="1"/>
    <col min="7196" max="7196" width="9" style="296"/>
    <col min="7197" max="7197" width="9.125" style="296" customWidth="1"/>
    <col min="7198" max="7424" width="9" style="296"/>
    <col min="7425" max="7425" width="4.75" style="296" customWidth="1"/>
    <col min="7426" max="7426" width="6.875" style="296" customWidth="1"/>
    <col min="7427" max="7427" width="18.5" style="296" customWidth="1"/>
    <col min="7428" max="7428" width="10.875" style="296" customWidth="1"/>
    <col min="7429" max="7429" width="6.75" style="296" customWidth="1"/>
    <col min="7430" max="7430" width="9.375" style="296" customWidth="1"/>
    <col min="7431" max="7431" width="8.875" style="296" customWidth="1"/>
    <col min="7432" max="7432" width="14" style="296" customWidth="1"/>
    <col min="7433" max="7433" width="9.375" style="296" customWidth="1"/>
    <col min="7434" max="7434" width="8.625" style="296" customWidth="1"/>
    <col min="7435" max="7435" width="12.875" style="296" customWidth="1"/>
    <col min="7436" max="7436" width="13.375" style="296" bestFit="1" customWidth="1"/>
    <col min="7437" max="7437" width="7.625" style="296" customWidth="1"/>
    <col min="7438" max="7438" width="7.625" style="296" bestFit="1" customWidth="1"/>
    <col min="7439" max="7439" width="4.625" style="296" bestFit="1" customWidth="1"/>
    <col min="7440" max="7441" width="7.625" style="296" customWidth="1"/>
    <col min="7442" max="7442" width="7.625" style="296" bestFit="1" customWidth="1"/>
    <col min="7443" max="7443" width="4.625" style="296" bestFit="1" customWidth="1"/>
    <col min="7444" max="7444" width="9.625" style="296" bestFit="1" customWidth="1"/>
    <col min="7445" max="7445" width="8.75" style="296" bestFit="1" customWidth="1"/>
    <col min="7446" max="7446" width="11.5" style="296" bestFit="1" customWidth="1"/>
    <col min="7447" max="7447" width="6.125" style="296" bestFit="1" customWidth="1"/>
    <col min="7448" max="7448" width="4.625" style="296" bestFit="1" customWidth="1"/>
    <col min="7449" max="7451" width="6.125" style="296" bestFit="1" customWidth="1"/>
    <col min="7452" max="7452" width="9" style="296"/>
    <col min="7453" max="7453" width="9.125" style="296" customWidth="1"/>
    <col min="7454" max="7680" width="9" style="296"/>
    <col min="7681" max="7681" width="4.75" style="296" customWidth="1"/>
    <col min="7682" max="7682" width="6.875" style="296" customWidth="1"/>
    <col min="7683" max="7683" width="18.5" style="296" customWidth="1"/>
    <col min="7684" max="7684" width="10.875" style="296" customWidth="1"/>
    <col min="7685" max="7685" width="6.75" style="296" customWidth="1"/>
    <col min="7686" max="7686" width="9.375" style="296" customWidth="1"/>
    <col min="7687" max="7687" width="8.875" style="296" customWidth="1"/>
    <col min="7688" max="7688" width="14" style="296" customWidth="1"/>
    <col min="7689" max="7689" width="9.375" style="296" customWidth="1"/>
    <col min="7690" max="7690" width="8.625" style="296" customWidth="1"/>
    <col min="7691" max="7691" width="12.875" style="296" customWidth="1"/>
    <col min="7692" max="7692" width="13.375" style="296" bestFit="1" customWidth="1"/>
    <col min="7693" max="7693" width="7.625" style="296" customWidth="1"/>
    <col min="7694" max="7694" width="7.625" style="296" bestFit="1" customWidth="1"/>
    <col min="7695" max="7695" width="4.625" style="296" bestFit="1" customWidth="1"/>
    <col min="7696" max="7697" width="7.625" style="296" customWidth="1"/>
    <col min="7698" max="7698" width="7.625" style="296" bestFit="1" customWidth="1"/>
    <col min="7699" max="7699" width="4.625" style="296" bestFit="1" customWidth="1"/>
    <col min="7700" max="7700" width="9.625" style="296" bestFit="1" customWidth="1"/>
    <col min="7701" max="7701" width="8.75" style="296" bestFit="1" customWidth="1"/>
    <col min="7702" max="7702" width="11.5" style="296" bestFit="1" customWidth="1"/>
    <col min="7703" max="7703" width="6.125" style="296" bestFit="1" customWidth="1"/>
    <col min="7704" max="7704" width="4.625" style="296" bestFit="1" customWidth="1"/>
    <col min="7705" max="7707" width="6.125" style="296" bestFit="1" customWidth="1"/>
    <col min="7708" max="7708" width="9" style="296"/>
    <col min="7709" max="7709" width="9.125" style="296" customWidth="1"/>
    <col min="7710" max="7936" width="9" style="296"/>
    <col min="7937" max="7937" width="4.75" style="296" customWidth="1"/>
    <col min="7938" max="7938" width="6.875" style="296" customWidth="1"/>
    <col min="7939" max="7939" width="18.5" style="296" customWidth="1"/>
    <col min="7940" max="7940" width="10.875" style="296" customWidth="1"/>
    <col min="7941" max="7941" width="6.75" style="296" customWidth="1"/>
    <col min="7942" max="7942" width="9.375" style="296" customWidth="1"/>
    <col min="7943" max="7943" width="8.875" style="296" customWidth="1"/>
    <col min="7944" max="7944" width="14" style="296" customWidth="1"/>
    <col min="7945" max="7945" width="9.375" style="296" customWidth="1"/>
    <col min="7946" max="7946" width="8.625" style="296" customWidth="1"/>
    <col min="7947" max="7947" width="12.875" style="296" customWidth="1"/>
    <col min="7948" max="7948" width="13.375" style="296" bestFit="1" customWidth="1"/>
    <col min="7949" max="7949" width="7.625" style="296" customWidth="1"/>
    <col min="7950" max="7950" width="7.625" style="296" bestFit="1" customWidth="1"/>
    <col min="7951" max="7951" width="4.625" style="296" bestFit="1" customWidth="1"/>
    <col min="7952" max="7953" width="7.625" style="296" customWidth="1"/>
    <col min="7954" max="7954" width="7.625" style="296" bestFit="1" customWidth="1"/>
    <col min="7955" max="7955" width="4.625" style="296" bestFit="1" customWidth="1"/>
    <col min="7956" max="7956" width="9.625" style="296" bestFit="1" customWidth="1"/>
    <col min="7957" max="7957" width="8.75" style="296" bestFit="1" customWidth="1"/>
    <col min="7958" max="7958" width="11.5" style="296" bestFit="1" customWidth="1"/>
    <col min="7959" max="7959" width="6.125" style="296" bestFit="1" customWidth="1"/>
    <col min="7960" max="7960" width="4.625" style="296" bestFit="1" customWidth="1"/>
    <col min="7961" max="7963" width="6.125" style="296" bestFit="1" customWidth="1"/>
    <col min="7964" max="7964" width="9" style="296"/>
    <col min="7965" max="7965" width="9.125" style="296" customWidth="1"/>
    <col min="7966" max="8192" width="9" style="296"/>
    <col min="8193" max="8193" width="4.75" style="296" customWidth="1"/>
    <col min="8194" max="8194" width="6.875" style="296" customWidth="1"/>
    <col min="8195" max="8195" width="18.5" style="296" customWidth="1"/>
    <col min="8196" max="8196" width="10.875" style="296" customWidth="1"/>
    <col min="8197" max="8197" width="6.75" style="296" customWidth="1"/>
    <col min="8198" max="8198" width="9.375" style="296" customWidth="1"/>
    <col min="8199" max="8199" width="8.875" style="296" customWidth="1"/>
    <col min="8200" max="8200" width="14" style="296" customWidth="1"/>
    <col min="8201" max="8201" width="9.375" style="296" customWidth="1"/>
    <col min="8202" max="8202" width="8.625" style="296" customWidth="1"/>
    <col min="8203" max="8203" width="12.875" style="296" customWidth="1"/>
    <col min="8204" max="8204" width="13.375" style="296" bestFit="1" customWidth="1"/>
    <col min="8205" max="8205" width="7.625" style="296" customWidth="1"/>
    <col min="8206" max="8206" width="7.625" style="296" bestFit="1" customWidth="1"/>
    <col min="8207" max="8207" width="4.625" style="296" bestFit="1" customWidth="1"/>
    <col min="8208" max="8209" width="7.625" style="296" customWidth="1"/>
    <col min="8210" max="8210" width="7.625" style="296" bestFit="1" customWidth="1"/>
    <col min="8211" max="8211" width="4.625" style="296" bestFit="1" customWidth="1"/>
    <col min="8212" max="8212" width="9.625" style="296" bestFit="1" customWidth="1"/>
    <col min="8213" max="8213" width="8.75" style="296" bestFit="1" customWidth="1"/>
    <col min="8214" max="8214" width="11.5" style="296" bestFit="1" customWidth="1"/>
    <col min="8215" max="8215" width="6.125" style="296" bestFit="1" customWidth="1"/>
    <col min="8216" max="8216" width="4.625" style="296" bestFit="1" customWidth="1"/>
    <col min="8217" max="8219" width="6.125" style="296" bestFit="1" customWidth="1"/>
    <col min="8220" max="8220" width="9" style="296"/>
    <col min="8221" max="8221" width="9.125" style="296" customWidth="1"/>
    <col min="8222" max="8448" width="9" style="296"/>
    <col min="8449" max="8449" width="4.75" style="296" customWidth="1"/>
    <col min="8450" max="8450" width="6.875" style="296" customWidth="1"/>
    <col min="8451" max="8451" width="18.5" style="296" customWidth="1"/>
    <col min="8452" max="8452" width="10.875" style="296" customWidth="1"/>
    <col min="8453" max="8453" width="6.75" style="296" customWidth="1"/>
    <col min="8454" max="8454" width="9.375" style="296" customWidth="1"/>
    <col min="8455" max="8455" width="8.875" style="296" customWidth="1"/>
    <col min="8456" max="8456" width="14" style="296" customWidth="1"/>
    <col min="8457" max="8457" width="9.375" style="296" customWidth="1"/>
    <col min="8458" max="8458" width="8.625" style="296" customWidth="1"/>
    <col min="8459" max="8459" width="12.875" style="296" customWidth="1"/>
    <col min="8460" max="8460" width="13.375" style="296" bestFit="1" customWidth="1"/>
    <col min="8461" max="8461" width="7.625" style="296" customWidth="1"/>
    <col min="8462" max="8462" width="7.625" style="296" bestFit="1" customWidth="1"/>
    <col min="8463" max="8463" width="4.625" style="296" bestFit="1" customWidth="1"/>
    <col min="8464" max="8465" width="7.625" style="296" customWidth="1"/>
    <col min="8466" max="8466" width="7.625" style="296" bestFit="1" customWidth="1"/>
    <col min="8467" max="8467" width="4.625" style="296" bestFit="1" customWidth="1"/>
    <col min="8468" max="8468" width="9.625" style="296" bestFit="1" customWidth="1"/>
    <col min="8469" max="8469" width="8.75" style="296" bestFit="1" customWidth="1"/>
    <col min="8470" max="8470" width="11.5" style="296" bestFit="1" customWidth="1"/>
    <col min="8471" max="8471" width="6.125" style="296" bestFit="1" customWidth="1"/>
    <col min="8472" max="8472" width="4.625" style="296" bestFit="1" customWidth="1"/>
    <col min="8473" max="8475" width="6.125" style="296" bestFit="1" customWidth="1"/>
    <col min="8476" max="8476" width="9" style="296"/>
    <col min="8477" max="8477" width="9.125" style="296" customWidth="1"/>
    <col min="8478" max="8704" width="9" style="296"/>
    <col min="8705" max="8705" width="4.75" style="296" customWidth="1"/>
    <col min="8706" max="8706" width="6.875" style="296" customWidth="1"/>
    <col min="8707" max="8707" width="18.5" style="296" customWidth="1"/>
    <col min="8708" max="8708" width="10.875" style="296" customWidth="1"/>
    <col min="8709" max="8709" width="6.75" style="296" customWidth="1"/>
    <col min="8710" max="8710" width="9.375" style="296" customWidth="1"/>
    <col min="8711" max="8711" width="8.875" style="296" customWidth="1"/>
    <col min="8712" max="8712" width="14" style="296" customWidth="1"/>
    <col min="8713" max="8713" width="9.375" style="296" customWidth="1"/>
    <col min="8714" max="8714" width="8.625" style="296" customWidth="1"/>
    <col min="8715" max="8715" width="12.875" style="296" customWidth="1"/>
    <col min="8716" max="8716" width="13.375" style="296" bestFit="1" customWidth="1"/>
    <col min="8717" max="8717" width="7.625" style="296" customWidth="1"/>
    <col min="8718" max="8718" width="7.625" style="296" bestFit="1" customWidth="1"/>
    <col min="8719" max="8719" width="4.625" style="296" bestFit="1" customWidth="1"/>
    <col min="8720" max="8721" width="7.625" style="296" customWidth="1"/>
    <col min="8722" max="8722" width="7.625" style="296" bestFit="1" customWidth="1"/>
    <col min="8723" max="8723" width="4.625" style="296" bestFit="1" customWidth="1"/>
    <col min="8724" max="8724" width="9.625" style="296" bestFit="1" customWidth="1"/>
    <col min="8725" max="8725" width="8.75" style="296" bestFit="1" customWidth="1"/>
    <col min="8726" max="8726" width="11.5" style="296" bestFit="1" customWidth="1"/>
    <col min="8727" max="8727" width="6.125" style="296" bestFit="1" customWidth="1"/>
    <col min="8728" max="8728" width="4.625" style="296" bestFit="1" customWidth="1"/>
    <col min="8729" max="8731" width="6.125" style="296" bestFit="1" customWidth="1"/>
    <col min="8732" max="8732" width="9" style="296"/>
    <col min="8733" max="8733" width="9.125" style="296" customWidth="1"/>
    <col min="8734" max="8960" width="9" style="296"/>
    <col min="8961" max="8961" width="4.75" style="296" customWidth="1"/>
    <col min="8962" max="8962" width="6.875" style="296" customWidth="1"/>
    <col min="8963" max="8963" width="18.5" style="296" customWidth="1"/>
    <col min="8964" max="8964" width="10.875" style="296" customWidth="1"/>
    <col min="8965" max="8965" width="6.75" style="296" customWidth="1"/>
    <col min="8966" max="8966" width="9.375" style="296" customWidth="1"/>
    <col min="8967" max="8967" width="8.875" style="296" customWidth="1"/>
    <col min="8968" max="8968" width="14" style="296" customWidth="1"/>
    <col min="8969" max="8969" width="9.375" style="296" customWidth="1"/>
    <col min="8970" max="8970" width="8.625" style="296" customWidth="1"/>
    <col min="8971" max="8971" width="12.875" style="296" customWidth="1"/>
    <col min="8972" max="8972" width="13.375" style="296" bestFit="1" customWidth="1"/>
    <col min="8973" max="8973" width="7.625" style="296" customWidth="1"/>
    <col min="8974" max="8974" width="7.625" style="296" bestFit="1" customWidth="1"/>
    <col min="8975" max="8975" width="4.625" style="296" bestFit="1" customWidth="1"/>
    <col min="8976" max="8977" width="7.625" style="296" customWidth="1"/>
    <col min="8978" max="8978" width="7.625" style="296" bestFit="1" customWidth="1"/>
    <col min="8979" max="8979" width="4.625" style="296" bestFit="1" customWidth="1"/>
    <col min="8980" max="8980" width="9.625" style="296" bestFit="1" customWidth="1"/>
    <col min="8981" max="8981" width="8.75" style="296" bestFit="1" customWidth="1"/>
    <col min="8982" max="8982" width="11.5" style="296" bestFit="1" customWidth="1"/>
    <col min="8983" max="8983" width="6.125" style="296" bestFit="1" customWidth="1"/>
    <col min="8984" max="8984" width="4.625" style="296" bestFit="1" customWidth="1"/>
    <col min="8985" max="8987" width="6.125" style="296" bestFit="1" customWidth="1"/>
    <col min="8988" max="8988" width="9" style="296"/>
    <col min="8989" max="8989" width="9.125" style="296" customWidth="1"/>
    <col min="8990" max="9216" width="9" style="296"/>
    <col min="9217" max="9217" width="4.75" style="296" customWidth="1"/>
    <col min="9218" max="9218" width="6.875" style="296" customWidth="1"/>
    <col min="9219" max="9219" width="18.5" style="296" customWidth="1"/>
    <col min="9220" max="9220" width="10.875" style="296" customWidth="1"/>
    <col min="9221" max="9221" width="6.75" style="296" customWidth="1"/>
    <col min="9222" max="9222" width="9.375" style="296" customWidth="1"/>
    <col min="9223" max="9223" width="8.875" style="296" customWidth="1"/>
    <col min="9224" max="9224" width="14" style="296" customWidth="1"/>
    <col min="9225" max="9225" width="9.375" style="296" customWidth="1"/>
    <col min="9226" max="9226" width="8.625" style="296" customWidth="1"/>
    <col min="9227" max="9227" width="12.875" style="296" customWidth="1"/>
    <col min="9228" max="9228" width="13.375" style="296" bestFit="1" customWidth="1"/>
    <col min="9229" max="9229" width="7.625" style="296" customWidth="1"/>
    <col min="9230" max="9230" width="7.625" style="296" bestFit="1" customWidth="1"/>
    <col min="9231" max="9231" width="4.625" style="296" bestFit="1" customWidth="1"/>
    <col min="9232" max="9233" width="7.625" style="296" customWidth="1"/>
    <col min="9234" max="9234" width="7.625" style="296" bestFit="1" customWidth="1"/>
    <col min="9235" max="9235" width="4.625" style="296" bestFit="1" customWidth="1"/>
    <col min="9236" max="9236" width="9.625" style="296" bestFit="1" customWidth="1"/>
    <col min="9237" max="9237" width="8.75" style="296" bestFit="1" customWidth="1"/>
    <col min="9238" max="9238" width="11.5" style="296" bestFit="1" customWidth="1"/>
    <col min="9239" max="9239" width="6.125" style="296" bestFit="1" customWidth="1"/>
    <col min="9240" max="9240" width="4.625" style="296" bestFit="1" customWidth="1"/>
    <col min="9241" max="9243" width="6.125" style="296" bestFit="1" customWidth="1"/>
    <col min="9244" max="9244" width="9" style="296"/>
    <col min="9245" max="9245" width="9.125" style="296" customWidth="1"/>
    <col min="9246" max="9472" width="9" style="296"/>
    <col min="9473" max="9473" width="4.75" style="296" customWidth="1"/>
    <col min="9474" max="9474" width="6.875" style="296" customWidth="1"/>
    <col min="9475" max="9475" width="18.5" style="296" customWidth="1"/>
    <col min="9476" max="9476" width="10.875" style="296" customWidth="1"/>
    <col min="9477" max="9477" width="6.75" style="296" customWidth="1"/>
    <col min="9478" max="9478" width="9.375" style="296" customWidth="1"/>
    <col min="9479" max="9479" width="8.875" style="296" customWidth="1"/>
    <col min="9480" max="9480" width="14" style="296" customWidth="1"/>
    <col min="9481" max="9481" width="9.375" style="296" customWidth="1"/>
    <col min="9482" max="9482" width="8.625" style="296" customWidth="1"/>
    <col min="9483" max="9483" width="12.875" style="296" customWidth="1"/>
    <col min="9484" max="9484" width="13.375" style="296" bestFit="1" customWidth="1"/>
    <col min="9485" max="9485" width="7.625" style="296" customWidth="1"/>
    <col min="9486" max="9486" width="7.625" style="296" bestFit="1" customWidth="1"/>
    <col min="9487" max="9487" width="4.625" style="296" bestFit="1" customWidth="1"/>
    <col min="9488" max="9489" width="7.625" style="296" customWidth="1"/>
    <col min="9490" max="9490" width="7.625" style="296" bestFit="1" customWidth="1"/>
    <col min="9491" max="9491" width="4.625" style="296" bestFit="1" customWidth="1"/>
    <col min="9492" max="9492" width="9.625" style="296" bestFit="1" customWidth="1"/>
    <col min="9493" max="9493" width="8.75" style="296" bestFit="1" customWidth="1"/>
    <col min="9494" max="9494" width="11.5" style="296" bestFit="1" customWidth="1"/>
    <col min="9495" max="9495" width="6.125" style="296" bestFit="1" customWidth="1"/>
    <col min="9496" max="9496" width="4.625" style="296" bestFit="1" customWidth="1"/>
    <col min="9497" max="9499" width="6.125" style="296" bestFit="1" customWidth="1"/>
    <col min="9500" max="9500" width="9" style="296"/>
    <col min="9501" max="9501" width="9.125" style="296" customWidth="1"/>
    <col min="9502" max="9728" width="9" style="296"/>
    <col min="9729" max="9729" width="4.75" style="296" customWidth="1"/>
    <col min="9730" max="9730" width="6.875" style="296" customWidth="1"/>
    <col min="9731" max="9731" width="18.5" style="296" customWidth="1"/>
    <col min="9732" max="9732" width="10.875" style="296" customWidth="1"/>
    <col min="9733" max="9733" width="6.75" style="296" customWidth="1"/>
    <col min="9734" max="9734" width="9.375" style="296" customWidth="1"/>
    <col min="9735" max="9735" width="8.875" style="296" customWidth="1"/>
    <col min="9736" max="9736" width="14" style="296" customWidth="1"/>
    <col min="9737" max="9737" width="9.375" style="296" customWidth="1"/>
    <col min="9738" max="9738" width="8.625" style="296" customWidth="1"/>
    <col min="9739" max="9739" width="12.875" style="296" customWidth="1"/>
    <col min="9740" max="9740" width="13.375" style="296" bestFit="1" customWidth="1"/>
    <col min="9741" max="9741" width="7.625" style="296" customWidth="1"/>
    <col min="9742" max="9742" width="7.625" style="296" bestFit="1" customWidth="1"/>
    <col min="9743" max="9743" width="4.625" style="296" bestFit="1" customWidth="1"/>
    <col min="9744" max="9745" width="7.625" style="296" customWidth="1"/>
    <col min="9746" max="9746" width="7.625" style="296" bestFit="1" customWidth="1"/>
    <col min="9747" max="9747" width="4.625" style="296" bestFit="1" customWidth="1"/>
    <col min="9748" max="9748" width="9.625" style="296" bestFit="1" customWidth="1"/>
    <col min="9749" max="9749" width="8.75" style="296" bestFit="1" customWidth="1"/>
    <col min="9750" max="9750" width="11.5" style="296" bestFit="1" customWidth="1"/>
    <col min="9751" max="9751" width="6.125" style="296" bestFit="1" customWidth="1"/>
    <col min="9752" max="9752" width="4.625" style="296" bestFit="1" customWidth="1"/>
    <col min="9753" max="9755" width="6.125" style="296" bestFit="1" customWidth="1"/>
    <col min="9756" max="9756" width="9" style="296"/>
    <col min="9757" max="9757" width="9.125" style="296" customWidth="1"/>
    <col min="9758" max="9984" width="9" style="296"/>
    <col min="9985" max="9985" width="4.75" style="296" customWidth="1"/>
    <col min="9986" max="9986" width="6.875" style="296" customWidth="1"/>
    <col min="9987" max="9987" width="18.5" style="296" customWidth="1"/>
    <col min="9988" max="9988" width="10.875" style="296" customWidth="1"/>
    <col min="9989" max="9989" width="6.75" style="296" customWidth="1"/>
    <col min="9990" max="9990" width="9.375" style="296" customWidth="1"/>
    <col min="9991" max="9991" width="8.875" style="296" customWidth="1"/>
    <col min="9992" max="9992" width="14" style="296" customWidth="1"/>
    <col min="9993" max="9993" width="9.375" style="296" customWidth="1"/>
    <col min="9994" max="9994" width="8.625" style="296" customWidth="1"/>
    <col min="9995" max="9995" width="12.875" style="296" customWidth="1"/>
    <col min="9996" max="9996" width="13.375" style="296" bestFit="1" customWidth="1"/>
    <col min="9997" max="9997" width="7.625" style="296" customWidth="1"/>
    <col min="9998" max="9998" width="7.625" style="296" bestFit="1" customWidth="1"/>
    <col min="9999" max="9999" width="4.625" style="296" bestFit="1" customWidth="1"/>
    <col min="10000" max="10001" width="7.625" style="296" customWidth="1"/>
    <col min="10002" max="10002" width="7.625" style="296" bestFit="1" customWidth="1"/>
    <col min="10003" max="10003" width="4.625" style="296" bestFit="1" customWidth="1"/>
    <col min="10004" max="10004" width="9.625" style="296" bestFit="1" customWidth="1"/>
    <col min="10005" max="10005" width="8.75" style="296" bestFit="1" customWidth="1"/>
    <col min="10006" max="10006" width="11.5" style="296" bestFit="1" customWidth="1"/>
    <col min="10007" max="10007" width="6.125" style="296" bestFit="1" customWidth="1"/>
    <col min="10008" max="10008" width="4.625" style="296" bestFit="1" customWidth="1"/>
    <col min="10009" max="10011" width="6.125" style="296" bestFit="1" customWidth="1"/>
    <col min="10012" max="10012" width="9" style="296"/>
    <col min="10013" max="10013" width="9.125" style="296" customWidth="1"/>
    <col min="10014" max="10240" width="9" style="296"/>
    <col min="10241" max="10241" width="4.75" style="296" customWidth="1"/>
    <col min="10242" max="10242" width="6.875" style="296" customWidth="1"/>
    <col min="10243" max="10243" width="18.5" style="296" customWidth="1"/>
    <col min="10244" max="10244" width="10.875" style="296" customWidth="1"/>
    <col min="10245" max="10245" width="6.75" style="296" customWidth="1"/>
    <col min="10246" max="10246" width="9.375" style="296" customWidth="1"/>
    <col min="10247" max="10247" width="8.875" style="296" customWidth="1"/>
    <col min="10248" max="10248" width="14" style="296" customWidth="1"/>
    <col min="10249" max="10249" width="9.375" style="296" customWidth="1"/>
    <col min="10250" max="10250" width="8.625" style="296" customWidth="1"/>
    <col min="10251" max="10251" width="12.875" style="296" customWidth="1"/>
    <col min="10252" max="10252" width="13.375" style="296" bestFit="1" customWidth="1"/>
    <col min="10253" max="10253" width="7.625" style="296" customWidth="1"/>
    <col min="10254" max="10254" width="7.625" style="296" bestFit="1" customWidth="1"/>
    <col min="10255" max="10255" width="4.625" style="296" bestFit="1" customWidth="1"/>
    <col min="10256" max="10257" width="7.625" style="296" customWidth="1"/>
    <col min="10258" max="10258" width="7.625" style="296" bestFit="1" customWidth="1"/>
    <col min="10259" max="10259" width="4.625" style="296" bestFit="1" customWidth="1"/>
    <col min="10260" max="10260" width="9.625" style="296" bestFit="1" customWidth="1"/>
    <col min="10261" max="10261" width="8.75" style="296" bestFit="1" customWidth="1"/>
    <col min="10262" max="10262" width="11.5" style="296" bestFit="1" customWidth="1"/>
    <col min="10263" max="10263" width="6.125" style="296" bestFit="1" customWidth="1"/>
    <col min="10264" max="10264" width="4.625" style="296" bestFit="1" customWidth="1"/>
    <col min="10265" max="10267" width="6.125" style="296" bestFit="1" customWidth="1"/>
    <col min="10268" max="10268" width="9" style="296"/>
    <col min="10269" max="10269" width="9.125" style="296" customWidth="1"/>
    <col min="10270" max="10496" width="9" style="296"/>
    <col min="10497" max="10497" width="4.75" style="296" customWidth="1"/>
    <col min="10498" max="10498" width="6.875" style="296" customWidth="1"/>
    <col min="10499" max="10499" width="18.5" style="296" customWidth="1"/>
    <col min="10500" max="10500" width="10.875" style="296" customWidth="1"/>
    <col min="10501" max="10501" width="6.75" style="296" customWidth="1"/>
    <col min="10502" max="10502" width="9.375" style="296" customWidth="1"/>
    <col min="10503" max="10503" width="8.875" style="296" customWidth="1"/>
    <col min="10504" max="10504" width="14" style="296" customWidth="1"/>
    <col min="10505" max="10505" width="9.375" style="296" customWidth="1"/>
    <col min="10506" max="10506" width="8.625" style="296" customWidth="1"/>
    <col min="10507" max="10507" width="12.875" style="296" customWidth="1"/>
    <col min="10508" max="10508" width="13.375" style="296" bestFit="1" customWidth="1"/>
    <col min="10509" max="10509" width="7.625" style="296" customWidth="1"/>
    <col min="10510" max="10510" width="7.625" style="296" bestFit="1" customWidth="1"/>
    <col min="10511" max="10511" width="4.625" style="296" bestFit="1" customWidth="1"/>
    <col min="10512" max="10513" width="7.625" style="296" customWidth="1"/>
    <col min="10514" max="10514" width="7.625" style="296" bestFit="1" customWidth="1"/>
    <col min="10515" max="10515" width="4.625" style="296" bestFit="1" customWidth="1"/>
    <col min="10516" max="10516" width="9.625" style="296" bestFit="1" customWidth="1"/>
    <col min="10517" max="10517" width="8.75" style="296" bestFit="1" customWidth="1"/>
    <col min="10518" max="10518" width="11.5" style="296" bestFit="1" customWidth="1"/>
    <col min="10519" max="10519" width="6.125" style="296" bestFit="1" customWidth="1"/>
    <col min="10520" max="10520" width="4.625" style="296" bestFit="1" customWidth="1"/>
    <col min="10521" max="10523" width="6.125" style="296" bestFit="1" customWidth="1"/>
    <col min="10524" max="10524" width="9" style="296"/>
    <col min="10525" max="10525" width="9.125" style="296" customWidth="1"/>
    <col min="10526" max="10752" width="9" style="296"/>
    <col min="10753" max="10753" width="4.75" style="296" customWidth="1"/>
    <col min="10754" max="10754" width="6.875" style="296" customWidth="1"/>
    <col min="10755" max="10755" width="18.5" style="296" customWidth="1"/>
    <col min="10756" max="10756" width="10.875" style="296" customWidth="1"/>
    <col min="10757" max="10757" width="6.75" style="296" customWidth="1"/>
    <col min="10758" max="10758" width="9.375" style="296" customWidth="1"/>
    <col min="10759" max="10759" width="8.875" style="296" customWidth="1"/>
    <col min="10760" max="10760" width="14" style="296" customWidth="1"/>
    <col min="10761" max="10761" width="9.375" style="296" customWidth="1"/>
    <col min="10762" max="10762" width="8.625" style="296" customWidth="1"/>
    <col min="10763" max="10763" width="12.875" style="296" customWidth="1"/>
    <col min="10764" max="10764" width="13.375" style="296" bestFit="1" customWidth="1"/>
    <col min="10765" max="10765" width="7.625" style="296" customWidth="1"/>
    <col min="10766" max="10766" width="7.625" style="296" bestFit="1" customWidth="1"/>
    <col min="10767" max="10767" width="4.625" style="296" bestFit="1" customWidth="1"/>
    <col min="10768" max="10769" width="7.625" style="296" customWidth="1"/>
    <col min="10770" max="10770" width="7.625" style="296" bestFit="1" customWidth="1"/>
    <col min="10771" max="10771" width="4.625" style="296" bestFit="1" customWidth="1"/>
    <col min="10772" max="10772" width="9.625" style="296" bestFit="1" customWidth="1"/>
    <col min="10773" max="10773" width="8.75" style="296" bestFit="1" customWidth="1"/>
    <col min="10774" max="10774" width="11.5" style="296" bestFit="1" customWidth="1"/>
    <col min="10775" max="10775" width="6.125" style="296" bestFit="1" customWidth="1"/>
    <col min="10776" max="10776" width="4.625" style="296" bestFit="1" customWidth="1"/>
    <col min="10777" max="10779" width="6.125" style="296" bestFit="1" customWidth="1"/>
    <col min="10780" max="10780" width="9" style="296"/>
    <col min="10781" max="10781" width="9.125" style="296" customWidth="1"/>
    <col min="10782" max="11008" width="9" style="296"/>
    <col min="11009" max="11009" width="4.75" style="296" customWidth="1"/>
    <col min="11010" max="11010" width="6.875" style="296" customWidth="1"/>
    <col min="11011" max="11011" width="18.5" style="296" customWidth="1"/>
    <col min="11012" max="11012" width="10.875" style="296" customWidth="1"/>
    <col min="11013" max="11013" width="6.75" style="296" customWidth="1"/>
    <col min="11014" max="11014" width="9.375" style="296" customWidth="1"/>
    <col min="11015" max="11015" width="8.875" style="296" customWidth="1"/>
    <col min="11016" max="11016" width="14" style="296" customWidth="1"/>
    <col min="11017" max="11017" width="9.375" style="296" customWidth="1"/>
    <col min="11018" max="11018" width="8.625" style="296" customWidth="1"/>
    <col min="11019" max="11019" width="12.875" style="296" customWidth="1"/>
    <col min="11020" max="11020" width="13.375" style="296" bestFit="1" customWidth="1"/>
    <col min="11021" max="11021" width="7.625" style="296" customWidth="1"/>
    <col min="11022" max="11022" width="7.625" style="296" bestFit="1" customWidth="1"/>
    <col min="11023" max="11023" width="4.625" style="296" bestFit="1" customWidth="1"/>
    <col min="11024" max="11025" width="7.625" style="296" customWidth="1"/>
    <col min="11026" max="11026" width="7.625" style="296" bestFit="1" customWidth="1"/>
    <col min="11027" max="11027" width="4.625" style="296" bestFit="1" customWidth="1"/>
    <col min="11028" max="11028" width="9.625" style="296" bestFit="1" customWidth="1"/>
    <col min="11029" max="11029" width="8.75" style="296" bestFit="1" customWidth="1"/>
    <col min="11030" max="11030" width="11.5" style="296" bestFit="1" customWidth="1"/>
    <col min="11031" max="11031" width="6.125" style="296" bestFit="1" customWidth="1"/>
    <col min="11032" max="11032" width="4.625" style="296" bestFit="1" customWidth="1"/>
    <col min="11033" max="11035" width="6.125" style="296" bestFit="1" customWidth="1"/>
    <col min="11036" max="11036" width="9" style="296"/>
    <col min="11037" max="11037" width="9.125" style="296" customWidth="1"/>
    <col min="11038" max="11264" width="9" style="296"/>
    <col min="11265" max="11265" width="4.75" style="296" customWidth="1"/>
    <col min="11266" max="11266" width="6.875" style="296" customWidth="1"/>
    <col min="11267" max="11267" width="18.5" style="296" customWidth="1"/>
    <col min="11268" max="11268" width="10.875" style="296" customWidth="1"/>
    <col min="11269" max="11269" width="6.75" style="296" customWidth="1"/>
    <col min="11270" max="11270" width="9.375" style="296" customWidth="1"/>
    <col min="11271" max="11271" width="8.875" style="296" customWidth="1"/>
    <col min="11272" max="11272" width="14" style="296" customWidth="1"/>
    <col min="11273" max="11273" width="9.375" style="296" customWidth="1"/>
    <col min="11274" max="11274" width="8.625" style="296" customWidth="1"/>
    <col min="11275" max="11275" width="12.875" style="296" customWidth="1"/>
    <col min="11276" max="11276" width="13.375" style="296" bestFit="1" customWidth="1"/>
    <col min="11277" max="11277" width="7.625" style="296" customWidth="1"/>
    <col min="11278" max="11278" width="7.625" style="296" bestFit="1" customWidth="1"/>
    <col min="11279" max="11279" width="4.625" style="296" bestFit="1" customWidth="1"/>
    <col min="11280" max="11281" width="7.625" style="296" customWidth="1"/>
    <col min="11282" max="11282" width="7.625" style="296" bestFit="1" customWidth="1"/>
    <col min="11283" max="11283" width="4.625" style="296" bestFit="1" customWidth="1"/>
    <col min="11284" max="11284" width="9.625" style="296" bestFit="1" customWidth="1"/>
    <col min="11285" max="11285" width="8.75" style="296" bestFit="1" customWidth="1"/>
    <col min="11286" max="11286" width="11.5" style="296" bestFit="1" customWidth="1"/>
    <col min="11287" max="11287" width="6.125" style="296" bestFit="1" customWidth="1"/>
    <col min="11288" max="11288" width="4.625" style="296" bestFit="1" customWidth="1"/>
    <col min="11289" max="11291" width="6.125" style="296" bestFit="1" customWidth="1"/>
    <col min="11292" max="11292" width="9" style="296"/>
    <col min="11293" max="11293" width="9.125" style="296" customWidth="1"/>
    <col min="11294" max="11520" width="9" style="296"/>
    <col min="11521" max="11521" width="4.75" style="296" customWidth="1"/>
    <col min="11522" max="11522" width="6.875" style="296" customWidth="1"/>
    <col min="11523" max="11523" width="18.5" style="296" customWidth="1"/>
    <col min="11524" max="11524" width="10.875" style="296" customWidth="1"/>
    <col min="11525" max="11525" width="6.75" style="296" customWidth="1"/>
    <col min="11526" max="11526" width="9.375" style="296" customWidth="1"/>
    <col min="11527" max="11527" width="8.875" style="296" customWidth="1"/>
    <col min="11528" max="11528" width="14" style="296" customWidth="1"/>
    <col min="11529" max="11529" width="9.375" style="296" customWidth="1"/>
    <col min="11530" max="11530" width="8.625" style="296" customWidth="1"/>
    <col min="11531" max="11531" width="12.875" style="296" customWidth="1"/>
    <col min="11532" max="11532" width="13.375" style="296" bestFit="1" customWidth="1"/>
    <col min="11533" max="11533" width="7.625" style="296" customWidth="1"/>
    <col min="11534" max="11534" width="7.625" style="296" bestFit="1" customWidth="1"/>
    <col min="11535" max="11535" width="4.625" style="296" bestFit="1" customWidth="1"/>
    <col min="11536" max="11537" width="7.625" style="296" customWidth="1"/>
    <col min="11538" max="11538" width="7.625" style="296" bestFit="1" customWidth="1"/>
    <col min="11539" max="11539" width="4.625" style="296" bestFit="1" customWidth="1"/>
    <col min="11540" max="11540" width="9.625" style="296" bestFit="1" customWidth="1"/>
    <col min="11541" max="11541" width="8.75" style="296" bestFit="1" customWidth="1"/>
    <col min="11542" max="11542" width="11.5" style="296" bestFit="1" customWidth="1"/>
    <col min="11543" max="11543" width="6.125" style="296" bestFit="1" customWidth="1"/>
    <col min="11544" max="11544" width="4.625" style="296" bestFit="1" customWidth="1"/>
    <col min="11545" max="11547" width="6.125" style="296" bestFit="1" customWidth="1"/>
    <col min="11548" max="11548" width="9" style="296"/>
    <col min="11549" max="11549" width="9.125" style="296" customWidth="1"/>
    <col min="11550" max="11776" width="9" style="296"/>
    <col min="11777" max="11777" width="4.75" style="296" customWidth="1"/>
    <col min="11778" max="11778" width="6.875" style="296" customWidth="1"/>
    <col min="11779" max="11779" width="18.5" style="296" customWidth="1"/>
    <col min="11780" max="11780" width="10.875" style="296" customWidth="1"/>
    <col min="11781" max="11781" width="6.75" style="296" customWidth="1"/>
    <col min="11782" max="11782" width="9.375" style="296" customWidth="1"/>
    <col min="11783" max="11783" width="8.875" style="296" customWidth="1"/>
    <col min="11784" max="11784" width="14" style="296" customWidth="1"/>
    <col min="11785" max="11785" width="9.375" style="296" customWidth="1"/>
    <col min="11786" max="11786" width="8.625" style="296" customWidth="1"/>
    <col min="11787" max="11787" width="12.875" style="296" customWidth="1"/>
    <col min="11788" max="11788" width="13.375" style="296" bestFit="1" customWidth="1"/>
    <col min="11789" max="11789" width="7.625" style="296" customWidth="1"/>
    <col min="11790" max="11790" width="7.625" style="296" bestFit="1" customWidth="1"/>
    <col min="11791" max="11791" width="4.625" style="296" bestFit="1" customWidth="1"/>
    <col min="11792" max="11793" width="7.625" style="296" customWidth="1"/>
    <col min="11794" max="11794" width="7.625" style="296" bestFit="1" customWidth="1"/>
    <col min="11795" max="11795" width="4.625" style="296" bestFit="1" customWidth="1"/>
    <col min="11796" max="11796" width="9.625" style="296" bestFit="1" customWidth="1"/>
    <col min="11797" max="11797" width="8.75" style="296" bestFit="1" customWidth="1"/>
    <col min="11798" max="11798" width="11.5" style="296" bestFit="1" customWidth="1"/>
    <col min="11799" max="11799" width="6.125" style="296" bestFit="1" customWidth="1"/>
    <col min="11800" max="11800" width="4.625" style="296" bestFit="1" customWidth="1"/>
    <col min="11801" max="11803" width="6.125" style="296" bestFit="1" customWidth="1"/>
    <col min="11804" max="11804" width="9" style="296"/>
    <col min="11805" max="11805" width="9.125" style="296" customWidth="1"/>
    <col min="11806" max="12032" width="9" style="296"/>
    <col min="12033" max="12033" width="4.75" style="296" customWidth="1"/>
    <col min="12034" max="12034" width="6.875" style="296" customWidth="1"/>
    <col min="12035" max="12035" width="18.5" style="296" customWidth="1"/>
    <col min="12036" max="12036" width="10.875" style="296" customWidth="1"/>
    <col min="12037" max="12037" width="6.75" style="296" customWidth="1"/>
    <col min="12038" max="12038" width="9.375" style="296" customWidth="1"/>
    <col min="12039" max="12039" width="8.875" style="296" customWidth="1"/>
    <col min="12040" max="12040" width="14" style="296" customWidth="1"/>
    <col min="12041" max="12041" width="9.375" style="296" customWidth="1"/>
    <col min="12042" max="12042" width="8.625" style="296" customWidth="1"/>
    <col min="12043" max="12043" width="12.875" style="296" customWidth="1"/>
    <col min="12044" max="12044" width="13.375" style="296" bestFit="1" customWidth="1"/>
    <col min="12045" max="12045" width="7.625" style="296" customWidth="1"/>
    <col min="12046" max="12046" width="7.625" style="296" bestFit="1" customWidth="1"/>
    <col min="12047" max="12047" width="4.625" style="296" bestFit="1" customWidth="1"/>
    <col min="12048" max="12049" width="7.625" style="296" customWidth="1"/>
    <col min="12050" max="12050" width="7.625" style="296" bestFit="1" customWidth="1"/>
    <col min="12051" max="12051" width="4.625" style="296" bestFit="1" customWidth="1"/>
    <col min="12052" max="12052" width="9.625" style="296" bestFit="1" customWidth="1"/>
    <col min="12053" max="12053" width="8.75" style="296" bestFit="1" customWidth="1"/>
    <col min="12054" max="12054" width="11.5" style="296" bestFit="1" customWidth="1"/>
    <col min="12055" max="12055" width="6.125" style="296" bestFit="1" customWidth="1"/>
    <col min="12056" max="12056" width="4.625" style="296" bestFit="1" customWidth="1"/>
    <col min="12057" max="12059" width="6.125" style="296" bestFit="1" customWidth="1"/>
    <col min="12060" max="12060" width="9" style="296"/>
    <col min="12061" max="12061" width="9.125" style="296" customWidth="1"/>
    <col min="12062" max="12288" width="9" style="296"/>
    <col min="12289" max="12289" width="4.75" style="296" customWidth="1"/>
    <col min="12290" max="12290" width="6.875" style="296" customWidth="1"/>
    <col min="12291" max="12291" width="18.5" style="296" customWidth="1"/>
    <col min="12292" max="12292" width="10.875" style="296" customWidth="1"/>
    <col min="12293" max="12293" width="6.75" style="296" customWidth="1"/>
    <col min="12294" max="12294" width="9.375" style="296" customWidth="1"/>
    <col min="12295" max="12295" width="8.875" style="296" customWidth="1"/>
    <col min="12296" max="12296" width="14" style="296" customWidth="1"/>
    <col min="12297" max="12297" width="9.375" style="296" customWidth="1"/>
    <col min="12298" max="12298" width="8.625" style="296" customWidth="1"/>
    <col min="12299" max="12299" width="12.875" style="296" customWidth="1"/>
    <col min="12300" max="12300" width="13.375" style="296" bestFit="1" customWidth="1"/>
    <col min="12301" max="12301" width="7.625" style="296" customWidth="1"/>
    <col min="12302" max="12302" width="7.625" style="296" bestFit="1" customWidth="1"/>
    <col min="12303" max="12303" width="4.625" style="296" bestFit="1" customWidth="1"/>
    <col min="12304" max="12305" width="7.625" style="296" customWidth="1"/>
    <col min="12306" max="12306" width="7.625" style="296" bestFit="1" customWidth="1"/>
    <col min="12307" max="12307" width="4.625" style="296" bestFit="1" customWidth="1"/>
    <col min="12308" max="12308" width="9.625" style="296" bestFit="1" customWidth="1"/>
    <col min="12309" max="12309" width="8.75" style="296" bestFit="1" customWidth="1"/>
    <col min="12310" max="12310" width="11.5" style="296" bestFit="1" customWidth="1"/>
    <col min="12311" max="12311" width="6.125" style="296" bestFit="1" customWidth="1"/>
    <col min="12312" max="12312" width="4.625" style="296" bestFit="1" customWidth="1"/>
    <col min="12313" max="12315" width="6.125" style="296" bestFit="1" customWidth="1"/>
    <col min="12316" max="12316" width="9" style="296"/>
    <col min="12317" max="12317" width="9.125" style="296" customWidth="1"/>
    <col min="12318" max="12544" width="9" style="296"/>
    <col min="12545" max="12545" width="4.75" style="296" customWidth="1"/>
    <col min="12546" max="12546" width="6.875" style="296" customWidth="1"/>
    <col min="12547" max="12547" width="18.5" style="296" customWidth="1"/>
    <col min="12548" max="12548" width="10.875" style="296" customWidth="1"/>
    <col min="12549" max="12549" width="6.75" style="296" customWidth="1"/>
    <col min="12550" max="12550" width="9.375" style="296" customWidth="1"/>
    <col min="12551" max="12551" width="8.875" style="296" customWidth="1"/>
    <col min="12552" max="12552" width="14" style="296" customWidth="1"/>
    <col min="12553" max="12553" width="9.375" style="296" customWidth="1"/>
    <col min="12554" max="12554" width="8.625" style="296" customWidth="1"/>
    <col min="12555" max="12555" width="12.875" style="296" customWidth="1"/>
    <col min="12556" max="12556" width="13.375" style="296" bestFit="1" customWidth="1"/>
    <col min="12557" max="12557" width="7.625" style="296" customWidth="1"/>
    <col min="12558" max="12558" width="7.625" style="296" bestFit="1" customWidth="1"/>
    <col min="12559" max="12559" width="4.625" style="296" bestFit="1" customWidth="1"/>
    <col min="12560" max="12561" width="7.625" style="296" customWidth="1"/>
    <col min="12562" max="12562" width="7.625" style="296" bestFit="1" customWidth="1"/>
    <col min="12563" max="12563" width="4.625" style="296" bestFit="1" customWidth="1"/>
    <col min="12564" max="12564" width="9.625" style="296" bestFit="1" customWidth="1"/>
    <col min="12565" max="12565" width="8.75" style="296" bestFit="1" customWidth="1"/>
    <col min="12566" max="12566" width="11.5" style="296" bestFit="1" customWidth="1"/>
    <col min="12567" max="12567" width="6.125" style="296" bestFit="1" customWidth="1"/>
    <col min="12568" max="12568" width="4.625" style="296" bestFit="1" customWidth="1"/>
    <col min="12569" max="12571" width="6.125" style="296" bestFit="1" customWidth="1"/>
    <col min="12572" max="12572" width="9" style="296"/>
    <col min="12573" max="12573" width="9.125" style="296" customWidth="1"/>
    <col min="12574" max="12800" width="9" style="296"/>
    <col min="12801" max="12801" width="4.75" style="296" customWidth="1"/>
    <col min="12802" max="12802" width="6.875" style="296" customWidth="1"/>
    <col min="12803" max="12803" width="18.5" style="296" customWidth="1"/>
    <col min="12804" max="12804" width="10.875" style="296" customWidth="1"/>
    <col min="12805" max="12805" width="6.75" style="296" customWidth="1"/>
    <col min="12806" max="12806" width="9.375" style="296" customWidth="1"/>
    <col min="12807" max="12807" width="8.875" style="296" customWidth="1"/>
    <col min="12808" max="12808" width="14" style="296" customWidth="1"/>
    <col min="12809" max="12809" width="9.375" style="296" customWidth="1"/>
    <col min="12810" max="12810" width="8.625" style="296" customWidth="1"/>
    <col min="12811" max="12811" width="12.875" style="296" customWidth="1"/>
    <col min="12812" max="12812" width="13.375" style="296" bestFit="1" customWidth="1"/>
    <col min="12813" max="12813" width="7.625" style="296" customWidth="1"/>
    <col min="12814" max="12814" width="7.625" style="296" bestFit="1" customWidth="1"/>
    <col min="12815" max="12815" width="4.625" style="296" bestFit="1" customWidth="1"/>
    <col min="12816" max="12817" width="7.625" style="296" customWidth="1"/>
    <col min="12818" max="12818" width="7.625" style="296" bestFit="1" customWidth="1"/>
    <col min="12819" max="12819" width="4.625" style="296" bestFit="1" customWidth="1"/>
    <col min="12820" max="12820" width="9.625" style="296" bestFit="1" customWidth="1"/>
    <col min="12821" max="12821" width="8.75" style="296" bestFit="1" customWidth="1"/>
    <col min="12822" max="12822" width="11.5" style="296" bestFit="1" customWidth="1"/>
    <col min="12823" max="12823" width="6.125" style="296" bestFit="1" customWidth="1"/>
    <col min="12824" max="12824" width="4.625" style="296" bestFit="1" customWidth="1"/>
    <col min="12825" max="12827" width="6.125" style="296" bestFit="1" customWidth="1"/>
    <col min="12828" max="12828" width="9" style="296"/>
    <col min="12829" max="12829" width="9.125" style="296" customWidth="1"/>
    <col min="12830" max="13056" width="9" style="296"/>
    <col min="13057" max="13057" width="4.75" style="296" customWidth="1"/>
    <col min="13058" max="13058" width="6.875" style="296" customWidth="1"/>
    <col min="13059" max="13059" width="18.5" style="296" customWidth="1"/>
    <col min="13060" max="13060" width="10.875" style="296" customWidth="1"/>
    <col min="13061" max="13061" width="6.75" style="296" customWidth="1"/>
    <col min="13062" max="13062" width="9.375" style="296" customWidth="1"/>
    <col min="13063" max="13063" width="8.875" style="296" customWidth="1"/>
    <col min="13064" max="13064" width="14" style="296" customWidth="1"/>
    <col min="13065" max="13065" width="9.375" style="296" customWidth="1"/>
    <col min="13066" max="13066" width="8.625" style="296" customWidth="1"/>
    <col min="13067" max="13067" width="12.875" style="296" customWidth="1"/>
    <col min="13068" max="13068" width="13.375" style="296" bestFit="1" customWidth="1"/>
    <col min="13069" max="13069" width="7.625" style="296" customWidth="1"/>
    <col min="13070" max="13070" width="7.625" style="296" bestFit="1" customWidth="1"/>
    <col min="13071" max="13071" width="4.625" style="296" bestFit="1" customWidth="1"/>
    <col min="13072" max="13073" width="7.625" style="296" customWidth="1"/>
    <col min="13074" max="13074" width="7.625" style="296" bestFit="1" customWidth="1"/>
    <col min="13075" max="13075" width="4.625" style="296" bestFit="1" customWidth="1"/>
    <col min="13076" max="13076" width="9.625" style="296" bestFit="1" customWidth="1"/>
    <col min="13077" max="13077" width="8.75" style="296" bestFit="1" customWidth="1"/>
    <col min="13078" max="13078" width="11.5" style="296" bestFit="1" customWidth="1"/>
    <col min="13079" max="13079" width="6.125" style="296" bestFit="1" customWidth="1"/>
    <col min="13080" max="13080" width="4.625" style="296" bestFit="1" customWidth="1"/>
    <col min="13081" max="13083" width="6.125" style="296" bestFit="1" customWidth="1"/>
    <col min="13084" max="13084" width="9" style="296"/>
    <col min="13085" max="13085" width="9.125" style="296" customWidth="1"/>
    <col min="13086" max="13312" width="9" style="296"/>
    <col min="13313" max="13313" width="4.75" style="296" customWidth="1"/>
    <col min="13314" max="13314" width="6.875" style="296" customWidth="1"/>
    <col min="13315" max="13315" width="18.5" style="296" customWidth="1"/>
    <col min="13316" max="13316" width="10.875" style="296" customWidth="1"/>
    <col min="13317" max="13317" width="6.75" style="296" customWidth="1"/>
    <col min="13318" max="13318" width="9.375" style="296" customWidth="1"/>
    <col min="13319" max="13319" width="8.875" style="296" customWidth="1"/>
    <col min="13320" max="13320" width="14" style="296" customWidth="1"/>
    <col min="13321" max="13321" width="9.375" style="296" customWidth="1"/>
    <col min="13322" max="13322" width="8.625" style="296" customWidth="1"/>
    <col min="13323" max="13323" width="12.875" style="296" customWidth="1"/>
    <col min="13324" max="13324" width="13.375" style="296" bestFit="1" customWidth="1"/>
    <col min="13325" max="13325" width="7.625" style="296" customWidth="1"/>
    <col min="13326" max="13326" width="7.625" style="296" bestFit="1" customWidth="1"/>
    <col min="13327" max="13327" width="4.625" style="296" bestFit="1" customWidth="1"/>
    <col min="13328" max="13329" width="7.625" style="296" customWidth="1"/>
    <col min="13330" max="13330" width="7.625" style="296" bestFit="1" customWidth="1"/>
    <col min="13331" max="13331" width="4.625" style="296" bestFit="1" customWidth="1"/>
    <col min="13332" max="13332" width="9.625" style="296" bestFit="1" customWidth="1"/>
    <col min="13333" max="13333" width="8.75" style="296" bestFit="1" customWidth="1"/>
    <col min="13334" max="13334" width="11.5" style="296" bestFit="1" customWidth="1"/>
    <col min="13335" max="13335" width="6.125" style="296" bestFit="1" customWidth="1"/>
    <col min="13336" max="13336" width="4.625" style="296" bestFit="1" customWidth="1"/>
    <col min="13337" max="13339" width="6.125" style="296" bestFit="1" customWidth="1"/>
    <col min="13340" max="13340" width="9" style="296"/>
    <col min="13341" max="13341" width="9.125" style="296" customWidth="1"/>
    <col min="13342" max="13568" width="9" style="296"/>
    <col min="13569" max="13569" width="4.75" style="296" customWidth="1"/>
    <col min="13570" max="13570" width="6.875" style="296" customWidth="1"/>
    <col min="13571" max="13571" width="18.5" style="296" customWidth="1"/>
    <col min="13572" max="13572" width="10.875" style="296" customWidth="1"/>
    <col min="13573" max="13573" width="6.75" style="296" customWidth="1"/>
    <col min="13574" max="13574" width="9.375" style="296" customWidth="1"/>
    <col min="13575" max="13575" width="8.875" style="296" customWidth="1"/>
    <col min="13576" max="13576" width="14" style="296" customWidth="1"/>
    <col min="13577" max="13577" width="9.375" style="296" customWidth="1"/>
    <col min="13578" max="13578" width="8.625" style="296" customWidth="1"/>
    <col min="13579" max="13579" width="12.875" style="296" customWidth="1"/>
    <col min="13580" max="13580" width="13.375" style="296" bestFit="1" customWidth="1"/>
    <col min="13581" max="13581" width="7.625" style="296" customWidth="1"/>
    <col min="13582" max="13582" width="7.625" style="296" bestFit="1" customWidth="1"/>
    <col min="13583" max="13583" width="4.625" style="296" bestFit="1" customWidth="1"/>
    <col min="13584" max="13585" width="7.625" style="296" customWidth="1"/>
    <col min="13586" max="13586" width="7.625" style="296" bestFit="1" customWidth="1"/>
    <col min="13587" max="13587" width="4.625" style="296" bestFit="1" customWidth="1"/>
    <col min="13588" max="13588" width="9.625" style="296" bestFit="1" customWidth="1"/>
    <col min="13589" max="13589" width="8.75" style="296" bestFit="1" customWidth="1"/>
    <col min="13590" max="13590" width="11.5" style="296" bestFit="1" customWidth="1"/>
    <col min="13591" max="13591" width="6.125" style="296" bestFit="1" customWidth="1"/>
    <col min="13592" max="13592" width="4.625" style="296" bestFit="1" customWidth="1"/>
    <col min="13593" max="13595" width="6.125" style="296" bestFit="1" customWidth="1"/>
    <col min="13596" max="13596" width="9" style="296"/>
    <col min="13597" max="13597" width="9.125" style="296" customWidth="1"/>
    <col min="13598" max="13824" width="9" style="296"/>
    <col min="13825" max="13825" width="4.75" style="296" customWidth="1"/>
    <col min="13826" max="13826" width="6.875" style="296" customWidth="1"/>
    <col min="13827" max="13827" width="18.5" style="296" customWidth="1"/>
    <col min="13828" max="13828" width="10.875" style="296" customWidth="1"/>
    <col min="13829" max="13829" width="6.75" style="296" customWidth="1"/>
    <col min="13830" max="13830" width="9.375" style="296" customWidth="1"/>
    <col min="13831" max="13831" width="8.875" style="296" customWidth="1"/>
    <col min="13832" max="13832" width="14" style="296" customWidth="1"/>
    <col min="13833" max="13833" width="9.375" style="296" customWidth="1"/>
    <col min="13834" max="13834" width="8.625" style="296" customWidth="1"/>
    <col min="13835" max="13835" width="12.875" style="296" customWidth="1"/>
    <col min="13836" max="13836" width="13.375" style="296" bestFit="1" customWidth="1"/>
    <col min="13837" max="13837" width="7.625" style="296" customWidth="1"/>
    <col min="13838" max="13838" width="7.625" style="296" bestFit="1" customWidth="1"/>
    <col min="13839" max="13839" width="4.625" style="296" bestFit="1" customWidth="1"/>
    <col min="13840" max="13841" width="7.625" style="296" customWidth="1"/>
    <col min="13842" max="13842" width="7.625" style="296" bestFit="1" customWidth="1"/>
    <col min="13843" max="13843" width="4.625" style="296" bestFit="1" customWidth="1"/>
    <col min="13844" max="13844" width="9.625" style="296" bestFit="1" customWidth="1"/>
    <col min="13845" max="13845" width="8.75" style="296" bestFit="1" customWidth="1"/>
    <col min="13846" max="13846" width="11.5" style="296" bestFit="1" customWidth="1"/>
    <col min="13847" max="13847" width="6.125" style="296" bestFit="1" customWidth="1"/>
    <col min="13848" max="13848" width="4.625" style="296" bestFit="1" customWidth="1"/>
    <col min="13849" max="13851" width="6.125" style="296" bestFit="1" customWidth="1"/>
    <col min="13852" max="13852" width="9" style="296"/>
    <col min="13853" max="13853" width="9.125" style="296" customWidth="1"/>
    <col min="13854" max="14080" width="9" style="296"/>
    <col min="14081" max="14081" width="4.75" style="296" customWidth="1"/>
    <col min="14082" max="14082" width="6.875" style="296" customWidth="1"/>
    <col min="14083" max="14083" width="18.5" style="296" customWidth="1"/>
    <col min="14084" max="14084" width="10.875" style="296" customWidth="1"/>
    <col min="14085" max="14085" width="6.75" style="296" customWidth="1"/>
    <col min="14086" max="14086" width="9.375" style="296" customWidth="1"/>
    <col min="14087" max="14087" width="8.875" style="296" customWidth="1"/>
    <col min="14088" max="14088" width="14" style="296" customWidth="1"/>
    <col min="14089" max="14089" width="9.375" style="296" customWidth="1"/>
    <col min="14090" max="14090" width="8.625" style="296" customWidth="1"/>
    <col min="14091" max="14091" width="12.875" style="296" customWidth="1"/>
    <col min="14092" max="14092" width="13.375" style="296" bestFit="1" customWidth="1"/>
    <col min="14093" max="14093" width="7.625" style="296" customWidth="1"/>
    <col min="14094" max="14094" width="7.625" style="296" bestFit="1" customWidth="1"/>
    <col min="14095" max="14095" width="4.625" style="296" bestFit="1" customWidth="1"/>
    <col min="14096" max="14097" width="7.625" style="296" customWidth="1"/>
    <col min="14098" max="14098" width="7.625" style="296" bestFit="1" customWidth="1"/>
    <col min="14099" max="14099" width="4.625" style="296" bestFit="1" customWidth="1"/>
    <col min="14100" max="14100" width="9.625" style="296" bestFit="1" customWidth="1"/>
    <col min="14101" max="14101" width="8.75" style="296" bestFit="1" customWidth="1"/>
    <col min="14102" max="14102" width="11.5" style="296" bestFit="1" customWidth="1"/>
    <col min="14103" max="14103" width="6.125" style="296" bestFit="1" customWidth="1"/>
    <col min="14104" max="14104" width="4.625" style="296" bestFit="1" customWidth="1"/>
    <col min="14105" max="14107" width="6.125" style="296" bestFit="1" customWidth="1"/>
    <col min="14108" max="14108" width="9" style="296"/>
    <col min="14109" max="14109" width="9.125" style="296" customWidth="1"/>
    <col min="14110" max="14336" width="9" style="296"/>
    <col min="14337" max="14337" width="4.75" style="296" customWidth="1"/>
    <col min="14338" max="14338" width="6.875" style="296" customWidth="1"/>
    <col min="14339" max="14339" width="18.5" style="296" customWidth="1"/>
    <col min="14340" max="14340" width="10.875" style="296" customWidth="1"/>
    <col min="14341" max="14341" width="6.75" style="296" customWidth="1"/>
    <col min="14342" max="14342" width="9.375" style="296" customWidth="1"/>
    <col min="14343" max="14343" width="8.875" style="296" customWidth="1"/>
    <col min="14344" max="14344" width="14" style="296" customWidth="1"/>
    <col min="14345" max="14345" width="9.375" style="296" customWidth="1"/>
    <col min="14346" max="14346" width="8.625" style="296" customWidth="1"/>
    <col min="14347" max="14347" width="12.875" style="296" customWidth="1"/>
    <col min="14348" max="14348" width="13.375" style="296" bestFit="1" customWidth="1"/>
    <col min="14349" max="14349" width="7.625" style="296" customWidth="1"/>
    <col min="14350" max="14350" width="7.625" style="296" bestFit="1" customWidth="1"/>
    <col min="14351" max="14351" width="4.625" style="296" bestFit="1" customWidth="1"/>
    <col min="14352" max="14353" width="7.625" style="296" customWidth="1"/>
    <col min="14354" max="14354" width="7.625" style="296" bestFit="1" customWidth="1"/>
    <col min="14355" max="14355" width="4.625" style="296" bestFit="1" customWidth="1"/>
    <col min="14356" max="14356" width="9.625" style="296" bestFit="1" customWidth="1"/>
    <col min="14357" max="14357" width="8.75" style="296" bestFit="1" customWidth="1"/>
    <col min="14358" max="14358" width="11.5" style="296" bestFit="1" customWidth="1"/>
    <col min="14359" max="14359" width="6.125" style="296" bestFit="1" customWidth="1"/>
    <col min="14360" max="14360" width="4.625" style="296" bestFit="1" customWidth="1"/>
    <col min="14361" max="14363" width="6.125" style="296" bestFit="1" customWidth="1"/>
    <col min="14364" max="14364" width="9" style="296"/>
    <col min="14365" max="14365" width="9.125" style="296" customWidth="1"/>
    <col min="14366" max="14592" width="9" style="296"/>
    <col min="14593" max="14593" width="4.75" style="296" customWidth="1"/>
    <col min="14594" max="14594" width="6.875" style="296" customWidth="1"/>
    <col min="14595" max="14595" width="18.5" style="296" customWidth="1"/>
    <col min="14596" max="14596" width="10.875" style="296" customWidth="1"/>
    <col min="14597" max="14597" width="6.75" style="296" customWidth="1"/>
    <col min="14598" max="14598" width="9.375" style="296" customWidth="1"/>
    <col min="14599" max="14599" width="8.875" style="296" customWidth="1"/>
    <col min="14600" max="14600" width="14" style="296" customWidth="1"/>
    <col min="14601" max="14601" width="9.375" style="296" customWidth="1"/>
    <col min="14602" max="14602" width="8.625" style="296" customWidth="1"/>
    <col min="14603" max="14603" width="12.875" style="296" customWidth="1"/>
    <col min="14604" max="14604" width="13.375" style="296" bestFit="1" customWidth="1"/>
    <col min="14605" max="14605" width="7.625" style="296" customWidth="1"/>
    <col min="14606" max="14606" width="7.625" style="296" bestFit="1" customWidth="1"/>
    <col min="14607" max="14607" width="4.625" style="296" bestFit="1" customWidth="1"/>
    <col min="14608" max="14609" width="7.625" style="296" customWidth="1"/>
    <col min="14610" max="14610" width="7.625" style="296" bestFit="1" customWidth="1"/>
    <col min="14611" max="14611" width="4.625" style="296" bestFit="1" customWidth="1"/>
    <col min="14612" max="14612" width="9.625" style="296" bestFit="1" customWidth="1"/>
    <col min="14613" max="14613" width="8.75" style="296" bestFit="1" customWidth="1"/>
    <col min="14614" max="14614" width="11.5" style="296" bestFit="1" customWidth="1"/>
    <col min="14615" max="14615" width="6.125" style="296" bestFit="1" customWidth="1"/>
    <col min="14616" max="14616" width="4.625" style="296" bestFit="1" customWidth="1"/>
    <col min="14617" max="14619" width="6.125" style="296" bestFit="1" customWidth="1"/>
    <col min="14620" max="14620" width="9" style="296"/>
    <col min="14621" max="14621" width="9.125" style="296" customWidth="1"/>
    <col min="14622" max="14848" width="9" style="296"/>
    <col min="14849" max="14849" width="4.75" style="296" customWidth="1"/>
    <col min="14850" max="14850" width="6.875" style="296" customWidth="1"/>
    <col min="14851" max="14851" width="18.5" style="296" customWidth="1"/>
    <col min="14852" max="14852" width="10.875" style="296" customWidth="1"/>
    <col min="14853" max="14853" width="6.75" style="296" customWidth="1"/>
    <col min="14854" max="14854" width="9.375" style="296" customWidth="1"/>
    <col min="14855" max="14855" width="8.875" style="296" customWidth="1"/>
    <col min="14856" max="14856" width="14" style="296" customWidth="1"/>
    <col min="14857" max="14857" width="9.375" style="296" customWidth="1"/>
    <col min="14858" max="14858" width="8.625" style="296" customWidth="1"/>
    <col min="14859" max="14859" width="12.875" style="296" customWidth="1"/>
    <col min="14860" max="14860" width="13.375" style="296" bestFit="1" customWidth="1"/>
    <col min="14861" max="14861" width="7.625" style="296" customWidth="1"/>
    <col min="14862" max="14862" width="7.625" style="296" bestFit="1" customWidth="1"/>
    <col min="14863" max="14863" width="4.625" style="296" bestFit="1" customWidth="1"/>
    <col min="14864" max="14865" width="7.625" style="296" customWidth="1"/>
    <col min="14866" max="14866" width="7.625" style="296" bestFit="1" customWidth="1"/>
    <col min="14867" max="14867" width="4.625" style="296" bestFit="1" customWidth="1"/>
    <col min="14868" max="14868" width="9.625" style="296" bestFit="1" customWidth="1"/>
    <col min="14869" max="14869" width="8.75" style="296" bestFit="1" customWidth="1"/>
    <col min="14870" max="14870" width="11.5" style="296" bestFit="1" customWidth="1"/>
    <col min="14871" max="14871" width="6.125" style="296" bestFit="1" customWidth="1"/>
    <col min="14872" max="14872" width="4.625" style="296" bestFit="1" customWidth="1"/>
    <col min="14873" max="14875" width="6.125" style="296" bestFit="1" customWidth="1"/>
    <col min="14876" max="14876" width="9" style="296"/>
    <col min="14877" max="14877" width="9.125" style="296" customWidth="1"/>
    <col min="14878" max="15104" width="9" style="296"/>
    <col min="15105" max="15105" width="4.75" style="296" customWidth="1"/>
    <col min="15106" max="15106" width="6.875" style="296" customWidth="1"/>
    <col min="15107" max="15107" width="18.5" style="296" customWidth="1"/>
    <col min="15108" max="15108" width="10.875" style="296" customWidth="1"/>
    <col min="15109" max="15109" width="6.75" style="296" customWidth="1"/>
    <col min="15110" max="15110" width="9.375" style="296" customWidth="1"/>
    <col min="15111" max="15111" width="8.875" style="296" customWidth="1"/>
    <col min="15112" max="15112" width="14" style="296" customWidth="1"/>
    <col min="15113" max="15113" width="9.375" style="296" customWidth="1"/>
    <col min="15114" max="15114" width="8.625" style="296" customWidth="1"/>
    <col min="15115" max="15115" width="12.875" style="296" customWidth="1"/>
    <col min="15116" max="15116" width="13.375" style="296" bestFit="1" customWidth="1"/>
    <col min="15117" max="15117" width="7.625" style="296" customWidth="1"/>
    <col min="15118" max="15118" width="7.625" style="296" bestFit="1" customWidth="1"/>
    <col min="15119" max="15119" width="4.625" style="296" bestFit="1" customWidth="1"/>
    <col min="15120" max="15121" width="7.625" style="296" customWidth="1"/>
    <col min="15122" max="15122" width="7.625" style="296" bestFit="1" customWidth="1"/>
    <col min="15123" max="15123" width="4.625" style="296" bestFit="1" customWidth="1"/>
    <col min="15124" max="15124" width="9.625" style="296" bestFit="1" customWidth="1"/>
    <col min="15125" max="15125" width="8.75" style="296" bestFit="1" customWidth="1"/>
    <col min="15126" max="15126" width="11.5" style="296" bestFit="1" customWidth="1"/>
    <col min="15127" max="15127" width="6.125" style="296" bestFit="1" customWidth="1"/>
    <col min="15128" max="15128" width="4.625" style="296" bestFit="1" customWidth="1"/>
    <col min="15129" max="15131" width="6.125" style="296" bestFit="1" customWidth="1"/>
    <col min="15132" max="15132" width="9" style="296"/>
    <col min="15133" max="15133" width="9.125" style="296" customWidth="1"/>
    <col min="15134" max="15360" width="9" style="296"/>
    <col min="15361" max="15361" width="4.75" style="296" customWidth="1"/>
    <col min="15362" max="15362" width="6.875" style="296" customWidth="1"/>
    <col min="15363" max="15363" width="18.5" style="296" customWidth="1"/>
    <col min="15364" max="15364" width="10.875" style="296" customWidth="1"/>
    <col min="15365" max="15365" width="6.75" style="296" customWidth="1"/>
    <col min="15366" max="15366" width="9.375" style="296" customWidth="1"/>
    <col min="15367" max="15367" width="8.875" style="296" customWidth="1"/>
    <col min="15368" max="15368" width="14" style="296" customWidth="1"/>
    <col min="15369" max="15369" width="9.375" style="296" customWidth="1"/>
    <col min="15370" max="15370" width="8.625" style="296" customWidth="1"/>
    <col min="15371" max="15371" width="12.875" style="296" customWidth="1"/>
    <col min="15372" max="15372" width="13.375" style="296" bestFit="1" customWidth="1"/>
    <col min="15373" max="15373" width="7.625" style="296" customWidth="1"/>
    <col min="15374" max="15374" width="7.625" style="296" bestFit="1" customWidth="1"/>
    <col min="15375" max="15375" width="4.625" style="296" bestFit="1" customWidth="1"/>
    <col min="15376" max="15377" width="7.625" style="296" customWidth="1"/>
    <col min="15378" max="15378" width="7.625" style="296" bestFit="1" customWidth="1"/>
    <col min="15379" max="15379" width="4.625" style="296" bestFit="1" customWidth="1"/>
    <col min="15380" max="15380" width="9.625" style="296" bestFit="1" customWidth="1"/>
    <col min="15381" max="15381" width="8.75" style="296" bestFit="1" customWidth="1"/>
    <col min="15382" max="15382" width="11.5" style="296" bestFit="1" customWidth="1"/>
    <col min="15383" max="15383" width="6.125" style="296" bestFit="1" customWidth="1"/>
    <col min="15384" max="15384" width="4.625" style="296" bestFit="1" customWidth="1"/>
    <col min="15385" max="15387" width="6.125" style="296" bestFit="1" customWidth="1"/>
    <col min="15388" max="15388" width="9" style="296"/>
    <col min="15389" max="15389" width="9.125" style="296" customWidth="1"/>
    <col min="15390" max="15616" width="9" style="296"/>
    <col min="15617" max="15617" width="4.75" style="296" customWidth="1"/>
    <col min="15618" max="15618" width="6.875" style="296" customWidth="1"/>
    <col min="15619" max="15619" width="18.5" style="296" customWidth="1"/>
    <col min="15620" max="15620" width="10.875" style="296" customWidth="1"/>
    <col min="15621" max="15621" width="6.75" style="296" customWidth="1"/>
    <col min="15622" max="15622" width="9.375" style="296" customWidth="1"/>
    <col min="15623" max="15623" width="8.875" style="296" customWidth="1"/>
    <col min="15624" max="15624" width="14" style="296" customWidth="1"/>
    <col min="15625" max="15625" width="9.375" style="296" customWidth="1"/>
    <col min="15626" max="15626" width="8.625" style="296" customWidth="1"/>
    <col min="15627" max="15627" width="12.875" style="296" customWidth="1"/>
    <col min="15628" max="15628" width="13.375" style="296" bestFit="1" customWidth="1"/>
    <col min="15629" max="15629" width="7.625" style="296" customWidth="1"/>
    <col min="15630" max="15630" width="7.625" style="296" bestFit="1" customWidth="1"/>
    <col min="15631" max="15631" width="4.625" style="296" bestFit="1" customWidth="1"/>
    <col min="15632" max="15633" width="7.625" style="296" customWidth="1"/>
    <col min="15634" max="15634" width="7.625" style="296" bestFit="1" customWidth="1"/>
    <col min="15635" max="15635" width="4.625" style="296" bestFit="1" customWidth="1"/>
    <col min="15636" max="15636" width="9.625" style="296" bestFit="1" customWidth="1"/>
    <col min="15637" max="15637" width="8.75" style="296" bestFit="1" customWidth="1"/>
    <col min="15638" max="15638" width="11.5" style="296" bestFit="1" customWidth="1"/>
    <col min="15639" max="15639" width="6.125" style="296" bestFit="1" customWidth="1"/>
    <col min="15640" max="15640" width="4.625" style="296" bestFit="1" customWidth="1"/>
    <col min="15641" max="15643" width="6.125" style="296" bestFit="1" customWidth="1"/>
    <col min="15644" max="15644" width="9" style="296"/>
    <col min="15645" max="15645" width="9.125" style="296" customWidth="1"/>
    <col min="15646" max="15872" width="9" style="296"/>
    <col min="15873" max="15873" width="4.75" style="296" customWidth="1"/>
    <col min="15874" max="15874" width="6.875" style="296" customWidth="1"/>
    <col min="15875" max="15875" width="18.5" style="296" customWidth="1"/>
    <col min="15876" max="15876" width="10.875" style="296" customWidth="1"/>
    <col min="15877" max="15877" width="6.75" style="296" customWidth="1"/>
    <col min="15878" max="15878" width="9.375" style="296" customWidth="1"/>
    <col min="15879" max="15879" width="8.875" style="296" customWidth="1"/>
    <col min="15880" max="15880" width="14" style="296" customWidth="1"/>
    <col min="15881" max="15881" width="9.375" style="296" customWidth="1"/>
    <col min="15882" max="15882" width="8.625" style="296" customWidth="1"/>
    <col min="15883" max="15883" width="12.875" style="296" customWidth="1"/>
    <col min="15884" max="15884" width="13.375" style="296" bestFit="1" customWidth="1"/>
    <col min="15885" max="15885" width="7.625" style="296" customWidth="1"/>
    <col min="15886" max="15886" width="7.625" style="296" bestFit="1" customWidth="1"/>
    <col min="15887" max="15887" width="4.625" style="296" bestFit="1" customWidth="1"/>
    <col min="15888" max="15889" width="7.625" style="296" customWidth="1"/>
    <col min="15890" max="15890" width="7.625" style="296" bestFit="1" customWidth="1"/>
    <col min="15891" max="15891" width="4.625" style="296" bestFit="1" customWidth="1"/>
    <col min="15892" max="15892" width="9.625" style="296" bestFit="1" customWidth="1"/>
    <col min="15893" max="15893" width="8.75" style="296" bestFit="1" customWidth="1"/>
    <col min="15894" max="15894" width="11.5" style="296" bestFit="1" customWidth="1"/>
    <col min="15895" max="15895" width="6.125" style="296" bestFit="1" customWidth="1"/>
    <col min="15896" max="15896" width="4.625" style="296" bestFit="1" customWidth="1"/>
    <col min="15897" max="15899" width="6.125" style="296" bestFit="1" customWidth="1"/>
    <col min="15900" max="15900" width="9" style="296"/>
    <col min="15901" max="15901" width="9.125" style="296" customWidth="1"/>
    <col min="15902" max="16128" width="9" style="296"/>
    <col min="16129" max="16129" width="4.75" style="296" customWidth="1"/>
    <col min="16130" max="16130" width="6.875" style="296" customWidth="1"/>
    <col min="16131" max="16131" width="18.5" style="296" customWidth="1"/>
    <col min="16132" max="16132" width="10.875" style="296" customWidth="1"/>
    <col min="16133" max="16133" width="6.75" style="296" customWidth="1"/>
    <col min="16134" max="16134" width="9.375" style="296" customWidth="1"/>
    <col min="16135" max="16135" width="8.875" style="296" customWidth="1"/>
    <col min="16136" max="16136" width="14" style="296" customWidth="1"/>
    <col min="16137" max="16137" width="9.375" style="296" customWidth="1"/>
    <col min="16138" max="16138" width="8.625" style="296" customWidth="1"/>
    <col min="16139" max="16139" width="12.875" style="296" customWidth="1"/>
    <col min="16140" max="16140" width="13.375" style="296" bestFit="1" customWidth="1"/>
    <col min="16141" max="16141" width="7.625" style="296" customWidth="1"/>
    <col min="16142" max="16142" width="7.625" style="296" bestFit="1" customWidth="1"/>
    <col min="16143" max="16143" width="4.625" style="296" bestFit="1" customWidth="1"/>
    <col min="16144" max="16145" width="7.625" style="296" customWidth="1"/>
    <col min="16146" max="16146" width="7.625" style="296" bestFit="1" customWidth="1"/>
    <col min="16147" max="16147" width="4.625" style="296" bestFit="1" customWidth="1"/>
    <col min="16148" max="16148" width="9.625" style="296" bestFit="1" customWidth="1"/>
    <col min="16149" max="16149" width="8.75" style="296" bestFit="1" customWidth="1"/>
    <col min="16150" max="16150" width="11.5" style="296" bestFit="1" customWidth="1"/>
    <col min="16151" max="16151" width="6.125" style="296" bestFit="1" customWidth="1"/>
    <col min="16152" max="16152" width="4.625" style="296" bestFit="1" customWidth="1"/>
    <col min="16153" max="16155" width="6.125" style="296" bestFit="1" customWidth="1"/>
    <col min="16156" max="16156" width="9" style="296"/>
    <col min="16157" max="16157" width="9.125" style="296" customWidth="1"/>
    <col min="16158" max="16384" width="9" style="296"/>
  </cols>
  <sheetData>
    <row r="1" spans="1:31" ht="20.25">
      <c r="A1" s="1035" t="s">
        <v>987</v>
      </c>
      <c r="B1" s="1294"/>
      <c r="C1" s="1294"/>
      <c r="D1" s="1294"/>
      <c r="E1" s="1294"/>
      <c r="F1" s="1294"/>
      <c r="G1" s="1294"/>
      <c r="H1" s="1294"/>
      <c r="I1" s="1294"/>
      <c r="J1" s="1294"/>
      <c r="K1" s="348" t="s">
        <v>794</v>
      </c>
    </row>
    <row r="2" spans="1:31" ht="20.100000000000001" customHeight="1" thickBot="1">
      <c r="A2" s="1295" t="str">
        <f>'作(4)'!F4</f>
        <v>版本型录号</v>
      </c>
      <c r="B2" s="1295"/>
      <c r="C2" s="1295" t="e">
        <f>'作(4)'!H4</f>
        <v>#REF!</v>
      </c>
      <c r="D2" s="1295"/>
      <c r="E2" s="1295"/>
      <c r="F2" s="1295"/>
      <c r="G2" s="352"/>
      <c r="H2" s="1295" t="s">
        <v>795</v>
      </c>
      <c r="I2" s="1295"/>
      <c r="J2" s="352">
        <f>+'作(4)'!O38</f>
        <v>0</v>
      </c>
    </row>
    <row r="3" spans="1:31" ht="23.25" customHeight="1">
      <c r="A3" s="1307" t="str">
        <f>'作(4)'!A4</f>
        <v>客户姓名：</v>
      </c>
      <c r="B3" s="1308"/>
      <c r="C3" s="353" t="e">
        <f>'作(4)'!C4</f>
        <v>#REF!</v>
      </c>
      <c r="D3" s="1308"/>
      <c r="E3" s="1308"/>
      <c r="F3" s="1309"/>
      <c r="G3" s="353" t="str">
        <f>'作(4)'!F5</f>
        <v>下单日期：</v>
      </c>
      <c r="H3" s="354" t="str">
        <f>'作(4)'!H5</f>
        <v xml:space="preserve">  </v>
      </c>
      <c r="I3" s="1308" t="s">
        <v>796</v>
      </c>
      <c r="J3" s="1301" t="s">
        <v>797</v>
      </c>
      <c r="K3" s="350"/>
      <c r="L3" s="355" t="s">
        <v>798</v>
      </c>
      <c r="M3" s="356" t="s">
        <v>799</v>
      </c>
      <c r="N3" s="356" t="s">
        <v>800</v>
      </c>
      <c r="O3" s="356" t="s">
        <v>801</v>
      </c>
      <c r="P3" s="356" t="s">
        <v>802</v>
      </c>
      <c r="Q3" s="356" t="s">
        <v>803</v>
      </c>
      <c r="R3" s="357" t="s">
        <v>804</v>
      </c>
      <c r="S3" s="357" t="s">
        <v>805</v>
      </c>
      <c r="T3" s="356" t="s">
        <v>806</v>
      </c>
      <c r="U3" s="356"/>
      <c r="V3" s="356"/>
      <c r="W3" s="356"/>
      <c r="X3" s="356" t="s">
        <v>807</v>
      </c>
      <c r="Y3" s="356"/>
      <c r="Z3" s="356"/>
      <c r="AA3" s="356"/>
      <c r="AB3" s="358"/>
      <c r="AC3" s="1303" t="s">
        <v>808</v>
      </c>
      <c r="AD3" s="1303"/>
      <c r="AE3" s="1304"/>
    </row>
    <row r="4" spans="1:31" ht="23.25" customHeight="1">
      <c r="A4" s="1305" t="str">
        <f>'作(4)'!A5</f>
        <v>图纸编号：</v>
      </c>
      <c r="B4" s="1306"/>
      <c r="C4" s="359" t="e">
        <f>'作(4)'!C5</f>
        <v>#REF!</v>
      </c>
      <c r="D4" s="1306"/>
      <c r="E4" s="1306"/>
      <c r="F4" s="1310"/>
      <c r="G4" s="359" t="str">
        <f>'作(4)'!J5</f>
        <v>城市</v>
      </c>
      <c r="H4" s="360" t="e">
        <f>'作(4)'!K5</f>
        <v>#REF!</v>
      </c>
      <c r="I4" s="1306"/>
      <c r="J4" s="1302"/>
      <c r="K4" s="361"/>
      <c r="L4" s="362"/>
      <c r="M4" s="363"/>
      <c r="N4" s="363"/>
      <c r="O4" s="363"/>
      <c r="P4" s="363"/>
      <c r="Q4" s="363"/>
      <c r="R4" s="364"/>
      <c r="S4" s="364"/>
      <c r="T4" s="365" t="s">
        <v>809</v>
      </c>
      <c r="U4" s="365" t="s">
        <v>810</v>
      </c>
      <c r="V4" s="365" t="s">
        <v>811</v>
      </c>
      <c r="W4" s="365" t="s">
        <v>812</v>
      </c>
      <c r="X4" s="365" t="s">
        <v>809</v>
      </c>
      <c r="Y4" s="365" t="s">
        <v>810</v>
      </c>
      <c r="Z4" s="365" t="s">
        <v>813</v>
      </c>
      <c r="AA4" s="365" t="s">
        <v>812</v>
      </c>
      <c r="AB4" s="366"/>
      <c r="AC4" s="365" t="s">
        <v>809</v>
      </c>
      <c r="AD4" s="365" t="s">
        <v>810</v>
      </c>
      <c r="AE4" s="367" t="s">
        <v>813</v>
      </c>
    </row>
    <row r="5" spans="1:31" ht="23.25" customHeight="1">
      <c r="A5" s="368" t="s">
        <v>814</v>
      </c>
      <c r="B5" s="359" t="s">
        <v>815</v>
      </c>
      <c r="C5" s="369" t="s">
        <v>816</v>
      </c>
      <c r="D5" s="1306" t="s">
        <v>817</v>
      </c>
      <c r="E5" s="1306"/>
      <c r="F5" s="370" t="s">
        <v>818</v>
      </c>
      <c r="G5" s="359" t="s">
        <v>819</v>
      </c>
      <c r="H5" s="1306" t="s">
        <v>820</v>
      </c>
      <c r="I5" s="1306"/>
      <c r="J5" s="1302"/>
      <c r="K5" s="371" t="s">
        <v>988</v>
      </c>
      <c r="L5" s="372" t="str">
        <f>O5&amp;N5</f>
        <v>L02象牙白</v>
      </c>
      <c r="M5" s="373" t="s">
        <v>821</v>
      </c>
      <c r="N5" s="374" t="s">
        <v>822</v>
      </c>
      <c r="O5" s="374" t="s">
        <v>823</v>
      </c>
      <c r="P5" s="373" t="s">
        <v>824</v>
      </c>
      <c r="Q5" s="374" t="s">
        <v>825</v>
      </c>
      <c r="R5" s="374">
        <v>370</v>
      </c>
      <c r="S5" s="374">
        <v>1</v>
      </c>
      <c r="T5" s="374" t="s">
        <v>826</v>
      </c>
      <c r="U5" s="374" t="s">
        <v>827</v>
      </c>
      <c r="V5" s="374" t="s">
        <v>828</v>
      </c>
      <c r="W5" s="373" t="s">
        <v>829</v>
      </c>
      <c r="X5" s="374">
        <v>1</v>
      </c>
      <c r="Y5" s="374">
        <v>0.5</v>
      </c>
      <c r="Z5" s="375">
        <v>0.6</v>
      </c>
      <c r="AA5" s="373" t="s">
        <v>829</v>
      </c>
      <c r="AB5" s="366"/>
      <c r="AC5" s="376">
        <f t="shared" ref="AC5:AC14" si="0">+X5/(X5+Y5+Z5)*R5*S5/1000*$J$2</f>
        <v>0</v>
      </c>
      <c r="AD5" s="376">
        <f t="shared" ref="AD5:AD14" si="1">+Y5/(X5+Y5+Z5)*R5*S5/1000*$J$2</f>
        <v>0</v>
      </c>
      <c r="AE5" s="377">
        <f t="shared" ref="AE5:AE14" si="2">+Z5/(X5+Y5+Z5)*R5*S5/1000*$J$2</f>
        <v>0</v>
      </c>
    </row>
    <row r="6" spans="1:31" ht="23.25" customHeight="1">
      <c r="A6" s="1296" t="s">
        <v>830</v>
      </c>
      <c r="B6" s="378">
        <v>1</v>
      </c>
      <c r="C6" s="379" t="str">
        <f>'作(4)'!I8</f>
        <v>18A暖白双贴三聚氰胺刨花板</v>
      </c>
      <c r="D6" s="1297" t="s">
        <v>831</v>
      </c>
      <c r="E6" s="1297"/>
      <c r="F6" s="380">
        <f>+ROUNDUP('作(4)'!N38,1)</f>
        <v>0</v>
      </c>
      <c r="G6" s="378" t="s">
        <v>832</v>
      </c>
      <c r="H6" s="1298">
        <f>'作(4)'!$F$6</f>
        <v>0</v>
      </c>
      <c r="I6" s="1298"/>
      <c r="J6" s="1299"/>
      <c r="K6" s="361" t="s">
        <v>833</v>
      </c>
      <c r="L6" s="372" t="str">
        <f t="shared" ref="L6:L23" si="3">O6&amp;N6</f>
        <v>L12纯白</v>
      </c>
      <c r="M6" s="373"/>
      <c r="N6" s="374" t="s">
        <v>834</v>
      </c>
      <c r="O6" s="374" t="s">
        <v>835</v>
      </c>
      <c r="P6" s="373" t="s">
        <v>836</v>
      </c>
      <c r="Q6" s="374" t="s">
        <v>837</v>
      </c>
      <c r="R6" s="374">
        <v>370</v>
      </c>
      <c r="S6" s="374">
        <v>1</v>
      </c>
      <c r="T6" s="374" t="s">
        <v>838</v>
      </c>
      <c r="U6" s="374" t="s">
        <v>839</v>
      </c>
      <c r="V6" s="374" t="s">
        <v>840</v>
      </c>
      <c r="W6" s="373"/>
      <c r="X6" s="374">
        <v>1</v>
      </c>
      <c r="Y6" s="374">
        <v>0.5</v>
      </c>
      <c r="Z6" s="375">
        <v>0.5</v>
      </c>
      <c r="AA6" s="373"/>
      <c r="AB6" s="366"/>
      <c r="AC6" s="376">
        <f t="shared" si="0"/>
        <v>0</v>
      </c>
      <c r="AD6" s="376">
        <f t="shared" si="1"/>
        <v>0</v>
      </c>
      <c r="AE6" s="377">
        <f t="shared" si="2"/>
        <v>0</v>
      </c>
    </row>
    <row r="7" spans="1:31" ht="23.25" customHeight="1">
      <c r="A7" s="1296"/>
      <c r="B7" s="378">
        <v>2</v>
      </c>
      <c r="C7" s="378" t="s">
        <v>783</v>
      </c>
      <c r="D7" s="1300" t="s">
        <v>841</v>
      </c>
      <c r="E7" s="1300"/>
      <c r="F7" s="381">
        <f>+'作(4)'!M38</f>
        <v>0</v>
      </c>
      <c r="G7" s="378" t="s">
        <v>842</v>
      </c>
      <c r="H7" s="1298"/>
      <c r="I7" s="1298"/>
      <c r="J7" s="1299"/>
      <c r="K7" s="361" t="s">
        <v>843</v>
      </c>
      <c r="L7" s="372" t="str">
        <f t="shared" si="3"/>
        <v>L01珍珠白</v>
      </c>
      <c r="M7" s="373"/>
      <c r="N7" s="374" t="s">
        <v>844</v>
      </c>
      <c r="O7" s="374" t="s">
        <v>845</v>
      </c>
      <c r="P7" s="373" t="s">
        <v>836</v>
      </c>
      <c r="Q7" s="374" t="s">
        <v>837</v>
      </c>
      <c r="R7" s="374">
        <v>310</v>
      </c>
      <c r="S7" s="374">
        <v>1</v>
      </c>
      <c r="T7" s="374" t="s">
        <v>846</v>
      </c>
      <c r="U7" s="374" t="s">
        <v>827</v>
      </c>
      <c r="V7" s="374" t="s">
        <v>828</v>
      </c>
      <c r="W7" s="373" t="s">
        <v>847</v>
      </c>
      <c r="X7" s="374">
        <v>1</v>
      </c>
      <c r="Y7" s="374">
        <v>0.5</v>
      </c>
      <c r="Z7" s="375">
        <v>0.6</v>
      </c>
      <c r="AA7" s="373" t="s">
        <v>847</v>
      </c>
      <c r="AB7" s="366"/>
      <c r="AC7" s="376">
        <f t="shared" si="0"/>
        <v>0</v>
      </c>
      <c r="AD7" s="376">
        <f t="shared" si="1"/>
        <v>0</v>
      </c>
      <c r="AE7" s="377">
        <f t="shared" si="2"/>
        <v>0</v>
      </c>
    </row>
    <row r="8" spans="1:31" ht="23.25" customHeight="1">
      <c r="A8" s="1296"/>
      <c r="B8" s="378">
        <v>3</v>
      </c>
      <c r="C8" s="378" t="s">
        <v>848</v>
      </c>
      <c r="D8" s="1297" t="s">
        <v>457</v>
      </c>
      <c r="E8" s="1297"/>
      <c r="F8" s="381">
        <f>F7*4.1</f>
        <v>0</v>
      </c>
      <c r="G8" s="378" t="s">
        <v>849</v>
      </c>
      <c r="H8" s="1298"/>
      <c r="I8" s="1298"/>
      <c r="J8" s="1299"/>
      <c r="K8" s="350"/>
      <c r="L8" s="372" t="str">
        <f t="shared" si="3"/>
        <v>L02象牙白</v>
      </c>
      <c r="M8" s="373"/>
      <c r="N8" s="374" t="s">
        <v>822</v>
      </c>
      <c r="O8" s="374" t="s">
        <v>823</v>
      </c>
      <c r="P8" s="373" t="s">
        <v>836</v>
      </c>
      <c r="Q8" s="374" t="s">
        <v>837</v>
      </c>
      <c r="R8" s="374">
        <v>310</v>
      </c>
      <c r="S8" s="374">
        <v>1</v>
      </c>
      <c r="T8" s="374" t="s">
        <v>826</v>
      </c>
      <c r="U8" s="374" t="s">
        <v>827</v>
      </c>
      <c r="V8" s="374" t="s">
        <v>828</v>
      </c>
      <c r="W8" s="373"/>
      <c r="X8" s="374">
        <v>1</v>
      </c>
      <c r="Y8" s="374">
        <v>0.5</v>
      </c>
      <c r="Z8" s="375">
        <v>0.6</v>
      </c>
      <c r="AA8" s="373"/>
      <c r="AB8" s="366"/>
      <c r="AC8" s="376">
        <f t="shared" si="0"/>
        <v>0</v>
      </c>
      <c r="AD8" s="376">
        <f t="shared" si="1"/>
        <v>0</v>
      </c>
      <c r="AE8" s="377">
        <f t="shared" si="2"/>
        <v>0</v>
      </c>
    </row>
    <row r="9" spans="1:31" ht="23.25" customHeight="1">
      <c r="A9" s="1296" t="s">
        <v>850</v>
      </c>
      <c r="B9" s="378">
        <v>1</v>
      </c>
      <c r="C9" s="425" t="s">
        <v>990</v>
      </c>
      <c r="D9" s="1311" t="s">
        <v>991</v>
      </c>
      <c r="E9" s="1311"/>
      <c r="F9" s="381">
        <f>+AC28</f>
        <v>0</v>
      </c>
      <c r="G9" s="378" t="s">
        <v>851</v>
      </c>
      <c r="H9" s="1297"/>
      <c r="I9" s="1297"/>
      <c r="J9" s="1312"/>
      <c r="K9" s="350"/>
      <c r="L9" s="372" t="str">
        <f t="shared" si="3"/>
        <v>L05浅灰</v>
      </c>
      <c r="M9" s="373"/>
      <c r="N9" s="374" t="s">
        <v>852</v>
      </c>
      <c r="O9" s="374" t="s">
        <v>853</v>
      </c>
      <c r="P9" s="373" t="s">
        <v>854</v>
      </c>
      <c r="Q9" s="374" t="s">
        <v>855</v>
      </c>
      <c r="R9" s="374">
        <v>310</v>
      </c>
      <c r="S9" s="374">
        <v>1</v>
      </c>
      <c r="T9" s="374" t="s">
        <v>856</v>
      </c>
      <c r="U9" s="374" t="s">
        <v>857</v>
      </c>
      <c r="V9" s="374" t="s">
        <v>828</v>
      </c>
      <c r="W9" s="373"/>
      <c r="X9" s="374">
        <v>1</v>
      </c>
      <c r="Y9" s="374">
        <v>0.5</v>
      </c>
      <c r="Z9" s="375">
        <v>0.6</v>
      </c>
      <c r="AA9" s="373"/>
      <c r="AB9" s="366"/>
      <c r="AC9" s="376">
        <f t="shared" si="0"/>
        <v>0</v>
      </c>
      <c r="AD9" s="376">
        <f t="shared" si="1"/>
        <v>0</v>
      </c>
      <c r="AE9" s="377">
        <f t="shared" si="2"/>
        <v>0</v>
      </c>
    </row>
    <row r="10" spans="1:31" ht="23.25" customHeight="1">
      <c r="A10" s="1296"/>
      <c r="B10" s="378">
        <v>2</v>
      </c>
      <c r="C10" s="425" t="s">
        <v>990</v>
      </c>
      <c r="D10" s="1311" t="s">
        <v>992</v>
      </c>
      <c r="E10" s="1311"/>
      <c r="F10" s="381">
        <f>+AC29</f>
        <v>0</v>
      </c>
      <c r="G10" s="378" t="s">
        <v>851</v>
      </c>
      <c r="H10" s="1297"/>
      <c r="I10" s="1297"/>
      <c r="J10" s="1312"/>
      <c r="K10" s="350"/>
      <c r="L10" s="372" t="str">
        <f t="shared" si="3"/>
        <v>L06卡布奇诺</v>
      </c>
      <c r="M10" s="373" t="s">
        <v>858</v>
      </c>
      <c r="N10" s="374" t="s">
        <v>859</v>
      </c>
      <c r="O10" s="374" t="s">
        <v>860</v>
      </c>
      <c r="P10" s="373" t="s">
        <v>861</v>
      </c>
      <c r="Q10" s="374" t="s">
        <v>862</v>
      </c>
      <c r="R10" s="374">
        <v>310</v>
      </c>
      <c r="S10" s="374">
        <v>1</v>
      </c>
      <c r="T10" s="374" t="s">
        <v>863</v>
      </c>
      <c r="U10" s="374" t="s">
        <v>857</v>
      </c>
      <c r="V10" s="374" t="s">
        <v>828</v>
      </c>
      <c r="W10" s="373"/>
      <c r="X10" s="374">
        <v>1</v>
      </c>
      <c r="Y10" s="374">
        <v>0.5</v>
      </c>
      <c r="Z10" s="375">
        <v>0.6</v>
      </c>
      <c r="AA10" s="373"/>
      <c r="AB10" s="366"/>
      <c r="AC10" s="376">
        <f t="shared" si="0"/>
        <v>0</v>
      </c>
      <c r="AD10" s="376">
        <f t="shared" si="1"/>
        <v>0</v>
      </c>
      <c r="AE10" s="377">
        <f t="shared" si="2"/>
        <v>0</v>
      </c>
    </row>
    <row r="11" spans="1:31" ht="23.25" customHeight="1">
      <c r="A11" s="1296"/>
      <c r="B11" s="378">
        <v>6</v>
      </c>
      <c r="C11" s="1300" t="s">
        <v>864</v>
      </c>
      <c r="D11" s="1297" t="str">
        <f>T30</f>
        <v>T20975</v>
      </c>
      <c r="E11" s="1297"/>
      <c r="F11" s="381">
        <f>AC30</f>
        <v>0</v>
      </c>
      <c r="G11" s="378" t="s">
        <v>865</v>
      </c>
      <c r="H11" s="1297"/>
      <c r="I11" s="1297"/>
      <c r="J11" s="1312"/>
      <c r="K11" s="350"/>
      <c r="L11" s="372" t="str">
        <f t="shared" si="3"/>
        <v>L11纯黑</v>
      </c>
      <c r="M11" s="373"/>
      <c r="N11" s="374" t="s">
        <v>866</v>
      </c>
      <c r="O11" s="374" t="s">
        <v>867</v>
      </c>
      <c r="P11" s="373" t="s">
        <v>836</v>
      </c>
      <c r="Q11" s="374" t="s">
        <v>837</v>
      </c>
      <c r="R11" s="374">
        <v>310</v>
      </c>
      <c r="S11" s="374">
        <v>1</v>
      </c>
      <c r="T11" s="374" t="s">
        <v>868</v>
      </c>
      <c r="U11" s="374" t="s">
        <v>857</v>
      </c>
      <c r="V11" s="374" t="s">
        <v>828</v>
      </c>
      <c r="W11" s="373"/>
      <c r="X11" s="374">
        <v>1</v>
      </c>
      <c r="Y11" s="374">
        <v>0.5</v>
      </c>
      <c r="Z11" s="375">
        <v>0.6</v>
      </c>
      <c r="AA11" s="373"/>
      <c r="AB11" s="366"/>
      <c r="AC11" s="376">
        <f t="shared" si="0"/>
        <v>0</v>
      </c>
      <c r="AD11" s="376">
        <f t="shared" si="1"/>
        <v>0</v>
      </c>
      <c r="AE11" s="377">
        <f t="shared" si="2"/>
        <v>0</v>
      </c>
    </row>
    <row r="12" spans="1:31" ht="23.25" customHeight="1">
      <c r="A12" s="1296"/>
      <c r="B12" s="378">
        <v>7</v>
      </c>
      <c r="C12" s="1300"/>
      <c r="D12" s="1297" t="str">
        <f>U30</f>
        <v>PR66</v>
      </c>
      <c r="E12" s="1297"/>
      <c r="F12" s="381">
        <f>AD30</f>
        <v>0</v>
      </c>
      <c r="G12" s="378" t="s">
        <v>869</v>
      </c>
      <c r="H12" s="1297"/>
      <c r="I12" s="1297"/>
      <c r="J12" s="1312"/>
      <c r="K12" s="350"/>
      <c r="L12" s="372" t="str">
        <f t="shared" si="3"/>
        <v>L12纯白</v>
      </c>
      <c r="M12" s="373"/>
      <c r="N12" s="374" t="s">
        <v>834</v>
      </c>
      <c r="O12" s="374" t="s">
        <v>835</v>
      </c>
      <c r="P12" s="373" t="s">
        <v>870</v>
      </c>
      <c r="Q12" s="374" t="s">
        <v>871</v>
      </c>
      <c r="R12" s="374">
        <v>310</v>
      </c>
      <c r="S12" s="374">
        <v>1</v>
      </c>
      <c r="T12" s="374" t="s">
        <v>838</v>
      </c>
      <c r="U12" s="374" t="s">
        <v>872</v>
      </c>
      <c r="V12" s="374" t="s">
        <v>873</v>
      </c>
      <c r="W12" s="373"/>
      <c r="X12" s="374">
        <v>1</v>
      </c>
      <c r="Y12" s="374">
        <v>0.5</v>
      </c>
      <c r="Z12" s="375">
        <v>0.5</v>
      </c>
      <c r="AA12" s="373"/>
      <c r="AB12" s="366"/>
      <c r="AC12" s="376">
        <f t="shared" si="0"/>
        <v>0</v>
      </c>
      <c r="AD12" s="376">
        <f t="shared" si="1"/>
        <v>0</v>
      </c>
      <c r="AE12" s="377">
        <f t="shared" si="2"/>
        <v>0</v>
      </c>
    </row>
    <row r="13" spans="1:31" ht="23.25" customHeight="1">
      <c r="A13" s="1296"/>
      <c r="B13" s="378">
        <v>8</v>
      </c>
      <c r="C13" s="1300"/>
      <c r="D13" s="1297" t="str">
        <f>V30</f>
        <v>PX705/PX707</v>
      </c>
      <c r="E13" s="1297"/>
      <c r="F13" s="381">
        <f>AE30</f>
        <v>0</v>
      </c>
      <c r="G13" s="378" t="s">
        <v>874</v>
      </c>
      <c r="H13" s="1297"/>
      <c r="I13" s="1297"/>
      <c r="J13" s="1312"/>
      <c r="K13" s="350"/>
      <c r="L13" s="372" t="str">
        <f t="shared" si="3"/>
        <v>G01珍珠白</v>
      </c>
      <c r="M13" s="373"/>
      <c r="N13" s="374" t="s">
        <v>844</v>
      </c>
      <c r="O13" s="374" t="s">
        <v>875</v>
      </c>
      <c r="P13" s="373" t="s">
        <v>876</v>
      </c>
      <c r="Q13" s="374" t="s">
        <v>871</v>
      </c>
      <c r="R13" s="374">
        <v>325</v>
      </c>
      <c r="S13" s="374">
        <v>2</v>
      </c>
      <c r="T13" s="374" t="s">
        <v>846</v>
      </c>
      <c r="U13" s="374" t="s">
        <v>827</v>
      </c>
      <c r="V13" s="374" t="s">
        <v>828</v>
      </c>
      <c r="W13" s="373" t="s">
        <v>847</v>
      </c>
      <c r="X13" s="374">
        <v>1</v>
      </c>
      <c r="Y13" s="374">
        <v>0.5</v>
      </c>
      <c r="Z13" s="375">
        <v>0.6</v>
      </c>
      <c r="AA13" s="373" t="s">
        <v>847</v>
      </c>
      <c r="AB13" s="366"/>
      <c r="AC13" s="376">
        <f t="shared" si="0"/>
        <v>0</v>
      </c>
      <c r="AD13" s="376">
        <f t="shared" si="1"/>
        <v>0</v>
      </c>
      <c r="AE13" s="377">
        <f t="shared" si="2"/>
        <v>0</v>
      </c>
    </row>
    <row r="14" spans="1:31" ht="23.25" customHeight="1">
      <c r="A14" s="1296"/>
      <c r="B14" s="378"/>
      <c r="C14" s="1300"/>
      <c r="D14" s="1297" t="str">
        <f>+IF($K$5=$K$6,"","慢干水")</f>
        <v>慢干水</v>
      </c>
      <c r="E14" s="1297"/>
      <c r="F14" s="381">
        <f>IF(D14="","",F13*0.34)</f>
        <v>0</v>
      </c>
      <c r="G14" s="378" t="s">
        <v>874</v>
      </c>
      <c r="H14" s="1297"/>
      <c r="I14" s="1297"/>
      <c r="J14" s="1312"/>
      <c r="K14" s="350"/>
      <c r="L14" s="372" t="str">
        <f t="shared" si="3"/>
        <v>G02象牙白</v>
      </c>
      <c r="M14" s="373"/>
      <c r="N14" s="374" t="s">
        <v>822</v>
      </c>
      <c r="O14" s="374" t="s">
        <v>877</v>
      </c>
      <c r="P14" s="373"/>
      <c r="Q14" s="374" t="s">
        <v>871</v>
      </c>
      <c r="R14" s="374">
        <v>325</v>
      </c>
      <c r="S14" s="374">
        <v>2</v>
      </c>
      <c r="T14" s="374" t="s">
        <v>826</v>
      </c>
      <c r="U14" s="374" t="s">
        <v>827</v>
      </c>
      <c r="V14" s="374" t="s">
        <v>828</v>
      </c>
      <c r="W14" s="373"/>
      <c r="X14" s="374">
        <v>1</v>
      </c>
      <c r="Y14" s="374">
        <v>0.5</v>
      </c>
      <c r="Z14" s="375">
        <v>0.6</v>
      </c>
      <c r="AA14" s="373"/>
      <c r="AB14" s="366"/>
      <c r="AC14" s="376">
        <f t="shared" si="0"/>
        <v>0</v>
      </c>
      <c r="AD14" s="376">
        <f t="shared" si="1"/>
        <v>0</v>
      </c>
      <c r="AE14" s="377">
        <f t="shared" si="2"/>
        <v>0</v>
      </c>
    </row>
    <row r="15" spans="1:31" ht="23.25" customHeight="1">
      <c r="A15" s="1296"/>
      <c r="B15" s="378">
        <v>9</v>
      </c>
      <c r="C15" s="1300" t="s">
        <v>878</v>
      </c>
      <c r="D15" s="1297" t="e">
        <f>VLOOKUP($H$6,$L$1:$AE$26,9,0)</f>
        <v>#N/A</v>
      </c>
      <c r="E15" s="1297"/>
      <c r="F15" s="381" t="e">
        <f>VLOOKUP($H$6,$L$1:$AE$26,18,0)</f>
        <v>#N/A</v>
      </c>
      <c r="G15" s="378" t="s">
        <v>874</v>
      </c>
      <c r="H15" s="1297"/>
      <c r="I15" s="1297"/>
      <c r="J15" s="1312"/>
      <c r="K15" s="350"/>
      <c r="L15" s="372" t="str">
        <f t="shared" si="3"/>
        <v>G06卡布奇诺</v>
      </c>
      <c r="M15" s="373"/>
      <c r="N15" s="374" t="s">
        <v>859</v>
      </c>
      <c r="O15" s="374" t="s">
        <v>879</v>
      </c>
      <c r="P15" s="373"/>
      <c r="Q15" s="374" t="s">
        <v>871</v>
      </c>
      <c r="R15" s="374">
        <v>325</v>
      </c>
      <c r="S15" s="374">
        <v>2</v>
      </c>
      <c r="T15" s="374" t="s">
        <v>863</v>
      </c>
      <c r="U15" s="374" t="s">
        <v>857</v>
      </c>
      <c r="V15" s="374" t="s">
        <v>828</v>
      </c>
      <c r="W15" s="373"/>
      <c r="X15" s="374">
        <v>1</v>
      </c>
      <c r="Y15" s="374">
        <v>0.5</v>
      </c>
      <c r="Z15" s="375">
        <v>0.8</v>
      </c>
      <c r="AA15" s="373"/>
      <c r="AB15" s="366"/>
      <c r="AC15" s="376">
        <f>+X15/(X15+Y15+Z15)*R15*S15/1000*$J$2</f>
        <v>0</v>
      </c>
      <c r="AD15" s="376">
        <f>+Y15/(X15+Y15+Z15)*R15*S15/1000*$J$2</f>
        <v>0</v>
      </c>
      <c r="AE15" s="377">
        <f>+Z15/(X15+Y15+Z15)*R15*S15/1000*$J$2</f>
        <v>0</v>
      </c>
    </row>
    <row r="16" spans="1:31" ht="23.25" customHeight="1">
      <c r="A16" s="1296"/>
      <c r="B16" s="378">
        <v>10</v>
      </c>
      <c r="C16" s="1300"/>
      <c r="D16" s="1297" t="e">
        <f>VLOOKUP($H$6,$L$1:$AE$26,10,0)</f>
        <v>#N/A</v>
      </c>
      <c r="E16" s="1297"/>
      <c r="F16" s="381" t="e">
        <f>VLOOKUP($H$6,$L$1:$AE$25,19,0)</f>
        <v>#N/A</v>
      </c>
      <c r="G16" s="378" t="s">
        <v>874</v>
      </c>
      <c r="H16" s="1297"/>
      <c r="I16" s="1297"/>
      <c r="J16" s="1312"/>
      <c r="K16" s="350"/>
      <c r="L16" s="372" t="str">
        <f t="shared" si="3"/>
        <v>G07深灰</v>
      </c>
      <c r="M16" s="373"/>
      <c r="N16" s="374" t="s">
        <v>880</v>
      </c>
      <c r="O16" s="374" t="s">
        <v>881</v>
      </c>
      <c r="P16" s="373"/>
      <c r="Q16" s="374" t="s">
        <v>871</v>
      </c>
      <c r="R16" s="374">
        <v>325</v>
      </c>
      <c r="S16" s="374">
        <v>2</v>
      </c>
      <c r="T16" s="374" t="s">
        <v>882</v>
      </c>
      <c r="U16" s="374" t="s">
        <v>857</v>
      </c>
      <c r="V16" s="374" t="s">
        <v>828</v>
      </c>
      <c r="W16" s="373"/>
      <c r="X16" s="374">
        <v>1</v>
      </c>
      <c r="Y16" s="374">
        <v>0.5</v>
      </c>
      <c r="Z16" s="375">
        <v>0.8</v>
      </c>
      <c r="AA16" s="373"/>
      <c r="AB16" s="366"/>
      <c r="AC16" s="376">
        <f>+X16/(X16+Y16+Z16)*R16*S16/1000*$J$2</f>
        <v>0</v>
      </c>
      <c r="AD16" s="376">
        <f>+Y16/(X16+Y16+Z16)*R16*S16/1000*$J$2</f>
        <v>0</v>
      </c>
      <c r="AE16" s="377">
        <f>+Z16/(X16+Y16+Z16)*R16*S16/1000*$J$2</f>
        <v>0</v>
      </c>
    </row>
    <row r="17" spans="1:31" ht="23.25" customHeight="1">
      <c r="A17" s="1296"/>
      <c r="B17" s="378">
        <v>11</v>
      </c>
      <c r="C17" s="1300"/>
      <c r="D17" s="1297" t="e">
        <f>VLOOKUP($H$6,$L$1:$AE$26,11,0)</f>
        <v>#N/A</v>
      </c>
      <c r="E17" s="1297"/>
      <c r="F17" s="381" t="e">
        <f>VLOOKUP($H$6,$L$1:$AE$26,20,0)</f>
        <v>#N/A</v>
      </c>
      <c r="G17" s="378" t="s">
        <v>874</v>
      </c>
      <c r="H17" s="1297"/>
      <c r="I17" s="1297"/>
      <c r="J17" s="1312"/>
      <c r="K17" s="350"/>
      <c r="L17" s="372" t="str">
        <f t="shared" si="3"/>
        <v>G08柠檬绿</v>
      </c>
      <c r="M17" s="373"/>
      <c r="N17" s="374" t="s">
        <v>883</v>
      </c>
      <c r="O17" s="374" t="s">
        <v>884</v>
      </c>
      <c r="P17" s="373"/>
      <c r="Q17" s="374" t="s">
        <v>871</v>
      </c>
      <c r="R17" s="374">
        <v>325</v>
      </c>
      <c r="S17" s="374">
        <v>2</v>
      </c>
      <c r="T17" s="374" t="s">
        <v>885</v>
      </c>
      <c r="U17" s="374" t="s">
        <v>886</v>
      </c>
      <c r="V17" s="374" t="s">
        <v>828</v>
      </c>
      <c r="W17" s="373"/>
      <c r="X17" s="374">
        <v>1</v>
      </c>
      <c r="Y17" s="374">
        <v>0.5</v>
      </c>
      <c r="Z17" s="375">
        <v>0.7</v>
      </c>
      <c r="AA17" s="373"/>
      <c r="AB17" s="366"/>
      <c r="AC17" s="376">
        <f>+X17/(X17+Y17+Z17)*R17*S17/1000*$J$2</f>
        <v>0</v>
      </c>
      <c r="AD17" s="376">
        <f>+Y17/(X17+Y17+Z17)*R17*S17/1000*$J$2</f>
        <v>0</v>
      </c>
      <c r="AE17" s="377">
        <f>+Z17/(X17+Y17+Z17)*R17*S17/1000*$J$2</f>
        <v>0</v>
      </c>
    </row>
    <row r="18" spans="1:31" ht="23.25" customHeight="1">
      <c r="A18" s="1296"/>
      <c r="B18" s="378">
        <v>11</v>
      </c>
      <c r="C18" s="1300"/>
      <c r="D18" s="1297" t="e">
        <f>+IF(D17="RTS-10SL","",IF($K$5=$K$6,"","慢干水"))</f>
        <v>#N/A</v>
      </c>
      <c r="E18" s="1297"/>
      <c r="F18" s="381" t="e">
        <f>IF(D18="","",F17*0.34)</f>
        <v>#N/A</v>
      </c>
      <c r="G18" s="378" t="e">
        <f>IF(D18="","","千克")</f>
        <v>#N/A</v>
      </c>
      <c r="H18" s="1297"/>
      <c r="I18" s="1297"/>
      <c r="J18" s="1312"/>
      <c r="K18" s="350"/>
      <c r="L18" s="372" t="str">
        <f t="shared" si="3"/>
        <v>G09法拉利红</v>
      </c>
      <c r="M18" s="373"/>
      <c r="N18" s="374" t="s">
        <v>887</v>
      </c>
      <c r="O18" s="374" t="s">
        <v>888</v>
      </c>
      <c r="P18" s="373"/>
      <c r="Q18" s="374" t="s">
        <v>871</v>
      </c>
      <c r="R18" s="374">
        <v>325</v>
      </c>
      <c r="S18" s="374">
        <v>2</v>
      </c>
      <c r="T18" s="374" t="s">
        <v>889</v>
      </c>
      <c r="U18" s="374" t="s">
        <v>857</v>
      </c>
      <c r="V18" s="374" t="s">
        <v>828</v>
      </c>
      <c r="W18" s="373"/>
      <c r="X18" s="374">
        <v>1</v>
      </c>
      <c r="Y18" s="374">
        <v>0.5</v>
      </c>
      <c r="Z18" s="375">
        <v>0.8</v>
      </c>
      <c r="AA18" s="373"/>
      <c r="AB18" s="366"/>
      <c r="AC18" s="376">
        <f t="shared" ref="AC18:AC23" si="4">+X18/(X18+Y18+Z18)*R18*S18/1000*$J$2</f>
        <v>0</v>
      </c>
      <c r="AD18" s="376">
        <f t="shared" ref="AD18:AD23" si="5">+Y18/(X18+Y18+Z18)*R18*S18/1000*$J$2</f>
        <v>0</v>
      </c>
      <c r="AE18" s="377">
        <f t="shared" ref="AE18:AE23" si="6">+Z18/(X18+Y18+Z18)*R18*S18/1000*$J$2</f>
        <v>0</v>
      </c>
    </row>
    <row r="19" spans="1:31" ht="23.25" customHeight="1">
      <c r="A19" s="1296"/>
      <c r="B19" s="382"/>
      <c r="C19" s="379" t="str">
        <f>+IF(MIDB(H6,1,1)="G","抛光液","")</f>
        <v/>
      </c>
      <c r="D19" s="1297"/>
      <c r="E19" s="1297"/>
      <c r="F19" s="383" t="str">
        <f>+IF(MIDB(H6,1,1)="G",J2*0.05,"")</f>
        <v/>
      </c>
      <c r="G19" s="378" t="str">
        <f>+IF(MIDB(H6,1,1)="G","千克","")</f>
        <v/>
      </c>
      <c r="H19" s="382"/>
      <c r="I19" s="382"/>
      <c r="J19" s="384"/>
      <c r="K19" s="350"/>
      <c r="L19" s="372" t="str">
        <f>O19&amp;N19</f>
        <v>G10酒红</v>
      </c>
      <c r="M19" s="373"/>
      <c r="N19" s="374" t="s">
        <v>890</v>
      </c>
      <c r="O19" s="374" t="s">
        <v>891</v>
      </c>
      <c r="P19" s="373"/>
      <c r="Q19" s="374" t="s">
        <v>871</v>
      </c>
      <c r="R19" s="374">
        <v>325</v>
      </c>
      <c r="S19" s="374">
        <v>2</v>
      </c>
      <c r="T19" s="374" t="s">
        <v>892</v>
      </c>
      <c r="U19" s="374" t="s">
        <v>857</v>
      </c>
      <c r="V19" s="374" t="s">
        <v>828</v>
      </c>
      <c r="W19" s="373"/>
      <c r="X19" s="374">
        <v>1</v>
      </c>
      <c r="Y19" s="374">
        <v>0.5</v>
      </c>
      <c r="Z19" s="375">
        <v>0.8</v>
      </c>
      <c r="AA19" s="373"/>
      <c r="AB19" s="366"/>
      <c r="AC19" s="376">
        <f t="shared" si="4"/>
        <v>0</v>
      </c>
      <c r="AD19" s="376">
        <f t="shared" si="5"/>
        <v>0</v>
      </c>
      <c r="AE19" s="377">
        <f t="shared" si="6"/>
        <v>0</v>
      </c>
    </row>
    <row r="20" spans="1:31" ht="23.25" customHeight="1">
      <c r="A20" s="1296"/>
      <c r="B20" s="382"/>
      <c r="C20" s="379" t="str">
        <f>+IF(MIDB(H6,1,1)="G","白细腊","")</f>
        <v/>
      </c>
      <c r="D20" s="1297"/>
      <c r="E20" s="1297"/>
      <c r="F20" s="383" t="str">
        <f>+IF(MIDB(H6,1,1)="G",J2*0.07,"")</f>
        <v/>
      </c>
      <c r="G20" s="378" t="str">
        <f>+IF(MIDB(H6,1,1)="G","千克","")</f>
        <v/>
      </c>
      <c r="H20" s="382"/>
      <c r="I20" s="382"/>
      <c r="J20" s="384"/>
      <c r="K20" s="350"/>
      <c r="L20" s="372" t="str">
        <f>O20&amp;N20</f>
        <v>G11纯黑</v>
      </c>
      <c r="M20" s="373"/>
      <c r="N20" s="374" t="s">
        <v>893</v>
      </c>
      <c r="O20" s="374" t="s">
        <v>894</v>
      </c>
      <c r="P20" s="373"/>
      <c r="Q20" s="374" t="s">
        <v>871</v>
      </c>
      <c r="R20" s="374">
        <v>325</v>
      </c>
      <c r="S20" s="374">
        <v>2</v>
      </c>
      <c r="T20" s="374" t="s">
        <v>895</v>
      </c>
      <c r="U20" s="374" t="s">
        <v>857</v>
      </c>
      <c r="V20" s="374" t="s">
        <v>828</v>
      </c>
      <c r="W20" s="373"/>
      <c r="X20" s="374">
        <v>1</v>
      </c>
      <c r="Y20" s="374">
        <v>1</v>
      </c>
      <c r="Z20" s="375">
        <v>0.8</v>
      </c>
      <c r="AA20" s="373"/>
      <c r="AB20" s="366"/>
      <c r="AC20" s="376">
        <f t="shared" si="4"/>
        <v>0</v>
      </c>
      <c r="AD20" s="376">
        <f t="shared" si="5"/>
        <v>0</v>
      </c>
      <c r="AE20" s="377">
        <f t="shared" si="6"/>
        <v>0</v>
      </c>
    </row>
    <row r="21" spans="1:31" ht="23.25" customHeight="1">
      <c r="A21" s="1313" t="s">
        <v>896</v>
      </c>
      <c r="B21" s="382"/>
      <c r="C21" s="382" t="str">
        <f>+IF('作(4)'!Q38&gt;0,"拉手","")</f>
        <v/>
      </c>
      <c r="D21" s="1315" t="str">
        <f>+IF('作(4)'!Q38&gt;0,"LC-003","")</f>
        <v/>
      </c>
      <c r="E21" s="1315"/>
      <c r="F21" s="380" t="str">
        <f>+IF('作(4)'!Q38&gt;0,'作(4)'!Q38,"")</f>
        <v/>
      </c>
      <c r="G21" s="382" t="str">
        <f>+IF('作(4)'!Q38&gt;0,"米","")</f>
        <v/>
      </c>
      <c r="H21" s="382"/>
      <c r="I21" s="382"/>
      <c r="J21" s="384"/>
      <c r="K21" s="350"/>
      <c r="L21" s="372" t="str">
        <f t="shared" si="3"/>
        <v>G10酒红</v>
      </c>
      <c r="M21" s="373"/>
      <c r="N21" s="374" t="s">
        <v>890</v>
      </c>
      <c r="O21" s="374" t="s">
        <v>891</v>
      </c>
      <c r="P21" s="373"/>
      <c r="Q21" s="374" t="s">
        <v>871</v>
      </c>
      <c r="R21" s="374">
        <v>325</v>
      </c>
      <c r="S21" s="374">
        <v>2</v>
      </c>
      <c r="T21" s="374" t="s">
        <v>892</v>
      </c>
      <c r="U21" s="374" t="s">
        <v>857</v>
      </c>
      <c r="V21" s="374" t="s">
        <v>828</v>
      </c>
      <c r="W21" s="373"/>
      <c r="X21" s="374">
        <v>1</v>
      </c>
      <c r="Y21" s="374">
        <v>0.5</v>
      </c>
      <c r="Z21" s="375">
        <v>0.8</v>
      </c>
      <c r="AA21" s="373"/>
      <c r="AB21" s="366"/>
      <c r="AC21" s="376">
        <f t="shared" si="4"/>
        <v>0</v>
      </c>
      <c r="AD21" s="376">
        <f t="shared" si="5"/>
        <v>0</v>
      </c>
      <c r="AE21" s="377">
        <f t="shared" si="6"/>
        <v>0</v>
      </c>
    </row>
    <row r="22" spans="1:31" ht="23.25" customHeight="1" thickBot="1">
      <c r="A22" s="1314"/>
      <c r="B22" s="385"/>
      <c r="C22" s="385"/>
      <c r="D22" s="1316" t="str">
        <f>+IF('作(4)'!Q38&gt;0,"普施宝免钉胶","")</f>
        <v/>
      </c>
      <c r="E22" s="1316"/>
      <c r="F22" s="386"/>
      <c r="G22" s="385" t="str">
        <f>+IF('作(4)'!Q38&gt;0,"支","")</f>
        <v/>
      </c>
      <c r="H22" s="385"/>
      <c r="I22" s="385"/>
      <c r="J22" s="387"/>
      <c r="K22" s="350"/>
      <c r="L22" s="372" t="str">
        <f t="shared" si="3"/>
        <v>G11纯黑</v>
      </c>
      <c r="M22" s="373"/>
      <c r="N22" s="374" t="s">
        <v>893</v>
      </c>
      <c r="O22" s="374" t="s">
        <v>894</v>
      </c>
      <c r="P22" s="373"/>
      <c r="Q22" s="374" t="s">
        <v>871</v>
      </c>
      <c r="R22" s="374">
        <v>325</v>
      </c>
      <c r="S22" s="374">
        <v>2</v>
      </c>
      <c r="T22" s="374" t="s">
        <v>895</v>
      </c>
      <c r="U22" s="374" t="s">
        <v>857</v>
      </c>
      <c r="V22" s="374" t="s">
        <v>828</v>
      </c>
      <c r="W22" s="373"/>
      <c r="X22" s="374">
        <v>1</v>
      </c>
      <c r="Y22" s="374">
        <v>1</v>
      </c>
      <c r="Z22" s="375">
        <v>0.8</v>
      </c>
      <c r="AA22" s="373"/>
      <c r="AB22" s="366"/>
      <c r="AC22" s="376">
        <f t="shared" si="4"/>
        <v>0</v>
      </c>
      <c r="AD22" s="376">
        <f t="shared" si="5"/>
        <v>0</v>
      </c>
      <c r="AE22" s="377">
        <f t="shared" si="6"/>
        <v>0</v>
      </c>
    </row>
    <row r="23" spans="1:31" ht="24" customHeight="1">
      <c r="A23" s="1317"/>
      <c r="B23" s="1317"/>
      <c r="C23" s="388" t="s">
        <v>897</v>
      </c>
      <c r="D23" s="1318" t="s">
        <v>1258</v>
      </c>
      <c r="E23" s="1319"/>
      <c r="F23" s="389"/>
      <c r="G23" s="388"/>
      <c r="H23" s="1319"/>
      <c r="I23" s="1319"/>
      <c r="J23" s="390"/>
      <c r="K23" s="350"/>
      <c r="L23" s="372" t="str">
        <f t="shared" si="3"/>
        <v>G12纯白</v>
      </c>
      <c r="M23" s="373"/>
      <c r="N23" s="374" t="s">
        <v>834</v>
      </c>
      <c r="O23" s="374" t="s">
        <v>898</v>
      </c>
      <c r="P23" s="373"/>
      <c r="Q23" s="374" t="s">
        <v>871</v>
      </c>
      <c r="R23" s="374">
        <v>325</v>
      </c>
      <c r="S23" s="374">
        <v>2</v>
      </c>
      <c r="T23" s="374" t="s">
        <v>899</v>
      </c>
      <c r="U23" s="374" t="s">
        <v>900</v>
      </c>
      <c r="V23" s="374" t="s">
        <v>901</v>
      </c>
      <c r="W23" s="373"/>
      <c r="X23" s="374">
        <v>1</v>
      </c>
      <c r="Y23" s="374">
        <v>0.5</v>
      </c>
      <c r="Z23" s="375">
        <v>0.6</v>
      </c>
      <c r="AA23" s="373"/>
      <c r="AB23" s="366"/>
      <c r="AC23" s="376">
        <f t="shared" si="4"/>
        <v>0</v>
      </c>
      <c r="AD23" s="376">
        <f t="shared" si="5"/>
        <v>0</v>
      </c>
      <c r="AE23" s="377">
        <f t="shared" si="6"/>
        <v>0</v>
      </c>
    </row>
    <row r="24" spans="1:31" ht="15" customHeight="1">
      <c r="A24" s="391"/>
      <c r="B24" s="391"/>
      <c r="C24" s="388"/>
      <c r="D24" s="388"/>
      <c r="E24" s="392"/>
      <c r="F24" s="389"/>
      <c r="G24" s="388"/>
      <c r="H24" s="352"/>
      <c r="I24" s="352"/>
      <c r="J24" s="390"/>
      <c r="K24" s="350"/>
      <c r="L24" s="372"/>
      <c r="M24" s="373"/>
      <c r="N24" s="374"/>
      <c r="O24" s="374"/>
      <c r="P24" s="373"/>
      <c r="Q24" s="374"/>
      <c r="R24" s="374"/>
      <c r="S24" s="374"/>
      <c r="T24" s="374"/>
      <c r="U24" s="374"/>
      <c r="V24" s="374"/>
      <c r="W24" s="373"/>
      <c r="X24" s="374"/>
      <c r="Y24" s="374"/>
      <c r="Z24" s="375"/>
      <c r="AA24" s="373"/>
      <c r="AB24" s="366"/>
      <c r="AC24" s="376"/>
      <c r="AD24" s="376"/>
      <c r="AE24" s="377"/>
    </row>
    <row r="25" spans="1:31" ht="15" customHeight="1">
      <c r="A25" s="391"/>
      <c r="B25" s="391"/>
      <c r="C25" s="388" t="s">
        <v>902</v>
      </c>
      <c r="D25" s="1320"/>
      <c r="E25" s="1320"/>
      <c r="F25" s="389"/>
      <c r="G25" s="393"/>
      <c r="H25" s="1319"/>
      <c r="I25" s="1319"/>
      <c r="J25" s="390"/>
      <c r="K25" s="361"/>
      <c r="L25" s="372"/>
      <c r="M25" s="373"/>
      <c r="N25" s="374"/>
      <c r="O25" s="374"/>
      <c r="P25" s="373"/>
      <c r="Q25" s="374"/>
      <c r="R25" s="374"/>
      <c r="S25" s="374"/>
      <c r="T25" s="374"/>
      <c r="U25" s="374"/>
      <c r="V25" s="374"/>
      <c r="W25" s="373"/>
      <c r="X25" s="374"/>
      <c r="Y25" s="374"/>
      <c r="Z25" s="375"/>
      <c r="AA25" s="373"/>
      <c r="AB25" s="366"/>
      <c r="AC25" s="376"/>
      <c r="AD25" s="376"/>
      <c r="AE25" s="377"/>
    </row>
    <row r="26" spans="1:31" ht="15" thickBot="1">
      <c r="A26" s="394"/>
      <c r="B26" s="394"/>
      <c r="C26" s="394"/>
      <c r="D26" s="394"/>
      <c r="E26" s="394"/>
      <c r="F26" s="395"/>
      <c r="G26" s="394"/>
      <c r="H26" s="394"/>
      <c r="I26" s="394"/>
      <c r="J26" s="394"/>
      <c r="L26" s="396"/>
      <c r="M26" s="397"/>
      <c r="N26" s="398"/>
      <c r="O26" s="398"/>
      <c r="P26" s="397"/>
      <c r="Q26" s="398"/>
      <c r="R26" s="398"/>
      <c r="S26" s="398"/>
      <c r="T26" s="398"/>
      <c r="U26" s="398"/>
      <c r="V26" s="398"/>
      <c r="W26" s="397"/>
      <c r="X26" s="398"/>
      <c r="Y26" s="398"/>
      <c r="Z26" s="399"/>
      <c r="AA26" s="397"/>
      <c r="AB26" s="400"/>
      <c r="AC26" s="401"/>
      <c r="AD26" s="401"/>
      <c r="AE26" s="402"/>
    </row>
    <row r="27" spans="1:31" ht="15" thickBot="1"/>
    <row r="28" spans="1:31" ht="54">
      <c r="L28" s="404"/>
      <c r="M28" s="405" t="s">
        <v>903</v>
      </c>
      <c r="N28" s="405" t="s">
        <v>904</v>
      </c>
      <c r="O28" s="406" t="s">
        <v>905</v>
      </c>
      <c r="P28" s="406" t="s">
        <v>906</v>
      </c>
      <c r="Q28" s="406" t="s">
        <v>907</v>
      </c>
      <c r="R28" s="406">
        <v>35</v>
      </c>
      <c r="S28" s="406">
        <v>1</v>
      </c>
      <c r="T28" s="406" t="s">
        <v>908</v>
      </c>
      <c r="U28" s="406"/>
      <c r="V28" s="407"/>
      <c r="W28" s="406"/>
      <c r="X28" s="406"/>
      <c r="Y28" s="406"/>
      <c r="Z28" s="406"/>
      <c r="AA28" s="406"/>
      <c r="AB28" s="358"/>
      <c r="AC28" s="408">
        <f>+R28*S28/1000*$J$2</f>
        <v>0</v>
      </c>
      <c r="AD28" s="408"/>
      <c r="AE28" s="409"/>
    </row>
    <row r="29" spans="1:31" ht="27">
      <c r="L29" s="372"/>
      <c r="M29" s="410"/>
      <c r="N29" s="410"/>
      <c r="O29" s="411" t="s">
        <v>909</v>
      </c>
      <c r="P29" s="411" t="s">
        <v>906</v>
      </c>
      <c r="Q29" s="411" t="s">
        <v>907</v>
      </c>
      <c r="R29" s="411">
        <v>35</v>
      </c>
      <c r="S29" s="411">
        <v>1</v>
      </c>
      <c r="T29" s="411" t="s">
        <v>910</v>
      </c>
      <c r="U29" s="411"/>
      <c r="V29" s="412"/>
      <c r="W29" s="411"/>
      <c r="X29" s="411"/>
      <c r="Y29" s="411"/>
      <c r="Z29" s="411"/>
      <c r="AA29" s="411"/>
      <c r="AB29" s="366"/>
      <c r="AC29" s="376">
        <f>+R29*S29/1000*$J$2</f>
        <v>0</v>
      </c>
      <c r="AD29" s="376"/>
      <c r="AE29" s="377"/>
    </row>
    <row r="30" spans="1:31" ht="27">
      <c r="L30" s="372"/>
      <c r="M30" s="410"/>
      <c r="N30" s="410"/>
      <c r="O30" s="411" t="s">
        <v>911</v>
      </c>
      <c r="P30" s="411" t="s">
        <v>912</v>
      </c>
      <c r="Q30" s="411" t="s">
        <v>913</v>
      </c>
      <c r="R30" s="411">
        <v>323</v>
      </c>
      <c r="S30" s="411">
        <v>1</v>
      </c>
      <c r="T30" s="411" t="s">
        <v>914</v>
      </c>
      <c r="U30" s="411" t="s">
        <v>915</v>
      </c>
      <c r="V30" s="412" t="s">
        <v>916</v>
      </c>
      <c r="W30" s="411"/>
      <c r="X30" s="411">
        <v>1</v>
      </c>
      <c r="Y30" s="411">
        <v>0.4</v>
      </c>
      <c r="Z30" s="411">
        <v>0.35</v>
      </c>
      <c r="AA30" s="411"/>
      <c r="AB30" s="366"/>
      <c r="AC30" s="376">
        <f>+X30/(X30+Y30+Z30)*R30*S30/1000*$J$2</f>
        <v>0</v>
      </c>
      <c r="AD30" s="376">
        <f>+Y30/(X30+Y30+Z30)*R30*S30/1000*$J$2</f>
        <v>0</v>
      </c>
      <c r="AE30" s="377">
        <f>+Z30/(X30+Y30+Z30)*R30*S30/1000*$J$2</f>
        <v>0</v>
      </c>
    </row>
    <row r="31" spans="1:31" ht="40.5">
      <c r="L31" s="372"/>
      <c r="M31" s="410" t="s">
        <v>903</v>
      </c>
      <c r="N31" s="410" t="s">
        <v>917</v>
      </c>
      <c r="O31" s="411" t="s">
        <v>905</v>
      </c>
      <c r="P31" s="411" t="s">
        <v>906</v>
      </c>
      <c r="Q31" s="411" t="s">
        <v>907</v>
      </c>
      <c r="R31" s="411">
        <v>35</v>
      </c>
      <c r="S31" s="411">
        <v>1</v>
      </c>
      <c r="T31" s="411" t="s">
        <v>908</v>
      </c>
      <c r="U31" s="411"/>
      <c r="V31" s="412"/>
      <c r="W31" s="411"/>
      <c r="X31" s="411"/>
      <c r="Y31" s="411"/>
      <c r="Z31" s="411"/>
      <c r="AA31" s="411"/>
      <c r="AB31" s="366"/>
      <c r="AC31" s="376">
        <f>+R31*S31/1000*$J$2</f>
        <v>0</v>
      </c>
      <c r="AD31" s="376"/>
      <c r="AE31" s="377"/>
    </row>
    <row r="32" spans="1:31" ht="27">
      <c r="L32" s="372"/>
      <c r="M32" s="410"/>
      <c r="N32" s="410"/>
      <c r="O32" s="411" t="s">
        <v>909</v>
      </c>
      <c r="P32" s="411" t="s">
        <v>906</v>
      </c>
      <c r="Q32" s="411" t="s">
        <v>907</v>
      </c>
      <c r="R32" s="411">
        <v>35</v>
      </c>
      <c r="S32" s="411">
        <v>1</v>
      </c>
      <c r="T32" s="411" t="s">
        <v>910</v>
      </c>
      <c r="U32" s="411"/>
      <c r="V32" s="412"/>
      <c r="W32" s="411"/>
      <c r="X32" s="411"/>
      <c r="Y32" s="411"/>
      <c r="Z32" s="411"/>
      <c r="AA32" s="411"/>
      <c r="AB32" s="366"/>
      <c r="AC32" s="376">
        <f>+R32*S32/1000*$J$2</f>
        <v>0</v>
      </c>
      <c r="AD32" s="376"/>
      <c r="AE32" s="377"/>
    </row>
    <row r="33" spans="12:31" ht="27.75" thickBot="1">
      <c r="L33" s="396"/>
      <c r="M33" s="413"/>
      <c r="N33" s="413"/>
      <c r="O33" s="414" t="s">
        <v>911</v>
      </c>
      <c r="P33" s="414" t="s">
        <v>912</v>
      </c>
      <c r="Q33" s="414" t="s">
        <v>913</v>
      </c>
      <c r="R33" s="414">
        <v>323</v>
      </c>
      <c r="S33" s="414">
        <v>1</v>
      </c>
      <c r="T33" s="414" t="s">
        <v>914</v>
      </c>
      <c r="U33" s="414" t="s">
        <v>915</v>
      </c>
      <c r="V33" s="415" t="s">
        <v>916</v>
      </c>
      <c r="W33" s="414"/>
      <c r="X33" s="414">
        <v>1</v>
      </c>
      <c r="Y33" s="414">
        <v>0.4</v>
      </c>
      <c r="Z33" s="414">
        <v>0.35</v>
      </c>
      <c r="AA33" s="414"/>
      <c r="AB33" s="400"/>
      <c r="AC33" s="401">
        <f>+X33/(X33+Y33+Z33)*R33*S33/1000*$J$2</f>
        <v>0</v>
      </c>
      <c r="AD33" s="401">
        <f>+Y33/(X33+Y33+Z33)*R33*S33/1000*$J$2</f>
        <v>0</v>
      </c>
      <c r="AE33" s="402">
        <f>+Z33/(X33+Y33+Z33)*R33*S33/1000*$J$2</f>
        <v>0</v>
      </c>
    </row>
  </sheetData>
  <mergeCells count="53">
    <mergeCell ref="A23:B23"/>
    <mergeCell ref="D23:E23"/>
    <mergeCell ref="H23:I23"/>
    <mergeCell ref="D25:E25"/>
    <mergeCell ref="H25:I25"/>
    <mergeCell ref="H17:J17"/>
    <mergeCell ref="D18:E18"/>
    <mergeCell ref="H18:J18"/>
    <mergeCell ref="D19:E19"/>
    <mergeCell ref="D20:E20"/>
    <mergeCell ref="A21:A22"/>
    <mergeCell ref="D21:E21"/>
    <mergeCell ref="D22:E22"/>
    <mergeCell ref="D13:E13"/>
    <mergeCell ref="H13:J13"/>
    <mergeCell ref="D14:E14"/>
    <mergeCell ref="H14:J14"/>
    <mergeCell ref="C15:C18"/>
    <mergeCell ref="D15:E15"/>
    <mergeCell ref="H15:J15"/>
    <mergeCell ref="D16:E16"/>
    <mergeCell ref="H16:J16"/>
    <mergeCell ref="D17:E17"/>
    <mergeCell ref="A9:A20"/>
    <mergeCell ref="D9:E9"/>
    <mergeCell ref="H9:J9"/>
    <mergeCell ref="D10:E10"/>
    <mergeCell ref="H10:J10"/>
    <mergeCell ref="C11:C14"/>
    <mergeCell ref="D11:E11"/>
    <mergeCell ref="H11:J11"/>
    <mergeCell ref="D12:E12"/>
    <mergeCell ref="H12:J12"/>
    <mergeCell ref="J3:J4"/>
    <mergeCell ref="AC3:AE3"/>
    <mergeCell ref="A4:B4"/>
    <mergeCell ref="D5:E5"/>
    <mergeCell ref="H5:J5"/>
    <mergeCell ref="A3:B3"/>
    <mergeCell ref="D3:D4"/>
    <mergeCell ref="E3:E4"/>
    <mergeCell ref="F3:F4"/>
    <mergeCell ref="I3:I4"/>
    <mergeCell ref="A6:A8"/>
    <mergeCell ref="D6:E6"/>
    <mergeCell ref="H6:J8"/>
    <mergeCell ref="D7:E7"/>
    <mergeCell ref="D8:E8"/>
    <mergeCell ref="A1:J1"/>
    <mergeCell ref="A2:B2"/>
    <mergeCell ref="C2:D2"/>
    <mergeCell ref="E2:F2"/>
    <mergeCell ref="H2:I2"/>
  </mergeCells>
  <phoneticPr fontId="76" type="noConversion"/>
  <dataValidations count="1">
    <dataValidation type="list" allowBlank="1" showInputMessage="1" showErrorMessage="1" sqref="K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K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K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K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K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K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K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K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K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K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K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K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K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K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K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K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formula1>$K$6:$K$7</formula1>
    </dataValidation>
  </dataValidations>
  <printOptions horizontalCentered="1"/>
  <pageMargins left="0.19685039370078741" right="0.19685039370078741" top="0.39370078740157483" bottom="0.98425196850393704" header="0.51181102362204722" footer="0.51181102362204722"/>
  <pageSetup paperSize="9" scale="95" orientation="portrait" r:id="rId1"/>
  <headerFooter alignWithMargins="0"/>
</worksheet>
</file>

<file path=xl/worksheets/sheet19.xml><?xml version="1.0" encoding="utf-8"?>
<worksheet xmlns="http://schemas.openxmlformats.org/spreadsheetml/2006/main" xmlns:r="http://schemas.openxmlformats.org/officeDocument/2006/relationships">
  <sheetPr>
    <tabColor rgb="FFFF0000"/>
  </sheetPr>
  <dimension ref="A1:I47"/>
  <sheetViews>
    <sheetView zoomScaleSheetLayoutView="85" workbookViewId="0">
      <selection activeCell="F18" sqref="F18:H18"/>
    </sheetView>
  </sheetViews>
  <sheetFormatPr defaultRowHeight="17.100000000000001" customHeight="1"/>
  <cols>
    <col min="1" max="1" width="9.625" style="286" customWidth="1"/>
    <col min="2" max="2" width="12.625" style="286" bestFit="1" customWidth="1"/>
    <col min="3" max="9" width="9.625" style="286" customWidth="1"/>
    <col min="10" max="16384" width="9" style="286"/>
  </cols>
  <sheetData>
    <row r="1" spans="1:9" ht="18" customHeight="1">
      <c r="A1" s="1321" t="s">
        <v>1135</v>
      </c>
      <c r="B1" s="1321"/>
      <c r="C1" s="1321"/>
      <c r="D1" s="1321"/>
      <c r="E1" s="1321"/>
      <c r="F1" s="1321"/>
      <c r="G1" s="1321"/>
      <c r="H1" s="1321"/>
      <c r="I1" s="1321"/>
    </row>
    <row r="2" spans="1:9" ht="17.100000000000001" customHeight="1">
      <c r="G2" s="287" t="s">
        <v>1136</v>
      </c>
      <c r="H2" s="541">
        <v>1</v>
      </c>
      <c r="I2" s="286" t="s">
        <v>1137</v>
      </c>
    </row>
    <row r="3" spans="1:9" ht="17.100000000000001" customHeight="1">
      <c r="A3" s="294" t="s">
        <v>1138</v>
      </c>
      <c r="B3" s="1052" t="e">
        <f>'作(5)'!C4</f>
        <v>#REF!</v>
      </c>
      <c r="C3" s="1052"/>
      <c r="D3" s="294" t="s">
        <v>1139</v>
      </c>
      <c r="E3" s="1052" t="e">
        <f>'作(5)'!C5</f>
        <v>#REF!</v>
      </c>
      <c r="F3" s="1052"/>
      <c r="G3" s="294" t="s">
        <v>1140</v>
      </c>
      <c r="H3" s="1052"/>
      <c r="I3" s="1052"/>
    </row>
    <row r="4" spans="1:9" ht="17.100000000000001" customHeight="1">
      <c r="A4" s="294" t="s">
        <v>1141</v>
      </c>
      <c r="B4" s="1052" t="str">
        <f>'作(5)'!K6</f>
        <v>左岸都市I</v>
      </c>
      <c r="C4" s="1052"/>
      <c r="D4" s="294" t="s">
        <v>1142</v>
      </c>
      <c r="E4" s="1052" t="str">
        <f>'作(5)'!F6</f>
        <v>樱桃山纹N03-V</v>
      </c>
      <c r="F4" s="1052"/>
      <c r="G4" s="294" t="s">
        <v>1143</v>
      </c>
      <c r="H4" s="1322">
        <f>'作(5)'!H5</f>
        <v>0</v>
      </c>
      <c r="I4" s="1052"/>
    </row>
    <row r="5" spans="1:9" ht="17.100000000000001" customHeight="1">
      <c r="A5" s="294" t="s">
        <v>1144</v>
      </c>
      <c r="B5" s="1052" t="e">
        <f>#REF!</f>
        <v>#REF!</v>
      </c>
      <c r="C5" s="1052"/>
      <c r="D5" s="294" t="s">
        <v>1145</v>
      </c>
      <c r="E5" s="1052">
        <f>'料单 (5)'!D4</f>
        <v>0</v>
      </c>
      <c r="F5" s="1052"/>
      <c r="G5" s="294" t="s">
        <v>1146</v>
      </c>
      <c r="H5" s="1052" t="e">
        <f>'料单 (5)'!L4</f>
        <v>#REF!</v>
      </c>
      <c r="I5" s="1052"/>
    </row>
    <row r="6" spans="1:9" ht="17.100000000000001" customHeight="1">
      <c r="A6" s="295" t="s">
        <v>1147</v>
      </c>
      <c r="B6" s="294" t="s">
        <v>1148</v>
      </c>
      <c r="C6" s="294" t="s">
        <v>1149</v>
      </c>
      <c r="D6" s="294" t="s">
        <v>1150</v>
      </c>
      <c r="E6" s="294" t="s">
        <v>1151</v>
      </c>
      <c r="F6" s="294" t="s">
        <v>1152</v>
      </c>
      <c r="G6" s="294" t="s">
        <v>1153</v>
      </c>
      <c r="H6" s="1052"/>
      <c r="I6" s="1052"/>
    </row>
    <row r="7" spans="1:9" ht="17.100000000000001" customHeight="1">
      <c r="A7" s="295" t="s">
        <v>1154</v>
      </c>
      <c r="B7" s="295" t="s">
        <v>1155</v>
      </c>
      <c r="C7" s="295" t="s">
        <v>1156</v>
      </c>
      <c r="D7" s="294" t="s">
        <v>1140</v>
      </c>
      <c r="E7" s="294" t="s">
        <v>1157</v>
      </c>
      <c r="F7" s="295" t="s">
        <v>1158</v>
      </c>
      <c r="G7" s="295" t="s">
        <v>1159</v>
      </c>
      <c r="H7" s="1059" t="s">
        <v>1160</v>
      </c>
      <c r="I7" s="1059"/>
    </row>
    <row r="8" spans="1:9" ht="17.100000000000001" customHeight="1">
      <c r="A8" s="295">
        <v>1</v>
      </c>
      <c r="B8" s="295" t="s">
        <v>1161</v>
      </c>
      <c r="C8" s="290" t="str">
        <f>'作(5)'!K4</f>
        <v>0块</v>
      </c>
      <c r="D8" s="295"/>
      <c r="E8" s="295"/>
      <c r="F8" s="295"/>
      <c r="G8" s="295"/>
      <c r="H8" s="1052"/>
      <c r="I8" s="1052"/>
    </row>
    <row r="9" spans="1:9" ht="17.100000000000001" customHeight="1">
      <c r="A9" s="295">
        <v>2</v>
      </c>
      <c r="B9" s="295" t="s">
        <v>1162</v>
      </c>
      <c r="C9" s="290"/>
      <c r="D9" s="295"/>
      <c r="E9" s="295"/>
      <c r="F9" s="295"/>
      <c r="G9" s="295"/>
      <c r="H9" s="1052"/>
      <c r="I9" s="1052"/>
    </row>
    <row r="10" spans="1:9" ht="17.100000000000001" customHeight="1">
      <c r="A10" s="295">
        <v>3</v>
      </c>
      <c r="B10" s="295" t="s">
        <v>1163</v>
      </c>
      <c r="C10" s="290"/>
      <c r="D10" s="295"/>
      <c r="E10" s="295"/>
      <c r="F10" s="295"/>
      <c r="G10" s="295"/>
      <c r="H10" s="1052"/>
      <c r="I10" s="1052"/>
    </row>
    <row r="11" spans="1:9" ht="17.100000000000001" customHeight="1">
      <c r="A11" s="295">
        <v>4</v>
      </c>
      <c r="B11" s="295" t="s">
        <v>1164</v>
      </c>
      <c r="C11" s="290"/>
      <c r="D11" s="295"/>
      <c r="E11" s="295"/>
      <c r="F11" s="295"/>
      <c r="G11" s="295"/>
      <c r="H11" s="1052"/>
      <c r="I11" s="1052"/>
    </row>
    <row r="12" spans="1:9" ht="17.100000000000001" customHeight="1">
      <c r="A12" s="295">
        <v>5</v>
      </c>
      <c r="B12" s="295" t="s">
        <v>1165</v>
      </c>
      <c r="C12" s="290"/>
      <c r="D12" s="295"/>
      <c r="E12" s="295"/>
      <c r="F12" s="295"/>
      <c r="G12" s="295"/>
      <c r="H12" s="1052"/>
      <c r="I12" s="1052"/>
    </row>
    <row r="13" spans="1:9" ht="17.100000000000001" customHeight="1">
      <c r="A13" s="295">
        <v>6</v>
      </c>
      <c r="B13" s="295" t="s">
        <v>1166</v>
      </c>
      <c r="C13" s="290" t="str">
        <f>C8</f>
        <v>0块</v>
      </c>
      <c r="D13" s="295"/>
      <c r="E13" s="295"/>
      <c r="F13" s="295"/>
      <c r="G13" s="295"/>
      <c r="H13" s="1052"/>
      <c r="I13" s="1052"/>
    </row>
    <row r="14" spans="1:9" ht="17.100000000000001" customHeight="1">
      <c r="A14" s="295">
        <v>7</v>
      </c>
      <c r="B14" s="295" t="s">
        <v>1167</v>
      </c>
      <c r="C14" s="290" t="str">
        <f>C13</f>
        <v>0块</v>
      </c>
      <c r="D14" s="295"/>
      <c r="E14" s="295"/>
      <c r="F14" s="295"/>
      <c r="G14" s="295"/>
      <c r="H14" s="1052"/>
      <c r="I14" s="1052"/>
    </row>
    <row r="15" spans="1:9" ht="17.100000000000001" customHeight="1">
      <c r="A15" s="295">
        <v>8</v>
      </c>
      <c r="B15" s="295" t="s">
        <v>1168</v>
      </c>
      <c r="C15" s="290" t="str">
        <f>C14</f>
        <v>0块</v>
      </c>
      <c r="D15" s="295"/>
      <c r="E15" s="295"/>
      <c r="F15" s="295"/>
      <c r="G15" s="295"/>
      <c r="H15" s="1052"/>
      <c r="I15" s="1052"/>
    </row>
    <row r="16" spans="1:9" ht="17.100000000000001" customHeight="1">
      <c r="A16" s="295">
        <v>9</v>
      </c>
      <c r="B16" s="295" t="s">
        <v>1169</v>
      </c>
      <c r="C16" s="290" t="str">
        <f>C15</f>
        <v>0块</v>
      </c>
      <c r="D16" s="295"/>
      <c r="E16" s="290"/>
      <c r="F16" s="295"/>
      <c r="G16" s="295"/>
      <c r="H16" s="1052"/>
      <c r="I16" s="1052"/>
    </row>
    <row r="17" spans="1:9" ht="17.100000000000001" customHeight="1">
      <c r="A17" s="295">
        <v>10</v>
      </c>
      <c r="B17" s="295" t="s">
        <v>1170</v>
      </c>
      <c r="C17" s="290" t="str">
        <f>C16</f>
        <v>0块</v>
      </c>
      <c r="D17" s="295"/>
      <c r="E17" s="295"/>
      <c r="F17" s="295"/>
      <c r="G17" s="295"/>
      <c r="H17" s="1052"/>
      <c r="I17" s="1052"/>
    </row>
    <row r="18" spans="1:9" ht="17.100000000000001" customHeight="1">
      <c r="A18" s="295">
        <v>11</v>
      </c>
      <c r="B18" s="295" t="s">
        <v>1171</v>
      </c>
      <c r="C18" s="290"/>
      <c r="D18" s="295"/>
      <c r="E18" s="295"/>
      <c r="F18" s="295"/>
      <c r="G18" s="295"/>
      <c r="H18" s="1052"/>
      <c r="I18" s="1052"/>
    </row>
    <row r="19" spans="1:9" ht="17.100000000000001" customHeight="1">
      <c r="A19" s="295">
        <v>12</v>
      </c>
      <c r="B19" s="295" t="s">
        <v>1172</v>
      </c>
      <c r="C19" s="290"/>
      <c r="D19" s="295"/>
      <c r="E19" s="295"/>
      <c r="F19" s="295"/>
      <c r="G19" s="295"/>
      <c r="H19" s="1052"/>
      <c r="I19" s="1052"/>
    </row>
    <row r="20" spans="1:9" ht="17.100000000000001" customHeight="1">
      <c r="A20" s="295">
        <v>13</v>
      </c>
      <c r="B20" s="295" t="s">
        <v>1173</v>
      </c>
      <c r="C20" s="290"/>
      <c r="D20" s="295"/>
      <c r="E20" s="295"/>
      <c r="F20" s="295"/>
      <c r="G20" s="295"/>
      <c r="H20" s="1052"/>
      <c r="I20" s="1052"/>
    </row>
    <row r="21" spans="1:9" ht="17.100000000000001" customHeight="1">
      <c r="A21" s="295">
        <v>14</v>
      </c>
      <c r="B21" s="295" t="s">
        <v>1174</v>
      </c>
      <c r="C21" s="290"/>
      <c r="D21" s="295"/>
      <c r="E21" s="295"/>
      <c r="F21" s="295"/>
      <c r="G21" s="295"/>
      <c r="H21" s="1052"/>
      <c r="I21" s="1052"/>
    </row>
    <row r="22" spans="1:9" ht="17.100000000000001" customHeight="1">
      <c r="A22" s="295">
        <v>15</v>
      </c>
      <c r="B22" s="295" t="s">
        <v>1175</v>
      </c>
      <c r="C22" s="290"/>
      <c r="D22" s="295"/>
      <c r="E22" s="295"/>
      <c r="F22" s="295"/>
      <c r="G22" s="295"/>
      <c r="H22" s="1052"/>
      <c r="I22" s="1052"/>
    </row>
    <row r="23" spans="1:9" ht="17.100000000000001" customHeight="1">
      <c r="A23" s="295">
        <v>16</v>
      </c>
      <c r="B23" s="295" t="s">
        <v>1176</v>
      </c>
      <c r="C23" s="290"/>
      <c r="D23" s="295"/>
      <c r="E23" s="295"/>
      <c r="F23" s="295"/>
      <c r="G23" s="295"/>
      <c r="H23" s="1052"/>
      <c r="I23" s="1052"/>
    </row>
    <row r="24" spans="1:9" ht="17.100000000000001" customHeight="1">
      <c r="A24" s="295">
        <v>17</v>
      </c>
      <c r="B24" s="295" t="s">
        <v>1177</v>
      </c>
      <c r="C24" s="290"/>
      <c r="D24" s="295"/>
      <c r="E24" s="295"/>
      <c r="F24" s="295"/>
      <c r="G24" s="295"/>
      <c r="H24" s="1052"/>
      <c r="I24" s="1052"/>
    </row>
    <row r="25" spans="1:9" ht="17.100000000000001" customHeight="1">
      <c r="A25" s="295">
        <v>18</v>
      </c>
      <c r="B25" s="295" t="s">
        <v>1178</v>
      </c>
      <c r="C25" s="290" t="str">
        <f>C17</f>
        <v>0块</v>
      </c>
      <c r="D25" s="295"/>
      <c r="E25" s="295"/>
      <c r="F25" s="295"/>
      <c r="G25" s="295"/>
      <c r="H25" s="1052"/>
      <c r="I25" s="1052"/>
    </row>
    <row r="26" spans="1:9" ht="17.100000000000001" customHeight="1">
      <c r="A26" s="295">
        <v>19</v>
      </c>
      <c r="B26" s="295" t="s">
        <v>1179</v>
      </c>
      <c r="C26" s="290" t="str">
        <f t="shared" ref="C26:C35" si="0">C25</f>
        <v>0块</v>
      </c>
      <c r="D26" s="295"/>
      <c r="E26" s="295"/>
      <c r="F26" s="295"/>
      <c r="G26" s="295"/>
      <c r="H26" s="1052"/>
      <c r="I26" s="1052"/>
    </row>
    <row r="27" spans="1:9" ht="17.100000000000001" customHeight="1">
      <c r="A27" s="295">
        <v>20</v>
      </c>
      <c r="B27" s="295" t="s">
        <v>1180</v>
      </c>
      <c r="C27" s="290" t="str">
        <f t="shared" si="0"/>
        <v>0块</v>
      </c>
      <c r="D27" s="295"/>
      <c r="E27" s="295"/>
      <c r="F27" s="295"/>
      <c r="G27" s="295"/>
      <c r="H27" s="1052"/>
      <c r="I27" s="1052"/>
    </row>
    <row r="28" spans="1:9" ht="17.100000000000001" customHeight="1">
      <c r="A28" s="295">
        <v>21</v>
      </c>
      <c r="B28" s="295" t="s">
        <v>1181</v>
      </c>
      <c r="C28" s="290" t="str">
        <f t="shared" si="0"/>
        <v>0块</v>
      </c>
      <c r="D28" s="295"/>
      <c r="E28" s="295"/>
      <c r="F28" s="295"/>
      <c r="G28" s="295"/>
      <c r="H28" s="1052"/>
      <c r="I28" s="1052"/>
    </row>
    <row r="29" spans="1:9" ht="17.100000000000001" customHeight="1">
      <c r="A29" s="295">
        <v>22</v>
      </c>
      <c r="B29" s="295" t="s">
        <v>1182</v>
      </c>
      <c r="C29" s="290" t="str">
        <f t="shared" si="0"/>
        <v>0块</v>
      </c>
      <c r="D29" s="295"/>
      <c r="E29" s="295"/>
      <c r="F29" s="295"/>
      <c r="G29" s="295"/>
      <c r="H29" s="1052"/>
      <c r="I29" s="1052"/>
    </row>
    <row r="30" spans="1:9" ht="17.100000000000001" customHeight="1">
      <c r="A30" s="295">
        <v>23</v>
      </c>
      <c r="B30" s="295" t="s">
        <v>1183</v>
      </c>
      <c r="C30" s="290" t="str">
        <f t="shared" si="0"/>
        <v>0块</v>
      </c>
      <c r="D30" s="295"/>
      <c r="E30" s="295"/>
      <c r="F30" s="295"/>
      <c r="G30" s="295"/>
      <c r="H30" s="1052"/>
      <c r="I30" s="1052"/>
    </row>
    <row r="31" spans="1:9" ht="17.100000000000001" customHeight="1">
      <c r="A31" s="295">
        <v>24</v>
      </c>
      <c r="B31" s="295" t="s">
        <v>1184</v>
      </c>
      <c r="C31" s="290" t="str">
        <f t="shared" si="0"/>
        <v>0块</v>
      </c>
      <c r="D31" s="295"/>
      <c r="E31" s="295"/>
      <c r="F31" s="295"/>
      <c r="G31" s="295"/>
      <c r="H31" s="1052"/>
      <c r="I31" s="1052"/>
    </row>
    <row r="32" spans="1:9" ht="17.100000000000001" customHeight="1">
      <c r="A32" s="295">
        <v>25</v>
      </c>
      <c r="B32" s="295" t="s">
        <v>1185</v>
      </c>
      <c r="C32" s="290" t="str">
        <f t="shared" si="0"/>
        <v>0块</v>
      </c>
      <c r="D32" s="295"/>
      <c r="E32" s="295"/>
      <c r="F32" s="295"/>
      <c r="G32" s="295"/>
      <c r="H32" s="1052"/>
      <c r="I32" s="1052"/>
    </row>
    <row r="33" spans="1:9" ht="17.100000000000001" customHeight="1">
      <c r="A33" s="295">
        <v>26</v>
      </c>
      <c r="B33" s="295" t="s">
        <v>1186</v>
      </c>
      <c r="C33" s="295" t="str">
        <f t="shared" si="0"/>
        <v>0块</v>
      </c>
      <c r="D33" s="295"/>
      <c r="E33" s="295"/>
      <c r="F33" s="295"/>
      <c r="G33" s="295"/>
      <c r="H33" s="1052"/>
      <c r="I33" s="1052"/>
    </row>
    <row r="34" spans="1:9" ht="17.100000000000001" customHeight="1">
      <c r="A34" s="295">
        <v>27</v>
      </c>
      <c r="B34" s="295" t="s">
        <v>1187</v>
      </c>
      <c r="C34" s="295" t="str">
        <f t="shared" si="0"/>
        <v>0块</v>
      </c>
      <c r="D34" s="295"/>
      <c r="E34" s="295"/>
      <c r="F34" s="295"/>
      <c r="G34" s="295"/>
      <c r="H34" s="1052"/>
      <c r="I34" s="1052"/>
    </row>
    <row r="35" spans="1:9" ht="17.100000000000001" customHeight="1">
      <c r="A35" s="295">
        <v>28</v>
      </c>
      <c r="B35" s="295" t="s">
        <v>1188</v>
      </c>
      <c r="C35" s="295" t="str">
        <f t="shared" si="0"/>
        <v>0块</v>
      </c>
      <c r="D35" s="295"/>
      <c r="E35" s="295"/>
      <c r="F35" s="295"/>
      <c r="G35" s="295"/>
      <c r="H35" s="1052"/>
      <c r="I35" s="1052"/>
    </row>
    <row r="36" spans="1:9" ht="17.100000000000001" customHeight="1">
      <c r="A36" s="295">
        <v>29</v>
      </c>
      <c r="B36" s="295" t="s">
        <v>1189</v>
      </c>
      <c r="C36" s="295"/>
      <c r="D36" s="295"/>
      <c r="E36" s="295"/>
      <c r="F36" s="295"/>
      <c r="G36" s="295"/>
      <c r="H36" s="1052"/>
      <c r="I36" s="1052"/>
    </row>
    <row r="37" spans="1:9" ht="17.100000000000001" customHeight="1">
      <c r="A37" s="295">
        <v>30</v>
      </c>
      <c r="B37" s="295" t="s">
        <v>1190</v>
      </c>
      <c r="C37" s="295"/>
      <c r="D37" s="295"/>
      <c r="E37" s="295"/>
      <c r="F37" s="295"/>
      <c r="G37" s="295"/>
      <c r="H37" s="1052"/>
      <c r="I37" s="1052"/>
    </row>
    <row r="38" spans="1:9" ht="17.100000000000001" customHeight="1">
      <c r="A38" s="295">
        <v>31</v>
      </c>
      <c r="B38" s="295" t="s">
        <v>1191</v>
      </c>
      <c r="C38" s="295"/>
      <c r="D38" s="295"/>
      <c r="E38" s="295"/>
      <c r="F38" s="295"/>
      <c r="G38" s="295"/>
      <c r="H38" s="1052"/>
      <c r="I38" s="1052"/>
    </row>
    <row r="39" spans="1:9" ht="17.100000000000001" customHeight="1">
      <c r="A39" s="295">
        <v>32</v>
      </c>
      <c r="B39" s="295" t="s">
        <v>1192</v>
      </c>
      <c r="C39" s="295"/>
      <c r="D39" s="295"/>
      <c r="E39" s="295"/>
      <c r="F39" s="295"/>
      <c r="G39" s="295"/>
      <c r="H39" s="1052"/>
      <c r="I39" s="1052"/>
    </row>
    <row r="40" spans="1:9" ht="17.100000000000001" customHeight="1">
      <c r="A40" s="295">
        <v>33</v>
      </c>
      <c r="B40" s="295" t="s">
        <v>1193</v>
      </c>
      <c r="C40" s="295"/>
      <c r="D40" s="295"/>
      <c r="E40" s="295"/>
      <c r="F40" s="295"/>
      <c r="G40" s="295"/>
      <c r="H40" s="1052"/>
      <c r="I40" s="1052"/>
    </row>
    <row r="41" spans="1:9" ht="17.100000000000001" customHeight="1">
      <c r="A41" s="295">
        <v>34</v>
      </c>
      <c r="B41" s="295" t="s">
        <v>1194</v>
      </c>
      <c r="C41" s="295"/>
      <c r="D41" s="295"/>
      <c r="E41" s="295"/>
      <c r="F41" s="295"/>
      <c r="G41" s="295"/>
      <c r="H41" s="1052"/>
      <c r="I41" s="1052"/>
    </row>
    <row r="42" spans="1:9" ht="17.100000000000001" customHeight="1">
      <c r="A42" s="295">
        <v>35</v>
      </c>
      <c r="B42" s="295" t="s">
        <v>1195</v>
      </c>
      <c r="C42" s="295"/>
      <c r="D42" s="295"/>
      <c r="E42" s="295"/>
      <c r="F42" s="295"/>
      <c r="G42" s="295"/>
      <c r="H42" s="1052"/>
      <c r="I42" s="1052"/>
    </row>
    <row r="43" spans="1:9" ht="17.100000000000001" customHeight="1">
      <c r="A43" s="295">
        <v>36</v>
      </c>
      <c r="B43" s="295" t="s">
        <v>1196</v>
      </c>
      <c r="C43" s="295"/>
      <c r="D43" s="295"/>
      <c r="E43" s="295"/>
      <c r="F43" s="295"/>
      <c r="G43" s="295"/>
      <c r="H43" s="1052"/>
      <c r="I43" s="1052"/>
    </row>
    <row r="44" spans="1:9" ht="17.100000000000001" customHeight="1">
      <c r="A44" s="295">
        <v>37</v>
      </c>
      <c r="B44" s="295" t="s">
        <v>1197</v>
      </c>
      <c r="C44" s="295"/>
      <c r="D44" s="295"/>
      <c r="E44" s="295"/>
      <c r="F44" s="295"/>
      <c r="G44" s="295"/>
      <c r="H44" s="1052"/>
      <c r="I44" s="1052"/>
    </row>
    <row r="45" spans="1:9" ht="17.100000000000001" customHeight="1">
      <c r="A45" s="295">
        <v>38</v>
      </c>
      <c r="B45" s="295" t="s">
        <v>1198</v>
      </c>
      <c r="C45" s="295"/>
      <c r="D45" s="295"/>
      <c r="E45" s="295"/>
      <c r="F45" s="295"/>
      <c r="G45" s="295"/>
      <c r="H45" s="1052"/>
      <c r="I45" s="1052"/>
    </row>
    <row r="46" spans="1:9" ht="17.100000000000001" customHeight="1">
      <c r="A46" s="295">
        <v>39</v>
      </c>
      <c r="B46" s="295" t="s">
        <v>1199</v>
      </c>
      <c r="C46" s="295"/>
      <c r="D46" s="295"/>
      <c r="E46" s="295"/>
      <c r="F46" s="295"/>
      <c r="G46" s="295"/>
      <c r="H46" s="1052"/>
      <c r="I46" s="1052"/>
    </row>
    <row r="47" spans="1:9" ht="17.100000000000001" customHeight="1">
      <c r="A47" s="291"/>
      <c r="B47" s="287" t="s">
        <v>1200</v>
      </c>
      <c r="C47" s="542" t="s">
        <v>1256</v>
      </c>
      <c r="D47" s="293"/>
      <c r="E47" s="292" t="s">
        <v>1201</v>
      </c>
      <c r="F47" s="291"/>
      <c r="G47" s="291"/>
      <c r="H47" s="291"/>
    </row>
  </sheetData>
  <mergeCells count="51">
    <mergeCell ref="A1:I1"/>
    <mergeCell ref="B3:C3"/>
    <mergeCell ref="E3:F3"/>
    <mergeCell ref="H3:I3"/>
    <mergeCell ref="B4:C4"/>
    <mergeCell ref="E4:F4"/>
    <mergeCell ref="H4:I4"/>
    <mergeCell ref="H14:I14"/>
    <mergeCell ref="B5:C5"/>
    <mergeCell ref="E5:F5"/>
    <mergeCell ref="H5:I5"/>
    <mergeCell ref="H6:I6"/>
    <mergeCell ref="H7:I7"/>
    <mergeCell ref="H8:I8"/>
    <mergeCell ref="H9:I9"/>
    <mergeCell ref="H10:I10"/>
    <mergeCell ref="H11:I11"/>
    <mergeCell ref="H12:I12"/>
    <mergeCell ref="H13:I13"/>
    <mergeCell ref="H26:I26"/>
    <mergeCell ref="H15:I15"/>
    <mergeCell ref="H16:I16"/>
    <mergeCell ref="H17:I17"/>
    <mergeCell ref="H18:I18"/>
    <mergeCell ref="H19:I19"/>
    <mergeCell ref="H20:I20"/>
    <mergeCell ref="H21:I21"/>
    <mergeCell ref="H22:I22"/>
    <mergeCell ref="H23:I23"/>
    <mergeCell ref="H24:I24"/>
    <mergeCell ref="H25:I25"/>
    <mergeCell ref="H38:I38"/>
    <mergeCell ref="H27:I27"/>
    <mergeCell ref="H28:I28"/>
    <mergeCell ref="H29:I29"/>
    <mergeCell ref="H30:I30"/>
    <mergeCell ref="H31:I31"/>
    <mergeCell ref="H32:I32"/>
    <mergeCell ref="H33:I33"/>
    <mergeCell ref="H34:I34"/>
    <mergeCell ref="H35:I35"/>
    <mergeCell ref="H36:I36"/>
    <mergeCell ref="H37:I37"/>
    <mergeCell ref="H45:I45"/>
    <mergeCell ref="H46:I46"/>
    <mergeCell ref="H39:I39"/>
    <mergeCell ref="H40:I40"/>
    <mergeCell ref="H41:I41"/>
    <mergeCell ref="H42:I42"/>
    <mergeCell ref="H43:I43"/>
    <mergeCell ref="H44:I44"/>
  </mergeCells>
  <phoneticPr fontId="76"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xl/worksheets/sheet2.xml><?xml version="1.0" encoding="utf-8"?>
<worksheet xmlns="http://schemas.openxmlformats.org/spreadsheetml/2006/main" xmlns:r="http://schemas.openxmlformats.org/officeDocument/2006/relationships">
  <dimension ref="A1:H34"/>
  <sheetViews>
    <sheetView topLeftCell="B19" workbookViewId="0">
      <selection activeCell="G32" sqref="G32"/>
    </sheetView>
  </sheetViews>
  <sheetFormatPr defaultRowHeight="21"/>
  <cols>
    <col min="1" max="1" width="12.25" style="8" customWidth="1"/>
    <col min="2" max="2" width="13.25" style="8" customWidth="1"/>
    <col min="3" max="3" width="9.25" style="8" customWidth="1"/>
    <col min="4" max="4" width="12.375" style="8" customWidth="1"/>
    <col min="5" max="5" width="9.625" style="8" customWidth="1"/>
    <col min="6" max="6" width="9.25" style="8" customWidth="1"/>
    <col min="7" max="7" width="13.125" style="8" customWidth="1"/>
    <col min="8" max="8" width="10.25" style="8" customWidth="1"/>
    <col min="9" max="16384" width="9" style="7"/>
  </cols>
  <sheetData>
    <row r="1" spans="1:8" ht="33">
      <c r="A1" s="851" t="s">
        <v>30</v>
      </c>
      <c r="B1" s="851"/>
      <c r="C1" s="851"/>
      <c r="D1" s="851"/>
      <c r="E1" s="851"/>
      <c r="F1" s="851"/>
      <c r="G1" s="851"/>
      <c r="H1" s="851"/>
    </row>
    <row r="2" spans="1:8" ht="21.95" customHeight="1">
      <c r="B2" s="17" t="s">
        <v>23</v>
      </c>
      <c r="E2" s="852" t="s">
        <v>31</v>
      </c>
      <c r="F2" s="852"/>
      <c r="G2" s="853" t="e">
        <f>#REF!</f>
        <v>#REF!</v>
      </c>
      <c r="H2" s="853"/>
    </row>
    <row r="3" spans="1:8" ht="21" customHeight="1">
      <c r="A3" s="6" t="s">
        <v>10</v>
      </c>
      <c r="B3" s="854" t="e">
        <f>#REF!</f>
        <v>#REF!</v>
      </c>
      <c r="C3" s="850"/>
      <c r="D3" s="6" t="s">
        <v>32</v>
      </c>
      <c r="E3" s="854"/>
      <c r="F3" s="850"/>
      <c r="G3" s="6" t="s">
        <v>33</v>
      </c>
      <c r="H3" s="10" t="e">
        <f>#REF!</f>
        <v>#REF!</v>
      </c>
    </row>
    <row r="4" spans="1:8" ht="21" customHeight="1">
      <c r="A4" s="6" t="s">
        <v>18</v>
      </c>
      <c r="B4" s="849" t="e">
        <f>#REF!</f>
        <v>#REF!</v>
      </c>
      <c r="C4" s="850"/>
      <c r="D4" s="6" t="s">
        <v>34</v>
      </c>
      <c r="E4" s="849"/>
      <c r="F4" s="850"/>
      <c r="G4" s="6" t="s">
        <v>35</v>
      </c>
      <c r="H4" s="10"/>
    </row>
    <row r="5" spans="1:8" ht="21" customHeight="1">
      <c r="A5" s="6" t="s">
        <v>36</v>
      </c>
      <c r="B5" s="6" t="s">
        <v>37</v>
      </c>
      <c r="C5" s="6" t="s">
        <v>38</v>
      </c>
      <c r="D5" s="6" t="s">
        <v>39</v>
      </c>
      <c r="E5" s="6" t="s">
        <v>40</v>
      </c>
      <c r="F5" s="6" t="s">
        <v>41</v>
      </c>
      <c r="G5" s="6" t="s">
        <v>42</v>
      </c>
      <c r="H5" s="6" t="s">
        <v>43</v>
      </c>
    </row>
    <row r="6" spans="1:8" ht="21" customHeight="1">
      <c r="A6" s="6" t="s">
        <v>44</v>
      </c>
      <c r="B6" s="845" t="e">
        <f>#REF!</f>
        <v>#REF!</v>
      </c>
      <c r="C6" s="846"/>
      <c r="D6" s="6" t="s">
        <v>45</v>
      </c>
      <c r="E6" s="845" t="e">
        <f>#REF!</f>
        <v>#REF!</v>
      </c>
      <c r="F6" s="846"/>
      <c r="G6" s="6" t="s">
        <v>46</v>
      </c>
      <c r="H6" s="6"/>
    </row>
    <row r="7" spans="1:8" ht="21" customHeight="1">
      <c r="A7" s="6" t="s">
        <v>47</v>
      </c>
      <c r="B7" s="845" t="e">
        <f>#REF!</f>
        <v>#REF!</v>
      </c>
      <c r="C7" s="846"/>
      <c r="D7" s="6" t="s">
        <v>48</v>
      </c>
      <c r="E7" s="845"/>
      <c r="F7" s="846"/>
      <c r="G7" s="6" t="s">
        <v>49</v>
      </c>
      <c r="H7" s="6"/>
    </row>
    <row r="8" spans="1:8" s="8" customFormat="1" ht="21" customHeight="1">
      <c r="A8" s="6" t="s">
        <v>1</v>
      </c>
      <c r="B8" s="6" t="s">
        <v>50</v>
      </c>
      <c r="C8" s="6" t="s">
        <v>51</v>
      </c>
      <c r="D8" s="6" t="s">
        <v>52</v>
      </c>
      <c r="E8" s="6" t="s">
        <v>53</v>
      </c>
      <c r="F8" s="6" t="s">
        <v>54</v>
      </c>
      <c r="G8" s="6" t="s">
        <v>55</v>
      </c>
      <c r="H8" s="6" t="s">
        <v>0</v>
      </c>
    </row>
    <row r="9" spans="1:8" ht="21" customHeight="1">
      <c r="A9" s="11">
        <v>1</v>
      </c>
      <c r="B9" s="6" t="s">
        <v>56</v>
      </c>
      <c r="C9" s="12" t="e">
        <f>#REF!</f>
        <v>#REF!</v>
      </c>
      <c r="D9" s="13"/>
      <c r="E9" s="13"/>
      <c r="F9" s="13"/>
      <c r="G9" s="13"/>
      <c r="H9" s="13"/>
    </row>
    <row r="10" spans="1:8" ht="21" customHeight="1">
      <c r="A10" s="11">
        <v>2</v>
      </c>
      <c r="B10" s="6" t="s">
        <v>57</v>
      </c>
      <c r="C10" s="12" t="e">
        <f>#REF!</f>
        <v>#REF!</v>
      </c>
      <c r="D10" s="13"/>
      <c r="E10" s="13"/>
      <c r="F10" s="13"/>
      <c r="G10" s="13"/>
      <c r="H10" s="13"/>
    </row>
    <row r="11" spans="1:8" ht="21" customHeight="1">
      <c r="A11" s="11">
        <v>3</v>
      </c>
      <c r="B11" s="6" t="s">
        <v>58</v>
      </c>
      <c r="C11" s="12" t="e">
        <f>#REF!</f>
        <v>#REF!</v>
      </c>
      <c r="D11" s="13"/>
      <c r="E11" s="13"/>
      <c r="F11" s="13"/>
      <c r="G11" s="13"/>
      <c r="H11" s="13"/>
    </row>
    <row r="12" spans="1:8" ht="21" customHeight="1">
      <c r="A12" s="11">
        <v>4</v>
      </c>
      <c r="B12" s="6" t="s">
        <v>59</v>
      </c>
      <c r="C12" s="12" t="s">
        <v>79</v>
      </c>
      <c r="D12" s="13"/>
      <c r="E12" s="13"/>
      <c r="F12" s="13"/>
      <c r="G12" s="13"/>
      <c r="H12" s="13"/>
    </row>
    <row r="13" spans="1:8" ht="21" customHeight="1">
      <c r="A13" s="11">
        <v>5</v>
      </c>
      <c r="B13" s="6" t="s">
        <v>29</v>
      </c>
      <c r="C13" s="12"/>
      <c r="D13" s="13"/>
      <c r="E13" s="13"/>
      <c r="F13" s="13"/>
      <c r="G13" s="13"/>
      <c r="H13" s="13"/>
    </row>
    <row r="14" spans="1:8" ht="21" customHeight="1">
      <c r="A14" s="11">
        <v>6</v>
      </c>
      <c r="B14" s="6" t="s">
        <v>60</v>
      </c>
      <c r="C14" s="12"/>
      <c r="D14" s="13"/>
      <c r="E14" s="13"/>
      <c r="F14" s="13"/>
      <c r="G14" s="13"/>
      <c r="H14" s="13"/>
    </row>
    <row r="15" spans="1:8" ht="21" customHeight="1">
      <c r="A15" s="11">
        <v>7</v>
      </c>
      <c r="B15" s="6" t="s">
        <v>61</v>
      </c>
      <c r="C15" s="12"/>
      <c r="D15" s="13"/>
      <c r="E15" s="13"/>
      <c r="F15" s="13"/>
      <c r="G15" s="13"/>
      <c r="H15" s="13"/>
    </row>
    <row r="16" spans="1:8" ht="21" customHeight="1">
      <c r="A16" s="11">
        <v>8</v>
      </c>
      <c r="B16" s="6" t="s">
        <v>62</v>
      </c>
      <c r="C16" s="12"/>
      <c r="D16" s="13"/>
      <c r="E16" s="13"/>
      <c r="F16" s="13"/>
      <c r="G16" s="13"/>
      <c r="H16" s="13"/>
    </row>
    <row r="17" spans="1:8" ht="21" customHeight="1">
      <c r="A17" s="11">
        <v>9</v>
      </c>
      <c r="B17" s="6" t="s">
        <v>63</v>
      </c>
      <c r="C17" s="12"/>
      <c r="D17" s="13"/>
      <c r="E17" s="13"/>
      <c r="F17" s="13"/>
      <c r="G17" s="13"/>
      <c r="H17" s="13"/>
    </row>
    <row r="18" spans="1:8" ht="21" customHeight="1">
      <c r="A18" s="11">
        <v>10</v>
      </c>
      <c r="B18" s="6" t="s">
        <v>64</v>
      </c>
      <c r="C18" s="12" t="e">
        <f>B6+E6</f>
        <v>#REF!</v>
      </c>
      <c r="D18" s="13"/>
      <c r="E18" s="13"/>
      <c r="F18" s="13"/>
      <c r="G18" s="13"/>
      <c r="H18" s="13"/>
    </row>
    <row r="19" spans="1:8" ht="21" customHeight="1">
      <c r="A19" s="11">
        <v>11</v>
      </c>
      <c r="B19" s="6" t="s">
        <v>65</v>
      </c>
      <c r="C19" s="12" t="e">
        <f>#REF!+#REF!+#REF!+#REF!+#REF!+#REF!</f>
        <v>#REF!</v>
      </c>
      <c r="D19" s="13"/>
      <c r="E19" s="13"/>
      <c r="F19" s="13"/>
      <c r="G19" s="13"/>
      <c r="H19" s="13"/>
    </row>
    <row r="20" spans="1:8" ht="21" customHeight="1">
      <c r="A20" s="11">
        <v>12</v>
      </c>
      <c r="B20" s="6" t="s">
        <v>66</v>
      </c>
      <c r="C20" s="12"/>
      <c r="D20" s="13"/>
      <c r="E20" s="13"/>
      <c r="F20" s="13"/>
      <c r="G20" s="13"/>
      <c r="H20" s="13"/>
    </row>
    <row r="21" spans="1:8" ht="21" customHeight="1">
      <c r="A21" s="11">
        <v>13</v>
      </c>
      <c r="B21" s="6" t="s">
        <v>67</v>
      </c>
      <c r="C21" s="12"/>
      <c r="D21" s="13"/>
      <c r="E21" s="13"/>
      <c r="F21" s="13"/>
      <c r="G21" s="13"/>
      <c r="H21" s="13"/>
    </row>
    <row r="22" spans="1:8" ht="21" customHeight="1">
      <c r="A22" s="11">
        <v>14</v>
      </c>
      <c r="B22" s="6" t="s">
        <v>68</v>
      </c>
      <c r="C22" s="12"/>
      <c r="D22" s="13"/>
      <c r="E22" s="13"/>
      <c r="F22" s="13"/>
      <c r="G22" s="13"/>
      <c r="H22" s="13"/>
    </row>
    <row r="23" spans="1:8" ht="21" customHeight="1">
      <c r="A23" s="11">
        <v>15</v>
      </c>
      <c r="B23" s="6" t="s">
        <v>69</v>
      </c>
      <c r="C23" s="12" t="e">
        <f>(#REF!+#REF!+#REF!)/2</f>
        <v>#REF!</v>
      </c>
      <c r="D23" s="13"/>
      <c r="E23" s="13"/>
      <c r="F23" s="13"/>
      <c r="G23" s="13"/>
      <c r="H23" s="13"/>
    </row>
    <row r="24" spans="1:8" ht="21" customHeight="1">
      <c r="A24" s="11">
        <v>16</v>
      </c>
      <c r="B24" s="6" t="s">
        <v>70</v>
      </c>
      <c r="C24" s="12"/>
      <c r="D24" s="13"/>
      <c r="E24" s="13"/>
      <c r="F24" s="13"/>
      <c r="G24" s="13"/>
      <c r="H24" s="13"/>
    </row>
    <row r="25" spans="1:8" ht="21" customHeight="1">
      <c r="A25" s="11">
        <v>17</v>
      </c>
      <c r="B25" s="6" t="s">
        <v>71</v>
      </c>
      <c r="C25" s="12"/>
      <c r="D25" s="13"/>
      <c r="E25" s="13"/>
      <c r="F25" s="13"/>
      <c r="G25" s="13"/>
      <c r="H25" s="13"/>
    </row>
    <row r="26" spans="1:8" ht="21" customHeight="1">
      <c r="A26" s="11">
        <v>18</v>
      </c>
      <c r="B26" s="6" t="s">
        <v>72</v>
      </c>
      <c r="C26" s="12" t="e">
        <f>#REF!/2</f>
        <v>#REF!</v>
      </c>
      <c r="D26" s="13"/>
      <c r="E26" s="13"/>
      <c r="F26" s="13"/>
      <c r="G26" s="13"/>
      <c r="H26" s="13"/>
    </row>
    <row r="27" spans="1:8" ht="21" customHeight="1">
      <c r="A27" s="11">
        <v>19</v>
      </c>
      <c r="B27" s="6" t="s">
        <v>73</v>
      </c>
      <c r="C27" s="12"/>
      <c r="D27" s="13"/>
      <c r="E27" s="13"/>
      <c r="F27" s="13"/>
      <c r="G27" s="13"/>
      <c r="H27" s="13"/>
    </row>
    <row r="28" spans="1:8" ht="21" customHeight="1">
      <c r="A28" s="11">
        <v>20</v>
      </c>
      <c r="B28" s="6" t="s">
        <v>74</v>
      </c>
      <c r="C28" s="12"/>
      <c r="D28" s="13"/>
      <c r="E28" s="13"/>
      <c r="F28" s="13"/>
      <c r="G28" s="13"/>
      <c r="H28" s="13"/>
    </row>
    <row r="29" spans="1:8" ht="21" customHeight="1">
      <c r="A29" s="11">
        <v>21</v>
      </c>
      <c r="B29" s="6" t="s">
        <v>75</v>
      </c>
      <c r="C29" s="12"/>
      <c r="D29" s="13"/>
      <c r="E29" s="13"/>
      <c r="F29" s="13"/>
      <c r="G29" s="13"/>
      <c r="H29" s="13"/>
    </row>
    <row r="30" spans="1:8" ht="21" customHeight="1">
      <c r="A30" s="11">
        <v>22</v>
      </c>
      <c r="B30" s="6" t="s">
        <v>76</v>
      </c>
      <c r="C30" s="75" t="e">
        <f>#REF!*1.2</f>
        <v>#REF!</v>
      </c>
      <c r="D30" s="13"/>
      <c r="E30" s="13"/>
      <c r="F30" s="13"/>
      <c r="G30" s="13"/>
      <c r="H30" s="13"/>
    </row>
    <row r="31" spans="1:8" ht="21" customHeight="1">
      <c r="A31" s="14"/>
      <c r="B31" s="14"/>
      <c r="C31" s="15"/>
      <c r="D31" s="15"/>
      <c r="E31" s="15"/>
      <c r="F31" s="15"/>
      <c r="G31" s="15"/>
      <c r="H31" s="14"/>
    </row>
    <row r="32" spans="1:8" ht="21" customHeight="1">
      <c r="A32" s="848" t="s">
        <v>77</v>
      </c>
      <c r="B32" s="848"/>
      <c r="C32" s="9"/>
      <c r="F32" s="8" t="s">
        <v>78</v>
      </c>
      <c r="G32" s="74" t="s">
        <v>321</v>
      </c>
    </row>
    <row r="33" spans="1:8" ht="21" customHeight="1">
      <c r="A33" s="16"/>
      <c r="B33" s="16"/>
      <c r="C33" s="14"/>
      <c r="G33" s="14"/>
    </row>
    <row r="34" spans="1:8" ht="21" customHeight="1">
      <c r="F34" s="8" t="s">
        <v>7</v>
      </c>
      <c r="G34" s="847" t="e">
        <f>B4</f>
        <v>#REF!</v>
      </c>
      <c r="H34" s="847"/>
    </row>
  </sheetData>
  <mergeCells count="13">
    <mergeCell ref="E4:F4"/>
    <mergeCell ref="B4:C4"/>
    <mergeCell ref="A1:H1"/>
    <mergeCell ref="E2:F2"/>
    <mergeCell ref="G2:H2"/>
    <mergeCell ref="B3:C3"/>
    <mergeCell ref="E3:F3"/>
    <mergeCell ref="B6:C6"/>
    <mergeCell ref="E6:F6"/>
    <mergeCell ref="G34:H34"/>
    <mergeCell ref="B7:C7"/>
    <mergeCell ref="E7:F7"/>
    <mergeCell ref="A32:B32"/>
  </mergeCells>
  <phoneticPr fontId="3" type="noConversion"/>
  <printOptions horizontalCentered="1"/>
  <pageMargins left="7.874015748031496E-2" right="7.874015748031496E-2" top="0.78740157480314965" bottom="0.39370078740157483" header="0.51181102362204722" footer="0.51181102362204722"/>
  <pageSetup paperSize="9" orientation="portrait" verticalDpi="0" r:id="rId1"/>
  <headerFooter alignWithMargins="0"/>
</worksheet>
</file>

<file path=xl/worksheets/sheet20.xml><?xml version="1.0" encoding="utf-8"?>
<worksheet xmlns="http://schemas.openxmlformats.org/spreadsheetml/2006/main" xmlns:r="http://schemas.openxmlformats.org/officeDocument/2006/relationships">
  <dimension ref="A1:R754"/>
  <sheetViews>
    <sheetView zoomScaleSheetLayoutView="85" workbookViewId="0">
      <selection activeCell="F18" sqref="F18:H18"/>
    </sheetView>
  </sheetViews>
  <sheetFormatPr defaultRowHeight="14.25"/>
  <cols>
    <col min="1" max="1" width="8.125" style="427" customWidth="1"/>
    <col min="2" max="2" width="6.25" style="427" customWidth="1"/>
    <col min="3" max="3" width="6.375" style="427" customWidth="1"/>
    <col min="4" max="4" width="5.375" style="427" customWidth="1"/>
    <col min="5" max="5" width="5.875" style="427" customWidth="1"/>
    <col min="6" max="6" width="5.75" style="427" customWidth="1"/>
    <col min="7" max="7" width="5.25" style="427" customWidth="1"/>
    <col min="8" max="9" width="7.125" style="427" customWidth="1"/>
    <col min="10" max="10" width="9" style="427"/>
    <col min="11" max="11" width="12.25" style="427" customWidth="1"/>
    <col min="12" max="17" width="9" style="427"/>
    <col min="18" max="18" width="19" style="427" customWidth="1"/>
    <col min="19" max="16384" width="9" style="427"/>
  </cols>
  <sheetData>
    <row r="1" spans="1:18" ht="12.95" customHeight="1">
      <c r="A1" s="426"/>
      <c r="B1" s="426"/>
      <c r="C1" s="426"/>
      <c r="D1" s="426"/>
      <c r="E1" s="426"/>
    </row>
    <row r="2" spans="1:18" ht="12.95" customHeight="1">
      <c r="A2" s="428"/>
      <c r="B2" s="428"/>
      <c r="C2" s="428"/>
      <c r="D2" s="428"/>
      <c r="E2" s="426"/>
      <c r="F2" s="944" t="s">
        <v>993</v>
      </c>
      <c r="G2" s="944"/>
      <c r="H2" s="944"/>
      <c r="I2" s="944"/>
      <c r="J2" s="944"/>
      <c r="K2" s="944"/>
    </row>
    <row r="3" spans="1:18" ht="20.25">
      <c r="A3" s="1345" t="s">
        <v>994</v>
      </c>
      <c r="B3" s="1345"/>
      <c r="C3" s="1345"/>
      <c r="D3" s="1345"/>
      <c r="E3" s="1345"/>
      <c r="F3" s="1345"/>
      <c r="G3" s="1345"/>
      <c r="H3" s="1345"/>
      <c r="I3" s="1345"/>
      <c r="J3" s="1345"/>
      <c r="K3" s="1345"/>
      <c r="R3" s="427" t="s">
        <v>995</v>
      </c>
    </row>
    <row r="4" spans="1:18" ht="18" customHeight="1">
      <c r="A4" s="930" t="s">
        <v>629</v>
      </c>
      <c r="B4" s="930"/>
      <c r="C4" s="946" t="e">
        <f>#REF!</f>
        <v>#REF!</v>
      </c>
      <c r="D4" s="946"/>
      <c r="E4" s="946"/>
      <c r="F4" s="942" t="s">
        <v>996</v>
      </c>
      <c r="G4" s="942"/>
      <c r="H4" s="946"/>
      <c r="I4" s="946"/>
      <c r="J4" s="429" t="s">
        <v>630</v>
      </c>
      <c r="K4" s="430" t="str">
        <f>SUM(G10:G37)&amp;"块"</f>
        <v>0块</v>
      </c>
      <c r="R4" s="427" t="s">
        <v>997</v>
      </c>
    </row>
    <row r="5" spans="1:18" ht="19.5" customHeight="1">
      <c r="A5" s="1335" t="s">
        <v>17</v>
      </c>
      <c r="B5" s="942"/>
      <c r="C5" s="947" t="e">
        <f>#REF!</f>
        <v>#REF!</v>
      </c>
      <c r="D5" s="947"/>
      <c r="E5" s="947"/>
      <c r="F5" s="942" t="s">
        <v>998</v>
      </c>
      <c r="G5" s="942"/>
      <c r="H5" s="1336"/>
      <c r="I5" s="1337"/>
      <c r="J5" s="429" t="s">
        <v>999</v>
      </c>
      <c r="K5" s="431" t="e">
        <f>#REF!</f>
        <v>#REF!</v>
      </c>
      <c r="L5" s="427" t="s">
        <v>1000</v>
      </c>
      <c r="R5" s="427" t="s">
        <v>1001</v>
      </c>
    </row>
    <row r="6" spans="1:18" ht="19.5" customHeight="1">
      <c r="A6" s="942" t="s">
        <v>1002</v>
      </c>
      <c r="B6" s="942"/>
      <c r="C6" s="1337" t="s">
        <v>1003</v>
      </c>
      <c r="D6" s="1338"/>
      <c r="E6" s="1338"/>
      <c r="F6" s="1339" t="s">
        <v>997</v>
      </c>
      <c r="G6" s="1339"/>
      <c r="H6" s="1339"/>
      <c r="I6" s="432" t="s">
        <v>1004</v>
      </c>
      <c r="J6" s="433" t="s">
        <v>1005</v>
      </c>
      <c r="K6" s="434" t="s">
        <v>1006</v>
      </c>
      <c r="M6" s="427" t="s">
        <v>1007</v>
      </c>
      <c r="R6" s="427" t="s">
        <v>1008</v>
      </c>
    </row>
    <row r="7" spans="1:18" ht="24.75" customHeight="1" thickBot="1">
      <c r="A7" s="1340" t="s">
        <v>1009</v>
      </c>
      <c r="B7" s="1340"/>
      <c r="C7" s="1340"/>
      <c r="D7" s="1340"/>
      <c r="E7" s="1340"/>
      <c r="F7" s="1340"/>
      <c r="G7" s="1340"/>
      <c r="H7" s="1340"/>
      <c r="I7" s="1340"/>
      <c r="J7" s="1340"/>
      <c r="K7" s="1340"/>
      <c r="R7" s="427" t="s">
        <v>1010</v>
      </c>
    </row>
    <row r="8" spans="1:18" ht="18" customHeight="1">
      <c r="A8" s="435" t="s">
        <v>1011</v>
      </c>
      <c r="B8" s="1341" t="s">
        <v>1012</v>
      </c>
      <c r="C8" s="1341"/>
      <c r="D8" s="1341"/>
      <c r="E8" s="1341" t="s">
        <v>1013</v>
      </c>
      <c r="F8" s="1341"/>
      <c r="G8" s="1341"/>
      <c r="H8" s="1342" t="s">
        <v>1014</v>
      </c>
      <c r="I8" s="1343"/>
      <c r="J8" s="1343" t="s">
        <v>1015</v>
      </c>
      <c r="K8" s="1344"/>
      <c r="R8" s="427" t="s">
        <v>1016</v>
      </c>
    </row>
    <row r="9" spans="1:18" ht="22.5" customHeight="1">
      <c r="A9" s="436" t="s">
        <v>1017</v>
      </c>
      <c r="B9" s="437" t="s">
        <v>491</v>
      </c>
      <c r="C9" s="437" t="s">
        <v>1018</v>
      </c>
      <c r="D9" s="437" t="s">
        <v>1019</v>
      </c>
      <c r="E9" s="437" t="s">
        <v>1020</v>
      </c>
      <c r="F9" s="438" t="s">
        <v>1018</v>
      </c>
      <c r="G9" s="437" t="s">
        <v>1019</v>
      </c>
      <c r="H9" s="1334" t="s">
        <v>1021</v>
      </c>
      <c r="I9" s="1324"/>
      <c r="J9" s="1323" t="s">
        <v>1022</v>
      </c>
      <c r="K9" s="1325"/>
      <c r="L9" s="439" t="s">
        <v>1023</v>
      </c>
      <c r="M9" s="439" t="s">
        <v>1024</v>
      </c>
      <c r="N9" s="440" t="s">
        <v>1025</v>
      </c>
      <c r="O9" s="441" t="s">
        <v>1026</v>
      </c>
      <c r="P9" s="441" t="s">
        <v>1027</v>
      </c>
    </row>
    <row r="10" spans="1:18" ht="17.100000000000001" customHeight="1">
      <c r="A10" s="442"/>
      <c r="B10" s="443"/>
      <c r="C10" s="443"/>
      <c r="D10" s="443"/>
      <c r="E10" s="443">
        <f>C10+10</f>
        <v>10</v>
      </c>
      <c r="F10" s="444">
        <f>B10+10</f>
        <v>10</v>
      </c>
      <c r="G10" s="443">
        <f>D10</f>
        <v>0</v>
      </c>
      <c r="H10" s="1330"/>
      <c r="I10" s="1331"/>
      <c r="J10" s="1332"/>
      <c r="K10" s="1333"/>
      <c r="L10" s="427">
        <f>((B10+C10)*2+240)*G10/1000</f>
        <v>0</v>
      </c>
      <c r="M10" s="427">
        <f>B10*C10*D10/1000000</f>
        <v>0</v>
      </c>
      <c r="N10" s="427">
        <f>E10*F10*G10/1000000/2.88/0.85</f>
        <v>0</v>
      </c>
      <c r="O10" s="427">
        <f>(B10*C10*D10/1000000)*2</f>
        <v>0</v>
      </c>
      <c r="P10" s="427">
        <f>O10/0.6</f>
        <v>0</v>
      </c>
    </row>
    <row r="11" spans="1:18" ht="17.100000000000001" customHeight="1">
      <c r="A11" s="442"/>
      <c r="B11" s="443"/>
      <c r="C11" s="443"/>
      <c r="D11" s="443"/>
      <c r="E11" s="443">
        <f t="shared" ref="E11:E33" si="0">C11+10</f>
        <v>10</v>
      </c>
      <c r="F11" s="444">
        <f t="shared" ref="F11:F33" si="1">B11+10</f>
        <v>10</v>
      </c>
      <c r="G11" s="443">
        <f t="shared" ref="G11:G33" si="2">D11</f>
        <v>0</v>
      </c>
      <c r="H11" s="1330"/>
      <c r="I11" s="1331"/>
      <c r="J11" s="1332"/>
      <c r="K11" s="1333"/>
      <c r="L11" s="427">
        <f t="shared" ref="L11:L37" si="3">((B11+C11)*2+240)*G11/1000</f>
        <v>0</v>
      </c>
      <c r="M11" s="427">
        <f t="shared" ref="M11:M37" si="4">B11*C11*D11/1000000</f>
        <v>0</v>
      </c>
      <c r="N11" s="427">
        <f t="shared" ref="N11:N37" si="5">E11*F11*G11/1000000/2.88/0.85</f>
        <v>0</v>
      </c>
      <c r="O11" s="427">
        <f t="shared" ref="O11:O37" si="6">(B11*C11*D11/1000000)*2</f>
        <v>0</v>
      </c>
      <c r="P11" s="427">
        <f t="shared" ref="P11:P37" si="7">O11/0.6</f>
        <v>0</v>
      </c>
    </row>
    <row r="12" spans="1:18" ht="17.100000000000001" customHeight="1">
      <c r="A12" s="442"/>
      <c r="B12" s="443"/>
      <c r="C12" s="443"/>
      <c r="D12" s="443"/>
      <c r="E12" s="443">
        <f t="shared" si="0"/>
        <v>10</v>
      </c>
      <c r="F12" s="444">
        <f t="shared" si="1"/>
        <v>10</v>
      </c>
      <c r="G12" s="443">
        <f t="shared" si="2"/>
        <v>0</v>
      </c>
      <c r="H12" s="1330"/>
      <c r="I12" s="1331"/>
      <c r="J12" s="1332"/>
      <c r="K12" s="1333"/>
      <c r="L12" s="427">
        <f t="shared" si="3"/>
        <v>0</v>
      </c>
      <c r="M12" s="427">
        <f t="shared" si="4"/>
        <v>0</v>
      </c>
      <c r="N12" s="427">
        <f t="shared" si="5"/>
        <v>0</v>
      </c>
      <c r="O12" s="427">
        <f t="shared" si="6"/>
        <v>0</v>
      </c>
      <c r="P12" s="427">
        <f t="shared" si="7"/>
        <v>0</v>
      </c>
    </row>
    <row r="13" spans="1:18" ht="17.100000000000001" customHeight="1">
      <c r="A13" s="442"/>
      <c r="B13" s="443"/>
      <c r="C13" s="443"/>
      <c r="D13" s="443"/>
      <c r="E13" s="443">
        <f t="shared" si="0"/>
        <v>10</v>
      </c>
      <c r="F13" s="444">
        <f t="shared" si="1"/>
        <v>10</v>
      </c>
      <c r="G13" s="443">
        <f t="shared" si="2"/>
        <v>0</v>
      </c>
      <c r="H13" s="1330"/>
      <c r="I13" s="1331"/>
      <c r="J13" s="1332"/>
      <c r="K13" s="1333"/>
      <c r="L13" s="427">
        <f t="shared" si="3"/>
        <v>0</v>
      </c>
      <c r="M13" s="427">
        <f t="shared" si="4"/>
        <v>0</v>
      </c>
      <c r="N13" s="427">
        <f t="shared" si="5"/>
        <v>0</v>
      </c>
      <c r="O13" s="427">
        <f t="shared" si="6"/>
        <v>0</v>
      </c>
      <c r="P13" s="427">
        <f t="shared" si="7"/>
        <v>0</v>
      </c>
    </row>
    <row r="14" spans="1:18" ht="17.100000000000001" customHeight="1">
      <c r="A14" s="442"/>
      <c r="B14" s="443"/>
      <c r="C14" s="443"/>
      <c r="D14" s="443"/>
      <c r="E14" s="443">
        <f t="shared" si="0"/>
        <v>10</v>
      </c>
      <c r="F14" s="444">
        <f t="shared" si="1"/>
        <v>10</v>
      </c>
      <c r="G14" s="443">
        <f t="shared" si="2"/>
        <v>0</v>
      </c>
      <c r="H14" s="1330"/>
      <c r="I14" s="1331"/>
      <c r="J14" s="1332"/>
      <c r="K14" s="1333"/>
      <c r="L14" s="427">
        <f t="shared" si="3"/>
        <v>0</v>
      </c>
      <c r="M14" s="427">
        <f t="shared" si="4"/>
        <v>0</v>
      </c>
      <c r="N14" s="427">
        <f t="shared" si="5"/>
        <v>0</v>
      </c>
      <c r="O14" s="427">
        <f t="shared" si="6"/>
        <v>0</v>
      </c>
      <c r="P14" s="427">
        <f t="shared" si="7"/>
        <v>0</v>
      </c>
    </row>
    <row r="15" spans="1:18" ht="17.100000000000001" customHeight="1">
      <c r="A15" s="442"/>
      <c r="B15" s="443"/>
      <c r="C15" s="443"/>
      <c r="D15" s="443"/>
      <c r="E15" s="443">
        <f t="shared" si="0"/>
        <v>10</v>
      </c>
      <c r="F15" s="444">
        <f t="shared" si="1"/>
        <v>10</v>
      </c>
      <c r="G15" s="443">
        <f t="shared" si="2"/>
        <v>0</v>
      </c>
      <c r="H15" s="1330"/>
      <c r="I15" s="1331"/>
      <c r="J15" s="1332"/>
      <c r="K15" s="1333"/>
      <c r="L15" s="427">
        <f t="shared" si="3"/>
        <v>0</v>
      </c>
      <c r="M15" s="427">
        <f t="shared" si="4"/>
        <v>0</v>
      </c>
      <c r="N15" s="427">
        <f t="shared" si="5"/>
        <v>0</v>
      </c>
      <c r="O15" s="427">
        <f t="shared" si="6"/>
        <v>0</v>
      </c>
      <c r="P15" s="427">
        <f t="shared" si="7"/>
        <v>0</v>
      </c>
    </row>
    <row r="16" spans="1:18" ht="17.100000000000001" customHeight="1">
      <c r="A16" s="442"/>
      <c r="B16" s="443"/>
      <c r="C16" s="443"/>
      <c r="D16" s="443"/>
      <c r="E16" s="443">
        <f t="shared" si="0"/>
        <v>10</v>
      </c>
      <c r="F16" s="444">
        <f t="shared" si="1"/>
        <v>10</v>
      </c>
      <c r="G16" s="443">
        <f t="shared" si="2"/>
        <v>0</v>
      </c>
      <c r="H16" s="1330"/>
      <c r="I16" s="1331"/>
      <c r="J16" s="1332"/>
      <c r="K16" s="1333"/>
      <c r="L16" s="427">
        <f t="shared" si="3"/>
        <v>0</v>
      </c>
      <c r="M16" s="427">
        <f t="shared" si="4"/>
        <v>0</v>
      </c>
      <c r="N16" s="427">
        <f t="shared" si="5"/>
        <v>0</v>
      </c>
      <c r="O16" s="427">
        <f t="shared" si="6"/>
        <v>0</v>
      </c>
      <c r="P16" s="427">
        <f t="shared" si="7"/>
        <v>0</v>
      </c>
    </row>
    <row r="17" spans="1:16" ht="17.100000000000001" customHeight="1">
      <c r="A17" s="442"/>
      <c r="B17" s="443"/>
      <c r="C17" s="443"/>
      <c r="D17" s="443"/>
      <c r="E17" s="443">
        <f t="shared" si="0"/>
        <v>10</v>
      </c>
      <c r="F17" s="444">
        <f t="shared" si="1"/>
        <v>10</v>
      </c>
      <c r="G17" s="443">
        <f t="shared" si="2"/>
        <v>0</v>
      </c>
      <c r="H17" s="1330"/>
      <c r="I17" s="1331"/>
      <c r="J17" s="1332"/>
      <c r="K17" s="1333"/>
      <c r="L17" s="427">
        <f t="shared" si="3"/>
        <v>0</v>
      </c>
      <c r="M17" s="427">
        <f t="shared" si="4"/>
        <v>0</v>
      </c>
      <c r="N17" s="427">
        <f t="shared" si="5"/>
        <v>0</v>
      </c>
      <c r="O17" s="427">
        <f t="shared" si="6"/>
        <v>0</v>
      </c>
      <c r="P17" s="427">
        <f t="shared" si="7"/>
        <v>0</v>
      </c>
    </row>
    <row r="18" spans="1:16" ht="17.100000000000001" customHeight="1">
      <c r="A18" s="442"/>
      <c r="B18" s="443"/>
      <c r="C18" s="443"/>
      <c r="D18" s="443"/>
      <c r="E18" s="443">
        <f t="shared" si="0"/>
        <v>10</v>
      </c>
      <c r="F18" s="444">
        <f t="shared" si="1"/>
        <v>10</v>
      </c>
      <c r="G18" s="443">
        <f t="shared" si="2"/>
        <v>0</v>
      </c>
      <c r="H18" s="1330"/>
      <c r="I18" s="1331"/>
      <c r="J18" s="1332"/>
      <c r="K18" s="1333"/>
      <c r="L18" s="427">
        <f t="shared" si="3"/>
        <v>0</v>
      </c>
      <c r="M18" s="427">
        <f t="shared" si="4"/>
        <v>0</v>
      </c>
      <c r="N18" s="427">
        <f t="shared" si="5"/>
        <v>0</v>
      </c>
      <c r="O18" s="427">
        <f t="shared" si="6"/>
        <v>0</v>
      </c>
      <c r="P18" s="427">
        <f t="shared" si="7"/>
        <v>0</v>
      </c>
    </row>
    <row r="19" spans="1:16" ht="17.100000000000001" customHeight="1">
      <c r="A19" s="442"/>
      <c r="B19" s="443"/>
      <c r="C19" s="443"/>
      <c r="D19" s="443"/>
      <c r="E19" s="443">
        <f t="shared" si="0"/>
        <v>10</v>
      </c>
      <c r="F19" s="444">
        <f t="shared" si="1"/>
        <v>10</v>
      </c>
      <c r="G19" s="443">
        <f t="shared" si="2"/>
        <v>0</v>
      </c>
      <c r="H19" s="1330"/>
      <c r="I19" s="1331"/>
      <c r="J19" s="1332"/>
      <c r="K19" s="1333"/>
      <c r="L19" s="427">
        <f t="shared" si="3"/>
        <v>0</v>
      </c>
      <c r="M19" s="427">
        <f t="shared" si="4"/>
        <v>0</v>
      </c>
      <c r="N19" s="427">
        <f t="shared" si="5"/>
        <v>0</v>
      </c>
      <c r="O19" s="427">
        <f t="shared" si="6"/>
        <v>0</v>
      </c>
      <c r="P19" s="427">
        <f t="shared" si="7"/>
        <v>0</v>
      </c>
    </row>
    <row r="20" spans="1:16" ht="17.100000000000001" customHeight="1">
      <c r="A20" s="442"/>
      <c r="B20" s="443"/>
      <c r="C20" s="443"/>
      <c r="D20" s="443"/>
      <c r="E20" s="443">
        <f t="shared" si="0"/>
        <v>10</v>
      </c>
      <c r="F20" s="444">
        <f t="shared" si="1"/>
        <v>10</v>
      </c>
      <c r="G20" s="443">
        <f t="shared" si="2"/>
        <v>0</v>
      </c>
      <c r="H20" s="1330"/>
      <c r="I20" s="1331"/>
      <c r="J20" s="1332"/>
      <c r="K20" s="1333"/>
      <c r="L20" s="427">
        <f t="shared" si="3"/>
        <v>0</v>
      </c>
      <c r="M20" s="427">
        <f t="shared" si="4"/>
        <v>0</v>
      </c>
      <c r="N20" s="427">
        <f t="shared" si="5"/>
        <v>0</v>
      </c>
      <c r="O20" s="427">
        <f t="shared" si="6"/>
        <v>0</v>
      </c>
      <c r="P20" s="427">
        <f t="shared" si="7"/>
        <v>0</v>
      </c>
    </row>
    <row r="21" spans="1:16" ht="17.100000000000001" customHeight="1">
      <c r="A21" s="442"/>
      <c r="B21" s="443"/>
      <c r="C21" s="443"/>
      <c r="D21" s="443"/>
      <c r="E21" s="443">
        <f t="shared" si="0"/>
        <v>10</v>
      </c>
      <c r="F21" s="444">
        <f t="shared" si="1"/>
        <v>10</v>
      </c>
      <c r="G21" s="443">
        <f t="shared" si="2"/>
        <v>0</v>
      </c>
      <c r="H21" s="1330"/>
      <c r="I21" s="1331"/>
      <c r="J21" s="1332"/>
      <c r="K21" s="1333"/>
      <c r="L21" s="427">
        <f t="shared" si="3"/>
        <v>0</v>
      </c>
      <c r="M21" s="427">
        <f t="shared" si="4"/>
        <v>0</v>
      </c>
      <c r="N21" s="427">
        <f t="shared" si="5"/>
        <v>0</v>
      </c>
      <c r="O21" s="427">
        <f t="shared" si="6"/>
        <v>0</v>
      </c>
      <c r="P21" s="427">
        <f t="shared" si="7"/>
        <v>0</v>
      </c>
    </row>
    <row r="22" spans="1:16" ht="17.100000000000001" customHeight="1">
      <c r="A22" s="442"/>
      <c r="B22" s="443"/>
      <c r="C22" s="443"/>
      <c r="D22" s="443"/>
      <c r="E22" s="443">
        <f t="shared" si="0"/>
        <v>10</v>
      </c>
      <c r="F22" s="444">
        <f t="shared" si="1"/>
        <v>10</v>
      </c>
      <c r="G22" s="443">
        <f t="shared" si="2"/>
        <v>0</v>
      </c>
      <c r="H22" s="1330"/>
      <c r="I22" s="1331"/>
      <c r="J22" s="1332"/>
      <c r="K22" s="1333"/>
      <c r="L22" s="427">
        <f t="shared" si="3"/>
        <v>0</v>
      </c>
      <c r="M22" s="427">
        <f t="shared" si="4"/>
        <v>0</v>
      </c>
      <c r="N22" s="427">
        <f t="shared" si="5"/>
        <v>0</v>
      </c>
      <c r="O22" s="427">
        <f t="shared" si="6"/>
        <v>0</v>
      </c>
      <c r="P22" s="427">
        <f t="shared" si="7"/>
        <v>0</v>
      </c>
    </row>
    <row r="23" spans="1:16" ht="17.100000000000001" customHeight="1">
      <c r="A23" s="442"/>
      <c r="B23" s="443"/>
      <c r="C23" s="443"/>
      <c r="D23" s="443"/>
      <c r="E23" s="443">
        <f t="shared" si="0"/>
        <v>10</v>
      </c>
      <c r="F23" s="444">
        <f t="shared" si="1"/>
        <v>10</v>
      </c>
      <c r="G23" s="443">
        <f t="shared" si="2"/>
        <v>0</v>
      </c>
      <c r="H23" s="1330"/>
      <c r="I23" s="1331"/>
      <c r="J23" s="1332"/>
      <c r="K23" s="1333"/>
      <c r="L23" s="427">
        <f t="shared" si="3"/>
        <v>0</v>
      </c>
      <c r="M23" s="427">
        <f t="shared" si="4"/>
        <v>0</v>
      </c>
      <c r="N23" s="427">
        <f t="shared" si="5"/>
        <v>0</v>
      </c>
      <c r="O23" s="427">
        <f t="shared" si="6"/>
        <v>0</v>
      </c>
      <c r="P23" s="427">
        <f t="shared" si="7"/>
        <v>0</v>
      </c>
    </row>
    <row r="24" spans="1:16" ht="17.100000000000001" customHeight="1">
      <c r="A24" s="442"/>
      <c r="B24" s="443"/>
      <c r="C24" s="443"/>
      <c r="D24" s="443"/>
      <c r="E24" s="443">
        <f t="shared" si="0"/>
        <v>10</v>
      </c>
      <c r="F24" s="444">
        <f t="shared" si="1"/>
        <v>10</v>
      </c>
      <c r="G24" s="443">
        <f t="shared" si="2"/>
        <v>0</v>
      </c>
      <c r="H24" s="1330"/>
      <c r="I24" s="1331"/>
      <c r="J24" s="1332"/>
      <c r="K24" s="1333"/>
      <c r="L24" s="427">
        <f t="shared" si="3"/>
        <v>0</v>
      </c>
      <c r="M24" s="427">
        <f t="shared" si="4"/>
        <v>0</v>
      </c>
      <c r="N24" s="427">
        <f t="shared" si="5"/>
        <v>0</v>
      </c>
      <c r="O24" s="427">
        <f t="shared" si="6"/>
        <v>0</v>
      </c>
      <c r="P24" s="427">
        <f t="shared" si="7"/>
        <v>0</v>
      </c>
    </row>
    <row r="25" spans="1:16" ht="17.100000000000001" customHeight="1">
      <c r="A25" s="442"/>
      <c r="B25" s="443"/>
      <c r="C25" s="443"/>
      <c r="D25" s="443"/>
      <c r="E25" s="443">
        <f t="shared" si="0"/>
        <v>10</v>
      </c>
      <c r="F25" s="444">
        <f t="shared" si="1"/>
        <v>10</v>
      </c>
      <c r="G25" s="443">
        <f t="shared" si="2"/>
        <v>0</v>
      </c>
      <c r="H25" s="1330"/>
      <c r="I25" s="1331"/>
      <c r="J25" s="1332"/>
      <c r="K25" s="1333"/>
      <c r="L25" s="427">
        <f t="shared" si="3"/>
        <v>0</v>
      </c>
      <c r="M25" s="427">
        <f t="shared" si="4"/>
        <v>0</v>
      </c>
      <c r="N25" s="427">
        <f t="shared" si="5"/>
        <v>0</v>
      </c>
      <c r="O25" s="427">
        <f t="shared" si="6"/>
        <v>0</v>
      </c>
      <c r="P25" s="427">
        <f t="shared" si="7"/>
        <v>0</v>
      </c>
    </row>
    <row r="26" spans="1:16" ht="17.100000000000001" customHeight="1">
      <c r="A26" s="442"/>
      <c r="B26" s="443"/>
      <c r="C26" s="443"/>
      <c r="D26" s="443"/>
      <c r="E26" s="443">
        <f t="shared" si="0"/>
        <v>10</v>
      </c>
      <c r="F26" s="444">
        <f t="shared" si="1"/>
        <v>10</v>
      </c>
      <c r="G26" s="443">
        <f t="shared" si="2"/>
        <v>0</v>
      </c>
      <c r="H26" s="1330"/>
      <c r="I26" s="1331"/>
      <c r="J26" s="1332"/>
      <c r="K26" s="1333"/>
      <c r="L26" s="427">
        <f t="shared" si="3"/>
        <v>0</v>
      </c>
      <c r="M26" s="427">
        <f t="shared" si="4"/>
        <v>0</v>
      </c>
      <c r="N26" s="427">
        <f t="shared" si="5"/>
        <v>0</v>
      </c>
      <c r="O26" s="427">
        <f t="shared" si="6"/>
        <v>0</v>
      </c>
      <c r="P26" s="427">
        <f t="shared" si="7"/>
        <v>0</v>
      </c>
    </row>
    <row r="27" spans="1:16" ht="17.100000000000001" customHeight="1">
      <c r="A27" s="442"/>
      <c r="B27" s="443"/>
      <c r="C27" s="443"/>
      <c r="D27" s="443"/>
      <c r="E27" s="443">
        <f t="shared" si="0"/>
        <v>10</v>
      </c>
      <c r="F27" s="444">
        <f t="shared" si="1"/>
        <v>10</v>
      </c>
      <c r="G27" s="443">
        <f t="shared" si="2"/>
        <v>0</v>
      </c>
      <c r="H27" s="1330"/>
      <c r="I27" s="1331"/>
      <c r="J27" s="1332"/>
      <c r="K27" s="1333"/>
      <c r="L27" s="427">
        <f t="shared" si="3"/>
        <v>0</v>
      </c>
      <c r="M27" s="427">
        <f t="shared" si="4"/>
        <v>0</v>
      </c>
      <c r="N27" s="427">
        <f t="shared" si="5"/>
        <v>0</v>
      </c>
      <c r="O27" s="427">
        <f t="shared" si="6"/>
        <v>0</v>
      </c>
      <c r="P27" s="427">
        <f t="shared" si="7"/>
        <v>0</v>
      </c>
    </row>
    <row r="28" spans="1:16" ht="17.100000000000001" customHeight="1">
      <c r="A28" s="442"/>
      <c r="B28" s="443"/>
      <c r="C28" s="443"/>
      <c r="D28" s="443"/>
      <c r="E28" s="443">
        <f t="shared" si="0"/>
        <v>10</v>
      </c>
      <c r="F28" s="444">
        <f t="shared" si="1"/>
        <v>10</v>
      </c>
      <c r="G28" s="443">
        <f t="shared" si="2"/>
        <v>0</v>
      </c>
      <c r="H28" s="1330"/>
      <c r="I28" s="1331"/>
      <c r="J28" s="1332"/>
      <c r="K28" s="1333"/>
      <c r="L28" s="427">
        <f t="shared" si="3"/>
        <v>0</v>
      </c>
      <c r="M28" s="427">
        <f t="shared" si="4"/>
        <v>0</v>
      </c>
      <c r="N28" s="427">
        <f t="shared" si="5"/>
        <v>0</v>
      </c>
      <c r="O28" s="427">
        <f t="shared" si="6"/>
        <v>0</v>
      </c>
      <c r="P28" s="427">
        <f t="shared" si="7"/>
        <v>0</v>
      </c>
    </row>
    <row r="29" spans="1:16" ht="17.100000000000001" customHeight="1">
      <c r="A29" s="442"/>
      <c r="B29" s="443"/>
      <c r="C29" s="443"/>
      <c r="D29" s="443"/>
      <c r="E29" s="443">
        <f t="shared" si="0"/>
        <v>10</v>
      </c>
      <c r="F29" s="444">
        <f t="shared" si="1"/>
        <v>10</v>
      </c>
      <c r="G29" s="443">
        <f t="shared" si="2"/>
        <v>0</v>
      </c>
      <c r="H29" s="1330"/>
      <c r="I29" s="1331"/>
      <c r="J29" s="1332"/>
      <c r="K29" s="1333"/>
      <c r="L29" s="427">
        <f t="shared" si="3"/>
        <v>0</v>
      </c>
      <c r="M29" s="427">
        <f t="shared" si="4"/>
        <v>0</v>
      </c>
      <c r="N29" s="427">
        <f t="shared" si="5"/>
        <v>0</v>
      </c>
      <c r="O29" s="427">
        <f t="shared" si="6"/>
        <v>0</v>
      </c>
      <c r="P29" s="427">
        <f t="shared" si="7"/>
        <v>0</v>
      </c>
    </row>
    <row r="30" spans="1:16" ht="17.100000000000001" customHeight="1">
      <c r="A30" s="442"/>
      <c r="B30" s="443"/>
      <c r="C30" s="443"/>
      <c r="D30" s="443"/>
      <c r="E30" s="443">
        <f t="shared" si="0"/>
        <v>10</v>
      </c>
      <c r="F30" s="444">
        <f t="shared" si="1"/>
        <v>10</v>
      </c>
      <c r="G30" s="443">
        <f t="shared" si="2"/>
        <v>0</v>
      </c>
      <c r="H30" s="1330"/>
      <c r="I30" s="1331"/>
      <c r="J30" s="1332"/>
      <c r="K30" s="1333"/>
      <c r="L30" s="427">
        <f t="shared" si="3"/>
        <v>0</v>
      </c>
      <c r="M30" s="427">
        <f t="shared" si="4"/>
        <v>0</v>
      </c>
      <c r="N30" s="427">
        <f t="shared" si="5"/>
        <v>0</v>
      </c>
      <c r="O30" s="427">
        <f t="shared" si="6"/>
        <v>0</v>
      </c>
      <c r="P30" s="427">
        <f t="shared" si="7"/>
        <v>0</v>
      </c>
    </row>
    <row r="31" spans="1:16" ht="17.100000000000001" customHeight="1">
      <c r="A31" s="442"/>
      <c r="B31" s="443"/>
      <c r="C31" s="443"/>
      <c r="D31" s="443"/>
      <c r="E31" s="443">
        <f t="shared" si="0"/>
        <v>10</v>
      </c>
      <c r="F31" s="444">
        <f t="shared" si="1"/>
        <v>10</v>
      </c>
      <c r="G31" s="443">
        <f t="shared" si="2"/>
        <v>0</v>
      </c>
      <c r="H31" s="1330"/>
      <c r="I31" s="1331"/>
      <c r="J31" s="1332"/>
      <c r="K31" s="1333"/>
      <c r="L31" s="427">
        <f t="shared" si="3"/>
        <v>0</v>
      </c>
      <c r="M31" s="427">
        <f t="shared" si="4"/>
        <v>0</v>
      </c>
      <c r="N31" s="427">
        <f t="shared" si="5"/>
        <v>0</v>
      </c>
      <c r="O31" s="427">
        <f t="shared" si="6"/>
        <v>0</v>
      </c>
      <c r="P31" s="427">
        <f t="shared" si="7"/>
        <v>0</v>
      </c>
    </row>
    <row r="32" spans="1:16" ht="17.100000000000001" customHeight="1">
      <c r="A32" s="442"/>
      <c r="B32" s="443"/>
      <c r="C32" s="443"/>
      <c r="D32" s="443"/>
      <c r="E32" s="443">
        <f t="shared" si="0"/>
        <v>10</v>
      </c>
      <c r="F32" s="444">
        <f t="shared" si="1"/>
        <v>10</v>
      </c>
      <c r="G32" s="443">
        <f t="shared" si="2"/>
        <v>0</v>
      </c>
      <c r="H32" s="1330"/>
      <c r="I32" s="1331"/>
      <c r="J32" s="1332"/>
      <c r="K32" s="1333"/>
      <c r="L32" s="427">
        <f t="shared" si="3"/>
        <v>0</v>
      </c>
      <c r="M32" s="427">
        <f t="shared" si="4"/>
        <v>0</v>
      </c>
      <c r="N32" s="427">
        <f t="shared" si="5"/>
        <v>0</v>
      </c>
      <c r="O32" s="427">
        <f t="shared" si="6"/>
        <v>0</v>
      </c>
      <c r="P32" s="427">
        <f t="shared" si="7"/>
        <v>0</v>
      </c>
    </row>
    <row r="33" spans="1:17" ht="17.100000000000001" customHeight="1">
      <c r="A33" s="445" t="s">
        <v>1028</v>
      </c>
      <c r="B33" s="443">
        <v>2400</v>
      </c>
      <c r="C33" s="443"/>
      <c r="D33" s="443"/>
      <c r="E33" s="443">
        <f t="shared" si="0"/>
        <v>10</v>
      </c>
      <c r="F33" s="444">
        <f t="shared" si="1"/>
        <v>2410</v>
      </c>
      <c r="G33" s="443">
        <f t="shared" si="2"/>
        <v>0</v>
      </c>
      <c r="H33" s="1330"/>
      <c r="I33" s="1331"/>
      <c r="J33" s="1332"/>
      <c r="K33" s="1333"/>
      <c r="L33" s="427">
        <f t="shared" si="3"/>
        <v>0</v>
      </c>
      <c r="M33" s="427">
        <f t="shared" si="4"/>
        <v>0</v>
      </c>
      <c r="N33" s="427">
        <f t="shared" si="5"/>
        <v>0</v>
      </c>
      <c r="O33" s="427">
        <f t="shared" si="6"/>
        <v>0</v>
      </c>
      <c r="P33" s="427">
        <f t="shared" si="7"/>
        <v>0</v>
      </c>
    </row>
    <row r="34" spans="1:17" ht="17.100000000000001" customHeight="1">
      <c r="A34" s="445"/>
      <c r="B34" s="443"/>
      <c r="C34" s="443"/>
      <c r="D34" s="443"/>
      <c r="E34" s="443"/>
      <c r="F34" s="444"/>
      <c r="G34" s="443"/>
      <c r="H34" s="1323"/>
      <c r="I34" s="1324"/>
      <c r="J34" s="1323"/>
      <c r="K34" s="1325"/>
      <c r="L34" s="427">
        <f t="shared" si="3"/>
        <v>0</v>
      </c>
      <c r="M34" s="427">
        <f t="shared" si="4"/>
        <v>0</v>
      </c>
      <c r="N34" s="427">
        <f t="shared" si="5"/>
        <v>0</v>
      </c>
      <c r="O34" s="427">
        <f t="shared" si="6"/>
        <v>0</v>
      </c>
      <c r="P34" s="427">
        <f t="shared" si="7"/>
        <v>0</v>
      </c>
    </row>
    <row r="35" spans="1:17" ht="17.100000000000001" customHeight="1">
      <c r="A35" s="445"/>
      <c r="B35" s="443"/>
      <c r="C35" s="443"/>
      <c r="D35" s="443"/>
      <c r="E35" s="443"/>
      <c r="F35" s="444"/>
      <c r="G35" s="443"/>
      <c r="H35" s="1323"/>
      <c r="I35" s="1324"/>
      <c r="J35" s="1323"/>
      <c r="K35" s="1325"/>
      <c r="L35" s="427">
        <f t="shared" si="3"/>
        <v>0</v>
      </c>
      <c r="M35" s="427">
        <f t="shared" si="4"/>
        <v>0</v>
      </c>
      <c r="N35" s="427">
        <f t="shared" si="5"/>
        <v>0</v>
      </c>
      <c r="O35" s="427">
        <f t="shared" si="6"/>
        <v>0</v>
      </c>
      <c r="P35" s="427">
        <f t="shared" si="7"/>
        <v>0</v>
      </c>
    </row>
    <row r="36" spans="1:17" ht="17.100000000000001" customHeight="1">
      <c r="A36" s="446"/>
      <c r="B36" s="447"/>
      <c r="C36" s="447"/>
      <c r="D36" s="448"/>
      <c r="E36" s="443"/>
      <c r="F36" s="444"/>
      <c r="G36" s="443"/>
      <c r="H36" s="1323"/>
      <c r="I36" s="1324"/>
      <c r="J36" s="1323"/>
      <c r="K36" s="1325"/>
      <c r="L36" s="427">
        <f t="shared" si="3"/>
        <v>0</v>
      </c>
      <c r="M36" s="427">
        <f t="shared" si="4"/>
        <v>0</v>
      </c>
      <c r="N36" s="427">
        <f t="shared" si="5"/>
        <v>0</v>
      </c>
      <c r="O36" s="427">
        <f t="shared" si="6"/>
        <v>0</v>
      </c>
      <c r="P36" s="427">
        <f t="shared" si="7"/>
        <v>0</v>
      </c>
    </row>
    <row r="37" spans="1:17" ht="17.100000000000001" customHeight="1" thickBot="1">
      <c r="A37" s="449"/>
      <c r="B37" s="450"/>
      <c r="C37" s="450"/>
      <c r="D37" s="451"/>
      <c r="E37" s="450"/>
      <c r="F37" s="452"/>
      <c r="G37" s="450"/>
      <c r="H37" s="1326"/>
      <c r="I37" s="1327"/>
      <c r="J37" s="1326"/>
      <c r="K37" s="1328"/>
      <c r="L37" s="427">
        <f t="shared" si="3"/>
        <v>0</v>
      </c>
      <c r="M37" s="427">
        <f t="shared" si="4"/>
        <v>0</v>
      </c>
      <c r="N37" s="427">
        <f t="shared" si="5"/>
        <v>0</v>
      </c>
      <c r="O37" s="427">
        <f t="shared" si="6"/>
        <v>0</v>
      </c>
      <c r="P37" s="427">
        <f t="shared" si="7"/>
        <v>0</v>
      </c>
    </row>
    <row r="38" spans="1:17" s="455" customFormat="1" ht="20.100000000000001" customHeight="1">
      <c r="A38" s="950"/>
      <c r="B38" s="950"/>
      <c r="C38" s="950"/>
      <c r="D38" s="950"/>
      <c r="E38" s="950"/>
      <c r="F38" s="950"/>
      <c r="G38" s="950"/>
      <c r="H38" s="950"/>
      <c r="I38" s="950"/>
      <c r="J38" s="950"/>
      <c r="K38" s="950"/>
      <c r="L38" s="453">
        <f>SUM(L10:L37)</f>
        <v>0</v>
      </c>
      <c r="M38" s="453">
        <f>SUM(M10:M37)</f>
        <v>0</v>
      </c>
      <c r="N38" s="453">
        <f>SUM(N10:N37)</f>
        <v>0</v>
      </c>
      <c r="O38" s="453">
        <f>SUM(O10:O37)</f>
        <v>0</v>
      </c>
      <c r="P38" s="453">
        <f>SUM(P10:P37)</f>
        <v>0</v>
      </c>
      <c r="Q38" s="454" t="s">
        <v>1029</v>
      </c>
    </row>
    <row r="39" spans="1:17" s="460" customFormat="1" ht="20.100000000000001" customHeight="1">
      <c r="A39" s="456"/>
      <c r="B39" s="1329" t="s">
        <v>1030</v>
      </c>
      <c r="C39" s="1329"/>
      <c r="D39" s="1329"/>
      <c r="E39" s="1329"/>
      <c r="F39" s="1329"/>
      <c r="G39" s="1329"/>
      <c r="H39" s="1329"/>
      <c r="I39" s="1329"/>
      <c r="J39" s="457" t="s">
        <v>1031</v>
      </c>
      <c r="K39" s="458">
        <f>O38+L39</f>
        <v>0</v>
      </c>
      <c r="L39" s="459">
        <f>L38*0.018</f>
        <v>0</v>
      </c>
      <c r="M39" s="459"/>
      <c r="N39" s="459"/>
      <c r="O39" s="459"/>
      <c r="P39" s="459"/>
    </row>
    <row r="40" spans="1:17" ht="21" customHeight="1">
      <c r="A40" s="935" t="s">
        <v>1032</v>
      </c>
      <c r="B40" s="935"/>
      <c r="C40" s="935"/>
      <c r="D40" s="935"/>
      <c r="E40" s="935"/>
      <c r="F40" s="935"/>
      <c r="G40" s="935"/>
      <c r="H40" s="935"/>
      <c r="I40" s="935"/>
      <c r="J40" s="935"/>
      <c r="K40" s="935"/>
      <c r="L40" s="441" t="s">
        <v>1033</v>
      </c>
    </row>
    <row r="41" spans="1:17" ht="13.5" customHeight="1">
      <c r="A41" s="461"/>
      <c r="B41" s="462"/>
      <c r="C41" s="463"/>
      <c r="D41" s="463"/>
      <c r="E41" s="463"/>
      <c r="F41" s="464"/>
      <c r="G41" s="465"/>
      <c r="H41" s="464"/>
      <c r="I41" s="466"/>
      <c r="J41" s="466"/>
      <c r="K41" s="467"/>
    </row>
    <row r="42" spans="1:17" ht="18" customHeight="1">
      <c r="A42" s="468" t="s">
        <v>1034</v>
      </c>
      <c r="B42" s="929" t="s">
        <v>1258</v>
      </c>
      <c r="C42" s="929"/>
      <c r="D42" s="429"/>
      <c r="E42" s="469"/>
      <c r="F42" s="930"/>
      <c r="G42" s="930"/>
      <c r="H42" s="429"/>
      <c r="I42" s="466"/>
      <c r="J42" s="466"/>
    </row>
    <row r="43" spans="1:17" ht="20.25">
      <c r="A43" s="467"/>
      <c r="B43" s="467"/>
      <c r="C43" s="467"/>
      <c r="D43" s="467"/>
      <c r="E43" s="467"/>
      <c r="F43" s="467"/>
      <c r="G43" s="467"/>
      <c r="H43" s="467"/>
      <c r="I43" s="467"/>
      <c r="J43" s="467"/>
      <c r="K43" s="467"/>
    </row>
    <row r="44" spans="1:17" ht="20.25">
      <c r="A44" s="467"/>
      <c r="B44" s="467"/>
      <c r="C44" s="467"/>
      <c r="D44" s="467"/>
      <c r="E44" s="467"/>
      <c r="F44" s="467"/>
      <c r="G44" s="467"/>
      <c r="H44" s="467"/>
      <c r="I44" s="467"/>
      <c r="J44" s="467"/>
      <c r="K44" s="467"/>
    </row>
    <row r="45" spans="1:17" ht="20.25">
      <c r="A45" s="467"/>
      <c r="B45" s="467"/>
      <c r="C45" s="467"/>
      <c r="D45" s="467"/>
      <c r="E45" s="467"/>
      <c r="F45" s="467"/>
      <c r="G45" s="467"/>
      <c r="H45" s="467"/>
      <c r="I45" s="467"/>
      <c r="J45" s="467"/>
      <c r="K45" s="467"/>
    </row>
    <row r="46" spans="1:17" ht="20.25">
      <c r="A46" s="467"/>
      <c r="B46" s="467"/>
      <c r="C46" s="467"/>
      <c r="D46" s="467"/>
      <c r="E46" s="467"/>
      <c r="F46" s="467"/>
      <c r="G46" s="467"/>
      <c r="H46" s="467"/>
      <c r="I46" s="467"/>
      <c r="J46" s="467"/>
      <c r="K46" s="467"/>
    </row>
    <row r="47" spans="1:17" ht="20.25">
      <c r="A47" s="467"/>
      <c r="B47" s="467"/>
      <c r="C47" s="467"/>
      <c r="D47" s="467"/>
      <c r="E47" s="467"/>
      <c r="F47" s="467"/>
      <c r="G47" s="467"/>
      <c r="H47" s="467"/>
      <c r="I47" s="467"/>
      <c r="J47" s="467"/>
      <c r="K47" s="467"/>
    </row>
    <row r="48" spans="1:17" ht="20.25">
      <c r="A48" s="467"/>
      <c r="B48" s="467"/>
      <c r="C48" s="467"/>
      <c r="D48" s="467"/>
      <c r="E48" s="467"/>
      <c r="F48" s="467"/>
      <c r="G48" s="467"/>
      <c r="H48" s="467"/>
      <c r="I48" s="467"/>
      <c r="J48" s="467"/>
      <c r="K48" s="467"/>
    </row>
    <row r="49" spans="1:11" ht="20.25">
      <c r="A49" s="467"/>
      <c r="B49" s="467"/>
      <c r="C49" s="467"/>
      <c r="D49" s="467"/>
      <c r="E49" s="467"/>
      <c r="F49" s="467"/>
      <c r="G49" s="467"/>
      <c r="H49" s="467"/>
      <c r="I49" s="467"/>
      <c r="J49" s="467"/>
      <c r="K49" s="467"/>
    </row>
    <row r="50" spans="1:11" ht="20.25">
      <c r="A50" s="467"/>
      <c r="B50" s="467"/>
      <c r="C50" s="467"/>
      <c r="D50" s="467"/>
      <c r="E50" s="467"/>
      <c r="F50" s="467"/>
      <c r="G50" s="467"/>
      <c r="H50" s="467"/>
      <c r="I50" s="467"/>
      <c r="J50" s="467"/>
      <c r="K50" s="467"/>
    </row>
    <row r="51" spans="1:11" ht="20.25">
      <c r="A51" s="467"/>
      <c r="B51" s="467"/>
      <c r="C51" s="467"/>
      <c r="D51" s="467"/>
      <c r="E51" s="467"/>
      <c r="F51" s="467"/>
      <c r="G51" s="467"/>
      <c r="H51" s="467"/>
      <c r="I51" s="467"/>
      <c r="J51" s="467"/>
      <c r="K51" s="467"/>
    </row>
    <row r="52" spans="1:11" ht="20.25">
      <c r="A52" s="467"/>
      <c r="B52" s="467"/>
      <c r="C52" s="467"/>
      <c r="D52" s="467"/>
      <c r="E52" s="467"/>
      <c r="F52" s="467"/>
      <c r="G52" s="467"/>
      <c r="H52" s="467"/>
      <c r="I52" s="467"/>
      <c r="J52" s="467"/>
      <c r="K52" s="467"/>
    </row>
    <row r="53" spans="1:11" ht="20.25">
      <c r="A53" s="467"/>
      <c r="B53" s="467"/>
      <c r="C53" s="467"/>
      <c r="D53" s="467"/>
      <c r="E53" s="467"/>
      <c r="F53" s="467"/>
      <c r="G53" s="467"/>
      <c r="H53" s="467"/>
      <c r="I53" s="467"/>
      <c r="J53" s="467"/>
      <c r="K53" s="467"/>
    </row>
    <row r="54" spans="1:11" ht="20.25">
      <c r="A54" s="467"/>
      <c r="B54" s="467"/>
      <c r="C54" s="467"/>
      <c r="D54" s="467"/>
      <c r="E54" s="467"/>
      <c r="F54" s="467"/>
      <c r="G54" s="467"/>
      <c r="H54" s="467"/>
      <c r="I54" s="467"/>
      <c r="J54" s="467"/>
      <c r="K54" s="467"/>
    </row>
    <row r="55" spans="1:11" ht="20.25">
      <c r="A55" s="467"/>
      <c r="B55" s="467"/>
      <c r="C55" s="467"/>
      <c r="D55" s="467"/>
      <c r="E55" s="467"/>
      <c r="F55" s="467"/>
      <c r="G55" s="467"/>
      <c r="H55" s="467"/>
      <c r="I55" s="467"/>
      <c r="J55" s="467"/>
      <c r="K55" s="467"/>
    </row>
    <row r="56" spans="1:11" ht="20.25">
      <c r="A56" s="467"/>
      <c r="B56" s="467"/>
      <c r="C56" s="467"/>
      <c r="D56" s="467"/>
      <c r="E56" s="467"/>
      <c r="F56" s="467"/>
      <c r="G56" s="467"/>
      <c r="H56" s="467"/>
      <c r="I56" s="467"/>
      <c r="J56" s="467"/>
      <c r="K56" s="467"/>
    </row>
    <row r="57" spans="1:11" ht="20.25">
      <c r="A57" s="467"/>
      <c r="B57" s="467"/>
      <c r="C57" s="467"/>
      <c r="D57" s="467"/>
      <c r="E57" s="467"/>
      <c r="F57" s="467"/>
      <c r="G57" s="467"/>
      <c r="H57" s="467"/>
      <c r="I57" s="467"/>
      <c r="J57" s="467"/>
      <c r="K57" s="467"/>
    </row>
    <row r="58" spans="1:11" ht="20.25">
      <c r="A58" s="467"/>
      <c r="B58" s="467"/>
      <c r="C58" s="467"/>
      <c r="D58" s="467"/>
      <c r="E58" s="467"/>
      <c r="F58" s="467"/>
      <c r="G58" s="467"/>
      <c r="H58" s="467"/>
      <c r="I58" s="467"/>
      <c r="J58" s="467"/>
      <c r="K58" s="467"/>
    </row>
    <row r="59" spans="1:11" ht="20.25">
      <c r="A59" s="467"/>
      <c r="B59" s="467"/>
      <c r="C59" s="467"/>
      <c r="D59" s="467"/>
      <c r="E59" s="467"/>
      <c r="F59" s="467"/>
      <c r="G59" s="467"/>
      <c r="H59" s="467"/>
      <c r="I59" s="467"/>
      <c r="J59" s="467"/>
      <c r="K59" s="467"/>
    </row>
    <row r="60" spans="1:11" ht="20.25">
      <c r="A60" s="467"/>
      <c r="B60" s="467"/>
      <c r="C60" s="467"/>
      <c r="D60" s="467"/>
      <c r="E60" s="467"/>
      <c r="F60" s="467"/>
      <c r="G60" s="467"/>
      <c r="H60" s="467"/>
      <c r="I60" s="467"/>
      <c r="J60" s="467"/>
      <c r="K60" s="467"/>
    </row>
    <row r="61" spans="1:11" ht="20.25">
      <c r="A61" s="467"/>
      <c r="B61" s="467"/>
      <c r="C61" s="467"/>
      <c r="D61" s="467"/>
      <c r="E61" s="467"/>
      <c r="F61" s="467"/>
      <c r="G61" s="467"/>
      <c r="H61" s="467"/>
      <c r="I61" s="467"/>
      <c r="J61" s="467"/>
      <c r="K61" s="467"/>
    </row>
    <row r="62" spans="1:11" ht="20.25">
      <c r="A62" s="467"/>
      <c r="B62" s="467"/>
      <c r="C62" s="467"/>
      <c r="D62" s="467"/>
      <c r="E62" s="467"/>
      <c r="F62" s="467"/>
      <c r="G62" s="467"/>
      <c r="H62" s="467"/>
      <c r="I62" s="467"/>
      <c r="J62" s="467"/>
      <c r="K62" s="467"/>
    </row>
    <row r="63" spans="1:11" ht="20.25">
      <c r="A63" s="467"/>
      <c r="B63" s="467"/>
      <c r="C63" s="467"/>
      <c r="D63" s="467"/>
      <c r="E63" s="467"/>
      <c r="F63" s="467"/>
      <c r="G63" s="467"/>
      <c r="H63" s="467"/>
      <c r="I63" s="467"/>
      <c r="J63" s="467"/>
      <c r="K63" s="467"/>
    </row>
    <row r="64" spans="1:11" ht="20.25">
      <c r="A64" s="467"/>
      <c r="B64" s="467"/>
      <c r="C64" s="467"/>
      <c r="D64" s="467"/>
      <c r="E64" s="467"/>
      <c r="F64" s="467"/>
      <c r="G64" s="467"/>
      <c r="H64" s="467"/>
      <c r="I64" s="467"/>
      <c r="J64" s="467"/>
      <c r="K64" s="467"/>
    </row>
    <row r="65" spans="1:11" ht="20.25">
      <c r="A65" s="467"/>
      <c r="B65" s="467"/>
      <c r="C65" s="467"/>
      <c r="D65" s="467"/>
      <c r="E65" s="467"/>
      <c r="F65" s="467"/>
      <c r="G65" s="467"/>
      <c r="H65" s="467"/>
      <c r="I65" s="467"/>
      <c r="J65" s="467"/>
      <c r="K65" s="467"/>
    </row>
    <row r="66" spans="1:11" ht="20.25">
      <c r="A66" s="467"/>
      <c r="B66" s="467"/>
      <c r="C66" s="467"/>
      <c r="D66" s="467"/>
      <c r="E66" s="467"/>
      <c r="F66" s="467"/>
      <c r="G66" s="467"/>
      <c r="H66" s="467"/>
      <c r="I66" s="467"/>
      <c r="J66" s="467"/>
      <c r="K66" s="467"/>
    </row>
    <row r="67" spans="1:11" ht="20.25">
      <c r="A67" s="467"/>
      <c r="B67" s="467"/>
      <c r="C67" s="467"/>
      <c r="D67" s="467"/>
      <c r="E67" s="467"/>
      <c r="F67" s="467"/>
      <c r="G67" s="467"/>
      <c r="H67" s="467"/>
      <c r="I67" s="467"/>
      <c r="J67" s="467"/>
      <c r="K67" s="467"/>
    </row>
    <row r="68" spans="1:11" ht="20.25">
      <c r="A68" s="467"/>
      <c r="B68" s="467"/>
      <c r="C68" s="467"/>
      <c r="D68" s="467"/>
      <c r="E68" s="467"/>
      <c r="F68" s="467"/>
      <c r="G68" s="467"/>
      <c r="H68" s="467"/>
      <c r="I68" s="467"/>
      <c r="J68" s="467"/>
      <c r="K68" s="467"/>
    </row>
    <row r="69" spans="1:11" ht="20.25">
      <c r="A69" s="467"/>
      <c r="B69" s="467"/>
      <c r="C69" s="467"/>
      <c r="D69" s="467"/>
      <c r="E69" s="467"/>
      <c r="F69" s="467"/>
      <c r="G69" s="467"/>
      <c r="H69" s="467"/>
      <c r="I69" s="467"/>
      <c r="J69" s="467"/>
      <c r="K69" s="467"/>
    </row>
    <row r="70" spans="1:11" ht="20.25">
      <c r="A70" s="467"/>
      <c r="B70" s="467"/>
      <c r="C70" s="467"/>
      <c r="D70" s="467"/>
      <c r="E70" s="467"/>
      <c r="F70" s="467"/>
      <c r="G70" s="467"/>
      <c r="H70" s="467"/>
      <c r="I70" s="467"/>
      <c r="J70" s="467"/>
      <c r="K70" s="467"/>
    </row>
    <row r="71" spans="1:11" ht="20.25">
      <c r="A71" s="467"/>
      <c r="B71" s="467"/>
      <c r="C71" s="467"/>
      <c r="D71" s="467"/>
      <c r="E71" s="467"/>
      <c r="F71" s="467"/>
      <c r="G71" s="467"/>
      <c r="H71" s="467"/>
      <c r="I71" s="467"/>
      <c r="J71" s="467"/>
      <c r="K71" s="467"/>
    </row>
    <row r="72" spans="1:11" ht="20.25">
      <c r="A72" s="467"/>
      <c r="B72" s="467"/>
      <c r="C72" s="467"/>
      <c r="D72" s="467"/>
      <c r="E72" s="467"/>
      <c r="F72" s="467"/>
      <c r="G72" s="467"/>
      <c r="H72" s="467"/>
      <c r="I72" s="467"/>
      <c r="J72" s="467"/>
      <c r="K72" s="467"/>
    </row>
    <row r="73" spans="1:11" ht="20.25">
      <c r="A73" s="467"/>
      <c r="B73" s="467"/>
      <c r="C73" s="467"/>
      <c r="D73" s="467"/>
      <c r="E73" s="467"/>
      <c r="F73" s="467"/>
      <c r="G73" s="467"/>
      <c r="H73" s="467"/>
      <c r="I73" s="467"/>
      <c r="J73" s="467"/>
      <c r="K73" s="467"/>
    </row>
    <row r="74" spans="1:11" ht="20.25">
      <c r="A74" s="467"/>
      <c r="B74" s="467"/>
      <c r="C74" s="467"/>
      <c r="D74" s="467"/>
      <c r="E74" s="467"/>
      <c r="F74" s="467"/>
      <c r="G74" s="467"/>
      <c r="H74" s="467"/>
      <c r="I74" s="467"/>
      <c r="J74" s="467"/>
      <c r="K74" s="467"/>
    </row>
    <row r="75" spans="1:11" ht="20.25">
      <c r="A75" s="467"/>
      <c r="B75" s="467"/>
      <c r="C75" s="467"/>
      <c r="D75" s="467"/>
      <c r="E75" s="467"/>
      <c r="F75" s="467"/>
      <c r="G75" s="467"/>
      <c r="H75" s="467"/>
      <c r="I75" s="467"/>
      <c r="J75" s="467"/>
      <c r="K75" s="467"/>
    </row>
    <row r="76" spans="1:11" ht="20.25">
      <c r="A76" s="467"/>
      <c r="B76" s="467"/>
      <c r="C76" s="467"/>
      <c r="D76" s="467"/>
      <c r="E76" s="467"/>
      <c r="F76" s="467"/>
      <c r="G76" s="467"/>
      <c r="H76" s="467"/>
      <c r="I76" s="467"/>
      <c r="J76" s="467"/>
      <c r="K76" s="467"/>
    </row>
    <row r="77" spans="1:11" ht="20.25">
      <c r="A77" s="467"/>
      <c r="B77" s="467"/>
      <c r="C77" s="467"/>
      <c r="D77" s="467"/>
      <c r="E77" s="467"/>
      <c r="F77" s="467"/>
      <c r="G77" s="467"/>
      <c r="H77" s="467"/>
      <c r="I77" s="467"/>
      <c r="J77" s="467"/>
      <c r="K77" s="467"/>
    </row>
    <row r="78" spans="1:11" ht="20.25">
      <c r="A78" s="467"/>
      <c r="B78" s="467"/>
      <c r="C78" s="467"/>
      <c r="D78" s="467"/>
      <c r="E78" s="467"/>
      <c r="F78" s="467"/>
      <c r="G78" s="467"/>
      <c r="H78" s="467"/>
      <c r="I78" s="467"/>
      <c r="J78" s="467"/>
      <c r="K78" s="467"/>
    </row>
    <row r="79" spans="1:11" ht="20.25">
      <c r="A79" s="467"/>
      <c r="B79" s="467"/>
      <c r="C79" s="467"/>
      <c r="D79" s="467"/>
      <c r="E79" s="467"/>
      <c r="F79" s="467"/>
      <c r="G79" s="467"/>
      <c r="H79" s="467"/>
      <c r="I79" s="467"/>
      <c r="J79" s="467"/>
      <c r="K79" s="467"/>
    </row>
    <row r="80" spans="1:11" ht="20.25">
      <c r="A80" s="467"/>
      <c r="B80" s="467"/>
      <c r="C80" s="467"/>
      <c r="D80" s="467"/>
      <c r="E80" s="467"/>
      <c r="F80" s="467"/>
      <c r="G80" s="467"/>
      <c r="H80" s="467"/>
      <c r="I80" s="467"/>
      <c r="J80" s="467"/>
      <c r="K80" s="467"/>
    </row>
    <row r="81" spans="1:11" ht="20.25">
      <c r="A81" s="467"/>
      <c r="B81" s="467"/>
      <c r="C81" s="467"/>
      <c r="D81" s="467"/>
      <c r="E81" s="467"/>
      <c r="F81" s="467"/>
      <c r="G81" s="467"/>
      <c r="H81" s="467"/>
      <c r="I81" s="467"/>
      <c r="J81" s="467"/>
      <c r="K81" s="467"/>
    </row>
    <row r="82" spans="1:11" ht="20.25">
      <c r="A82" s="467"/>
      <c r="B82" s="467"/>
      <c r="C82" s="467"/>
      <c r="D82" s="467"/>
      <c r="E82" s="467"/>
      <c r="F82" s="467"/>
      <c r="G82" s="467"/>
      <c r="H82" s="467"/>
      <c r="I82" s="467"/>
      <c r="J82" s="467"/>
      <c r="K82" s="467"/>
    </row>
    <row r="83" spans="1:11" ht="20.25">
      <c r="A83" s="467"/>
      <c r="B83" s="467"/>
      <c r="C83" s="467"/>
      <c r="D83" s="467"/>
      <c r="E83" s="467"/>
      <c r="F83" s="467"/>
      <c r="G83" s="467"/>
      <c r="H83" s="467"/>
      <c r="I83" s="467"/>
      <c r="J83" s="467"/>
      <c r="K83" s="467"/>
    </row>
    <row r="84" spans="1:11" ht="20.25">
      <c r="A84" s="467"/>
      <c r="B84" s="467"/>
      <c r="C84" s="467"/>
      <c r="D84" s="467"/>
      <c r="E84" s="467"/>
      <c r="F84" s="467"/>
      <c r="G84" s="467"/>
      <c r="H84" s="467"/>
      <c r="I84" s="467"/>
      <c r="J84" s="467"/>
      <c r="K84" s="467"/>
    </row>
    <row r="85" spans="1:11" ht="20.25">
      <c r="A85" s="467"/>
      <c r="B85" s="467"/>
      <c r="C85" s="467"/>
      <c r="D85" s="467"/>
      <c r="E85" s="467"/>
      <c r="F85" s="467"/>
      <c r="G85" s="467"/>
      <c r="H85" s="467"/>
      <c r="I85" s="467"/>
      <c r="J85" s="467"/>
      <c r="K85" s="467"/>
    </row>
    <row r="86" spans="1:11" ht="20.25">
      <c r="A86" s="467"/>
      <c r="B86" s="467"/>
      <c r="C86" s="467"/>
      <c r="D86" s="467"/>
      <c r="E86" s="467"/>
      <c r="F86" s="467"/>
      <c r="G86" s="467"/>
      <c r="H86" s="467"/>
      <c r="I86" s="467"/>
      <c r="J86" s="467"/>
      <c r="K86" s="467"/>
    </row>
    <row r="87" spans="1:11" ht="20.25">
      <c r="A87" s="467"/>
      <c r="B87" s="467"/>
      <c r="C87" s="467"/>
      <c r="D87" s="467"/>
      <c r="E87" s="467"/>
      <c r="F87" s="467"/>
      <c r="G87" s="467"/>
      <c r="H87" s="467"/>
      <c r="I87" s="467"/>
      <c r="J87" s="467"/>
      <c r="K87" s="467"/>
    </row>
    <row r="88" spans="1:11" ht="20.25">
      <c r="A88" s="467"/>
      <c r="B88" s="467"/>
      <c r="C88" s="467"/>
      <c r="D88" s="467"/>
      <c r="E88" s="467"/>
      <c r="F88" s="467"/>
      <c r="G88" s="467"/>
      <c r="H88" s="467"/>
      <c r="I88" s="467"/>
      <c r="J88" s="467"/>
      <c r="K88" s="467"/>
    </row>
    <row r="89" spans="1:11" ht="20.25">
      <c r="A89" s="467"/>
      <c r="B89" s="467"/>
      <c r="C89" s="467"/>
      <c r="D89" s="467"/>
      <c r="E89" s="467"/>
      <c r="F89" s="467"/>
      <c r="G89" s="467"/>
      <c r="H89" s="467"/>
      <c r="I89" s="467"/>
      <c r="J89" s="467"/>
      <c r="K89" s="467"/>
    </row>
    <row r="90" spans="1:11" ht="20.25">
      <c r="A90" s="467"/>
      <c r="B90" s="467"/>
      <c r="C90" s="467"/>
      <c r="D90" s="467"/>
      <c r="E90" s="467"/>
      <c r="F90" s="467"/>
      <c r="G90" s="467"/>
      <c r="H90" s="467"/>
      <c r="I90" s="467"/>
      <c r="J90" s="467"/>
      <c r="K90" s="467"/>
    </row>
    <row r="91" spans="1:11" ht="20.25">
      <c r="A91" s="467"/>
      <c r="B91" s="467"/>
      <c r="C91" s="467"/>
      <c r="D91" s="467"/>
      <c r="E91" s="467"/>
      <c r="F91" s="467"/>
      <c r="G91" s="467"/>
      <c r="H91" s="467"/>
      <c r="I91" s="467"/>
      <c r="J91" s="467"/>
      <c r="K91" s="467"/>
    </row>
    <row r="92" spans="1:11" ht="20.25">
      <c r="A92" s="467"/>
      <c r="B92" s="467"/>
      <c r="C92" s="467"/>
      <c r="D92" s="467"/>
      <c r="E92" s="467"/>
      <c r="F92" s="467"/>
      <c r="G92" s="467"/>
      <c r="H92" s="467"/>
      <c r="I92" s="467"/>
      <c r="J92" s="467"/>
      <c r="K92" s="467"/>
    </row>
    <row r="93" spans="1:11" ht="20.25">
      <c r="A93" s="467"/>
      <c r="B93" s="467"/>
      <c r="C93" s="467"/>
      <c r="D93" s="467"/>
      <c r="E93" s="467"/>
      <c r="F93" s="467"/>
      <c r="G93" s="467"/>
      <c r="H93" s="467"/>
      <c r="I93" s="467"/>
      <c r="J93" s="467"/>
      <c r="K93" s="467"/>
    </row>
    <row r="94" spans="1:11" ht="20.25">
      <c r="A94" s="467"/>
      <c r="B94" s="467"/>
      <c r="C94" s="467"/>
      <c r="D94" s="467"/>
      <c r="E94" s="467"/>
      <c r="F94" s="467"/>
      <c r="G94" s="467"/>
      <c r="H94" s="467"/>
      <c r="I94" s="467"/>
      <c r="J94" s="467"/>
      <c r="K94" s="467"/>
    </row>
    <row r="95" spans="1:11" ht="20.25">
      <c r="A95" s="467"/>
      <c r="B95" s="467"/>
      <c r="C95" s="467"/>
      <c r="D95" s="467"/>
      <c r="E95" s="467"/>
      <c r="F95" s="467"/>
      <c r="G95" s="467"/>
      <c r="H95" s="467"/>
      <c r="I95" s="467"/>
      <c r="J95" s="467"/>
      <c r="K95" s="467"/>
    </row>
    <row r="96" spans="1:11" ht="20.25">
      <c r="A96" s="467"/>
      <c r="B96" s="467"/>
      <c r="C96" s="467"/>
      <c r="D96" s="467"/>
      <c r="E96" s="467"/>
      <c r="F96" s="467"/>
      <c r="G96" s="467"/>
      <c r="H96" s="467"/>
      <c r="I96" s="467"/>
      <c r="J96" s="467"/>
      <c r="K96" s="467"/>
    </row>
    <row r="97" spans="1:11" ht="20.25">
      <c r="A97" s="467"/>
      <c r="B97" s="467"/>
      <c r="C97" s="467"/>
      <c r="D97" s="467"/>
      <c r="E97" s="467"/>
      <c r="F97" s="467"/>
      <c r="G97" s="467"/>
      <c r="H97" s="467"/>
      <c r="I97" s="467"/>
      <c r="J97" s="467"/>
      <c r="K97" s="467"/>
    </row>
    <row r="98" spans="1:11" ht="20.25">
      <c r="A98" s="467"/>
      <c r="B98" s="467"/>
      <c r="C98" s="467"/>
      <c r="D98" s="467"/>
      <c r="E98" s="467"/>
      <c r="F98" s="467"/>
      <c r="G98" s="467"/>
      <c r="H98" s="467"/>
      <c r="I98" s="467"/>
      <c r="J98" s="467"/>
      <c r="K98" s="467"/>
    </row>
    <row r="99" spans="1:11" ht="20.25">
      <c r="A99" s="467"/>
      <c r="B99" s="467"/>
      <c r="C99" s="467"/>
      <c r="D99" s="467"/>
      <c r="E99" s="467"/>
      <c r="F99" s="467"/>
      <c r="G99" s="467"/>
      <c r="H99" s="467"/>
      <c r="I99" s="467"/>
      <c r="J99" s="467"/>
      <c r="K99" s="467"/>
    </row>
    <row r="100" spans="1:11" ht="20.25">
      <c r="A100" s="467"/>
      <c r="B100" s="467"/>
      <c r="C100" s="467"/>
      <c r="D100" s="467"/>
      <c r="E100" s="467"/>
      <c r="F100" s="467"/>
      <c r="G100" s="467"/>
      <c r="H100" s="467"/>
      <c r="I100" s="467"/>
      <c r="J100" s="467"/>
      <c r="K100" s="467"/>
    </row>
    <row r="101" spans="1:11" ht="20.25">
      <c r="A101" s="467"/>
      <c r="B101" s="467"/>
      <c r="C101" s="467"/>
      <c r="D101" s="467"/>
      <c r="E101" s="467"/>
      <c r="F101" s="467"/>
      <c r="G101" s="467"/>
      <c r="H101" s="467"/>
      <c r="I101" s="467"/>
      <c r="J101" s="467"/>
      <c r="K101" s="467"/>
    </row>
    <row r="102" spans="1:11" ht="20.25">
      <c r="A102" s="467"/>
      <c r="B102" s="467"/>
      <c r="C102" s="467"/>
      <c r="D102" s="467"/>
      <c r="E102" s="467"/>
      <c r="F102" s="467"/>
      <c r="G102" s="467"/>
      <c r="H102" s="467"/>
      <c r="I102" s="467"/>
      <c r="J102" s="467"/>
      <c r="K102" s="467"/>
    </row>
    <row r="103" spans="1:11" ht="20.25">
      <c r="A103" s="467"/>
      <c r="B103" s="467"/>
      <c r="C103" s="467"/>
      <c r="D103" s="467"/>
      <c r="E103" s="467"/>
      <c r="F103" s="467"/>
      <c r="G103" s="467"/>
      <c r="H103" s="467"/>
      <c r="I103" s="467"/>
      <c r="J103" s="467"/>
      <c r="K103" s="467"/>
    </row>
    <row r="104" spans="1:11" ht="20.25">
      <c r="A104" s="467"/>
      <c r="B104" s="467"/>
      <c r="C104" s="467"/>
      <c r="D104" s="467"/>
      <c r="E104" s="467"/>
      <c r="F104" s="467"/>
      <c r="G104" s="467"/>
      <c r="H104" s="467"/>
      <c r="I104" s="467"/>
      <c r="J104" s="467"/>
      <c r="K104" s="467"/>
    </row>
    <row r="105" spans="1:11" ht="20.25">
      <c r="A105" s="467"/>
      <c r="B105" s="467"/>
      <c r="C105" s="467"/>
      <c r="D105" s="467"/>
      <c r="E105" s="467"/>
      <c r="F105" s="467"/>
      <c r="G105" s="467"/>
      <c r="H105" s="467"/>
      <c r="I105" s="467"/>
      <c r="J105" s="467"/>
      <c r="K105" s="467"/>
    </row>
    <row r="106" spans="1:11" ht="20.25">
      <c r="A106" s="467"/>
      <c r="B106" s="467"/>
      <c r="C106" s="467"/>
      <c r="D106" s="467"/>
      <c r="E106" s="467"/>
      <c r="F106" s="467"/>
      <c r="G106" s="467"/>
      <c r="H106" s="467"/>
      <c r="I106" s="467"/>
      <c r="J106" s="467"/>
      <c r="K106" s="467"/>
    </row>
    <row r="107" spans="1:11" ht="20.25">
      <c r="A107" s="467"/>
      <c r="B107" s="467"/>
      <c r="C107" s="467"/>
      <c r="D107" s="467"/>
      <c r="E107" s="467"/>
      <c r="F107" s="467"/>
      <c r="G107" s="467"/>
      <c r="H107" s="467"/>
      <c r="I107" s="467"/>
      <c r="J107" s="467"/>
      <c r="K107" s="467"/>
    </row>
    <row r="108" spans="1:11" ht="20.25">
      <c r="A108" s="467"/>
      <c r="B108" s="467"/>
      <c r="C108" s="467"/>
      <c r="D108" s="467"/>
      <c r="E108" s="467"/>
      <c r="F108" s="467"/>
      <c r="G108" s="467"/>
      <c r="H108" s="467"/>
      <c r="I108" s="467"/>
      <c r="J108" s="467"/>
      <c r="K108" s="467"/>
    </row>
    <row r="109" spans="1:11" ht="20.25">
      <c r="A109" s="467"/>
      <c r="B109" s="467"/>
      <c r="C109" s="467"/>
      <c r="D109" s="467"/>
      <c r="E109" s="467"/>
      <c r="F109" s="467"/>
      <c r="G109" s="467"/>
      <c r="H109" s="467"/>
      <c r="I109" s="467"/>
      <c r="J109" s="467"/>
      <c r="K109" s="467"/>
    </row>
    <row r="110" spans="1:11" ht="20.25">
      <c r="A110" s="467"/>
      <c r="B110" s="467"/>
      <c r="C110" s="467"/>
      <c r="D110" s="467"/>
      <c r="E110" s="467"/>
      <c r="F110" s="467"/>
      <c r="G110" s="467"/>
      <c r="H110" s="467"/>
      <c r="I110" s="467"/>
      <c r="J110" s="467"/>
      <c r="K110" s="467"/>
    </row>
    <row r="111" spans="1:11" ht="20.25">
      <c r="A111" s="467"/>
      <c r="B111" s="467"/>
      <c r="C111" s="467"/>
      <c r="D111" s="467"/>
      <c r="E111" s="467"/>
      <c r="F111" s="467"/>
      <c r="G111" s="467"/>
      <c r="H111" s="467"/>
      <c r="I111" s="467"/>
      <c r="J111" s="467"/>
      <c r="K111" s="467"/>
    </row>
    <row r="112" spans="1:11" ht="20.25">
      <c r="A112" s="467"/>
      <c r="B112" s="467"/>
      <c r="C112" s="467"/>
      <c r="D112" s="467"/>
      <c r="E112" s="467"/>
      <c r="F112" s="467"/>
      <c r="G112" s="467"/>
      <c r="H112" s="467"/>
      <c r="I112" s="467"/>
      <c r="J112" s="467"/>
      <c r="K112" s="467"/>
    </row>
    <row r="113" spans="1:11" ht="20.25">
      <c r="A113" s="467"/>
      <c r="B113" s="467"/>
      <c r="C113" s="467"/>
      <c r="D113" s="467"/>
      <c r="E113" s="467"/>
      <c r="F113" s="467"/>
      <c r="G113" s="467"/>
      <c r="H113" s="467"/>
      <c r="I113" s="467"/>
      <c r="J113" s="467"/>
      <c r="K113" s="467"/>
    </row>
    <row r="114" spans="1:11" ht="20.25">
      <c r="A114" s="467"/>
      <c r="B114" s="467"/>
      <c r="C114" s="467"/>
      <c r="D114" s="467"/>
      <c r="E114" s="467"/>
      <c r="F114" s="467"/>
      <c r="G114" s="467"/>
      <c r="H114" s="467"/>
      <c r="I114" s="467"/>
      <c r="J114" s="467"/>
      <c r="K114" s="467"/>
    </row>
    <row r="115" spans="1:11" ht="20.25">
      <c r="A115" s="467"/>
      <c r="B115" s="467"/>
      <c r="C115" s="467"/>
      <c r="D115" s="467"/>
      <c r="E115" s="467"/>
      <c r="F115" s="467"/>
      <c r="G115" s="467"/>
      <c r="H115" s="467"/>
      <c r="I115" s="467"/>
      <c r="J115" s="467"/>
      <c r="K115" s="467"/>
    </row>
    <row r="116" spans="1:11" ht="20.25">
      <c r="A116" s="467"/>
      <c r="B116" s="467"/>
      <c r="C116" s="467"/>
      <c r="D116" s="467"/>
      <c r="E116" s="467"/>
      <c r="F116" s="467"/>
      <c r="G116" s="467"/>
      <c r="H116" s="467"/>
      <c r="I116" s="467"/>
      <c r="J116" s="467"/>
      <c r="K116" s="467"/>
    </row>
    <row r="117" spans="1:11" ht="20.25">
      <c r="A117" s="467"/>
      <c r="B117" s="467"/>
      <c r="C117" s="467"/>
      <c r="D117" s="467"/>
      <c r="E117" s="467"/>
      <c r="F117" s="467"/>
      <c r="G117" s="467"/>
      <c r="H117" s="467"/>
      <c r="I117" s="467"/>
      <c r="J117" s="467"/>
      <c r="K117" s="467"/>
    </row>
    <row r="118" spans="1:11" ht="20.25">
      <c r="A118" s="467"/>
      <c r="B118" s="467"/>
      <c r="C118" s="467"/>
      <c r="D118" s="467"/>
      <c r="E118" s="467"/>
      <c r="F118" s="467"/>
      <c r="G118" s="467"/>
      <c r="H118" s="467"/>
      <c r="I118" s="467"/>
      <c r="J118" s="467"/>
      <c r="K118" s="467"/>
    </row>
    <row r="119" spans="1:11" ht="20.25">
      <c r="A119" s="467"/>
      <c r="B119" s="467"/>
      <c r="C119" s="467"/>
      <c r="D119" s="467"/>
      <c r="E119" s="467"/>
      <c r="F119" s="467"/>
      <c r="G119" s="467"/>
      <c r="H119" s="467"/>
      <c r="I119" s="467"/>
      <c r="J119" s="467"/>
      <c r="K119" s="467"/>
    </row>
    <row r="120" spans="1:11" ht="20.25">
      <c r="A120" s="467"/>
      <c r="B120" s="467"/>
      <c r="C120" s="467"/>
      <c r="D120" s="467"/>
      <c r="E120" s="467"/>
      <c r="F120" s="467"/>
      <c r="G120" s="467"/>
      <c r="H120" s="467"/>
      <c r="I120" s="467"/>
      <c r="J120" s="467"/>
      <c r="K120" s="467"/>
    </row>
    <row r="121" spans="1:11" ht="20.25">
      <c r="A121" s="467"/>
      <c r="B121" s="467"/>
      <c r="C121" s="467"/>
      <c r="D121" s="467"/>
      <c r="E121" s="467"/>
      <c r="F121" s="467"/>
      <c r="G121" s="467"/>
      <c r="H121" s="467"/>
      <c r="I121" s="467"/>
      <c r="J121" s="467"/>
      <c r="K121" s="467"/>
    </row>
    <row r="122" spans="1:11" ht="20.25">
      <c r="A122" s="467"/>
      <c r="B122" s="467"/>
      <c r="C122" s="467"/>
      <c r="D122" s="467"/>
      <c r="E122" s="467"/>
      <c r="F122" s="467"/>
      <c r="G122" s="467"/>
      <c r="H122" s="467"/>
      <c r="I122" s="467"/>
      <c r="J122" s="467"/>
      <c r="K122" s="467"/>
    </row>
    <row r="123" spans="1:11" ht="20.25">
      <c r="A123" s="467"/>
      <c r="B123" s="467"/>
      <c r="C123" s="467"/>
      <c r="D123" s="467"/>
      <c r="E123" s="467"/>
      <c r="F123" s="467"/>
      <c r="G123" s="467"/>
      <c r="H123" s="467"/>
      <c r="I123" s="467"/>
      <c r="J123" s="467"/>
      <c r="K123" s="467"/>
    </row>
    <row r="124" spans="1:11" ht="20.25">
      <c r="A124" s="467"/>
      <c r="B124" s="467"/>
      <c r="C124" s="467"/>
      <c r="D124" s="467"/>
      <c r="E124" s="467"/>
      <c r="F124" s="467"/>
      <c r="G124" s="467"/>
      <c r="H124" s="467"/>
      <c r="I124" s="467"/>
      <c r="J124" s="467"/>
      <c r="K124" s="467"/>
    </row>
    <row r="125" spans="1:11" ht="20.25">
      <c r="A125" s="467"/>
      <c r="B125" s="467"/>
      <c r="C125" s="467"/>
      <c r="D125" s="467"/>
      <c r="E125" s="467"/>
      <c r="F125" s="467"/>
      <c r="G125" s="467"/>
      <c r="H125" s="467"/>
      <c r="I125" s="467"/>
      <c r="J125" s="467"/>
      <c r="K125" s="467"/>
    </row>
    <row r="126" spans="1:11" ht="20.25">
      <c r="A126" s="467"/>
      <c r="B126" s="467"/>
      <c r="C126" s="467"/>
      <c r="D126" s="467"/>
      <c r="E126" s="467"/>
      <c r="F126" s="467"/>
      <c r="G126" s="467"/>
      <c r="H126" s="467"/>
      <c r="I126" s="467"/>
      <c r="J126" s="467"/>
      <c r="K126" s="467"/>
    </row>
    <row r="127" spans="1:11" ht="20.25">
      <c r="A127" s="467"/>
      <c r="B127" s="467"/>
      <c r="C127" s="467"/>
      <c r="D127" s="467"/>
      <c r="E127" s="467"/>
      <c r="F127" s="467"/>
      <c r="G127" s="467"/>
      <c r="H127" s="467"/>
      <c r="I127" s="467"/>
      <c r="J127" s="467"/>
      <c r="K127" s="467"/>
    </row>
    <row r="128" spans="1:11" ht="20.25">
      <c r="A128" s="467"/>
      <c r="B128" s="467"/>
      <c r="C128" s="467"/>
      <c r="D128" s="467"/>
      <c r="E128" s="467"/>
      <c r="F128" s="467"/>
      <c r="G128" s="467"/>
      <c r="H128" s="467"/>
      <c r="I128" s="467"/>
      <c r="J128" s="467"/>
      <c r="K128" s="467"/>
    </row>
    <row r="129" spans="1:11" ht="20.25">
      <c r="A129" s="467"/>
      <c r="B129" s="467"/>
      <c r="C129" s="467"/>
      <c r="D129" s="467"/>
      <c r="E129" s="467"/>
      <c r="F129" s="467"/>
      <c r="G129" s="467"/>
      <c r="H129" s="467"/>
      <c r="I129" s="467"/>
      <c r="J129" s="467"/>
      <c r="K129" s="467"/>
    </row>
    <row r="130" spans="1:11" ht="20.25">
      <c r="A130" s="467"/>
      <c r="B130" s="467"/>
      <c r="C130" s="467"/>
      <c r="D130" s="467"/>
      <c r="E130" s="467"/>
      <c r="F130" s="467"/>
      <c r="G130" s="467"/>
      <c r="H130" s="467"/>
      <c r="I130" s="467"/>
      <c r="J130" s="467"/>
      <c r="K130" s="467"/>
    </row>
    <row r="131" spans="1:11" ht="20.25">
      <c r="A131" s="467"/>
      <c r="B131" s="467"/>
      <c r="C131" s="467"/>
      <c r="D131" s="467"/>
      <c r="E131" s="467"/>
      <c r="F131" s="467"/>
      <c r="G131" s="467"/>
      <c r="H131" s="467"/>
      <c r="I131" s="467"/>
      <c r="J131" s="467"/>
      <c r="K131" s="467"/>
    </row>
    <row r="132" spans="1:11" ht="20.25">
      <c r="A132" s="467"/>
      <c r="B132" s="467"/>
      <c r="C132" s="467"/>
      <c r="D132" s="467"/>
      <c r="E132" s="467"/>
      <c r="F132" s="467"/>
      <c r="G132" s="467"/>
      <c r="H132" s="467"/>
      <c r="I132" s="467"/>
      <c r="J132" s="467"/>
      <c r="K132" s="467"/>
    </row>
    <row r="133" spans="1:11" ht="20.25">
      <c r="A133" s="467"/>
      <c r="B133" s="467"/>
      <c r="C133" s="467"/>
      <c r="D133" s="467"/>
      <c r="E133" s="467"/>
      <c r="F133" s="467"/>
      <c r="G133" s="467"/>
      <c r="H133" s="467"/>
      <c r="I133" s="467"/>
      <c r="J133" s="467"/>
      <c r="K133" s="467"/>
    </row>
    <row r="134" spans="1:11" ht="20.25">
      <c r="A134" s="467"/>
      <c r="B134" s="467"/>
      <c r="C134" s="467"/>
      <c r="D134" s="467"/>
      <c r="E134" s="467"/>
      <c r="F134" s="467"/>
      <c r="G134" s="467"/>
      <c r="H134" s="467"/>
      <c r="I134" s="467"/>
      <c r="J134" s="467"/>
      <c r="K134" s="467"/>
    </row>
    <row r="135" spans="1:11" ht="20.25">
      <c r="A135" s="467"/>
      <c r="B135" s="467"/>
      <c r="C135" s="467"/>
      <c r="D135" s="467"/>
      <c r="E135" s="467"/>
      <c r="F135" s="467"/>
      <c r="G135" s="467"/>
      <c r="H135" s="467"/>
      <c r="I135" s="467"/>
      <c r="J135" s="467"/>
      <c r="K135" s="467"/>
    </row>
    <row r="136" spans="1:11" ht="20.25">
      <c r="A136" s="467"/>
      <c r="B136" s="467"/>
      <c r="C136" s="467"/>
      <c r="D136" s="467"/>
      <c r="E136" s="467"/>
      <c r="F136" s="467"/>
      <c r="G136" s="467"/>
      <c r="H136" s="467"/>
      <c r="I136" s="467"/>
      <c r="J136" s="467"/>
      <c r="K136" s="467"/>
    </row>
    <row r="137" spans="1:11" ht="20.25">
      <c r="A137" s="467"/>
      <c r="B137" s="467"/>
      <c r="C137" s="467"/>
      <c r="D137" s="467"/>
      <c r="E137" s="467"/>
      <c r="F137" s="467"/>
      <c r="G137" s="467"/>
      <c r="H137" s="467"/>
      <c r="I137" s="467"/>
      <c r="J137" s="467"/>
      <c r="K137" s="467"/>
    </row>
    <row r="138" spans="1:11" ht="20.25">
      <c r="A138" s="467"/>
      <c r="B138" s="467"/>
      <c r="C138" s="467"/>
      <c r="D138" s="467"/>
      <c r="E138" s="467"/>
      <c r="F138" s="467"/>
      <c r="G138" s="467"/>
      <c r="H138" s="467"/>
      <c r="I138" s="467"/>
      <c r="J138" s="467"/>
      <c r="K138" s="467"/>
    </row>
    <row r="139" spans="1:11" ht="20.25">
      <c r="A139" s="467"/>
      <c r="B139" s="467"/>
      <c r="C139" s="467"/>
      <c r="D139" s="467"/>
      <c r="E139" s="467"/>
      <c r="F139" s="467"/>
      <c r="G139" s="467"/>
      <c r="H139" s="467"/>
      <c r="I139" s="467"/>
      <c r="J139" s="467"/>
      <c r="K139" s="467"/>
    </row>
    <row r="140" spans="1:11" ht="20.25">
      <c r="A140" s="467"/>
      <c r="B140" s="467"/>
      <c r="C140" s="467"/>
      <c r="D140" s="467"/>
      <c r="E140" s="467"/>
      <c r="F140" s="467"/>
      <c r="G140" s="467"/>
      <c r="H140" s="467"/>
      <c r="I140" s="467"/>
      <c r="J140" s="467"/>
      <c r="K140" s="467"/>
    </row>
    <row r="141" spans="1:11" ht="20.25">
      <c r="A141" s="467"/>
      <c r="B141" s="467"/>
      <c r="C141" s="467"/>
      <c r="D141" s="467"/>
      <c r="E141" s="467"/>
      <c r="F141" s="467"/>
      <c r="G141" s="467"/>
      <c r="H141" s="467"/>
      <c r="I141" s="467"/>
      <c r="J141" s="467"/>
      <c r="K141" s="467"/>
    </row>
    <row r="142" spans="1:11" ht="20.25">
      <c r="A142" s="467"/>
      <c r="B142" s="467"/>
      <c r="C142" s="467"/>
      <c r="D142" s="467"/>
      <c r="E142" s="467"/>
      <c r="F142" s="467"/>
      <c r="G142" s="467"/>
      <c r="H142" s="467"/>
      <c r="I142" s="467"/>
      <c r="J142" s="467"/>
      <c r="K142" s="467"/>
    </row>
    <row r="143" spans="1:11" ht="20.25">
      <c r="A143" s="467"/>
      <c r="B143" s="467"/>
      <c r="C143" s="467"/>
      <c r="D143" s="467"/>
      <c r="E143" s="467"/>
      <c r="F143" s="467"/>
      <c r="G143" s="467"/>
      <c r="H143" s="467"/>
      <c r="I143" s="467"/>
      <c r="J143" s="467"/>
      <c r="K143" s="467"/>
    </row>
    <row r="144" spans="1:11" ht="20.25">
      <c r="A144" s="467"/>
      <c r="B144" s="467"/>
      <c r="C144" s="467"/>
      <c r="D144" s="467"/>
      <c r="E144" s="467"/>
      <c r="F144" s="467"/>
      <c r="G144" s="467"/>
      <c r="H144" s="467"/>
      <c r="I144" s="467"/>
      <c r="J144" s="467"/>
      <c r="K144" s="467"/>
    </row>
    <row r="145" spans="1:11" ht="20.25">
      <c r="A145" s="467"/>
      <c r="B145" s="467"/>
      <c r="C145" s="467"/>
      <c r="D145" s="467"/>
      <c r="E145" s="467"/>
      <c r="F145" s="467"/>
      <c r="G145" s="467"/>
      <c r="H145" s="467"/>
      <c r="I145" s="467"/>
      <c r="J145" s="467"/>
      <c r="K145" s="467"/>
    </row>
    <row r="146" spans="1:11" ht="20.25">
      <c r="A146" s="467"/>
      <c r="B146" s="467"/>
      <c r="C146" s="467"/>
      <c r="D146" s="467"/>
      <c r="E146" s="467"/>
      <c r="F146" s="467"/>
      <c r="G146" s="467"/>
      <c r="H146" s="467"/>
      <c r="I146" s="467"/>
      <c r="J146" s="467"/>
      <c r="K146" s="467"/>
    </row>
    <row r="147" spans="1:11" ht="20.25">
      <c r="A147" s="467"/>
      <c r="B147" s="467"/>
      <c r="C147" s="467"/>
      <c r="D147" s="467"/>
      <c r="E147" s="467"/>
      <c r="F147" s="467"/>
      <c r="G147" s="467"/>
      <c r="H147" s="467"/>
      <c r="I147" s="467"/>
      <c r="J147" s="467"/>
      <c r="K147" s="467"/>
    </row>
    <row r="148" spans="1:11" ht="20.25">
      <c r="A148" s="467"/>
      <c r="B148" s="467"/>
      <c r="C148" s="467"/>
      <c r="D148" s="467"/>
      <c r="E148" s="467"/>
      <c r="F148" s="467"/>
      <c r="G148" s="467"/>
      <c r="H148" s="467"/>
      <c r="I148" s="467"/>
      <c r="J148" s="467"/>
      <c r="K148" s="467"/>
    </row>
    <row r="149" spans="1:11" ht="20.25">
      <c r="A149" s="467"/>
      <c r="B149" s="467"/>
      <c r="C149" s="467"/>
      <c r="D149" s="467"/>
      <c r="E149" s="467"/>
      <c r="F149" s="467"/>
      <c r="G149" s="467"/>
      <c r="H149" s="467"/>
      <c r="I149" s="467"/>
      <c r="J149" s="467"/>
      <c r="K149" s="467"/>
    </row>
    <row r="150" spans="1:11" ht="20.25">
      <c r="A150" s="467"/>
      <c r="B150" s="467"/>
      <c r="C150" s="467"/>
      <c r="D150" s="467"/>
      <c r="E150" s="467"/>
      <c r="F150" s="467"/>
      <c r="G150" s="467"/>
      <c r="H150" s="467"/>
      <c r="I150" s="467"/>
      <c r="J150" s="467"/>
      <c r="K150" s="467"/>
    </row>
    <row r="151" spans="1:11" ht="20.25">
      <c r="A151" s="467"/>
      <c r="B151" s="467"/>
      <c r="C151" s="467"/>
      <c r="D151" s="467"/>
      <c r="E151" s="467"/>
      <c r="F151" s="467"/>
      <c r="G151" s="467"/>
      <c r="H151" s="467"/>
      <c r="I151" s="467"/>
      <c r="J151" s="467"/>
      <c r="K151" s="467"/>
    </row>
    <row r="152" spans="1:11" ht="20.25">
      <c r="A152" s="467"/>
      <c r="B152" s="467"/>
      <c r="C152" s="467"/>
      <c r="D152" s="467"/>
      <c r="E152" s="467"/>
      <c r="F152" s="467"/>
      <c r="G152" s="467"/>
      <c r="H152" s="467"/>
      <c r="I152" s="467"/>
      <c r="J152" s="467"/>
      <c r="K152" s="467"/>
    </row>
    <row r="153" spans="1:11" ht="20.25">
      <c r="A153" s="467"/>
      <c r="B153" s="467"/>
      <c r="C153" s="467"/>
      <c r="D153" s="467"/>
      <c r="E153" s="467"/>
      <c r="F153" s="467"/>
      <c r="G153" s="467"/>
      <c r="H153" s="467"/>
      <c r="I153" s="467"/>
      <c r="J153" s="467"/>
      <c r="K153" s="467"/>
    </row>
    <row r="154" spans="1:11" ht="20.25">
      <c r="A154" s="467"/>
      <c r="B154" s="467"/>
      <c r="C154" s="467"/>
      <c r="D154" s="467"/>
      <c r="E154" s="467"/>
      <c r="F154" s="467"/>
      <c r="G154" s="467"/>
      <c r="H154" s="467"/>
      <c r="I154" s="467"/>
      <c r="J154" s="467"/>
      <c r="K154" s="467"/>
    </row>
    <row r="155" spans="1:11" ht="20.25">
      <c r="A155" s="467"/>
      <c r="B155" s="467"/>
      <c r="C155" s="467"/>
      <c r="D155" s="467"/>
      <c r="E155" s="467"/>
      <c r="F155" s="467"/>
      <c r="G155" s="467"/>
      <c r="H155" s="467"/>
      <c r="I155" s="467"/>
      <c r="J155" s="467"/>
      <c r="K155" s="467"/>
    </row>
    <row r="156" spans="1:11" ht="20.25">
      <c r="A156" s="467"/>
      <c r="B156" s="467"/>
      <c r="C156" s="467"/>
      <c r="D156" s="467"/>
      <c r="E156" s="467"/>
      <c r="F156" s="467"/>
      <c r="G156" s="467"/>
      <c r="H156" s="467"/>
      <c r="I156" s="467"/>
      <c r="J156" s="467"/>
      <c r="K156" s="467"/>
    </row>
    <row r="157" spans="1:11" ht="20.25">
      <c r="A157" s="467"/>
      <c r="B157" s="467"/>
      <c r="C157" s="467"/>
      <c r="D157" s="467"/>
      <c r="E157" s="467"/>
      <c r="F157" s="467"/>
      <c r="G157" s="467"/>
      <c r="H157" s="467"/>
      <c r="I157" s="467"/>
      <c r="J157" s="467"/>
      <c r="K157" s="467"/>
    </row>
    <row r="158" spans="1:11" ht="20.25">
      <c r="A158" s="467"/>
      <c r="B158" s="467"/>
      <c r="C158" s="467"/>
      <c r="D158" s="467"/>
      <c r="E158" s="467"/>
      <c r="F158" s="467"/>
      <c r="G158" s="467"/>
      <c r="H158" s="467"/>
      <c r="I158" s="467"/>
      <c r="J158" s="467"/>
      <c r="K158" s="467"/>
    </row>
    <row r="159" spans="1:11" ht="20.25">
      <c r="A159" s="467"/>
      <c r="B159" s="467"/>
      <c r="C159" s="467"/>
      <c r="D159" s="467"/>
      <c r="E159" s="467"/>
      <c r="F159" s="467"/>
      <c r="G159" s="467"/>
      <c r="H159" s="467"/>
      <c r="I159" s="467"/>
      <c r="J159" s="467"/>
      <c r="K159" s="467"/>
    </row>
    <row r="160" spans="1:11" ht="20.25">
      <c r="A160" s="467"/>
      <c r="B160" s="467"/>
      <c r="C160" s="467"/>
      <c r="D160" s="467"/>
      <c r="E160" s="467"/>
      <c r="F160" s="467"/>
      <c r="G160" s="467"/>
      <c r="H160" s="467"/>
      <c r="I160" s="467"/>
      <c r="J160" s="467"/>
      <c r="K160" s="467"/>
    </row>
    <row r="161" spans="1:11" ht="20.25">
      <c r="A161" s="467"/>
      <c r="B161" s="467"/>
      <c r="C161" s="467"/>
      <c r="D161" s="467"/>
      <c r="E161" s="467"/>
      <c r="F161" s="467"/>
      <c r="G161" s="467"/>
      <c r="H161" s="467"/>
      <c r="I161" s="467"/>
      <c r="J161" s="467"/>
      <c r="K161" s="467"/>
    </row>
    <row r="162" spans="1:11" ht="20.25">
      <c r="A162" s="467"/>
      <c r="B162" s="467"/>
      <c r="C162" s="467"/>
      <c r="D162" s="467"/>
      <c r="E162" s="467"/>
      <c r="F162" s="467"/>
      <c r="G162" s="467"/>
      <c r="H162" s="467"/>
      <c r="I162" s="467"/>
      <c r="J162" s="467"/>
      <c r="K162" s="467"/>
    </row>
    <row r="163" spans="1:11" ht="20.25">
      <c r="A163" s="467"/>
      <c r="B163" s="467"/>
      <c r="C163" s="467"/>
      <c r="D163" s="467"/>
      <c r="E163" s="467"/>
      <c r="F163" s="467"/>
      <c r="G163" s="467"/>
      <c r="H163" s="467"/>
      <c r="I163" s="467"/>
      <c r="J163" s="467"/>
      <c r="K163" s="467"/>
    </row>
    <row r="164" spans="1:11" ht="20.25">
      <c r="A164" s="467"/>
      <c r="B164" s="467"/>
      <c r="C164" s="467"/>
      <c r="D164" s="467"/>
      <c r="E164" s="467"/>
      <c r="F164" s="467"/>
      <c r="G164" s="467"/>
      <c r="H164" s="467"/>
      <c r="I164" s="467"/>
      <c r="J164" s="467"/>
      <c r="K164" s="467"/>
    </row>
    <row r="165" spans="1:11" ht="20.25">
      <c r="A165" s="467"/>
      <c r="B165" s="467"/>
      <c r="C165" s="467"/>
      <c r="D165" s="467"/>
      <c r="E165" s="467"/>
      <c r="F165" s="467"/>
      <c r="G165" s="467"/>
      <c r="H165" s="467"/>
      <c r="I165" s="467"/>
      <c r="J165" s="467"/>
      <c r="K165" s="467"/>
    </row>
    <row r="166" spans="1:11" ht="20.25">
      <c r="A166" s="467"/>
      <c r="B166" s="467"/>
      <c r="C166" s="467"/>
      <c r="D166" s="467"/>
      <c r="E166" s="467"/>
      <c r="F166" s="467"/>
      <c r="G166" s="467"/>
      <c r="H166" s="467"/>
      <c r="I166" s="467"/>
      <c r="J166" s="467"/>
      <c r="K166" s="467"/>
    </row>
    <row r="167" spans="1:11" ht="20.25">
      <c r="A167" s="467"/>
      <c r="B167" s="467"/>
      <c r="C167" s="467"/>
      <c r="D167" s="467"/>
      <c r="E167" s="467"/>
      <c r="F167" s="467"/>
      <c r="G167" s="467"/>
      <c r="H167" s="467"/>
      <c r="I167" s="467"/>
      <c r="J167" s="467"/>
      <c r="K167" s="467"/>
    </row>
    <row r="168" spans="1:11" ht="20.25">
      <c r="A168" s="467"/>
      <c r="B168" s="467"/>
      <c r="C168" s="467"/>
      <c r="D168" s="467"/>
      <c r="E168" s="467"/>
      <c r="F168" s="467"/>
      <c r="G168" s="467"/>
      <c r="H168" s="467"/>
      <c r="I168" s="467"/>
      <c r="J168" s="467"/>
      <c r="K168" s="467"/>
    </row>
    <row r="169" spans="1:11" ht="20.25">
      <c r="A169" s="467"/>
      <c r="B169" s="467"/>
      <c r="C169" s="467"/>
      <c r="D169" s="467"/>
      <c r="E169" s="467"/>
      <c r="F169" s="467"/>
      <c r="G169" s="467"/>
      <c r="H169" s="467"/>
      <c r="I169" s="467"/>
      <c r="J169" s="467"/>
      <c r="K169" s="467"/>
    </row>
    <row r="170" spans="1:11" ht="20.25">
      <c r="A170" s="467"/>
      <c r="B170" s="467"/>
      <c r="C170" s="467"/>
      <c r="D170" s="467"/>
      <c r="E170" s="467"/>
      <c r="F170" s="467"/>
      <c r="G170" s="467"/>
      <c r="H170" s="467"/>
      <c r="I170" s="467"/>
      <c r="J170" s="467"/>
      <c r="K170" s="467"/>
    </row>
    <row r="171" spans="1:11" ht="20.25">
      <c r="A171" s="467"/>
      <c r="B171" s="467"/>
      <c r="C171" s="467"/>
      <c r="D171" s="467"/>
      <c r="E171" s="467"/>
      <c r="F171" s="467"/>
      <c r="G171" s="467"/>
      <c r="H171" s="467"/>
      <c r="I171" s="467"/>
      <c r="J171" s="467"/>
      <c r="K171" s="467"/>
    </row>
    <row r="172" spans="1:11" ht="20.25">
      <c r="A172" s="467"/>
      <c r="B172" s="467"/>
      <c r="C172" s="467"/>
      <c r="D172" s="467"/>
      <c r="E172" s="467"/>
      <c r="F172" s="467"/>
      <c r="G172" s="467"/>
      <c r="H172" s="467"/>
      <c r="I172" s="467"/>
      <c r="J172" s="467"/>
      <c r="K172" s="467"/>
    </row>
    <row r="173" spans="1:11" ht="20.25">
      <c r="A173" s="467"/>
      <c r="B173" s="467"/>
      <c r="C173" s="467"/>
      <c r="D173" s="467"/>
      <c r="E173" s="467"/>
      <c r="F173" s="467"/>
      <c r="G173" s="467"/>
      <c r="H173" s="467"/>
      <c r="I173" s="467"/>
      <c r="J173" s="467"/>
      <c r="K173" s="467"/>
    </row>
    <row r="174" spans="1:11" ht="20.25">
      <c r="A174" s="467"/>
      <c r="B174" s="467"/>
      <c r="C174" s="467"/>
      <c r="D174" s="467"/>
      <c r="E174" s="467"/>
      <c r="F174" s="467"/>
      <c r="G174" s="467"/>
      <c r="H174" s="467"/>
      <c r="I174" s="467"/>
      <c r="J174" s="467"/>
      <c r="K174" s="467"/>
    </row>
    <row r="175" spans="1:11" ht="20.25">
      <c r="A175" s="467"/>
      <c r="B175" s="467"/>
      <c r="C175" s="467"/>
      <c r="D175" s="467"/>
      <c r="E175" s="467"/>
      <c r="F175" s="467"/>
      <c r="G175" s="467"/>
      <c r="H175" s="467"/>
      <c r="I175" s="467"/>
      <c r="J175" s="467"/>
      <c r="K175" s="467"/>
    </row>
    <row r="176" spans="1:11" ht="20.25">
      <c r="A176" s="467"/>
      <c r="B176" s="467"/>
      <c r="C176" s="467"/>
      <c r="D176" s="467"/>
      <c r="E176" s="467"/>
      <c r="F176" s="467"/>
      <c r="G176" s="467"/>
      <c r="H176" s="467"/>
      <c r="I176" s="467"/>
      <c r="J176" s="467"/>
      <c r="K176" s="467"/>
    </row>
    <row r="177" spans="1:11" ht="20.25">
      <c r="A177" s="467"/>
      <c r="B177" s="467"/>
      <c r="C177" s="467"/>
      <c r="D177" s="467"/>
      <c r="E177" s="467"/>
      <c r="F177" s="467"/>
      <c r="G177" s="467"/>
      <c r="H177" s="467"/>
      <c r="I177" s="467"/>
      <c r="J177" s="467"/>
      <c r="K177" s="467"/>
    </row>
    <row r="178" spans="1:11" ht="20.25">
      <c r="A178" s="467"/>
      <c r="B178" s="467"/>
      <c r="C178" s="467"/>
      <c r="D178" s="467"/>
      <c r="E178" s="467"/>
      <c r="F178" s="467"/>
      <c r="G178" s="467"/>
      <c r="H178" s="467"/>
      <c r="I178" s="467"/>
      <c r="J178" s="467"/>
      <c r="K178" s="467"/>
    </row>
    <row r="179" spans="1:11" ht="20.25">
      <c r="A179" s="467"/>
      <c r="B179" s="467"/>
      <c r="C179" s="467"/>
      <c r="D179" s="467"/>
      <c r="E179" s="467"/>
      <c r="F179" s="467"/>
      <c r="G179" s="467"/>
      <c r="H179" s="467"/>
      <c r="I179" s="467"/>
      <c r="J179" s="467"/>
      <c r="K179" s="467"/>
    </row>
    <row r="180" spans="1:11" ht="20.25">
      <c r="A180" s="467"/>
      <c r="B180" s="467"/>
      <c r="C180" s="467"/>
      <c r="D180" s="467"/>
      <c r="E180" s="467"/>
      <c r="F180" s="467"/>
      <c r="G180" s="467"/>
      <c r="H180" s="467"/>
      <c r="I180" s="467"/>
      <c r="J180" s="467"/>
      <c r="K180" s="467"/>
    </row>
    <row r="181" spans="1:11" ht="20.25">
      <c r="A181" s="467"/>
      <c r="B181" s="467"/>
      <c r="C181" s="467"/>
      <c r="D181" s="467"/>
      <c r="E181" s="467"/>
      <c r="F181" s="467"/>
      <c r="G181" s="467"/>
      <c r="H181" s="467"/>
      <c r="I181" s="467"/>
      <c r="J181" s="467"/>
      <c r="K181" s="467"/>
    </row>
    <row r="182" spans="1:11" ht="20.25">
      <c r="A182" s="467"/>
      <c r="B182" s="467"/>
      <c r="C182" s="467"/>
      <c r="D182" s="467"/>
      <c r="E182" s="467"/>
      <c r="F182" s="467"/>
      <c r="G182" s="467"/>
      <c r="H182" s="467"/>
      <c r="I182" s="467"/>
      <c r="J182" s="467"/>
      <c r="K182" s="467"/>
    </row>
    <row r="183" spans="1:11" ht="20.25">
      <c r="A183" s="467"/>
      <c r="B183" s="467"/>
      <c r="C183" s="467"/>
      <c r="D183" s="467"/>
      <c r="E183" s="467"/>
      <c r="F183" s="467"/>
      <c r="G183" s="467"/>
      <c r="H183" s="467"/>
      <c r="I183" s="467"/>
      <c r="J183" s="467"/>
      <c r="K183" s="467"/>
    </row>
    <row r="184" spans="1:11" ht="20.25">
      <c r="A184" s="467"/>
      <c r="B184" s="467"/>
      <c r="C184" s="467"/>
      <c r="D184" s="467"/>
      <c r="E184" s="467"/>
      <c r="F184" s="467"/>
      <c r="G184" s="467"/>
      <c r="H184" s="467"/>
      <c r="I184" s="467"/>
      <c r="J184" s="467"/>
      <c r="K184" s="467"/>
    </row>
    <row r="185" spans="1:11" ht="20.25">
      <c r="A185" s="467"/>
      <c r="B185" s="467"/>
      <c r="C185" s="467"/>
      <c r="D185" s="467"/>
      <c r="E185" s="467"/>
      <c r="F185" s="467"/>
      <c r="G185" s="467"/>
      <c r="H185" s="467"/>
      <c r="I185" s="467"/>
      <c r="J185" s="467"/>
      <c r="K185" s="467"/>
    </row>
    <row r="186" spans="1:11" ht="20.25">
      <c r="A186" s="467"/>
      <c r="B186" s="467"/>
      <c r="C186" s="467"/>
      <c r="D186" s="467"/>
      <c r="E186" s="467"/>
      <c r="F186" s="467"/>
      <c r="G186" s="467"/>
      <c r="H186" s="467"/>
      <c r="I186" s="467"/>
      <c r="J186" s="467"/>
      <c r="K186" s="467"/>
    </row>
    <row r="187" spans="1:11" ht="20.25">
      <c r="A187" s="467"/>
      <c r="B187" s="467"/>
      <c r="C187" s="467"/>
      <c r="D187" s="467"/>
      <c r="E187" s="467"/>
      <c r="F187" s="467"/>
      <c r="G187" s="467"/>
      <c r="H187" s="467"/>
      <c r="I187" s="467"/>
      <c r="J187" s="467"/>
      <c r="K187" s="467"/>
    </row>
    <row r="188" spans="1:11" ht="20.25">
      <c r="A188" s="467"/>
      <c r="B188" s="467"/>
      <c r="C188" s="467"/>
      <c r="D188" s="467"/>
      <c r="E188" s="467"/>
      <c r="F188" s="467"/>
      <c r="G188" s="467"/>
      <c r="H188" s="467"/>
      <c r="I188" s="467"/>
      <c r="J188" s="467"/>
      <c r="K188" s="467"/>
    </row>
    <row r="189" spans="1:11" ht="20.25">
      <c r="A189" s="467"/>
      <c r="B189" s="467"/>
      <c r="C189" s="467"/>
      <c r="D189" s="467"/>
      <c r="E189" s="467"/>
      <c r="F189" s="467"/>
      <c r="G189" s="467"/>
      <c r="H189" s="467"/>
      <c r="I189" s="467"/>
      <c r="J189" s="467"/>
      <c r="K189" s="467"/>
    </row>
    <row r="190" spans="1:11" ht="20.25">
      <c r="A190" s="467"/>
      <c r="B190" s="467"/>
      <c r="C190" s="467"/>
      <c r="D190" s="467"/>
      <c r="E190" s="467"/>
      <c r="F190" s="467"/>
      <c r="G190" s="467"/>
      <c r="H190" s="467"/>
      <c r="I190" s="467"/>
      <c r="J190" s="467"/>
      <c r="K190" s="467"/>
    </row>
    <row r="191" spans="1:11" ht="20.25">
      <c r="A191" s="467"/>
      <c r="B191" s="467"/>
      <c r="C191" s="467"/>
      <c r="D191" s="467"/>
      <c r="E191" s="467"/>
      <c r="F191" s="467"/>
      <c r="G191" s="467"/>
      <c r="H191" s="467"/>
      <c r="I191" s="467"/>
      <c r="J191" s="467"/>
      <c r="K191" s="467"/>
    </row>
    <row r="192" spans="1:11" ht="20.25">
      <c r="A192" s="467"/>
      <c r="B192" s="467"/>
      <c r="C192" s="467"/>
      <c r="D192" s="467"/>
      <c r="E192" s="467"/>
      <c r="F192" s="467"/>
      <c r="G192" s="467"/>
      <c r="H192" s="467"/>
      <c r="I192" s="467"/>
      <c r="J192" s="467"/>
      <c r="K192" s="467"/>
    </row>
    <row r="193" spans="1:11" ht="20.25">
      <c r="A193" s="467"/>
      <c r="B193" s="467"/>
      <c r="C193" s="467"/>
      <c r="D193" s="467"/>
      <c r="E193" s="467"/>
      <c r="F193" s="467"/>
      <c r="G193" s="467"/>
      <c r="H193" s="467"/>
      <c r="I193" s="467"/>
      <c r="J193" s="467"/>
      <c r="K193" s="467"/>
    </row>
    <row r="194" spans="1:11" ht="20.25">
      <c r="A194" s="467"/>
      <c r="B194" s="467"/>
      <c r="C194" s="467"/>
      <c r="D194" s="467"/>
      <c r="E194" s="467"/>
      <c r="F194" s="467"/>
      <c r="G194" s="467"/>
      <c r="H194" s="467"/>
      <c r="I194" s="467"/>
      <c r="J194" s="467"/>
      <c r="K194" s="467"/>
    </row>
    <row r="195" spans="1:11" ht="20.25">
      <c r="A195" s="467"/>
      <c r="B195" s="467"/>
      <c r="C195" s="467"/>
      <c r="D195" s="467"/>
      <c r="E195" s="467"/>
      <c r="F195" s="467"/>
      <c r="G195" s="467"/>
      <c r="H195" s="467"/>
      <c r="I195" s="467"/>
      <c r="J195" s="467"/>
      <c r="K195" s="467"/>
    </row>
    <row r="196" spans="1:11" ht="20.25">
      <c r="A196" s="467"/>
      <c r="B196" s="467"/>
      <c r="C196" s="467"/>
      <c r="D196" s="467"/>
      <c r="E196" s="467"/>
      <c r="F196" s="467"/>
      <c r="G196" s="467"/>
      <c r="H196" s="467"/>
      <c r="I196" s="467"/>
      <c r="J196" s="467"/>
      <c r="K196" s="467"/>
    </row>
    <row r="197" spans="1:11" ht="20.25">
      <c r="A197" s="467"/>
      <c r="B197" s="467"/>
      <c r="C197" s="467"/>
      <c r="D197" s="467"/>
      <c r="E197" s="467"/>
      <c r="F197" s="467"/>
      <c r="G197" s="467"/>
      <c r="H197" s="467"/>
      <c r="I197" s="467"/>
      <c r="J197" s="467"/>
      <c r="K197" s="467"/>
    </row>
    <row r="198" spans="1:11" ht="20.25">
      <c r="A198" s="467"/>
      <c r="B198" s="467"/>
      <c r="C198" s="467"/>
      <c r="D198" s="467"/>
      <c r="E198" s="467"/>
      <c r="F198" s="467"/>
      <c r="G198" s="467"/>
      <c r="H198" s="467"/>
      <c r="I198" s="467"/>
      <c r="J198" s="467"/>
      <c r="K198" s="467"/>
    </row>
    <row r="199" spans="1:11" ht="20.25">
      <c r="A199" s="467"/>
      <c r="B199" s="467"/>
      <c r="C199" s="467"/>
      <c r="D199" s="467"/>
      <c r="E199" s="467"/>
      <c r="F199" s="467"/>
      <c r="G199" s="467"/>
      <c r="H199" s="467"/>
      <c r="I199" s="467"/>
      <c r="J199" s="467"/>
      <c r="K199" s="467"/>
    </row>
    <row r="200" spans="1:11" ht="20.25">
      <c r="A200" s="467"/>
      <c r="B200" s="467"/>
      <c r="C200" s="467"/>
      <c r="D200" s="467"/>
      <c r="E200" s="467"/>
      <c r="F200" s="467"/>
      <c r="G200" s="467"/>
      <c r="H200" s="467"/>
      <c r="I200" s="467"/>
      <c r="J200" s="467"/>
      <c r="K200" s="467"/>
    </row>
    <row r="201" spans="1:11" ht="20.25">
      <c r="A201" s="467"/>
      <c r="B201" s="467"/>
      <c r="C201" s="467"/>
      <c r="D201" s="467"/>
      <c r="E201" s="467"/>
      <c r="F201" s="467"/>
      <c r="G201" s="467"/>
      <c r="H201" s="467"/>
      <c r="I201" s="467"/>
      <c r="J201" s="467"/>
      <c r="K201" s="467"/>
    </row>
    <row r="202" spans="1:11" ht="20.25">
      <c r="A202" s="467"/>
      <c r="B202" s="467"/>
      <c r="C202" s="467"/>
      <c r="D202" s="467"/>
      <c r="E202" s="467"/>
      <c r="F202" s="467"/>
      <c r="G202" s="467"/>
      <c r="H202" s="467"/>
      <c r="I202" s="467"/>
      <c r="J202" s="467"/>
      <c r="K202" s="467"/>
    </row>
    <row r="203" spans="1:11" ht="20.25">
      <c r="A203" s="467"/>
      <c r="B203" s="467"/>
      <c r="C203" s="467"/>
      <c r="D203" s="467"/>
      <c r="E203" s="467"/>
      <c r="F203" s="467"/>
      <c r="G203" s="467"/>
      <c r="H203" s="467"/>
      <c r="I203" s="467"/>
      <c r="J203" s="467"/>
      <c r="K203" s="467"/>
    </row>
    <row r="204" spans="1:11" ht="20.25">
      <c r="A204" s="467"/>
      <c r="B204" s="467"/>
      <c r="C204" s="467"/>
      <c r="D204" s="467"/>
      <c r="E204" s="467"/>
      <c r="F204" s="467"/>
      <c r="G204" s="467"/>
      <c r="H204" s="467"/>
      <c r="I204" s="467"/>
      <c r="J204" s="467"/>
      <c r="K204" s="467"/>
    </row>
    <row r="205" spans="1:11" ht="20.25">
      <c r="A205" s="467"/>
      <c r="B205" s="467"/>
      <c r="C205" s="467"/>
      <c r="D205" s="467"/>
      <c r="E205" s="467"/>
      <c r="F205" s="467"/>
      <c r="G205" s="467"/>
      <c r="H205" s="467"/>
      <c r="I205" s="467"/>
      <c r="J205" s="467"/>
      <c r="K205" s="467"/>
    </row>
    <row r="206" spans="1:11" ht="20.25">
      <c r="A206" s="467"/>
      <c r="B206" s="467"/>
      <c r="C206" s="467"/>
      <c r="D206" s="467"/>
      <c r="E206" s="467"/>
      <c r="F206" s="467"/>
      <c r="G206" s="467"/>
      <c r="H206" s="467"/>
      <c r="I206" s="467"/>
      <c r="J206" s="467"/>
      <c r="K206" s="467"/>
    </row>
    <row r="207" spans="1:11" ht="20.25">
      <c r="A207" s="467"/>
      <c r="B207" s="467"/>
      <c r="C207" s="467"/>
      <c r="D207" s="467"/>
      <c r="E207" s="467"/>
      <c r="F207" s="467"/>
      <c r="G207" s="467"/>
      <c r="H207" s="467"/>
      <c r="I207" s="467"/>
      <c r="J207" s="467"/>
      <c r="K207" s="467"/>
    </row>
    <row r="208" spans="1:11" ht="20.25">
      <c r="A208" s="467"/>
      <c r="B208" s="467"/>
      <c r="C208" s="467"/>
      <c r="D208" s="467"/>
      <c r="E208" s="467"/>
      <c r="F208" s="467"/>
      <c r="G208" s="467"/>
      <c r="H208" s="467"/>
      <c r="I208" s="467"/>
      <c r="J208" s="467"/>
      <c r="K208" s="467"/>
    </row>
    <row r="209" spans="1:11" ht="20.25">
      <c r="A209" s="467"/>
      <c r="B209" s="467"/>
      <c r="C209" s="467"/>
      <c r="D209" s="467"/>
      <c r="E209" s="467"/>
      <c r="F209" s="467"/>
      <c r="G209" s="467"/>
      <c r="H209" s="467"/>
      <c r="I209" s="467"/>
      <c r="J209" s="467"/>
      <c r="K209" s="467"/>
    </row>
    <row r="210" spans="1:11" ht="20.25">
      <c r="A210" s="467"/>
      <c r="B210" s="467"/>
      <c r="C210" s="467"/>
      <c r="D210" s="467"/>
      <c r="E210" s="467"/>
      <c r="F210" s="467"/>
      <c r="G210" s="467"/>
      <c r="H210" s="467"/>
      <c r="I210" s="467"/>
      <c r="J210" s="467"/>
      <c r="K210" s="467"/>
    </row>
    <row r="211" spans="1:11" ht="20.25">
      <c r="A211" s="467"/>
      <c r="B211" s="467"/>
      <c r="C211" s="467"/>
      <c r="D211" s="467"/>
      <c r="E211" s="467"/>
      <c r="F211" s="467"/>
      <c r="G211" s="467"/>
      <c r="H211" s="467"/>
      <c r="I211" s="467"/>
      <c r="J211" s="467"/>
      <c r="K211" s="467"/>
    </row>
    <row r="212" spans="1:11" ht="20.25">
      <c r="A212" s="467"/>
      <c r="B212" s="467"/>
      <c r="C212" s="467"/>
      <c r="D212" s="467"/>
      <c r="E212" s="467"/>
      <c r="F212" s="467"/>
      <c r="G212" s="467"/>
      <c r="H212" s="467"/>
      <c r="I212" s="467"/>
      <c r="J212" s="467"/>
      <c r="K212" s="467"/>
    </row>
    <row r="213" spans="1:11" ht="20.25">
      <c r="A213" s="467"/>
      <c r="B213" s="467"/>
      <c r="C213" s="467"/>
      <c r="D213" s="467"/>
      <c r="E213" s="467"/>
      <c r="F213" s="467"/>
      <c r="G213" s="467"/>
      <c r="H213" s="467"/>
      <c r="I213" s="467"/>
      <c r="J213" s="467"/>
      <c r="K213" s="467"/>
    </row>
    <row r="214" spans="1:11" ht="20.25">
      <c r="A214" s="467"/>
      <c r="B214" s="467"/>
      <c r="C214" s="467"/>
      <c r="D214" s="467"/>
      <c r="E214" s="467"/>
      <c r="F214" s="467"/>
      <c r="G214" s="467"/>
      <c r="H214" s="467"/>
      <c r="I214" s="467"/>
      <c r="J214" s="467"/>
      <c r="K214" s="467"/>
    </row>
    <row r="215" spans="1:11" ht="20.25">
      <c r="A215" s="467"/>
      <c r="B215" s="467"/>
      <c r="C215" s="467"/>
      <c r="D215" s="467"/>
      <c r="E215" s="467"/>
      <c r="F215" s="467"/>
      <c r="G215" s="467"/>
      <c r="H215" s="467"/>
      <c r="I215" s="467"/>
      <c r="J215" s="467"/>
      <c r="K215" s="467"/>
    </row>
    <row r="216" spans="1:11" ht="20.25">
      <c r="A216" s="467"/>
      <c r="B216" s="467"/>
      <c r="C216" s="467"/>
      <c r="D216" s="467"/>
      <c r="E216" s="467"/>
      <c r="F216" s="467"/>
      <c r="G216" s="467"/>
      <c r="H216" s="467"/>
      <c r="I216" s="467"/>
      <c r="J216" s="467"/>
      <c r="K216" s="467"/>
    </row>
    <row r="217" spans="1:11" ht="20.25">
      <c r="A217" s="467"/>
      <c r="B217" s="467"/>
      <c r="C217" s="467"/>
      <c r="D217" s="467"/>
      <c r="E217" s="467"/>
      <c r="F217" s="467"/>
      <c r="G217" s="467"/>
      <c r="H217" s="467"/>
      <c r="I217" s="467"/>
      <c r="J217" s="467"/>
      <c r="K217" s="467"/>
    </row>
    <row r="218" spans="1:11" ht="20.25">
      <c r="A218" s="467"/>
      <c r="B218" s="467"/>
      <c r="C218" s="467"/>
      <c r="D218" s="467"/>
      <c r="E218" s="467"/>
      <c r="F218" s="467"/>
      <c r="G218" s="467"/>
      <c r="H218" s="467"/>
      <c r="I218" s="467"/>
      <c r="J218" s="467"/>
      <c r="K218" s="467"/>
    </row>
    <row r="219" spans="1:11" ht="20.25">
      <c r="A219" s="467"/>
      <c r="B219" s="467"/>
      <c r="C219" s="467"/>
      <c r="D219" s="467"/>
      <c r="E219" s="467"/>
      <c r="F219" s="467"/>
      <c r="G219" s="467"/>
      <c r="H219" s="467"/>
      <c r="I219" s="467"/>
      <c r="J219" s="467"/>
      <c r="K219" s="467"/>
    </row>
    <row r="220" spans="1:11" ht="20.25">
      <c r="A220" s="467"/>
      <c r="B220" s="467"/>
      <c r="C220" s="467"/>
      <c r="D220" s="467"/>
      <c r="E220" s="467"/>
      <c r="F220" s="467"/>
      <c r="G220" s="467"/>
      <c r="H220" s="467"/>
      <c r="I220" s="467"/>
      <c r="J220" s="467"/>
      <c r="K220" s="467"/>
    </row>
    <row r="221" spans="1:11" ht="20.25">
      <c r="A221" s="467"/>
      <c r="B221" s="467"/>
      <c r="C221" s="467"/>
      <c r="D221" s="467"/>
      <c r="E221" s="467"/>
      <c r="F221" s="467"/>
      <c r="G221" s="467"/>
      <c r="H221" s="467"/>
      <c r="I221" s="467"/>
      <c r="J221" s="467"/>
      <c r="K221" s="467"/>
    </row>
    <row r="222" spans="1:11" ht="20.25">
      <c r="A222" s="467"/>
      <c r="B222" s="467"/>
      <c r="C222" s="467"/>
      <c r="D222" s="467"/>
      <c r="E222" s="467"/>
      <c r="F222" s="467"/>
      <c r="G222" s="467"/>
      <c r="H222" s="467"/>
      <c r="I222" s="467"/>
      <c r="J222" s="467"/>
      <c r="K222" s="467"/>
    </row>
    <row r="223" spans="1:11" ht="20.25">
      <c r="A223" s="467"/>
      <c r="B223" s="467"/>
      <c r="C223" s="467"/>
      <c r="D223" s="467"/>
      <c r="E223" s="467"/>
      <c r="F223" s="467"/>
      <c r="G223" s="467"/>
      <c r="H223" s="467"/>
      <c r="I223" s="467"/>
      <c r="J223" s="467"/>
      <c r="K223" s="467"/>
    </row>
    <row r="224" spans="1:11" ht="20.25">
      <c r="A224" s="467"/>
      <c r="B224" s="467"/>
      <c r="C224" s="467"/>
      <c r="D224" s="467"/>
      <c r="E224" s="467"/>
      <c r="F224" s="467"/>
      <c r="G224" s="467"/>
      <c r="H224" s="467"/>
      <c r="I224" s="467"/>
      <c r="J224" s="467"/>
      <c r="K224" s="467"/>
    </row>
    <row r="225" spans="1:11" ht="20.25">
      <c r="A225" s="467"/>
      <c r="B225" s="467"/>
      <c r="C225" s="467"/>
      <c r="D225" s="467"/>
      <c r="E225" s="467"/>
      <c r="F225" s="467"/>
      <c r="G225" s="467"/>
      <c r="H225" s="467"/>
      <c r="I225" s="467"/>
      <c r="J225" s="467"/>
      <c r="K225" s="467"/>
    </row>
    <row r="226" spans="1:11" ht="20.25">
      <c r="A226" s="467"/>
      <c r="B226" s="467"/>
      <c r="C226" s="467"/>
      <c r="D226" s="467"/>
      <c r="E226" s="467"/>
      <c r="F226" s="467"/>
      <c r="G226" s="467"/>
      <c r="H226" s="467"/>
      <c r="I226" s="467"/>
      <c r="J226" s="467"/>
      <c r="K226" s="467"/>
    </row>
    <row r="227" spans="1:11" ht="20.25">
      <c r="A227" s="467"/>
      <c r="B227" s="467"/>
      <c r="C227" s="467"/>
      <c r="D227" s="467"/>
      <c r="E227" s="467"/>
      <c r="F227" s="467"/>
      <c r="G227" s="467"/>
      <c r="H227" s="467"/>
      <c r="I227" s="467"/>
      <c r="J227" s="467"/>
      <c r="K227" s="467"/>
    </row>
    <row r="228" spans="1:11" ht="20.25">
      <c r="A228" s="467"/>
      <c r="B228" s="467"/>
      <c r="C228" s="467"/>
      <c r="D228" s="467"/>
      <c r="E228" s="467"/>
      <c r="F228" s="467"/>
      <c r="G228" s="467"/>
      <c r="H228" s="467"/>
      <c r="I228" s="467"/>
      <c r="J228" s="467"/>
      <c r="K228" s="467"/>
    </row>
    <row r="229" spans="1:11" ht="20.25">
      <c r="A229" s="467"/>
      <c r="B229" s="467"/>
      <c r="C229" s="467"/>
      <c r="D229" s="467"/>
      <c r="E229" s="467"/>
      <c r="F229" s="467"/>
      <c r="G229" s="467"/>
      <c r="H229" s="467"/>
      <c r="I229" s="467"/>
      <c r="J229" s="467"/>
      <c r="K229" s="467"/>
    </row>
    <row r="230" spans="1:11" ht="20.25">
      <c r="A230" s="467"/>
      <c r="B230" s="467"/>
      <c r="C230" s="467"/>
      <c r="D230" s="467"/>
      <c r="E230" s="467"/>
      <c r="F230" s="467"/>
      <c r="G230" s="467"/>
      <c r="H230" s="467"/>
      <c r="I230" s="467"/>
      <c r="J230" s="467"/>
      <c r="K230" s="467"/>
    </row>
    <row r="231" spans="1:11" ht="20.25">
      <c r="A231" s="467"/>
      <c r="B231" s="467"/>
      <c r="C231" s="467"/>
      <c r="D231" s="467"/>
      <c r="E231" s="467"/>
      <c r="F231" s="467"/>
      <c r="G231" s="467"/>
      <c r="H231" s="467"/>
      <c r="I231" s="467"/>
      <c r="J231" s="467"/>
      <c r="K231" s="467"/>
    </row>
    <row r="232" spans="1:11" ht="20.25">
      <c r="A232" s="467"/>
      <c r="B232" s="467"/>
      <c r="C232" s="467"/>
      <c r="D232" s="467"/>
      <c r="E232" s="467"/>
      <c r="F232" s="467"/>
      <c r="G232" s="467"/>
      <c r="H232" s="467"/>
      <c r="I232" s="467"/>
      <c r="J232" s="467"/>
      <c r="K232" s="467"/>
    </row>
    <row r="233" spans="1:11" ht="20.25">
      <c r="A233" s="467"/>
      <c r="B233" s="467"/>
      <c r="C233" s="467"/>
      <c r="D233" s="467"/>
      <c r="E233" s="467"/>
      <c r="F233" s="467"/>
      <c r="G233" s="467"/>
      <c r="H233" s="467"/>
      <c r="I233" s="467"/>
      <c r="J233" s="467"/>
      <c r="K233" s="467"/>
    </row>
    <row r="234" spans="1:11" ht="20.25">
      <c r="A234" s="467"/>
      <c r="B234" s="467"/>
      <c r="C234" s="467"/>
      <c r="D234" s="467"/>
      <c r="E234" s="467"/>
      <c r="F234" s="467"/>
      <c r="G234" s="467"/>
      <c r="H234" s="467"/>
      <c r="I234" s="467"/>
      <c r="J234" s="467"/>
      <c r="K234" s="467"/>
    </row>
    <row r="235" spans="1:11" ht="20.25">
      <c r="A235" s="467"/>
      <c r="B235" s="467"/>
      <c r="C235" s="467"/>
      <c r="D235" s="467"/>
      <c r="E235" s="467"/>
      <c r="F235" s="467"/>
      <c r="G235" s="467"/>
      <c r="H235" s="467"/>
      <c r="I235" s="467"/>
      <c r="J235" s="467"/>
      <c r="K235" s="467"/>
    </row>
    <row r="236" spans="1:11" ht="20.25">
      <c r="A236" s="467"/>
      <c r="B236" s="467"/>
      <c r="C236" s="467"/>
      <c r="D236" s="467"/>
      <c r="E236" s="467"/>
      <c r="F236" s="467"/>
      <c r="G236" s="467"/>
      <c r="H236" s="467"/>
      <c r="I236" s="467"/>
      <c r="J236" s="467"/>
      <c r="K236" s="467"/>
    </row>
    <row r="237" spans="1:11" ht="20.25">
      <c r="A237" s="467"/>
      <c r="B237" s="467"/>
      <c r="C237" s="467"/>
      <c r="D237" s="467"/>
      <c r="E237" s="467"/>
      <c r="F237" s="467"/>
      <c r="G237" s="467"/>
      <c r="H237" s="467"/>
      <c r="I237" s="467"/>
      <c r="J237" s="467"/>
      <c r="K237" s="467"/>
    </row>
    <row r="238" spans="1:11" ht="20.25">
      <c r="A238" s="467"/>
      <c r="B238" s="467"/>
      <c r="C238" s="467"/>
      <c r="D238" s="467"/>
      <c r="E238" s="467"/>
      <c r="F238" s="467"/>
      <c r="G238" s="467"/>
      <c r="H238" s="467"/>
      <c r="I238" s="467"/>
      <c r="J238" s="467"/>
      <c r="K238" s="467"/>
    </row>
    <row r="239" spans="1:11" ht="20.25">
      <c r="A239" s="467"/>
      <c r="B239" s="467"/>
      <c r="C239" s="467"/>
      <c r="D239" s="467"/>
      <c r="E239" s="467"/>
      <c r="F239" s="467"/>
      <c r="G239" s="467"/>
      <c r="H239" s="467"/>
      <c r="I239" s="467"/>
      <c r="J239" s="467"/>
      <c r="K239" s="467"/>
    </row>
    <row r="240" spans="1:11" ht="20.25">
      <c r="A240" s="467"/>
      <c r="B240" s="467"/>
      <c r="C240" s="467"/>
      <c r="D240" s="467"/>
      <c r="E240" s="467"/>
      <c r="F240" s="467"/>
      <c r="G240" s="467"/>
      <c r="H240" s="467"/>
      <c r="I240" s="467"/>
      <c r="J240" s="467"/>
      <c r="K240" s="467"/>
    </row>
    <row r="241" spans="1:11" ht="20.25">
      <c r="A241" s="467"/>
      <c r="B241" s="467"/>
      <c r="C241" s="467"/>
      <c r="D241" s="467"/>
      <c r="E241" s="467"/>
      <c r="F241" s="467"/>
      <c r="G241" s="467"/>
      <c r="H241" s="467"/>
      <c r="I241" s="467"/>
      <c r="J241" s="467"/>
      <c r="K241" s="467"/>
    </row>
    <row r="242" spans="1:11" ht="20.25">
      <c r="A242" s="467"/>
      <c r="B242" s="467"/>
      <c r="C242" s="467"/>
      <c r="D242" s="467"/>
      <c r="E242" s="467"/>
      <c r="F242" s="467"/>
      <c r="G242" s="467"/>
      <c r="H242" s="467"/>
      <c r="I242" s="467"/>
      <c r="J242" s="467"/>
      <c r="K242" s="467"/>
    </row>
    <row r="243" spans="1:11" ht="20.25">
      <c r="A243" s="467"/>
      <c r="B243" s="467"/>
      <c r="C243" s="467"/>
      <c r="D243" s="467"/>
      <c r="E243" s="467"/>
      <c r="F243" s="467"/>
      <c r="G243" s="467"/>
      <c r="H243" s="467"/>
      <c r="I243" s="467"/>
      <c r="J243" s="467"/>
      <c r="K243" s="467"/>
    </row>
    <row r="244" spans="1:11" ht="20.25">
      <c r="A244" s="467"/>
      <c r="B244" s="467"/>
      <c r="C244" s="467"/>
      <c r="D244" s="467"/>
      <c r="E244" s="467"/>
      <c r="F244" s="467"/>
      <c r="G244" s="467"/>
      <c r="H244" s="467"/>
      <c r="I244" s="467"/>
      <c r="J244" s="467"/>
      <c r="K244" s="467"/>
    </row>
    <row r="245" spans="1:11" ht="20.25">
      <c r="A245" s="467"/>
      <c r="B245" s="467"/>
      <c r="C245" s="467"/>
      <c r="D245" s="467"/>
      <c r="E245" s="467"/>
      <c r="F245" s="467"/>
      <c r="G245" s="467"/>
      <c r="H245" s="467"/>
      <c r="I245" s="467"/>
      <c r="J245" s="467"/>
      <c r="K245" s="467"/>
    </row>
    <row r="246" spans="1:11" ht="20.25">
      <c r="A246" s="467"/>
      <c r="B246" s="467"/>
      <c r="C246" s="467"/>
      <c r="D246" s="467"/>
      <c r="E246" s="467"/>
      <c r="F246" s="467"/>
      <c r="G246" s="467"/>
      <c r="H246" s="467"/>
      <c r="I246" s="467"/>
      <c r="J246" s="467"/>
      <c r="K246" s="467"/>
    </row>
    <row r="247" spans="1:11" ht="20.25">
      <c r="A247" s="467"/>
      <c r="B247" s="467"/>
      <c r="C247" s="467"/>
      <c r="D247" s="467"/>
      <c r="E247" s="467"/>
      <c r="F247" s="467"/>
      <c r="G247" s="467"/>
      <c r="H247" s="467"/>
      <c r="I247" s="467"/>
      <c r="J247" s="467"/>
      <c r="K247" s="467"/>
    </row>
    <row r="248" spans="1:11" ht="20.25">
      <c r="A248" s="467"/>
      <c r="B248" s="467"/>
      <c r="C248" s="467"/>
      <c r="D248" s="467"/>
      <c r="E248" s="467"/>
      <c r="F248" s="467"/>
      <c r="G248" s="467"/>
      <c r="H248" s="467"/>
      <c r="I248" s="467"/>
      <c r="J248" s="467"/>
      <c r="K248" s="467"/>
    </row>
    <row r="249" spans="1:11" ht="20.25">
      <c r="A249" s="467"/>
      <c r="B249" s="467"/>
      <c r="C249" s="467"/>
      <c r="D249" s="467"/>
      <c r="E249" s="467"/>
      <c r="F249" s="467"/>
      <c r="G249" s="467"/>
      <c r="H249" s="467"/>
      <c r="I249" s="467"/>
      <c r="J249" s="467"/>
      <c r="K249" s="467"/>
    </row>
    <row r="250" spans="1:11" ht="20.25">
      <c r="A250" s="467"/>
      <c r="B250" s="467"/>
      <c r="C250" s="467"/>
      <c r="D250" s="467"/>
      <c r="E250" s="467"/>
      <c r="F250" s="467"/>
      <c r="G250" s="467"/>
      <c r="H250" s="467"/>
      <c r="I250" s="467"/>
      <c r="J250" s="467"/>
      <c r="K250" s="467"/>
    </row>
    <row r="251" spans="1:11" ht="20.25">
      <c r="A251" s="467"/>
      <c r="B251" s="467"/>
      <c r="C251" s="467"/>
      <c r="D251" s="467"/>
      <c r="E251" s="467"/>
      <c r="F251" s="467"/>
      <c r="G251" s="467"/>
      <c r="H251" s="467"/>
      <c r="I251" s="467"/>
      <c r="J251" s="467"/>
      <c r="K251" s="467"/>
    </row>
    <row r="252" spans="1:11" ht="20.25">
      <c r="A252" s="467"/>
      <c r="B252" s="467"/>
      <c r="C252" s="467"/>
      <c r="D252" s="467"/>
      <c r="E252" s="467"/>
      <c r="F252" s="467"/>
      <c r="G252" s="467"/>
      <c r="H252" s="467"/>
      <c r="I252" s="467"/>
      <c r="J252" s="467"/>
      <c r="K252" s="467"/>
    </row>
    <row r="253" spans="1:11" ht="20.25">
      <c r="A253" s="467"/>
      <c r="B253" s="467"/>
      <c r="C253" s="467"/>
      <c r="D253" s="467"/>
      <c r="E253" s="467"/>
      <c r="F253" s="467"/>
      <c r="G253" s="467"/>
      <c r="H253" s="467"/>
      <c r="I253" s="467"/>
      <c r="J253" s="467"/>
      <c r="K253" s="467"/>
    </row>
    <row r="254" spans="1:11" ht="20.25">
      <c r="A254" s="467"/>
      <c r="B254" s="467"/>
      <c r="C254" s="467"/>
      <c r="D254" s="467"/>
      <c r="E254" s="467"/>
      <c r="F254" s="467"/>
      <c r="G254" s="467"/>
      <c r="H254" s="467"/>
      <c r="I254" s="467"/>
      <c r="J254" s="467"/>
      <c r="K254" s="467"/>
    </row>
    <row r="255" spans="1:11" ht="20.25">
      <c r="A255" s="467"/>
      <c r="B255" s="467"/>
      <c r="C255" s="467"/>
      <c r="D255" s="467"/>
      <c r="E255" s="467"/>
      <c r="F255" s="467"/>
      <c r="G255" s="467"/>
      <c r="H255" s="467"/>
      <c r="I255" s="467"/>
      <c r="J255" s="467"/>
      <c r="K255" s="467"/>
    </row>
    <row r="256" spans="1:11" ht="20.25">
      <c r="A256" s="467"/>
      <c r="B256" s="467"/>
      <c r="C256" s="467"/>
      <c r="D256" s="467"/>
      <c r="E256" s="467"/>
      <c r="F256" s="467"/>
      <c r="G256" s="467"/>
      <c r="H256" s="467"/>
      <c r="I256" s="467"/>
      <c r="J256" s="467"/>
      <c r="K256" s="467"/>
    </row>
    <row r="257" spans="1:11" ht="20.25">
      <c r="A257" s="467"/>
      <c r="B257" s="467"/>
      <c r="C257" s="467"/>
      <c r="D257" s="467"/>
      <c r="E257" s="467"/>
      <c r="F257" s="467"/>
      <c r="G257" s="467"/>
      <c r="H257" s="467"/>
      <c r="I257" s="467"/>
      <c r="J257" s="467"/>
      <c r="K257" s="467"/>
    </row>
    <row r="258" spans="1:11" ht="20.25">
      <c r="A258" s="467"/>
      <c r="B258" s="467"/>
      <c r="C258" s="467"/>
      <c r="D258" s="467"/>
      <c r="E258" s="467"/>
      <c r="F258" s="467"/>
      <c r="G258" s="467"/>
      <c r="H258" s="467"/>
      <c r="I258" s="467"/>
      <c r="J258" s="467"/>
      <c r="K258" s="467"/>
    </row>
    <row r="259" spans="1:11" ht="20.25">
      <c r="A259" s="467"/>
      <c r="B259" s="467"/>
      <c r="C259" s="467"/>
      <c r="D259" s="467"/>
      <c r="E259" s="467"/>
      <c r="F259" s="467"/>
      <c r="G259" s="467"/>
      <c r="H259" s="467"/>
      <c r="I259" s="467"/>
      <c r="J259" s="467"/>
      <c r="K259" s="467"/>
    </row>
    <row r="260" spans="1:11" ht="20.25">
      <c r="A260" s="467"/>
      <c r="B260" s="467"/>
      <c r="C260" s="467"/>
      <c r="D260" s="467"/>
      <c r="E260" s="467"/>
      <c r="F260" s="467"/>
      <c r="G260" s="467"/>
      <c r="H260" s="467"/>
      <c r="I260" s="467"/>
      <c r="J260" s="467"/>
      <c r="K260" s="467"/>
    </row>
    <row r="261" spans="1:11" ht="20.25">
      <c r="A261" s="467"/>
      <c r="B261" s="467"/>
      <c r="C261" s="467"/>
      <c r="D261" s="467"/>
      <c r="E261" s="467"/>
      <c r="F261" s="467"/>
      <c r="G261" s="467"/>
      <c r="H261" s="467"/>
      <c r="I261" s="467"/>
      <c r="J261" s="467"/>
      <c r="K261" s="467"/>
    </row>
    <row r="262" spans="1:11" ht="20.25">
      <c r="A262" s="467"/>
      <c r="B262" s="467"/>
      <c r="C262" s="467"/>
      <c r="D262" s="467"/>
      <c r="E262" s="467"/>
      <c r="F262" s="467"/>
      <c r="G262" s="467"/>
      <c r="H262" s="467"/>
      <c r="I262" s="467"/>
      <c r="J262" s="467"/>
      <c r="K262" s="467"/>
    </row>
    <row r="263" spans="1:11" ht="20.25">
      <c r="A263" s="467"/>
      <c r="B263" s="467"/>
      <c r="C263" s="467"/>
      <c r="D263" s="467"/>
      <c r="E263" s="467"/>
      <c r="F263" s="467"/>
      <c r="G263" s="467"/>
      <c r="H263" s="467"/>
      <c r="I263" s="467"/>
      <c r="J263" s="467"/>
      <c r="K263" s="467"/>
    </row>
    <row r="264" spans="1:11" ht="20.25">
      <c r="A264" s="467"/>
      <c r="B264" s="467"/>
      <c r="C264" s="467"/>
      <c r="D264" s="467"/>
      <c r="E264" s="467"/>
      <c r="F264" s="467"/>
      <c r="G264" s="467"/>
      <c r="H264" s="467"/>
      <c r="I264" s="467"/>
      <c r="J264" s="467"/>
      <c r="K264" s="467"/>
    </row>
    <row r="265" spans="1:11" ht="20.25">
      <c r="A265" s="467"/>
      <c r="B265" s="467"/>
      <c r="C265" s="467"/>
      <c r="D265" s="467"/>
      <c r="E265" s="467"/>
      <c r="F265" s="467"/>
      <c r="G265" s="467"/>
      <c r="H265" s="467"/>
      <c r="I265" s="467"/>
      <c r="J265" s="467"/>
      <c r="K265" s="467"/>
    </row>
    <row r="266" spans="1:11" ht="20.25">
      <c r="A266" s="467"/>
      <c r="B266" s="467"/>
      <c r="C266" s="467"/>
      <c r="D266" s="467"/>
      <c r="E266" s="467"/>
      <c r="F266" s="467"/>
      <c r="G266" s="467"/>
      <c r="H266" s="467"/>
      <c r="I266" s="467"/>
      <c r="J266" s="467"/>
      <c r="K266" s="467"/>
    </row>
    <row r="267" spans="1:11" ht="20.25">
      <c r="A267" s="467"/>
      <c r="B267" s="467"/>
      <c r="C267" s="467"/>
      <c r="D267" s="467"/>
      <c r="E267" s="467"/>
      <c r="F267" s="467"/>
      <c r="G267" s="467"/>
      <c r="H267" s="467"/>
      <c r="I267" s="467"/>
      <c r="J267" s="467"/>
      <c r="K267" s="467"/>
    </row>
    <row r="268" spans="1:11" ht="20.25">
      <c r="A268" s="467"/>
      <c r="B268" s="467"/>
      <c r="C268" s="467"/>
      <c r="D268" s="467"/>
      <c r="E268" s="467"/>
      <c r="F268" s="467"/>
      <c r="G268" s="467"/>
      <c r="H268" s="467"/>
      <c r="I268" s="467"/>
      <c r="J268" s="467"/>
      <c r="K268" s="467"/>
    </row>
    <row r="269" spans="1:11" ht="20.25">
      <c r="A269" s="467"/>
      <c r="B269" s="467"/>
      <c r="C269" s="467"/>
      <c r="D269" s="467"/>
      <c r="E269" s="467"/>
      <c r="F269" s="467"/>
      <c r="G269" s="467"/>
      <c r="H269" s="467"/>
      <c r="I269" s="467"/>
      <c r="J269" s="467"/>
      <c r="K269" s="467"/>
    </row>
    <row r="270" spans="1:11" ht="20.25">
      <c r="A270" s="467"/>
      <c r="B270" s="467"/>
      <c r="C270" s="467"/>
      <c r="D270" s="467"/>
      <c r="E270" s="467"/>
      <c r="F270" s="467"/>
      <c r="G270" s="467"/>
      <c r="H270" s="467"/>
      <c r="I270" s="467"/>
      <c r="J270" s="467"/>
      <c r="K270" s="467"/>
    </row>
    <row r="271" spans="1:11" ht="20.25">
      <c r="A271" s="467"/>
      <c r="B271" s="467"/>
      <c r="C271" s="467"/>
      <c r="D271" s="467"/>
      <c r="E271" s="467"/>
      <c r="F271" s="467"/>
      <c r="G271" s="467"/>
      <c r="H271" s="467"/>
      <c r="I271" s="467"/>
      <c r="J271" s="467"/>
      <c r="K271" s="467"/>
    </row>
    <row r="272" spans="1:11" ht="20.25">
      <c r="A272" s="467"/>
      <c r="B272" s="467"/>
      <c r="C272" s="467"/>
      <c r="D272" s="467"/>
      <c r="E272" s="467"/>
      <c r="F272" s="467"/>
      <c r="G272" s="467"/>
      <c r="H272" s="467"/>
      <c r="I272" s="467"/>
      <c r="J272" s="467"/>
      <c r="K272" s="467"/>
    </row>
    <row r="273" spans="1:11" ht="20.25">
      <c r="A273" s="467"/>
      <c r="B273" s="467"/>
      <c r="C273" s="467"/>
      <c r="D273" s="467"/>
      <c r="E273" s="467"/>
      <c r="F273" s="467"/>
      <c r="G273" s="467"/>
      <c r="H273" s="467"/>
      <c r="I273" s="467"/>
      <c r="J273" s="467"/>
      <c r="K273" s="467"/>
    </row>
    <row r="274" spans="1:11" ht="20.25">
      <c r="A274" s="467"/>
      <c r="B274" s="467"/>
      <c r="C274" s="467"/>
      <c r="D274" s="467"/>
      <c r="E274" s="467"/>
      <c r="F274" s="467"/>
      <c r="G274" s="467"/>
      <c r="H274" s="467"/>
      <c r="I274" s="467"/>
      <c r="J274" s="467"/>
      <c r="K274" s="467"/>
    </row>
    <row r="275" spans="1:11" ht="20.25">
      <c r="A275" s="467"/>
      <c r="B275" s="467"/>
      <c r="C275" s="467"/>
      <c r="D275" s="467"/>
      <c r="E275" s="467"/>
      <c r="F275" s="467"/>
      <c r="G275" s="467"/>
      <c r="H275" s="467"/>
      <c r="I275" s="467"/>
      <c r="J275" s="467"/>
      <c r="K275" s="467"/>
    </row>
    <row r="276" spans="1:11" ht="20.25">
      <c r="A276" s="467"/>
      <c r="B276" s="467"/>
      <c r="C276" s="467"/>
      <c r="D276" s="467"/>
      <c r="E276" s="467"/>
      <c r="F276" s="467"/>
      <c r="G276" s="467"/>
      <c r="H276" s="467"/>
      <c r="I276" s="467"/>
      <c r="J276" s="467"/>
      <c r="K276" s="467"/>
    </row>
    <row r="277" spans="1:11" ht="20.25">
      <c r="A277" s="467"/>
      <c r="B277" s="467"/>
      <c r="C277" s="467"/>
      <c r="D277" s="467"/>
      <c r="E277" s="467"/>
      <c r="F277" s="467"/>
      <c r="G277" s="467"/>
      <c r="H277" s="467"/>
      <c r="I277" s="467"/>
      <c r="J277" s="467"/>
      <c r="K277" s="467"/>
    </row>
    <row r="278" spans="1:11" ht="20.25">
      <c r="A278" s="467"/>
      <c r="B278" s="467"/>
      <c r="C278" s="467"/>
      <c r="D278" s="467"/>
      <c r="E278" s="467"/>
      <c r="F278" s="467"/>
      <c r="G278" s="467"/>
      <c r="H278" s="467"/>
      <c r="I278" s="467"/>
      <c r="J278" s="467"/>
      <c r="K278" s="467"/>
    </row>
    <row r="279" spans="1:11" ht="20.25">
      <c r="A279" s="467"/>
      <c r="B279" s="467"/>
      <c r="C279" s="467"/>
      <c r="D279" s="467"/>
      <c r="E279" s="467"/>
      <c r="F279" s="467"/>
      <c r="G279" s="467"/>
      <c r="H279" s="467"/>
      <c r="I279" s="467"/>
      <c r="J279" s="467"/>
      <c r="K279" s="467"/>
    </row>
    <row r="280" spans="1:11" ht="20.25">
      <c r="A280" s="467"/>
      <c r="B280" s="467"/>
      <c r="C280" s="467"/>
      <c r="D280" s="467"/>
      <c r="E280" s="467"/>
      <c r="F280" s="467"/>
      <c r="G280" s="467"/>
      <c r="H280" s="467"/>
      <c r="I280" s="467"/>
      <c r="J280" s="467"/>
      <c r="K280" s="467"/>
    </row>
    <row r="281" spans="1:11" ht="20.25">
      <c r="A281" s="467"/>
      <c r="B281" s="467"/>
      <c r="C281" s="467"/>
      <c r="D281" s="467"/>
      <c r="E281" s="467"/>
      <c r="F281" s="467"/>
      <c r="G281" s="467"/>
      <c r="H281" s="467"/>
      <c r="I281" s="467"/>
      <c r="J281" s="467"/>
      <c r="K281" s="467"/>
    </row>
    <row r="282" spans="1:11" ht="20.25">
      <c r="A282" s="467"/>
      <c r="B282" s="467"/>
      <c r="C282" s="467"/>
      <c r="D282" s="467"/>
      <c r="E282" s="467"/>
      <c r="F282" s="467"/>
      <c r="G282" s="467"/>
      <c r="H282" s="467"/>
      <c r="I282" s="467"/>
      <c r="J282" s="467"/>
      <c r="K282" s="467"/>
    </row>
    <row r="283" spans="1:11" ht="20.25">
      <c r="A283" s="467"/>
      <c r="B283" s="467"/>
      <c r="C283" s="467"/>
      <c r="D283" s="467"/>
      <c r="E283" s="467"/>
      <c r="F283" s="467"/>
      <c r="G283" s="467"/>
      <c r="H283" s="467"/>
      <c r="I283" s="467"/>
      <c r="J283" s="467"/>
      <c r="K283" s="467"/>
    </row>
    <row r="284" spans="1:11" ht="20.25">
      <c r="A284" s="467"/>
      <c r="B284" s="467"/>
      <c r="C284" s="467"/>
      <c r="D284" s="467"/>
      <c r="E284" s="467"/>
      <c r="F284" s="467"/>
      <c r="G284" s="467"/>
      <c r="H284" s="467"/>
      <c r="I284" s="467"/>
      <c r="J284" s="467"/>
      <c r="K284" s="467"/>
    </row>
    <row r="285" spans="1:11" ht="20.25">
      <c r="A285" s="467"/>
      <c r="B285" s="467"/>
      <c r="C285" s="467"/>
      <c r="D285" s="467"/>
      <c r="E285" s="467"/>
      <c r="F285" s="467"/>
      <c r="G285" s="467"/>
      <c r="H285" s="467"/>
      <c r="I285" s="467"/>
      <c r="J285" s="467"/>
      <c r="K285" s="467"/>
    </row>
    <row r="286" spans="1:11" ht="20.25">
      <c r="A286" s="467"/>
      <c r="B286" s="467"/>
      <c r="C286" s="467"/>
      <c r="D286" s="467"/>
      <c r="E286" s="467"/>
      <c r="F286" s="467"/>
      <c r="G286" s="467"/>
      <c r="H286" s="467"/>
      <c r="I286" s="467"/>
      <c r="J286" s="467"/>
      <c r="K286" s="467"/>
    </row>
    <row r="287" spans="1:11" ht="20.25">
      <c r="A287" s="467"/>
      <c r="B287" s="467"/>
      <c r="C287" s="467"/>
      <c r="D287" s="467"/>
      <c r="E287" s="467"/>
      <c r="F287" s="467"/>
      <c r="G287" s="467"/>
      <c r="H287" s="467"/>
      <c r="I287" s="467"/>
      <c r="J287" s="467"/>
      <c r="K287" s="467"/>
    </row>
    <row r="288" spans="1:11" ht="20.25">
      <c r="A288" s="467"/>
      <c r="B288" s="467"/>
      <c r="C288" s="467"/>
      <c r="D288" s="467"/>
      <c r="E288" s="467"/>
      <c r="F288" s="467"/>
      <c r="G288" s="467"/>
      <c r="H288" s="467"/>
      <c r="I288" s="467"/>
      <c r="J288" s="467"/>
      <c r="K288" s="467"/>
    </row>
    <row r="289" spans="1:11" ht="20.25">
      <c r="A289" s="467"/>
      <c r="B289" s="467"/>
      <c r="C289" s="467"/>
      <c r="D289" s="467"/>
      <c r="E289" s="467"/>
      <c r="F289" s="467"/>
      <c r="G289" s="467"/>
      <c r="H289" s="467"/>
      <c r="I289" s="467"/>
      <c r="J289" s="467"/>
      <c r="K289" s="467"/>
    </row>
    <row r="290" spans="1:11" ht="20.25">
      <c r="A290" s="467"/>
      <c r="B290" s="467"/>
      <c r="C290" s="467"/>
      <c r="D290" s="467"/>
      <c r="E290" s="467"/>
      <c r="F290" s="467"/>
      <c r="G290" s="467"/>
      <c r="H290" s="467"/>
      <c r="I290" s="467"/>
      <c r="J290" s="467"/>
      <c r="K290" s="467"/>
    </row>
    <row r="291" spans="1:11" ht="20.25">
      <c r="A291" s="467"/>
      <c r="B291" s="467"/>
      <c r="C291" s="467"/>
      <c r="D291" s="467"/>
      <c r="E291" s="467"/>
      <c r="F291" s="467"/>
      <c r="G291" s="467"/>
      <c r="H291" s="467"/>
      <c r="I291" s="467"/>
      <c r="J291" s="467"/>
      <c r="K291" s="467"/>
    </row>
    <row r="292" spans="1:11" ht="20.25">
      <c r="A292" s="467"/>
      <c r="B292" s="467"/>
      <c r="C292" s="467"/>
      <c r="D292" s="467"/>
      <c r="E292" s="467"/>
      <c r="F292" s="467"/>
      <c r="G292" s="467"/>
      <c r="H292" s="467"/>
      <c r="I292" s="467"/>
      <c r="J292" s="467"/>
      <c r="K292" s="467"/>
    </row>
    <row r="293" spans="1:11" ht="20.25">
      <c r="A293" s="467"/>
      <c r="B293" s="467"/>
      <c r="C293" s="467"/>
      <c r="D293" s="467"/>
      <c r="E293" s="467"/>
      <c r="F293" s="467"/>
      <c r="G293" s="467"/>
      <c r="H293" s="467"/>
      <c r="I293" s="467"/>
      <c r="J293" s="467"/>
      <c r="K293" s="467"/>
    </row>
    <row r="294" spans="1:11" ht="20.25">
      <c r="A294" s="467"/>
      <c r="B294" s="467"/>
      <c r="C294" s="467"/>
      <c r="D294" s="467"/>
      <c r="E294" s="467"/>
      <c r="F294" s="467"/>
      <c r="G294" s="467"/>
      <c r="H294" s="467"/>
      <c r="I294" s="467"/>
      <c r="J294" s="467"/>
      <c r="K294" s="467"/>
    </row>
    <row r="295" spans="1:11" ht="20.25">
      <c r="A295" s="467"/>
      <c r="B295" s="467"/>
      <c r="C295" s="467"/>
      <c r="D295" s="467"/>
      <c r="E295" s="467"/>
      <c r="F295" s="467"/>
      <c r="G295" s="467"/>
      <c r="H295" s="467"/>
      <c r="I295" s="467"/>
      <c r="J295" s="467"/>
      <c r="K295" s="467"/>
    </row>
    <row r="296" spans="1:11" ht="20.25">
      <c r="A296" s="467"/>
      <c r="B296" s="467"/>
      <c r="C296" s="467"/>
      <c r="D296" s="467"/>
      <c r="E296" s="467"/>
      <c r="F296" s="467"/>
      <c r="G296" s="467"/>
      <c r="H296" s="467"/>
      <c r="I296" s="467"/>
      <c r="J296" s="467"/>
      <c r="K296" s="467"/>
    </row>
    <row r="297" spans="1:11" ht="20.25">
      <c r="A297" s="467"/>
      <c r="B297" s="467"/>
      <c r="C297" s="467"/>
      <c r="D297" s="467"/>
      <c r="E297" s="467"/>
      <c r="F297" s="467"/>
      <c r="G297" s="467"/>
      <c r="H297" s="467"/>
      <c r="I297" s="467"/>
      <c r="J297" s="467"/>
      <c r="K297" s="467"/>
    </row>
    <row r="298" spans="1:11" ht="20.25">
      <c r="A298" s="467"/>
      <c r="B298" s="467"/>
      <c r="C298" s="467"/>
      <c r="D298" s="467"/>
      <c r="E298" s="467"/>
      <c r="F298" s="467"/>
      <c r="G298" s="467"/>
      <c r="H298" s="467"/>
      <c r="I298" s="467"/>
      <c r="J298" s="467"/>
      <c r="K298" s="467"/>
    </row>
    <row r="299" spans="1:11" ht="20.25">
      <c r="A299" s="467"/>
      <c r="B299" s="467"/>
      <c r="C299" s="467"/>
      <c r="D299" s="467"/>
      <c r="E299" s="467"/>
      <c r="F299" s="467"/>
      <c r="G299" s="467"/>
      <c r="H299" s="467"/>
      <c r="I299" s="467"/>
      <c r="J299" s="467"/>
      <c r="K299" s="467"/>
    </row>
    <row r="300" spans="1:11" ht="20.25">
      <c r="A300" s="467"/>
      <c r="B300" s="467"/>
      <c r="C300" s="467"/>
      <c r="D300" s="467"/>
      <c r="E300" s="467"/>
      <c r="F300" s="467"/>
      <c r="G300" s="467"/>
      <c r="H300" s="467"/>
      <c r="I300" s="467"/>
      <c r="J300" s="467"/>
      <c r="K300" s="467"/>
    </row>
    <row r="301" spans="1:11" ht="20.25">
      <c r="A301" s="467"/>
      <c r="B301" s="467"/>
      <c r="C301" s="467"/>
      <c r="D301" s="467"/>
      <c r="E301" s="467"/>
      <c r="F301" s="467"/>
      <c r="G301" s="467"/>
      <c r="H301" s="467"/>
      <c r="I301" s="467"/>
      <c r="J301" s="467"/>
      <c r="K301" s="467"/>
    </row>
    <row r="302" spans="1:11" ht="20.25">
      <c r="A302" s="467"/>
      <c r="B302" s="467"/>
      <c r="C302" s="467"/>
      <c r="D302" s="467"/>
      <c r="E302" s="467"/>
      <c r="F302" s="467"/>
      <c r="G302" s="467"/>
      <c r="H302" s="467"/>
      <c r="I302" s="467"/>
      <c r="J302" s="467"/>
      <c r="K302" s="467"/>
    </row>
    <row r="303" spans="1:11" ht="20.25">
      <c r="A303" s="467"/>
      <c r="B303" s="467"/>
      <c r="C303" s="467"/>
      <c r="D303" s="467"/>
      <c r="E303" s="467"/>
      <c r="F303" s="467"/>
      <c r="G303" s="467"/>
      <c r="H303" s="467"/>
      <c r="I303" s="467"/>
      <c r="J303" s="467"/>
      <c r="K303" s="467"/>
    </row>
    <row r="304" spans="1:11" ht="20.25">
      <c r="A304" s="467"/>
      <c r="B304" s="467"/>
      <c r="C304" s="467"/>
      <c r="D304" s="467"/>
      <c r="E304" s="467"/>
      <c r="F304" s="467"/>
      <c r="G304" s="467"/>
      <c r="H304" s="467"/>
      <c r="I304" s="467"/>
      <c r="J304" s="467"/>
      <c r="K304" s="467"/>
    </row>
    <row r="305" spans="1:11" ht="20.25">
      <c r="A305" s="467"/>
      <c r="B305" s="467"/>
      <c r="C305" s="467"/>
      <c r="D305" s="467"/>
      <c r="E305" s="467"/>
      <c r="F305" s="467"/>
      <c r="G305" s="467"/>
      <c r="H305" s="467"/>
      <c r="I305" s="467"/>
      <c r="J305" s="467"/>
      <c r="K305" s="467"/>
    </row>
    <row r="306" spans="1:11" ht="20.25">
      <c r="A306" s="467"/>
      <c r="B306" s="467"/>
      <c r="C306" s="467"/>
      <c r="D306" s="467"/>
      <c r="E306" s="467"/>
      <c r="F306" s="467"/>
      <c r="G306" s="467"/>
      <c r="H306" s="467"/>
      <c r="I306" s="467"/>
      <c r="J306" s="467"/>
      <c r="K306" s="467"/>
    </row>
    <row r="307" spans="1:11" ht="20.25">
      <c r="A307" s="467"/>
      <c r="B307" s="467"/>
      <c r="C307" s="467"/>
      <c r="D307" s="467"/>
      <c r="E307" s="467"/>
      <c r="F307" s="467"/>
      <c r="G307" s="467"/>
      <c r="H307" s="467"/>
      <c r="I307" s="467"/>
      <c r="J307" s="467"/>
      <c r="K307" s="467"/>
    </row>
    <row r="308" spans="1:11" ht="20.25">
      <c r="A308" s="467"/>
      <c r="B308" s="467"/>
      <c r="C308" s="467"/>
      <c r="D308" s="467"/>
      <c r="E308" s="467"/>
      <c r="F308" s="467"/>
      <c r="G308" s="467"/>
      <c r="H308" s="467"/>
      <c r="I308" s="467"/>
      <c r="J308" s="467"/>
      <c r="K308" s="467"/>
    </row>
    <row r="309" spans="1:11" ht="20.25">
      <c r="A309" s="467"/>
      <c r="B309" s="467"/>
      <c r="C309" s="467"/>
      <c r="D309" s="467"/>
      <c r="E309" s="467"/>
      <c r="F309" s="467"/>
      <c r="G309" s="467"/>
      <c r="H309" s="467"/>
      <c r="I309" s="467"/>
      <c r="J309" s="467"/>
      <c r="K309" s="467"/>
    </row>
    <row r="310" spans="1:11" ht="20.25">
      <c r="A310" s="467"/>
      <c r="B310" s="467"/>
      <c r="C310" s="467"/>
      <c r="D310" s="467"/>
      <c r="E310" s="467"/>
      <c r="F310" s="467"/>
      <c r="G310" s="467"/>
      <c r="H310" s="467"/>
      <c r="I310" s="467"/>
      <c r="J310" s="467"/>
      <c r="K310" s="467"/>
    </row>
    <row r="311" spans="1:11" ht="20.25">
      <c r="A311" s="467"/>
      <c r="B311" s="467"/>
      <c r="C311" s="467"/>
      <c r="D311" s="467"/>
      <c r="E311" s="467"/>
      <c r="F311" s="467"/>
      <c r="G311" s="467"/>
      <c r="H311" s="467"/>
      <c r="I311" s="467"/>
      <c r="J311" s="467"/>
      <c r="K311" s="467"/>
    </row>
    <row r="312" spans="1:11" ht="20.25">
      <c r="A312" s="467"/>
      <c r="B312" s="467"/>
      <c r="C312" s="467"/>
      <c r="D312" s="467"/>
      <c r="E312" s="467"/>
      <c r="F312" s="467"/>
      <c r="G312" s="467"/>
      <c r="H312" s="467"/>
      <c r="I312" s="467"/>
      <c r="J312" s="467"/>
      <c r="K312" s="467"/>
    </row>
    <row r="313" spans="1:11" ht="20.25">
      <c r="A313" s="467"/>
      <c r="B313" s="467"/>
      <c r="C313" s="467"/>
      <c r="D313" s="467"/>
      <c r="E313" s="467"/>
      <c r="F313" s="467"/>
      <c r="G313" s="467"/>
      <c r="H313" s="467"/>
      <c r="I313" s="467"/>
      <c r="J313" s="467"/>
      <c r="K313" s="467"/>
    </row>
    <row r="314" spans="1:11" ht="20.25">
      <c r="A314" s="467"/>
      <c r="B314" s="467"/>
      <c r="C314" s="467"/>
      <c r="D314" s="467"/>
      <c r="E314" s="467"/>
      <c r="F314" s="467"/>
      <c r="G314" s="467"/>
      <c r="H314" s="467"/>
      <c r="I314" s="467"/>
      <c r="J314" s="467"/>
      <c r="K314" s="467"/>
    </row>
    <row r="315" spans="1:11" ht="20.25">
      <c r="A315" s="467"/>
      <c r="B315" s="467"/>
      <c r="C315" s="467"/>
      <c r="D315" s="467"/>
      <c r="E315" s="467"/>
      <c r="F315" s="467"/>
      <c r="G315" s="467"/>
      <c r="H315" s="467"/>
      <c r="I315" s="467"/>
      <c r="J315" s="467"/>
      <c r="K315" s="467"/>
    </row>
    <row r="316" spans="1:11" ht="20.25">
      <c r="A316" s="467"/>
      <c r="B316" s="467"/>
      <c r="C316" s="467"/>
      <c r="D316" s="467"/>
      <c r="E316" s="467"/>
      <c r="F316" s="467"/>
      <c r="G316" s="467"/>
      <c r="H316" s="467"/>
      <c r="I316" s="467"/>
      <c r="J316" s="467"/>
      <c r="K316" s="467"/>
    </row>
    <row r="317" spans="1:11" ht="20.25">
      <c r="A317" s="467"/>
      <c r="B317" s="467"/>
      <c r="C317" s="467"/>
      <c r="D317" s="467"/>
      <c r="E317" s="467"/>
      <c r="F317" s="467"/>
      <c r="G317" s="467"/>
      <c r="H317" s="467"/>
      <c r="I317" s="467"/>
      <c r="J317" s="467"/>
      <c r="K317" s="467"/>
    </row>
    <row r="318" spans="1:11" ht="20.25">
      <c r="A318" s="467"/>
      <c r="B318" s="467"/>
      <c r="C318" s="467"/>
      <c r="D318" s="467"/>
      <c r="E318" s="467"/>
      <c r="F318" s="467"/>
      <c r="G318" s="467"/>
      <c r="H318" s="467"/>
      <c r="I318" s="467"/>
      <c r="J318" s="467"/>
      <c r="K318" s="467"/>
    </row>
    <row r="319" spans="1:11" ht="20.25">
      <c r="A319" s="467"/>
      <c r="B319" s="467"/>
      <c r="C319" s="467"/>
      <c r="D319" s="467"/>
      <c r="E319" s="467"/>
      <c r="F319" s="467"/>
      <c r="G319" s="467"/>
      <c r="H319" s="467"/>
      <c r="I319" s="467"/>
      <c r="J319" s="467"/>
      <c r="K319" s="467"/>
    </row>
    <row r="320" spans="1:11" ht="20.25">
      <c r="A320" s="467"/>
      <c r="B320" s="467"/>
      <c r="C320" s="467"/>
      <c r="D320" s="467"/>
      <c r="E320" s="467"/>
      <c r="F320" s="467"/>
      <c r="G320" s="467"/>
      <c r="H320" s="467"/>
      <c r="I320" s="467"/>
      <c r="J320" s="467"/>
      <c r="K320" s="467"/>
    </row>
    <row r="321" spans="1:11" ht="20.25">
      <c r="A321" s="467"/>
      <c r="B321" s="467"/>
      <c r="C321" s="467"/>
      <c r="D321" s="467"/>
      <c r="E321" s="467"/>
      <c r="F321" s="467"/>
      <c r="G321" s="467"/>
      <c r="H321" s="467"/>
      <c r="I321" s="467"/>
      <c r="J321" s="467"/>
      <c r="K321" s="467"/>
    </row>
    <row r="322" spans="1:11" ht="20.25">
      <c r="A322" s="467"/>
      <c r="B322" s="467"/>
      <c r="C322" s="467"/>
      <c r="D322" s="467"/>
      <c r="E322" s="467"/>
      <c r="F322" s="467"/>
      <c r="G322" s="467"/>
      <c r="H322" s="467"/>
      <c r="I322" s="467"/>
      <c r="J322" s="467"/>
      <c r="K322" s="467"/>
    </row>
    <row r="323" spans="1:11" ht="20.25">
      <c r="A323" s="467"/>
      <c r="B323" s="467"/>
      <c r="C323" s="467"/>
      <c r="D323" s="467"/>
      <c r="E323" s="467"/>
      <c r="F323" s="467"/>
      <c r="G323" s="467"/>
      <c r="H323" s="467"/>
      <c r="I323" s="467"/>
      <c r="J323" s="467"/>
      <c r="K323" s="467"/>
    </row>
    <row r="324" spans="1:11" ht="20.25">
      <c r="A324" s="467"/>
      <c r="B324" s="467"/>
      <c r="C324" s="467"/>
      <c r="D324" s="467"/>
      <c r="E324" s="467"/>
      <c r="F324" s="467"/>
      <c r="G324" s="467"/>
      <c r="H324" s="467"/>
      <c r="I324" s="467"/>
      <c r="J324" s="467"/>
      <c r="K324" s="467"/>
    </row>
    <row r="325" spans="1:11" ht="20.25">
      <c r="A325" s="467"/>
      <c r="B325" s="467"/>
      <c r="C325" s="467"/>
      <c r="D325" s="467"/>
      <c r="E325" s="467"/>
      <c r="F325" s="467"/>
      <c r="G325" s="467"/>
      <c r="H325" s="467"/>
      <c r="I325" s="467"/>
      <c r="J325" s="467"/>
      <c r="K325" s="467"/>
    </row>
    <row r="326" spans="1:11" ht="20.25">
      <c r="A326" s="467"/>
      <c r="B326" s="467"/>
      <c r="C326" s="467"/>
      <c r="D326" s="467"/>
      <c r="E326" s="467"/>
      <c r="F326" s="467"/>
      <c r="G326" s="467"/>
      <c r="H326" s="467"/>
      <c r="I326" s="467"/>
      <c r="J326" s="467"/>
      <c r="K326" s="467"/>
    </row>
    <row r="327" spans="1:11" ht="20.25">
      <c r="A327" s="467"/>
      <c r="B327" s="467"/>
      <c r="C327" s="467"/>
      <c r="D327" s="467"/>
      <c r="E327" s="467"/>
      <c r="F327" s="467"/>
      <c r="G327" s="467"/>
      <c r="H327" s="467"/>
      <c r="I327" s="467"/>
      <c r="J327" s="467"/>
      <c r="K327" s="467"/>
    </row>
    <row r="328" spans="1:11" ht="20.25">
      <c r="A328" s="467"/>
      <c r="B328" s="467"/>
      <c r="C328" s="467"/>
      <c r="D328" s="467"/>
      <c r="E328" s="467"/>
      <c r="F328" s="467"/>
      <c r="G328" s="467"/>
      <c r="H328" s="467"/>
      <c r="I328" s="467"/>
      <c r="J328" s="467"/>
      <c r="K328" s="467"/>
    </row>
    <row r="329" spans="1:11" ht="20.25">
      <c r="A329" s="467"/>
      <c r="B329" s="467"/>
      <c r="C329" s="467"/>
      <c r="D329" s="467"/>
      <c r="E329" s="467"/>
      <c r="F329" s="467"/>
      <c r="G329" s="467"/>
      <c r="H329" s="467"/>
      <c r="I329" s="467"/>
      <c r="J329" s="467"/>
      <c r="K329" s="467"/>
    </row>
    <row r="330" spans="1:11" ht="20.25">
      <c r="A330" s="467"/>
      <c r="B330" s="467"/>
      <c r="C330" s="467"/>
      <c r="D330" s="467"/>
      <c r="E330" s="467"/>
      <c r="F330" s="467"/>
      <c r="G330" s="467"/>
      <c r="H330" s="467"/>
      <c r="I330" s="467"/>
      <c r="J330" s="467"/>
      <c r="K330" s="467"/>
    </row>
    <row r="331" spans="1:11" ht="20.25">
      <c r="A331" s="467"/>
      <c r="B331" s="467"/>
      <c r="C331" s="467"/>
      <c r="D331" s="467"/>
      <c r="E331" s="467"/>
      <c r="F331" s="467"/>
      <c r="G331" s="467"/>
      <c r="H331" s="467"/>
      <c r="I331" s="467"/>
      <c r="J331" s="467"/>
      <c r="K331" s="467"/>
    </row>
    <row r="332" spans="1:11" ht="20.25">
      <c r="A332" s="467"/>
      <c r="B332" s="467"/>
      <c r="C332" s="467"/>
      <c r="D332" s="467"/>
      <c r="E332" s="467"/>
      <c r="F332" s="467"/>
      <c r="G332" s="467"/>
      <c r="H332" s="467"/>
      <c r="I332" s="467"/>
      <c r="J332" s="467"/>
      <c r="K332" s="467"/>
    </row>
    <row r="333" spans="1:11" ht="20.25">
      <c r="A333" s="467"/>
      <c r="B333" s="467"/>
      <c r="C333" s="467"/>
      <c r="D333" s="467"/>
      <c r="E333" s="467"/>
      <c r="F333" s="467"/>
      <c r="G333" s="467"/>
      <c r="H333" s="467"/>
      <c r="I333" s="467"/>
      <c r="J333" s="467"/>
      <c r="K333" s="467"/>
    </row>
    <row r="334" spans="1:11" ht="20.25">
      <c r="A334" s="467"/>
      <c r="B334" s="467"/>
      <c r="C334" s="467"/>
      <c r="D334" s="467"/>
      <c r="E334" s="467"/>
      <c r="F334" s="467"/>
      <c r="G334" s="467"/>
      <c r="H334" s="467"/>
      <c r="I334" s="467"/>
      <c r="J334" s="467"/>
      <c r="K334" s="467"/>
    </row>
    <row r="335" spans="1:11" ht="20.25">
      <c r="A335" s="467"/>
      <c r="B335" s="467"/>
      <c r="C335" s="467"/>
      <c r="D335" s="467"/>
      <c r="E335" s="467"/>
      <c r="F335" s="467"/>
      <c r="G335" s="467"/>
      <c r="H335" s="467"/>
      <c r="I335" s="467"/>
      <c r="J335" s="467"/>
      <c r="K335" s="467"/>
    </row>
    <row r="336" spans="1:11" ht="20.25">
      <c r="A336" s="467"/>
      <c r="B336" s="467"/>
      <c r="C336" s="467"/>
      <c r="D336" s="467"/>
      <c r="E336" s="467"/>
      <c r="F336" s="467"/>
      <c r="G336" s="467"/>
      <c r="H336" s="467"/>
      <c r="I336" s="467"/>
      <c r="J336" s="467"/>
      <c r="K336" s="467"/>
    </row>
    <row r="337" spans="1:11" ht="20.25">
      <c r="A337" s="467"/>
      <c r="B337" s="467"/>
      <c r="C337" s="467"/>
      <c r="D337" s="467"/>
      <c r="E337" s="467"/>
      <c r="F337" s="467"/>
      <c r="G337" s="467"/>
      <c r="H337" s="467"/>
      <c r="I337" s="467"/>
      <c r="J337" s="467"/>
      <c r="K337" s="467"/>
    </row>
    <row r="338" spans="1:11" ht="20.25">
      <c r="A338" s="467"/>
      <c r="B338" s="467"/>
      <c r="C338" s="467"/>
      <c r="D338" s="467"/>
      <c r="E338" s="467"/>
      <c r="F338" s="467"/>
      <c r="G338" s="467"/>
      <c r="H338" s="467"/>
      <c r="I338" s="467"/>
      <c r="J338" s="467"/>
      <c r="K338" s="467"/>
    </row>
    <row r="339" spans="1:11" ht="20.25">
      <c r="A339" s="467"/>
      <c r="B339" s="467"/>
      <c r="C339" s="467"/>
      <c r="D339" s="467"/>
      <c r="E339" s="467"/>
      <c r="F339" s="467"/>
      <c r="G339" s="467"/>
      <c r="H339" s="467"/>
      <c r="I339" s="467"/>
      <c r="J339" s="467"/>
      <c r="K339" s="467"/>
    </row>
    <row r="340" spans="1:11" ht="20.25">
      <c r="A340" s="467"/>
      <c r="B340" s="467"/>
      <c r="C340" s="467"/>
      <c r="D340" s="467"/>
      <c r="E340" s="467"/>
      <c r="F340" s="467"/>
      <c r="G340" s="467"/>
      <c r="H340" s="467"/>
      <c r="I340" s="467"/>
      <c r="J340" s="467"/>
      <c r="K340" s="467"/>
    </row>
    <row r="341" spans="1:11" ht="20.25">
      <c r="A341" s="467"/>
      <c r="B341" s="467"/>
      <c r="C341" s="467"/>
      <c r="D341" s="467"/>
      <c r="E341" s="467"/>
      <c r="F341" s="467"/>
      <c r="G341" s="467"/>
      <c r="H341" s="467"/>
      <c r="I341" s="467"/>
      <c r="J341" s="467"/>
      <c r="K341" s="467"/>
    </row>
    <row r="342" spans="1:11" ht="20.25">
      <c r="A342" s="467"/>
      <c r="B342" s="467"/>
      <c r="C342" s="467"/>
      <c r="D342" s="467"/>
      <c r="E342" s="467"/>
      <c r="F342" s="467"/>
      <c r="G342" s="467"/>
      <c r="H342" s="467"/>
      <c r="I342" s="467"/>
      <c r="J342" s="467"/>
      <c r="K342" s="467"/>
    </row>
    <row r="343" spans="1:11" ht="20.25">
      <c r="A343" s="467"/>
      <c r="B343" s="467"/>
      <c r="C343" s="467"/>
      <c r="D343" s="467"/>
      <c r="E343" s="467"/>
      <c r="F343" s="467"/>
      <c r="G343" s="467"/>
      <c r="H343" s="467"/>
      <c r="I343" s="467"/>
      <c r="J343" s="467"/>
      <c r="K343" s="467"/>
    </row>
    <row r="344" spans="1:11" ht="20.25">
      <c r="A344" s="467"/>
      <c r="B344" s="467"/>
      <c r="C344" s="467"/>
      <c r="D344" s="467"/>
      <c r="E344" s="467"/>
      <c r="F344" s="467"/>
      <c r="G344" s="467"/>
      <c r="H344" s="467"/>
      <c r="I344" s="467"/>
      <c r="J344" s="467"/>
      <c r="K344" s="467"/>
    </row>
    <row r="345" spans="1:11" ht="20.25">
      <c r="A345" s="467"/>
      <c r="B345" s="467"/>
      <c r="C345" s="467"/>
      <c r="D345" s="467"/>
      <c r="E345" s="467"/>
      <c r="F345" s="467"/>
      <c r="G345" s="467"/>
      <c r="H345" s="467"/>
      <c r="I345" s="467"/>
      <c r="J345" s="467"/>
      <c r="K345" s="467"/>
    </row>
    <row r="346" spans="1:11" ht="20.25">
      <c r="A346" s="467"/>
      <c r="B346" s="467"/>
      <c r="C346" s="467"/>
      <c r="D346" s="467"/>
      <c r="E346" s="467"/>
      <c r="F346" s="467"/>
      <c r="G346" s="467"/>
      <c r="H346" s="467"/>
      <c r="I346" s="467"/>
      <c r="J346" s="467"/>
      <c r="K346" s="467"/>
    </row>
    <row r="347" spans="1:11" ht="20.25">
      <c r="A347" s="467"/>
      <c r="B347" s="467"/>
      <c r="C347" s="467"/>
      <c r="D347" s="467"/>
      <c r="E347" s="467"/>
      <c r="F347" s="467"/>
      <c r="G347" s="467"/>
      <c r="H347" s="467"/>
      <c r="I347" s="467"/>
      <c r="J347" s="467"/>
      <c r="K347" s="467"/>
    </row>
    <row r="348" spans="1:11" ht="20.25">
      <c r="A348" s="467"/>
      <c r="B348" s="467"/>
      <c r="C348" s="467"/>
      <c r="D348" s="467"/>
      <c r="E348" s="467"/>
      <c r="F348" s="467"/>
      <c r="G348" s="467"/>
      <c r="H348" s="467"/>
      <c r="I348" s="467"/>
      <c r="J348" s="467"/>
      <c r="K348" s="467"/>
    </row>
    <row r="349" spans="1:11" ht="20.25">
      <c r="A349" s="467"/>
      <c r="B349" s="467"/>
      <c r="C349" s="467"/>
      <c r="D349" s="467"/>
      <c r="E349" s="467"/>
      <c r="F349" s="467"/>
      <c r="G349" s="467"/>
      <c r="H349" s="467"/>
      <c r="I349" s="467"/>
      <c r="J349" s="467"/>
      <c r="K349" s="467"/>
    </row>
    <row r="350" spans="1:11" ht="20.25">
      <c r="A350" s="467"/>
      <c r="B350" s="467"/>
      <c r="C350" s="467"/>
      <c r="D350" s="467"/>
      <c r="E350" s="467"/>
      <c r="F350" s="467"/>
      <c r="G350" s="467"/>
      <c r="H350" s="467"/>
      <c r="I350" s="467"/>
      <c r="J350" s="467"/>
      <c r="K350" s="467"/>
    </row>
    <row r="351" spans="1:11" ht="20.25">
      <c r="A351" s="467"/>
      <c r="B351" s="467"/>
      <c r="C351" s="467"/>
      <c r="D351" s="467"/>
      <c r="E351" s="467"/>
      <c r="F351" s="467"/>
      <c r="G351" s="467"/>
      <c r="H351" s="467"/>
      <c r="I351" s="467"/>
      <c r="J351" s="467"/>
      <c r="K351" s="467"/>
    </row>
    <row r="352" spans="1:11" ht="20.25">
      <c r="A352" s="467"/>
      <c r="B352" s="467"/>
      <c r="C352" s="467"/>
      <c r="D352" s="467"/>
      <c r="E352" s="467"/>
      <c r="F352" s="467"/>
      <c r="G352" s="467"/>
      <c r="H352" s="467"/>
      <c r="I352" s="467"/>
      <c r="J352" s="467"/>
      <c r="K352" s="467"/>
    </row>
    <row r="353" spans="1:11" ht="20.25">
      <c r="A353" s="467"/>
      <c r="B353" s="467"/>
      <c r="C353" s="467"/>
      <c r="D353" s="467"/>
      <c r="E353" s="467"/>
      <c r="F353" s="467"/>
      <c r="G353" s="467"/>
      <c r="H353" s="467"/>
      <c r="I353" s="467"/>
      <c r="J353" s="467"/>
      <c r="K353" s="467"/>
    </row>
    <row r="354" spans="1:11" ht="20.25">
      <c r="A354" s="467"/>
      <c r="B354" s="467"/>
      <c r="C354" s="467"/>
      <c r="D354" s="467"/>
      <c r="E354" s="467"/>
      <c r="F354" s="467"/>
      <c r="G354" s="467"/>
      <c r="H354" s="467"/>
      <c r="I354" s="467"/>
      <c r="J354" s="467"/>
      <c r="K354" s="467"/>
    </row>
    <row r="355" spans="1:11" ht="20.25">
      <c r="A355" s="467"/>
      <c r="B355" s="467"/>
      <c r="C355" s="467"/>
      <c r="D355" s="467"/>
      <c r="E355" s="467"/>
      <c r="F355" s="467"/>
      <c r="G355" s="467"/>
      <c r="H355" s="467"/>
      <c r="I355" s="467"/>
      <c r="J355" s="467"/>
      <c r="K355" s="467"/>
    </row>
    <row r="356" spans="1:11" ht="20.25">
      <c r="A356" s="467"/>
      <c r="B356" s="467"/>
      <c r="C356" s="467"/>
      <c r="D356" s="467"/>
      <c r="E356" s="467"/>
      <c r="F356" s="467"/>
      <c r="G356" s="467"/>
      <c r="H356" s="467"/>
      <c r="I356" s="467"/>
      <c r="J356" s="467"/>
      <c r="K356" s="467"/>
    </row>
    <row r="357" spans="1:11" ht="20.25">
      <c r="A357" s="467"/>
      <c r="B357" s="467"/>
      <c r="C357" s="467"/>
      <c r="D357" s="467"/>
      <c r="E357" s="467"/>
      <c r="F357" s="467"/>
      <c r="G357" s="467"/>
      <c r="H357" s="467"/>
      <c r="I357" s="467"/>
      <c r="J357" s="467"/>
      <c r="K357" s="467"/>
    </row>
    <row r="358" spans="1:11" ht="20.25">
      <c r="A358" s="467"/>
      <c r="B358" s="467"/>
      <c r="C358" s="467"/>
      <c r="D358" s="467"/>
      <c r="E358" s="467"/>
      <c r="F358" s="467"/>
      <c r="G358" s="467"/>
      <c r="H358" s="467"/>
      <c r="I358" s="467"/>
      <c r="J358" s="467"/>
      <c r="K358" s="467"/>
    </row>
    <row r="359" spans="1:11" ht="20.25">
      <c r="A359" s="467"/>
      <c r="B359" s="467"/>
      <c r="C359" s="467"/>
      <c r="D359" s="467"/>
      <c r="E359" s="467"/>
      <c r="F359" s="467"/>
      <c r="G359" s="467"/>
      <c r="H359" s="467"/>
      <c r="I359" s="467"/>
      <c r="J359" s="467"/>
      <c r="K359" s="467"/>
    </row>
    <row r="360" spans="1:11" ht="20.25">
      <c r="A360" s="467"/>
      <c r="B360" s="467"/>
      <c r="C360" s="467"/>
      <c r="D360" s="467"/>
      <c r="E360" s="467"/>
      <c r="F360" s="467"/>
      <c r="G360" s="467"/>
      <c r="H360" s="467"/>
      <c r="I360" s="467"/>
      <c r="J360" s="467"/>
      <c r="K360" s="467"/>
    </row>
    <row r="361" spans="1:11" ht="20.25">
      <c r="A361" s="467"/>
      <c r="B361" s="467"/>
      <c r="C361" s="467"/>
      <c r="D361" s="467"/>
      <c r="E361" s="467"/>
      <c r="F361" s="467"/>
      <c r="G361" s="467"/>
      <c r="H361" s="467"/>
      <c r="I361" s="467"/>
      <c r="J361" s="467"/>
      <c r="K361" s="467"/>
    </row>
    <row r="362" spans="1:11" ht="20.25">
      <c r="A362" s="467"/>
      <c r="B362" s="467"/>
      <c r="C362" s="467"/>
      <c r="D362" s="467"/>
      <c r="E362" s="467"/>
      <c r="F362" s="467"/>
      <c r="G362" s="467"/>
      <c r="H362" s="467"/>
      <c r="I362" s="467"/>
      <c r="J362" s="467"/>
      <c r="K362" s="467"/>
    </row>
    <row r="363" spans="1:11" ht="20.25">
      <c r="A363" s="467"/>
      <c r="B363" s="467"/>
      <c r="C363" s="467"/>
      <c r="D363" s="467"/>
      <c r="E363" s="467"/>
      <c r="F363" s="467"/>
      <c r="G363" s="467"/>
      <c r="H363" s="467"/>
      <c r="I363" s="467"/>
      <c r="J363" s="467"/>
      <c r="K363" s="467"/>
    </row>
    <row r="364" spans="1:11" ht="20.25">
      <c r="A364" s="467"/>
      <c r="B364" s="467"/>
      <c r="C364" s="467"/>
      <c r="D364" s="467"/>
      <c r="E364" s="467"/>
      <c r="F364" s="467"/>
      <c r="G364" s="467"/>
      <c r="H364" s="467"/>
      <c r="I364" s="467"/>
      <c r="J364" s="467"/>
      <c r="K364" s="467"/>
    </row>
    <row r="365" spans="1:11" ht="20.25">
      <c r="A365" s="467"/>
      <c r="B365" s="467"/>
      <c r="C365" s="467"/>
      <c r="D365" s="467"/>
      <c r="E365" s="467"/>
      <c r="F365" s="467"/>
      <c r="G365" s="467"/>
      <c r="H365" s="467"/>
      <c r="I365" s="467"/>
      <c r="J365" s="467"/>
      <c r="K365" s="467"/>
    </row>
    <row r="366" spans="1:11" ht="20.25">
      <c r="A366" s="467"/>
      <c r="B366" s="467"/>
      <c r="C366" s="467"/>
      <c r="D366" s="467"/>
      <c r="E366" s="467"/>
      <c r="F366" s="467"/>
      <c r="G366" s="467"/>
      <c r="H366" s="467"/>
      <c r="I366" s="467"/>
      <c r="J366" s="467"/>
      <c r="K366" s="467"/>
    </row>
    <row r="367" spans="1:11" ht="20.25">
      <c r="A367" s="467"/>
      <c r="B367" s="467"/>
      <c r="C367" s="467"/>
      <c r="D367" s="467"/>
      <c r="E367" s="467"/>
      <c r="F367" s="467"/>
      <c r="G367" s="467"/>
      <c r="H367" s="467"/>
      <c r="I367" s="467"/>
      <c r="J367" s="467"/>
      <c r="K367" s="467"/>
    </row>
    <row r="368" spans="1:11" ht="20.25">
      <c r="A368" s="467"/>
      <c r="B368" s="467"/>
      <c r="C368" s="467"/>
      <c r="D368" s="467"/>
      <c r="E368" s="467"/>
      <c r="F368" s="467"/>
      <c r="G368" s="467"/>
      <c r="H368" s="467"/>
      <c r="I368" s="467"/>
      <c r="J368" s="467"/>
      <c r="K368" s="467"/>
    </row>
    <row r="369" spans="1:11" ht="20.25">
      <c r="A369" s="467"/>
      <c r="B369" s="467"/>
      <c r="C369" s="467"/>
      <c r="D369" s="467"/>
      <c r="E369" s="467"/>
      <c r="F369" s="467"/>
      <c r="G369" s="467"/>
      <c r="H369" s="467"/>
      <c r="I369" s="467"/>
      <c r="J369" s="467"/>
      <c r="K369" s="467"/>
    </row>
    <row r="370" spans="1:11" ht="20.25">
      <c r="A370" s="467"/>
      <c r="B370" s="467"/>
      <c r="C370" s="467"/>
      <c r="D370" s="467"/>
      <c r="E370" s="467"/>
      <c r="F370" s="467"/>
      <c r="G370" s="467"/>
      <c r="H370" s="467"/>
      <c r="I370" s="467"/>
      <c r="J370" s="467"/>
      <c r="K370" s="467"/>
    </row>
    <row r="371" spans="1:11" ht="20.25">
      <c r="A371" s="467"/>
      <c r="B371" s="467"/>
      <c r="C371" s="467"/>
      <c r="D371" s="467"/>
      <c r="E371" s="467"/>
      <c r="F371" s="467"/>
      <c r="G371" s="467"/>
      <c r="H371" s="467"/>
      <c r="I371" s="467"/>
      <c r="J371" s="467"/>
      <c r="K371" s="467"/>
    </row>
    <row r="372" spans="1:11" ht="20.25">
      <c r="A372" s="467"/>
      <c r="B372" s="467"/>
      <c r="C372" s="467"/>
      <c r="D372" s="467"/>
      <c r="E372" s="467"/>
      <c r="F372" s="467"/>
      <c r="G372" s="467"/>
      <c r="H372" s="467"/>
      <c r="I372" s="467"/>
      <c r="J372" s="467"/>
      <c r="K372" s="467"/>
    </row>
    <row r="373" spans="1:11" ht="20.25">
      <c r="A373" s="467"/>
      <c r="B373" s="467"/>
      <c r="C373" s="467"/>
      <c r="D373" s="467"/>
      <c r="E373" s="467"/>
      <c r="F373" s="467"/>
      <c r="G373" s="467"/>
      <c r="H373" s="467"/>
      <c r="I373" s="467"/>
      <c r="J373" s="467"/>
      <c r="K373" s="467"/>
    </row>
    <row r="374" spans="1:11" ht="20.25">
      <c r="A374" s="467"/>
      <c r="B374" s="467"/>
      <c r="C374" s="467"/>
      <c r="D374" s="467"/>
      <c r="E374" s="467"/>
      <c r="F374" s="467"/>
      <c r="G374" s="467"/>
      <c r="H374" s="467"/>
      <c r="I374" s="467"/>
      <c r="J374" s="467"/>
      <c r="K374" s="467"/>
    </row>
    <row r="375" spans="1:11" ht="20.25">
      <c r="A375" s="467"/>
      <c r="B375" s="467"/>
      <c r="C375" s="467"/>
      <c r="D375" s="467"/>
      <c r="E375" s="467"/>
      <c r="F375" s="467"/>
      <c r="G375" s="467"/>
      <c r="H375" s="467"/>
      <c r="I375" s="467"/>
      <c r="J375" s="467"/>
      <c r="K375" s="467"/>
    </row>
    <row r="376" spans="1:11" ht="20.25">
      <c r="A376" s="467"/>
      <c r="B376" s="467"/>
      <c r="C376" s="467"/>
      <c r="D376" s="467"/>
      <c r="E376" s="467"/>
      <c r="F376" s="467"/>
      <c r="G376" s="467"/>
      <c r="H376" s="467"/>
      <c r="I376" s="467"/>
      <c r="J376" s="467"/>
      <c r="K376" s="467"/>
    </row>
    <row r="377" spans="1:11" ht="20.25">
      <c r="A377" s="467"/>
      <c r="B377" s="467"/>
      <c r="C377" s="467"/>
      <c r="D377" s="467"/>
      <c r="E377" s="467"/>
      <c r="F377" s="467"/>
      <c r="G377" s="467"/>
      <c r="H377" s="467"/>
      <c r="I377" s="467"/>
      <c r="J377" s="467"/>
      <c r="K377" s="467"/>
    </row>
    <row r="378" spans="1:11" ht="20.25">
      <c r="A378" s="467"/>
      <c r="B378" s="467"/>
      <c r="C378" s="467"/>
      <c r="D378" s="467"/>
      <c r="E378" s="467"/>
      <c r="F378" s="467"/>
      <c r="G378" s="467"/>
      <c r="H378" s="467"/>
      <c r="I378" s="467"/>
      <c r="J378" s="467"/>
      <c r="K378" s="467"/>
    </row>
    <row r="379" spans="1:11" ht="20.25">
      <c r="A379" s="467"/>
      <c r="B379" s="467"/>
      <c r="C379" s="467"/>
      <c r="D379" s="467"/>
      <c r="E379" s="467"/>
      <c r="F379" s="467"/>
      <c r="G379" s="467"/>
      <c r="H379" s="467"/>
      <c r="I379" s="467"/>
      <c r="J379" s="467"/>
      <c r="K379" s="467"/>
    </row>
    <row r="380" spans="1:11" ht="20.25">
      <c r="A380" s="467"/>
      <c r="B380" s="467"/>
      <c r="C380" s="467"/>
      <c r="D380" s="467"/>
      <c r="E380" s="467"/>
      <c r="F380" s="467"/>
      <c r="G380" s="467"/>
      <c r="H380" s="467"/>
      <c r="I380" s="467"/>
      <c r="J380" s="467"/>
      <c r="K380" s="467"/>
    </row>
    <row r="381" spans="1:11" ht="20.25">
      <c r="A381" s="467"/>
      <c r="B381" s="467"/>
      <c r="C381" s="467"/>
      <c r="D381" s="467"/>
      <c r="E381" s="467"/>
      <c r="F381" s="467"/>
      <c r="G381" s="467"/>
      <c r="H381" s="467"/>
      <c r="I381" s="467"/>
      <c r="J381" s="467"/>
      <c r="K381" s="467"/>
    </row>
    <row r="382" spans="1:11" ht="20.25">
      <c r="A382" s="467"/>
      <c r="B382" s="467"/>
      <c r="C382" s="467"/>
      <c r="D382" s="467"/>
      <c r="E382" s="467"/>
      <c r="F382" s="467"/>
      <c r="G382" s="467"/>
      <c r="H382" s="467"/>
      <c r="I382" s="467"/>
      <c r="J382" s="467"/>
      <c r="K382" s="467"/>
    </row>
    <row r="383" spans="1:11" ht="20.25">
      <c r="A383" s="467"/>
      <c r="B383" s="467"/>
      <c r="C383" s="467"/>
      <c r="D383" s="467"/>
      <c r="E383" s="467"/>
      <c r="F383" s="467"/>
      <c r="G383" s="467"/>
      <c r="H383" s="467"/>
      <c r="I383" s="467"/>
      <c r="J383" s="467"/>
      <c r="K383" s="467"/>
    </row>
    <row r="384" spans="1:11" ht="20.25">
      <c r="A384" s="467"/>
      <c r="B384" s="467"/>
      <c r="C384" s="467"/>
      <c r="D384" s="467"/>
      <c r="E384" s="467"/>
      <c r="F384" s="467"/>
      <c r="G384" s="467"/>
      <c r="H384" s="467"/>
      <c r="I384" s="467"/>
      <c r="J384" s="467"/>
      <c r="K384" s="467"/>
    </row>
    <row r="385" spans="1:11" ht="20.25">
      <c r="A385" s="467"/>
      <c r="B385" s="467"/>
      <c r="C385" s="467"/>
      <c r="D385" s="467"/>
      <c r="E385" s="467"/>
      <c r="F385" s="467"/>
      <c r="G385" s="467"/>
      <c r="H385" s="467"/>
      <c r="I385" s="467"/>
      <c r="J385" s="467"/>
      <c r="K385" s="467"/>
    </row>
    <row r="386" spans="1:11" ht="20.25">
      <c r="A386" s="467"/>
      <c r="B386" s="467"/>
      <c r="C386" s="467"/>
      <c r="D386" s="467"/>
      <c r="E386" s="467"/>
      <c r="F386" s="467"/>
      <c r="G386" s="467"/>
      <c r="H386" s="467"/>
      <c r="I386" s="467"/>
      <c r="J386" s="467"/>
      <c r="K386" s="467"/>
    </row>
    <row r="387" spans="1:11" ht="20.25">
      <c r="A387" s="467"/>
      <c r="B387" s="467"/>
      <c r="C387" s="467"/>
      <c r="D387" s="467"/>
      <c r="E387" s="467"/>
      <c r="F387" s="467"/>
      <c r="G387" s="467"/>
      <c r="H387" s="467"/>
      <c r="I387" s="467"/>
      <c r="J387" s="467"/>
      <c r="K387" s="467"/>
    </row>
    <row r="388" spans="1:11" ht="20.25">
      <c r="A388" s="467"/>
      <c r="B388" s="467"/>
      <c r="C388" s="467"/>
      <c r="D388" s="467"/>
      <c r="E388" s="467"/>
      <c r="F388" s="467"/>
      <c r="G388" s="467"/>
      <c r="H388" s="467"/>
      <c r="I388" s="467"/>
      <c r="J388" s="467"/>
      <c r="K388" s="467"/>
    </row>
    <row r="389" spans="1:11" ht="20.25">
      <c r="A389" s="467"/>
      <c r="B389" s="467"/>
      <c r="C389" s="467"/>
      <c r="D389" s="467"/>
      <c r="E389" s="467"/>
      <c r="F389" s="467"/>
      <c r="G389" s="467"/>
      <c r="H389" s="467"/>
      <c r="I389" s="467"/>
      <c r="J389" s="467"/>
      <c r="K389" s="467"/>
    </row>
    <row r="390" spans="1:11" ht="20.25">
      <c r="A390" s="467"/>
      <c r="B390" s="467"/>
      <c r="C390" s="467"/>
      <c r="D390" s="467"/>
      <c r="E390" s="467"/>
      <c r="F390" s="467"/>
      <c r="G390" s="467"/>
      <c r="H390" s="467"/>
      <c r="I390" s="467"/>
      <c r="J390" s="467"/>
      <c r="K390" s="467"/>
    </row>
    <row r="391" spans="1:11" ht="20.25">
      <c r="A391" s="467"/>
      <c r="B391" s="467"/>
      <c r="C391" s="467"/>
      <c r="D391" s="467"/>
      <c r="E391" s="467"/>
      <c r="F391" s="467"/>
      <c r="G391" s="467"/>
      <c r="H391" s="467"/>
      <c r="I391" s="467"/>
      <c r="J391" s="467"/>
      <c r="K391" s="467"/>
    </row>
    <row r="392" spans="1:11" ht="20.25">
      <c r="A392" s="467"/>
      <c r="B392" s="467"/>
      <c r="C392" s="467"/>
      <c r="D392" s="467"/>
      <c r="E392" s="467"/>
      <c r="F392" s="467"/>
      <c r="G392" s="467"/>
      <c r="H392" s="467"/>
      <c r="I392" s="467"/>
      <c r="J392" s="467"/>
      <c r="K392" s="467"/>
    </row>
    <row r="393" spans="1:11" ht="20.25">
      <c r="A393" s="467"/>
      <c r="B393" s="467"/>
      <c r="C393" s="467"/>
      <c r="D393" s="467"/>
      <c r="E393" s="467"/>
      <c r="F393" s="467"/>
      <c r="G393" s="467"/>
      <c r="H393" s="467"/>
      <c r="I393" s="467"/>
      <c r="J393" s="467"/>
      <c r="K393" s="467"/>
    </row>
    <row r="394" spans="1:11" ht="20.25">
      <c r="A394" s="467"/>
      <c r="B394" s="467"/>
      <c r="C394" s="467"/>
      <c r="D394" s="467"/>
      <c r="E394" s="467"/>
      <c r="F394" s="467"/>
      <c r="G394" s="467"/>
      <c r="H394" s="467"/>
      <c r="I394" s="467"/>
      <c r="J394" s="467"/>
      <c r="K394" s="467"/>
    </row>
    <row r="395" spans="1:11" ht="20.25">
      <c r="A395" s="467"/>
      <c r="B395" s="467"/>
      <c r="C395" s="467"/>
      <c r="D395" s="467"/>
      <c r="E395" s="467"/>
      <c r="F395" s="467"/>
      <c r="G395" s="467"/>
      <c r="H395" s="467"/>
      <c r="I395" s="467"/>
      <c r="J395" s="467"/>
      <c r="K395" s="467"/>
    </row>
    <row r="396" spans="1:11" ht="20.25">
      <c r="A396" s="467"/>
      <c r="B396" s="467"/>
      <c r="C396" s="467"/>
      <c r="D396" s="467"/>
      <c r="E396" s="467"/>
      <c r="F396" s="467"/>
      <c r="G396" s="467"/>
      <c r="H396" s="467"/>
      <c r="I396" s="467"/>
      <c r="J396" s="467"/>
      <c r="K396" s="467"/>
    </row>
    <row r="397" spans="1:11" ht="20.25">
      <c r="A397" s="467"/>
      <c r="B397" s="467"/>
      <c r="C397" s="467"/>
      <c r="D397" s="467"/>
      <c r="E397" s="467"/>
      <c r="F397" s="467"/>
      <c r="G397" s="467"/>
      <c r="H397" s="467"/>
      <c r="I397" s="467"/>
      <c r="J397" s="467"/>
      <c r="K397" s="467"/>
    </row>
    <row r="398" spans="1:11" ht="20.25">
      <c r="A398" s="467"/>
      <c r="B398" s="467"/>
      <c r="C398" s="467"/>
      <c r="D398" s="467"/>
      <c r="E398" s="467"/>
      <c r="F398" s="467"/>
      <c r="G398" s="467"/>
      <c r="H398" s="467"/>
      <c r="I398" s="467"/>
      <c r="J398" s="467"/>
      <c r="K398" s="467"/>
    </row>
    <row r="399" spans="1:11" ht="20.25">
      <c r="A399" s="467"/>
      <c r="B399" s="467"/>
      <c r="C399" s="467"/>
      <c r="D399" s="467"/>
      <c r="E399" s="467"/>
      <c r="F399" s="467"/>
      <c r="G399" s="467"/>
      <c r="H399" s="467"/>
      <c r="I399" s="467"/>
      <c r="J399" s="467"/>
      <c r="K399" s="467"/>
    </row>
    <row r="400" spans="1:11" ht="20.25">
      <c r="A400" s="467"/>
      <c r="B400" s="467"/>
      <c r="C400" s="467"/>
      <c r="D400" s="467"/>
      <c r="E400" s="467"/>
      <c r="F400" s="467"/>
      <c r="G400" s="467"/>
      <c r="H400" s="467"/>
      <c r="I400" s="467"/>
      <c r="J400" s="467"/>
      <c r="K400" s="467"/>
    </row>
    <row r="401" spans="1:11" ht="20.25">
      <c r="A401" s="467"/>
      <c r="B401" s="467"/>
      <c r="C401" s="467"/>
      <c r="D401" s="467"/>
      <c r="E401" s="467"/>
      <c r="F401" s="467"/>
      <c r="G401" s="467"/>
      <c r="H401" s="467"/>
      <c r="I401" s="467"/>
      <c r="J401" s="467"/>
      <c r="K401" s="467"/>
    </row>
    <row r="402" spans="1:11" ht="20.25">
      <c r="A402" s="467"/>
      <c r="B402" s="467"/>
      <c r="C402" s="467"/>
      <c r="D402" s="467"/>
      <c r="E402" s="467"/>
      <c r="F402" s="467"/>
      <c r="G402" s="467"/>
      <c r="H402" s="467"/>
      <c r="I402" s="467"/>
      <c r="J402" s="467"/>
      <c r="K402" s="467"/>
    </row>
    <row r="403" spans="1:11" ht="20.25">
      <c r="A403" s="467"/>
      <c r="B403" s="467"/>
      <c r="C403" s="467"/>
      <c r="D403" s="467"/>
      <c r="E403" s="467"/>
      <c r="F403" s="467"/>
      <c r="G403" s="467"/>
      <c r="H403" s="467"/>
      <c r="I403" s="467"/>
      <c r="J403" s="467"/>
      <c r="K403" s="467"/>
    </row>
    <row r="404" spans="1:11" ht="20.25">
      <c r="A404" s="467"/>
      <c r="B404" s="467"/>
      <c r="C404" s="467"/>
      <c r="D404" s="467"/>
      <c r="E404" s="467"/>
      <c r="F404" s="467"/>
      <c r="G404" s="467"/>
      <c r="H404" s="467"/>
      <c r="I404" s="467"/>
      <c r="J404" s="467"/>
      <c r="K404" s="467"/>
    </row>
    <row r="405" spans="1:11" ht="20.25">
      <c r="A405" s="467"/>
      <c r="B405" s="467"/>
      <c r="C405" s="467"/>
      <c r="D405" s="467"/>
      <c r="E405" s="467"/>
      <c r="F405" s="467"/>
      <c r="G405" s="467"/>
      <c r="H405" s="467"/>
      <c r="I405" s="467"/>
      <c r="J405" s="467"/>
      <c r="K405" s="467"/>
    </row>
    <row r="406" spans="1:11" ht="20.25">
      <c r="A406" s="467"/>
      <c r="B406" s="467"/>
      <c r="C406" s="467"/>
      <c r="D406" s="467"/>
      <c r="E406" s="467"/>
      <c r="F406" s="467"/>
      <c r="G406" s="467"/>
      <c r="H406" s="467"/>
      <c r="I406" s="467"/>
      <c r="J406" s="467"/>
      <c r="K406" s="467"/>
    </row>
    <row r="407" spans="1:11" ht="20.25">
      <c r="A407" s="467"/>
      <c r="B407" s="467"/>
      <c r="C407" s="467"/>
      <c r="D407" s="467"/>
      <c r="E407" s="467"/>
      <c r="F407" s="467"/>
      <c r="G407" s="467"/>
      <c r="H407" s="467"/>
      <c r="I407" s="467"/>
      <c r="J407" s="467"/>
      <c r="K407" s="467"/>
    </row>
    <row r="408" spans="1:11" ht="20.25">
      <c r="A408" s="467"/>
      <c r="B408" s="467"/>
      <c r="C408" s="467"/>
      <c r="D408" s="467"/>
      <c r="E408" s="467"/>
      <c r="F408" s="467"/>
      <c r="G408" s="467"/>
      <c r="H408" s="467"/>
      <c r="I408" s="467"/>
      <c r="J408" s="467"/>
      <c r="K408" s="467"/>
    </row>
    <row r="409" spans="1:11" ht="20.25">
      <c r="A409" s="467"/>
      <c r="B409" s="467"/>
      <c r="C409" s="467"/>
      <c r="D409" s="467"/>
      <c r="E409" s="467"/>
      <c r="F409" s="467"/>
      <c r="G409" s="467"/>
      <c r="H409" s="467"/>
      <c r="I409" s="467"/>
      <c r="J409" s="467"/>
      <c r="K409" s="467"/>
    </row>
    <row r="410" spans="1:11" ht="20.25">
      <c r="A410" s="467"/>
      <c r="B410" s="467"/>
      <c r="C410" s="467"/>
      <c r="D410" s="467"/>
      <c r="E410" s="467"/>
      <c r="F410" s="467"/>
      <c r="G410" s="467"/>
      <c r="H410" s="467"/>
      <c r="I410" s="467"/>
      <c r="J410" s="467"/>
      <c r="K410" s="467"/>
    </row>
    <row r="411" spans="1:11" ht="20.25">
      <c r="A411" s="467"/>
      <c r="B411" s="467"/>
      <c r="C411" s="467"/>
      <c r="D411" s="467"/>
      <c r="E411" s="467"/>
      <c r="F411" s="467"/>
      <c r="G411" s="467"/>
      <c r="H411" s="467"/>
      <c r="I411" s="467"/>
      <c r="J411" s="467"/>
      <c r="K411" s="467"/>
    </row>
    <row r="412" spans="1:11" ht="20.25">
      <c r="A412" s="467"/>
      <c r="B412" s="467"/>
      <c r="C412" s="467"/>
      <c r="D412" s="467"/>
      <c r="E412" s="467"/>
      <c r="F412" s="467"/>
      <c r="G412" s="467"/>
      <c r="H412" s="467"/>
      <c r="I412" s="467"/>
      <c r="J412" s="467"/>
      <c r="K412" s="467"/>
    </row>
    <row r="413" spans="1:11" ht="20.25">
      <c r="A413" s="467"/>
      <c r="B413" s="467"/>
      <c r="C413" s="467"/>
      <c r="D413" s="467"/>
      <c r="E413" s="467"/>
      <c r="F413" s="467"/>
      <c r="G413" s="467"/>
      <c r="H413" s="467"/>
      <c r="I413" s="467"/>
      <c r="J413" s="467"/>
      <c r="K413" s="467"/>
    </row>
    <row r="414" spans="1:11" ht="20.25">
      <c r="A414" s="467"/>
      <c r="B414" s="467"/>
      <c r="C414" s="467"/>
      <c r="D414" s="467"/>
      <c r="E414" s="467"/>
      <c r="F414" s="467"/>
      <c r="G414" s="467"/>
      <c r="H414" s="467"/>
      <c r="I414" s="467"/>
      <c r="J414" s="467"/>
      <c r="K414" s="467"/>
    </row>
    <row r="415" spans="1:11" ht="20.25">
      <c r="A415" s="467"/>
      <c r="B415" s="467"/>
      <c r="C415" s="467"/>
      <c r="D415" s="467"/>
      <c r="E415" s="467"/>
      <c r="F415" s="467"/>
      <c r="G415" s="467"/>
      <c r="H415" s="467"/>
      <c r="I415" s="467"/>
      <c r="J415" s="467"/>
      <c r="K415" s="467"/>
    </row>
    <row r="416" spans="1:11" ht="20.25">
      <c r="A416" s="467"/>
      <c r="B416" s="467"/>
      <c r="C416" s="467"/>
      <c r="D416" s="467"/>
      <c r="E416" s="467"/>
      <c r="F416" s="467"/>
      <c r="G416" s="467"/>
      <c r="H416" s="467"/>
      <c r="I416" s="467"/>
      <c r="J416" s="467"/>
      <c r="K416" s="467"/>
    </row>
    <row r="417" spans="1:11" ht="20.25">
      <c r="A417" s="467"/>
      <c r="B417" s="467"/>
      <c r="C417" s="467"/>
      <c r="D417" s="467"/>
      <c r="E417" s="467"/>
      <c r="F417" s="467"/>
      <c r="G417" s="467"/>
      <c r="H417" s="467"/>
      <c r="I417" s="467"/>
      <c r="J417" s="467"/>
      <c r="K417" s="467"/>
    </row>
    <row r="418" spans="1:11" ht="20.25">
      <c r="A418" s="467"/>
      <c r="B418" s="467"/>
      <c r="C418" s="467"/>
      <c r="D418" s="467"/>
      <c r="E418" s="467"/>
      <c r="F418" s="467"/>
      <c r="G418" s="467"/>
      <c r="H418" s="467"/>
      <c r="I418" s="467"/>
      <c r="J418" s="467"/>
      <c r="K418" s="467"/>
    </row>
    <row r="419" spans="1:11" ht="20.25">
      <c r="A419" s="467"/>
      <c r="B419" s="467"/>
      <c r="C419" s="467"/>
      <c r="D419" s="467"/>
      <c r="E419" s="467"/>
      <c r="F419" s="467"/>
      <c r="G419" s="467"/>
      <c r="H419" s="467"/>
      <c r="I419" s="467"/>
      <c r="J419" s="467"/>
      <c r="K419" s="467"/>
    </row>
    <row r="420" spans="1:11" ht="20.25">
      <c r="A420" s="467"/>
      <c r="B420" s="467"/>
      <c r="C420" s="467"/>
      <c r="D420" s="467"/>
      <c r="E420" s="467"/>
      <c r="F420" s="467"/>
      <c r="G420" s="467"/>
      <c r="H420" s="467"/>
      <c r="I420" s="467"/>
      <c r="J420" s="467"/>
      <c r="K420" s="467"/>
    </row>
    <row r="421" spans="1:11" ht="20.25">
      <c r="A421" s="467"/>
      <c r="B421" s="467"/>
      <c r="C421" s="467"/>
      <c r="D421" s="467"/>
      <c r="E421" s="467"/>
      <c r="F421" s="467"/>
      <c r="G421" s="467"/>
      <c r="H421" s="467"/>
      <c r="I421" s="467"/>
      <c r="J421" s="467"/>
      <c r="K421" s="467"/>
    </row>
    <row r="422" spans="1:11" ht="20.25">
      <c r="A422" s="467"/>
      <c r="B422" s="467"/>
      <c r="C422" s="467"/>
      <c r="D422" s="467"/>
      <c r="E422" s="467"/>
      <c r="F422" s="467"/>
      <c r="G422" s="467"/>
      <c r="H422" s="467"/>
      <c r="I422" s="467"/>
      <c r="J422" s="467"/>
      <c r="K422" s="467"/>
    </row>
    <row r="423" spans="1:11" ht="20.25">
      <c r="A423" s="467"/>
      <c r="B423" s="467"/>
      <c r="C423" s="467"/>
      <c r="D423" s="467"/>
      <c r="E423" s="467"/>
      <c r="F423" s="467"/>
      <c r="G423" s="467"/>
      <c r="H423" s="467"/>
      <c r="I423" s="467"/>
      <c r="J423" s="467"/>
      <c r="K423" s="467"/>
    </row>
    <row r="424" spans="1:11" ht="20.25">
      <c r="A424" s="467"/>
      <c r="B424" s="467"/>
      <c r="C424" s="467"/>
      <c r="D424" s="467"/>
      <c r="E424" s="467"/>
      <c r="F424" s="467"/>
      <c r="G424" s="467"/>
      <c r="H424" s="467"/>
      <c r="I424" s="467"/>
      <c r="J424" s="467"/>
      <c r="K424" s="467"/>
    </row>
    <row r="425" spans="1:11" ht="20.25">
      <c r="A425" s="467"/>
      <c r="B425" s="467"/>
      <c r="C425" s="467"/>
      <c r="D425" s="467"/>
      <c r="E425" s="467"/>
      <c r="F425" s="467"/>
      <c r="G425" s="467"/>
      <c r="H425" s="467"/>
      <c r="I425" s="467"/>
      <c r="J425" s="467"/>
      <c r="K425" s="467"/>
    </row>
    <row r="426" spans="1:11" ht="20.25">
      <c r="A426" s="467"/>
      <c r="B426" s="467"/>
      <c r="C426" s="467"/>
      <c r="D426" s="467"/>
      <c r="E426" s="467"/>
      <c r="F426" s="467"/>
      <c r="G426" s="467"/>
      <c r="H426" s="467"/>
      <c r="I426" s="467"/>
      <c r="J426" s="467"/>
      <c r="K426" s="467"/>
    </row>
    <row r="427" spans="1:11" ht="20.25">
      <c r="A427" s="467"/>
      <c r="B427" s="467"/>
      <c r="C427" s="467"/>
      <c r="D427" s="467"/>
      <c r="E427" s="467"/>
      <c r="F427" s="467"/>
      <c r="G427" s="467"/>
      <c r="H427" s="467"/>
      <c r="I427" s="467"/>
      <c r="J427" s="467"/>
      <c r="K427" s="467"/>
    </row>
    <row r="428" spans="1:11" ht="20.25">
      <c r="A428" s="467"/>
      <c r="B428" s="467"/>
      <c r="C428" s="467"/>
      <c r="D428" s="467"/>
      <c r="E428" s="467"/>
      <c r="F428" s="467"/>
      <c r="G428" s="467"/>
      <c r="H428" s="467"/>
      <c r="I428" s="467"/>
      <c r="J428" s="467"/>
      <c r="K428" s="467"/>
    </row>
    <row r="429" spans="1:11" ht="20.25">
      <c r="A429" s="467"/>
      <c r="B429" s="467"/>
      <c r="C429" s="467"/>
      <c r="D429" s="467"/>
      <c r="E429" s="467"/>
      <c r="F429" s="467"/>
      <c r="G429" s="467"/>
      <c r="H429" s="467"/>
      <c r="I429" s="467"/>
      <c r="J429" s="467"/>
      <c r="K429" s="467"/>
    </row>
    <row r="430" spans="1:11" ht="20.25">
      <c r="A430" s="467"/>
      <c r="B430" s="467"/>
      <c r="C430" s="467"/>
      <c r="D430" s="467"/>
      <c r="E430" s="467"/>
      <c r="F430" s="467"/>
      <c r="G430" s="467"/>
      <c r="H430" s="467"/>
      <c r="I430" s="467"/>
      <c r="J430" s="467"/>
      <c r="K430" s="467"/>
    </row>
    <row r="431" spans="1:11" ht="20.25">
      <c r="A431" s="467"/>
      <c r="B431" s="467"/>
      <c r="C431" s="467"/>
      <c r="D431" s="467"/>
      <c r="E431" s="467"/>
      <c r="F431" s="467"/>
      <c r="G431" s="467"/>
      <c r="H431" s="467"/>
      <c r="I431" s="467"/>
      <c r="J431" s="467"/>
      <c r="K431" s="467"/>
    </row>
    <row r="432" spans="1:11" ht="20.25">
      <c r="A432" s="467"/>
      <c r="B432" s="467"/>
      <c r="C432" s="467"/>
      <c r="D432" s="467"/>
      <c r="E432" s="467"/>
      <c r="F432" s="467"/>
      <c r="G432" s="467"/>
      <c r="H432" s="467"/>
      <c r="I432" s="467"/>
      <c r="J432" s="467"/>
      <c r="K432" s="467"/>
    </row>
    <row r="433" spans="1:11" ht="20.25">
      <c r="A433" s="467"/>
      <c r="B433" s="467"/>
      <c r="C433" s="467"/>
      <c r="D433" s="467"/>
      <c r="E433" s="467"/>
      <c r="F433" s="467"/>
      <c r="G433" s="467"/>
      <c r="H433" s="467"/>
      <c r="I433" s="467"/>
      <c r="J433" s="467"/>
      <c r="K433" s="467"/>
    </row>
    <row r="434" spans="1:11" ht="20.25">
      <c r="A434" s="467"/>
      <c r="B434" s="467"/>
      <c r="C434" s="467"/>
      <c r="D434" s="467"/>
      <c r="E434" s="467"/>
      <c r="F434" s="467"/>
      <c r="G434" s="467"/>
      <c r="H434" s="467"/>
      <c r="I434" s="467"/>
      <c r="J434" s="467"/>
      <c r="K434" s="467"/>
    </row>
    <row r="435" spans="1:11" ht="20.25">
      <c r="A435" s="467"/>
      <c r="B435" s="467"/>
      <c r="C435" s="467"/>
      <c r="D435" s="467"/>
      <c r="E435" s="467"/>
      <c r="F435" s="467"/>
      <c r="G435" s="467"/>
      <c r="H435" s="467"/>
      <c r="I435" s="467"/>
      <c r="J435" s="467"/>
      <c r="K435" s="467"/>
    </row>
    <row r="436" spans="1:11" ht="20.25">
      <c r="A436" s="467"/>
      <c r="B436" s="467"/>
      <c r="C436" s="467"/>
      <c r="D436" s="467"/>
      <c r="E436" s="467"/>
      <c r="F436" s="467"/>
      <c r="G436" s="467"/>
      <c r="H436" s="467"/>
      <c r="I436" s="467"/>
      <c r="J436" s="467"/>
      <c r="K436" s="467"/>
    </row>
    <row r="437" spans="1:11" ht="20.25">
      <c r="A437" s="467"/>
      <c r="B437" s="467"/>
      <c r="C437" s="467"/>
      <c r="D437" s="467"/>
      <c r="E437" s="467"/>
      <c r="F437" s="467"/>
      <c r="G437" s="467"/>
      <c r="H437" s="467"/>
      <c r="I437" s="467"/>
      <c r="J437" s="467"/>
      <c r="K437" s="467"/>
    </row>
    <row r="438" spans="1:11" ht="20.25">
      <c r="A438" s="467"/>
      <c r="B438" s="467"/>
      <c r="C438" s="467"/>
      <c r="D438" s="467"/>
      <c r="E438" s="467"/>
      <c r="F438" s="467"/>
      <c r="G438" s="467"/>
      <c r="H438" s="467"/>
      <c r="I438" s="467"/>
      <c r="J438" s="467"/>
      <c r="K438" s="467"/>
    </row>
    <row r="439" spans="1:11" ht="20.25">
      <c r="A439" s="467"/>
      <c r="B439" s="467"/>
      <c r="C439" s="467"/>
      <c r="D439" s="467"/>
      <c r="E439" s="467"/>
      <c r="F439" s="467"/>
      <c r="G439" s="467"/>
      <c r="H439" s="467"/>
      <c r="I439" s="467"/>
      <c r="J439" s="467"/>
      <c r="K439" s="467"/>
    </row>
    <row r="440" spans="1:11" ht="20.25">
      <c r="A440" s="467"/>
      <c r="B440" s="467"/>
      <c r="C440" s="467"/>
      <c r="D440" s="467"/>
      <c r="E440" s="467"/>
      <c r="F440" s="467"/>
      <c r="G440" s="467"/>
      <c r="H440" s="467"/>
      <c r="I440" s="467"/>
      <c r="J440" s="467"/>
      <c r="K440" s="467"/>
    </row>
    <row r="441" spans="1:11" ht="20.25">
      <c r="A441" s="467"/>
      <c r="B441" s="467"/>
      <c r="C441" s="467"/>
      <c r="D441" s="467"/>
      <c r="E441" s="467"/>
      <c r="F441" s="467"/>
      <c r="G441" s="467"/>
      <c r="H441" s="467"/>
      <c r="I441" s="467"/>
      <c r="J441" s="467"/>
      <c r="K441" s="467"/>
    </row>
    <row r="442" spans="1:11" ht="20.25">
      <c r="A442" s="467"/>
      <c r="B442" s="467"/>
      <c r="C442" s="467"/>
      <c r="D442" s="467"/>
      <c r="E442" s="467"/>
      <c r="F442" s="467"/>
      <c r="G442" s="467"/>
      <c r="H442" s="467"/>
      <c r="I442" s="467"/>
      <c r="J442" s="467"/>
      <c r="K442" s="467"/>
    </row>
    <row r="443" spans="1:11" ht="20.25">
      <c r="A443" s="467"/>
      <c r="B443" s="467"/>
      <c r="C443" s="467"/>
      <c r="D443" s="467"/>
      <c r="E443" s="467"/>
      <c r="F443" s="467"/>
      <c r="G443" s="467"/>
      <c r="H443" s="467"/>
      <c r="I443" s="467"/>
      <c r="J443" s="467"/>
      <c r="K443" s="467"/>
    </row>
    <row r="444" spans="1:11" ht="20.25">
      <c r="A444" s="467"/>
      <c r="B444" s="467"/>
      <c r="C444" s="467"/>
      <c r="D444" s="467"/>
      <c r="E444" s="467"/>
      <c r="F444" s="467"/>
      <c r="G444" s="467"/>
      <c r="H444" s="467"/>
      <c r="I444" s="467"/>
      <c r="J444" s="467"/>
      <c r="K444" s="467"/>
    </row>
    <row r="445" spans="1:11" ht="20.25">
      <c r="A445" s="467"/>
      <c r="B445" s="467"/>
      <c r="C445" s="467"/>
      <c r="D445" s="467"/>
      <c r="E445" s="467"/>
      <c r="F445" s="467"/>
      <c r="G445" s="467"/>
      <c r="H445" s="467"/>
      <c r="I445" s="467"/>
      <c r="J445" s="467"/>
      <c r="K445" s="467"/>
    </row>
    <row r="446" spans="1:11" ht="20.25">
      <c r="A446" s="467"/>
      <c r="B446" s="467"/>
      <c r="C446" s="467"/>
      <c r="D446" s="467"/>
      <c r="E446" s="467"/>
      <c r="F446" s="467"/>
      <c r="G446" s="467"/>
      <c r="H446" s="467"/>
      <c r="I446" s="467"/>
      <c r="J446" s="467"/>
      <c r="K446" s="467"/>
    </row>
    <row r="447" spans="1:11" ht="20.25">
      <c r="A447" s="467"/>
      <c r="B447" s="467"/>
      <c r="C447" s="467"/>
      <c r="D447" s="467"/>
      <c r="E447" s="467"/>
      <c r="F447" s="467"/>
      <c r="G447" s="467"/>
      <c r="H447" s="467"/>
      <c r="I447" s="467"/>
      <c r="J447" s="467"/>
      <c r="K447" s="467"/>
    </row>
    <row r="448" spans="1:11" ht="20.25">
      <c r="A448" s="467"/>
      <c r="B448" s="467"/>
      <c r="C448" s="467"/>
      <c r="D448" s="467"/>
      <c r="E448" s="467"/>
      <c r="F448" s="467"/>
      <c r="G448" s="467"/>
      <c r="H448" s="467"/>
      <c r="I448" s="467"/>
      <c r="J448" s="467"/>
      <c r="K448" s="467"/>
    </row>
    <row r="449" spans="1:11" ht="20.25">
      <c r="A449" s="467"/>
      <c r="B449" s="467"/>
      <c r="C449" s="467"/>
      <c r="D449" s="467"/>
      <c r="E449" s="467"/>
      <c r="F449" s="467"/>
      <c r="G449" s="467"/>
      <c r="H449" s="467"/>
      <c r="I449" s="467"/>
      <c r="J449" s="467"/>
      <c r="K449" s="467"/>
    </row>
    <row r="450" spans="1:11" ht="20.25">
      <c r="A450" s="467"/>
      <c r="B450" s="467"/>
      <c r="C450" s="467"/>
      <c r="D450" s="467"/>
      <c r="E450" s="467"/>
      <c r="F450" s="467"/>
      <c r="G450" s="467"/>
      <c r="H450" s="467"/>
      <c r="I450" s="467"/>
      <c r="J450" s="467"/>
      <c r="K450" s="467"/>
    </row>
    <row r="451" spans="1:11" ht="20.25">
      <c r="A451" s="467"/>
      <c r="B451" s="467"/>
      <c r="C451" s="467"/>
      <c r="D451" s="467"/>
      <c r="E451" s="467"/>
      <c r="F451" s="467"/>
      <c r="G451" s="467"/>
      <c r="H451" s="467"/>
      <c r="I451" s="467"/>
      <c r="J451" s="467"/>
      <c r="K451" s="467"/>
    </row>
    <row r="452" spans="1:11" ht="20.25">
      <c r="A452" s="467"/>
      <c r="B452" s="467"/>
      <c r="C452" s="467"/>
      <c r="D452" s="467"/>
      <c r="E452" s="467"/>
      <c r="F452" s="467"/>
      <c r="G452" s="467"/>
      <c r="H452" s="467"/>
      <c r="I452" s="467"/>
      <c r="J452" s="467"/>
      <c r="K452" s="467"/>
    </row>
    <row r="453" spans="1:11" ht="20.25">
      <c r="A453" s="467"/>
      <c r="B453" s="467"/>
      <c r="C453" s="467"/>
      <c r="D453" s="467"/>
      <c r="E453" s="467"/>
      <c r="F453" s="467"/>
      <c r="G453" s="467"/>
      <c r="H453" s="467"/>
      <c r="I453" s="467"/>
      <c r="J453" s="467"/>
      <c r="K453" s="467"/>
    </row>
    <row r="454" spans="1:11" ht="20.25">
      <c r="A454" s="467"/>
      <c r="B454" s="467"/>
      <c r="C454" s="467"/>
      <c r="D454" s="467"/>
      <c r="E454" s="467"/>
      <c r="F454" s="467"/>
      <c r="G454" s="467"/>
      <c r="H454" s="467"/>
      <c r="I454" s="467"/>
      <c r="J454" s="467"/>
      <c r="K454" s="467"/>
    </row>
    <row r="455" spans="1:11" ht="20.25">
      <c r="A455" s="467"/>
      <c r="B455" s="467"/>
      <c r="C455" s="467"/>
      <c r="D455" s="467"/>
      <c r="E455" s="467"/>
      <c r="F455" s="467"/>
      <c r="G455" s="467"/>
      <c r="H455" s="467"/>
      <c r="I455" s="467"/>
      <c r="J455" s="467"/>
      <c r="K455" s="467"/>
    </row>
    <row r="456" spans="1:11" ht="20.25">
      <c r="A456" s="467"/>
      <c r="B456" s="467"/>
      <c r="C456" s="467"/>
      <c r="D456" s="467"/>
      <c r="E456" s="467"/>
      <c r="F456" s="467"/>
      <c r="G456" s="467"/>
      <c r="H456" s="467"/>
      <c r="I456" s="467"/>
      <c r="J456" s="467"/>
      <c r="K456" s="467"/>
    </row>
    <row r="457" spans="1:11" ht="20.25">
      <c r="A457" s="467"/>
      <c r="B457" s="467"/>
      <c r="C457" s="467"/>
      <c r="D457" s="467"/>
      <c r="E457" s="467"/>
      <c r="F457" s="467"/>
      <c r="G457" s="467"/>
      <c r="H457" s="467"/>
      <c r="I457" s="467"/>
      <c r="J457" s="467"/>
      <c r="K457" s="467"/>
    </row>
    <row r="458" spans="1:11" ht="20.25">
      <c r="A458" s="467"/>
      <c r="B458" s="467"/>
      <c r="C458" s="467"/>
      <c r="D458" s="467"/>
      <c r="E458" s="467"/>
      <c r="F458" s="467"/>
      <c r="G458" s="467"/>
      <c r="H458" s="467"/>
      <c r="I458" s="467"/>
      <c r="J458" s="467"/>
      <c r="K458" s="467"/>
    </row>
    <row r="459" spans="1:11" ht="20.25">
      <c r="A459" s="467"/>
      <c r="B459" s="467"/>
      <c r="C459" s="467"/>
      <c r="D459" s="467"/>
      <c r="E459" s="467"/>
      <c r="F459" s="467"/>
      <c r="G459" s="467"/>
      <c r="H459" s="467"/>
      <c r="I459" s="467"/>
      <c r="J459" s="467"/>
      <c r="K459" s="467"/>
    </row>
    <row r="460" spans="1:11" ht="20.25">
      <c r="A460" s="467"/>
      <c r="B460" s="467"/>
      <c r="C460" s="467"/>
      <c r="D460" s="467"/>
      <c r="E460" s="467"/>
      <c r="F460" s="467"/>
      <c r="G460" s="467"/>
      <c r="H460" s="467"/>
      <c r="I460" s="467"/>
      <c r="J460" s="467"/>
      <c r="K460" s="467"/>
    </row>
    <row r="461" spans="1:11" ht="20.25">
      <c r="A461" s="467"/>
      <c r="B461" s="467"/>
      <c r="C461" s="467"/>
      <c r="D461" s="467"/>
      <c r="E461" s="467"/>
      <c r="F461" s="467"/>
      <c r="G461" s="467"/>
      <c r="H461" s="467"/>
      <c r="I461" s="467"/>
      <c r="J461" s="467"/>
      <c r="K461" s="467"/>
    </row>
    <row r="462" spans="1:11" ht="20.25">
      <c r="A462" s="467"/>
      <c r="B462" s="467"/>
      <c r="C462" s="467"/>
      <c r="D462" s="467"/>
      <c r="E462" s="467"/>
      <c r="F462" s="467"/>
      <c r="G462" s="467"/>
      <c r="H462" s="467"/>
      <c r="I462" s="467"/>
      <c r="J462" s="467"/>
      <c r="K462" s="467"/>
    </row>
    <row r="463" spans="1:11" ht="20.25">
      <c r="A463" s="467"/>
      <c r="B463" s="467"/>
      <c r="C463" s="467"/>
      <c r="D463" s="467"/>
      <c r="E463" s="467"/>
      <c r="F463" s="467"/>
      <c r="G463" s="467"/>
      <c r="H463" s="467"/>
      <c r="I463" s="467"/>
      <c r="J463" s="467"/>
      <c r="K463" s="467"/>
    </row>
    <row r="464" spans="1:11" ht="20.25">
      <c r="A464" s="467"/>
      <c r="B464" s="467"/>
      <c r="C464" s="467"/>
      <c r="D464" s="467"/>
      <c r="E464" s="467"/>
      <c r="F464" s="467"/>
      <c r="G464" s="467"/>
      <c r="H464" s="467"/>
      <c r="I464" s="467"/>
      <c r="J464" s="467"/>
      <c r="K464" s="467"/>
    </row>
    <row r="465" spans="1:11" ht="20.25">
      <c r="A465" s="467"/>
      <c r="B465" s="467"/>
      <c r="C465" s="467"/>
      <c r="D465" s="467"/>
      <c r="E465" s="467"/>
      <c r="F465" s="467"/>
      <c r="G465" s="467"/>
      <c r="H465" s="467"/>
      <c r="I465" s="467"/>
      <c r="J465" s="467"/>
      <c r="K465" s="467"/>
    </row>
    <row r="466" spans="1:11" ht="20.25">
      <c r="A466" s="467"/>
      <c r="B466" s="467"/>
      <c r="C466" s="467"/>
      <c r="D466" s="467"/>
      <c r="E466" s="467"/>
      <c r="F466" s="467"/>
      <c r="G466" s="467"/>
      <c r="H466" s="467"/>
      <c r="I466" s="467"/>
      <c r="J466" s="467"/>
      <c r="K466" s="467"/>
    </row>
    <row r="467" spans="1:11" ht="20.25">
      <c r="A467" s="467"/>
      <c r="B467" s="467"/>
      <c r="C467" s="467"/>
      <c r="D467" s="467"/>
      <c r="E467" s="467"/>
      <c r="F467" s="467"/>
      <c r="G467" s="467"/>
      <c r="H467" s="467"/>
      <c r="I467" s="467"/>
      <c r="J467" s="467"/>
      <c r="K467" s="467"/>
    </row>
    <row r="468" spans="1:11" ht="20.25">
      <c r="A468" s="467"/>
      <c r="B468" s="467"/>
      <c r="C468" s="467"/>
      <c r="D468" s="467"/>
      <c r="E468" s="467"/>
      <c r="F468" s="467"/>
      <c r="G468" s="467"/>
      <c r="H468" s="467"/>
      <c r="I468" s="467"/>
      <c r="J468" s="467"/>
      <c r="K468" s="467"/>
    </row>
    <row r="469" spans="1:11" ht="20.25">
      <c r="A469" s="467"/>
      <c r="B469" s="467"/>
      <c r="C469" s="467"/>
      <c r="D469" s="467"/>
      <c r="E469" s="467"/>
      <c r="F469" s="467"/>
      <c r="G469" s="467"/>
      <c r="H469" s="467"/>
      <c r="I469" s="467"/>
      <c r="J469" s="467"/>
      <c r="K469" s="467"/>
    </row>
    <row r="470" spans="1:11" ht="20.25">
      <c r="A470" s="467"/>
      <c r="B470" s="467"/>
      <c r="C470" s="467"/>
      <c r="D470" s="467"/>
      <c r="E470" s="467"/>
      <c r="F470" s="467"/>
      <c r="G470" s="467"/>
      <c r="H470" s="467"/>
      <c r="I470" s="467"/>
      <c r="J470" s="467"/>
      <c r="K470" s="467"/>
    </row>
    <row r="471" spans="1:11" ht="20.25">
      <c r="A471" s="467"/>
      <c r="B471" s="467"/>
      <c r="C471" s="467"/>
      <c r="D471" s="467"/>
      <c r="E471" s="467"/>
      <c r="F471" s="467"/>
      <c r="G471" s="467"/>
      <c r="H471" s="467"/>
      <c r="I471" s="467"/>
      <c r="J471" s="467"/>
      <c r="K471" s="467"/>
    </row>
    <row r="472" spans="1:11" ht="20.25">
      <c r="A472" s="467"/>
      <c r="B472" s="467"/>
      <c r="C472" s="467"/>
      <c r="D472" s="467"/>
      <c r="E472" s="467"/>
      <c r="F472" s="467"/>
      <c r="G472" s="467"/>
      <c r="H472" s="467"/>
      <c r="I472" s="467"/>
      <c r="J472" s="467"/>
      <c r="K472" s="467"/>
    </row>
    <row r="473" spans="1:11" ht="20.25">
      <c r="A473" s="467"/>
      <c r="B473" s="467"/>
      <c r="C473" s="467"/>
      <c r="D473" s="467"/>
      <c r="E473" s="467"/>
      <c r="F473" s="467"/>
      <c r="G473" s="467"/>
      <c r="H473" s="467"/>
      <c r="I473" s="467"/>
      <c r="J473" s="467"/>
      <c r="K473" s="467"/>
    </row>
    <row r="474" spans="1:11" ht="20.25">
      <c r="A474" s="467"/>
      <c r="B474" s="467"/>
      <c r="C474" s="467"/>
      <c r="D474" s="467"/>
      <c r="E474" s="467"/>
      <c r="F474" s="467"/>
      <c r="G474" s="467"/>
      <c r="H474" s="467"/>
      <c r="I474" s="467"/>
      <c r="J474" s="467"/>
      <c r="K474" s="467"/>
    </row>
    <row r="475" spans="1:11" ht="20.25">
      <c r="A475" s="467"/>
      <c r="B475" s="467"/>
      <c r="C475" s="467"/>
      <c r="D475" s="467"/>
      <c r="E475" s="467"/>
      <c r="F475" s="467"/>
      <c r="G475" s="467"/>
      <c r="H475" s="467"/>
      <c r="I475" s="467"/>
      <c r="J475" s="467"/>
      <c r="K475" s="467"/>
    </row>
    <row r="476" spans="1:11" ht="20.25">
      <c r="A476" s="467"/>
      <c r="B476" s="467"/>
      <c r="C476" s="467"/>
      <c r="D476" s="467"/>
      <c r="E476" s="467"/>
      <c r="F476" s="467"/>
      <c r="G476" s="467"/>
      <c r="H476" s="467"/>
      <c r="I476" s="467"/>
      <c r="J476" s="467"/>
      <c r="K476" s="467"/>
    </row>
    <row r="477" spans="1:11" ht="20.25">
      <c r="A477" s="467"/>
      <c r="B477" s="467"/>
      <c r="C477" s="467"/>
      <c r="D477" s="467"/>
      <c r="E477" s="467"/>
      <c r="F477" s="467"/>
      <c r="G477" s="467"/>
      <c r="H477" s="467"/>
      <c r="I477" s="467"/>
      <c r="J477" s="467"/>
      <c r="K477" s="467"/>
    </row>
    <row r="478" spans="1:11" ht="20.25">
      <c r="A478" s="467"/>
      <c r="B478" s="467"/>
      <c r="C478" s="467"/>
      <c r="D478" s="467"/>
      <c r="E478" s="467"/>
      <c r="F478" s="467"/>
      <c r="G478" s="467"/>
      <c r="H478" s="467"/>
      <c r="I478" s="467"/>
      <c r="J478" s="467"/>
      <c r="K478" s="467"/>
    </row>
    <row r="479" spans="1:11" ht="20.25">
      <c r="A479" s="467"/>
      <c r="B479" s="467"/>
      <c r="C479" s="467"/>
      <c r="D479" s="467"/>
      <c r="E479" s="467"/>
      <c r="F479" s="467"/>
      <c r="G479" s="467"/>
      <c r="H479" s="467"/>
      <c r="I479" s="467"/>
      <c r="J479" s="467"/>
      <c r="K479" s="467"/>
    </row>
    <row r="480" spans="1:11" ht="20.25">
      <c r="A480" s="467"/>
      <c r="B480" s="467"/>
      <c r="C480" s="467"/>
      <c r="D480" s="467"/>
      <c r="E480" s="467"/>
      <c r="F480" s="467"/>
      <c r="G480" s="467"/>
      <c r="H480" s="467"/>
      <c r="I480" s="467"/>
      <c r="J480" s="467"/>
      <c r="K480" s="467"/>
    </row>
    <row r="481" spans="1:11" ht="20.25">
      <c r="A481" s="467"/>
      <c r="B481" s="467"/>
      <c r="C481" s="467"/>
      <c r="D481" s="467"/>
      <c r="E481" s="467"/>
      <c r="F481" s="467"/>
      <c r="G481" s="467"/>
      <c r="H481" s="467"/>
      <c r="I481" s="467"/>
      <c r="J481" s="467"/>
      <c r="K481" s="467"/>
    </row>
    <row r="482" spans="1:11" ht="20.25">
      <c r="A482" s="467"/>
      <c r="B482" s="467"/>
      <c r="C482" s="467"/>
      <c r="D482" s="467"/>
      <c r="E482" s="467"/>
      <c r="F482" s="467"/>
      <c r="G482" s="467"/>
      <c r="H482" s="467"/>
      <c r="I482" s="467"/>
      <c r="J482" s="467"/>
      <c r="K482" s="467"/>
    </row>
    <row r="483" spans="1:11" ht="20.25">
      <c r="A483" s="467"/>
      <c r="B483" s="467"/>
      <c r="C483" s="467"/>
      <c r="D483" s="467"/>
      <c r="E483" s="467"/>
      <c r="F483" s="467"/>
      <c r="G483" s="467"/>
      <c r="H483" s="467"/>
      <c r="I483" s="467"/>
      <c r="J483" s="467"/>
      <c r="K483" s="467"/>
    </row>
    <row r="484" spans="1:11" ht="20.25">
      <c r="A484" s="467"/>
      <c r="B484" s="467"/>
      <c r="C484" s="467"/>
      <c r="D484" s="467"/>
      <c r="E484" s="467"/>
      <c r="F484" s="467"/>
      <c r="G484" s="467"/>
      <c r="H484" s="467"/>
      <c r="I484" s="467"/>
      <c r="J484" s="467"/>
      <c r="K484" s="467"/>
    </row>
    <row r="485" spans="1:11" ht="20.25">
      <c r="A485" s="467"/>
      <c r="B485" s="467"/>
      <c r="C485" s="467"/>
      <c r="D485" s="467"/>
      <c r="E485" s="467"/>
      <c r="F485" s="467"/>
      <c r="G485" s="467"/>
      <c r="H485" s="467"/>
      <c r="I485" s="467"/>
      <c r="J485" s="467"/>
      <c r="K485" s="467"/>
    </row>
    <row r="486" spans="1:11" ht="20.25">
      <c r="A486" s="467"/>
      <c r="B486" s="467"/>
      <c r="C486" s="467"/>
      <c r="D486" s="467"/>
      <c r="E486" s="467"/>
      <c r="F486" s="467"/>
      <c r="G486" s="467"/>
      <c r="H486" s="467"/>
      <c r="I486" s="467"/>
      <c r="J486" s="467"/>
      <c r="K486" s="467"/>
    </row>
    <row r="487" spans="1:11" ht="20.25">
      <c r="A487" s="467"/>
      <c r="B487" s="467"/>
      <c r="C487" s="467"/>
      <c r="D487" s="467"/>
      <c r="E487" s="467"/>
      <c r="F487" s="467"/>
      <c r="G487" s="467"/>
      <c r="H487" s="467"/>
      <c r="I487" s="467"/>
      <c r="J487" s="467"/>
      <c r="K487" s="467"/>
    </row>
    <row r="488" spans="1:11" ht="20.25">
      <c r="A488" s="467"/>
      <c r="B488" s="467"/>
      <c r="C488" s="467"/>
      <c r="D488" s="467"/>
      <c r="E488" s="467"/>
      <c r="F488" s="467"/>
      <c r="G488" s="467"/>
      <c r="H488" s="467"/>
      <c r="I488" s="467"/>
      <c r="J488" s="467"/>
      <c r="K488" s="467"/>
    </row>
    <row r="489" spans="1:11" ht="20.25">
      <c r="A489" s="467"/>
      <c r="B489" s="467"/>
      <c r="C489" s="467"/>
      <c r="D489" s="467"/>
      <c r="E489" s="467"/>
      <c r="F489" s="467"/>
      <c r="G489" s="467"/>
      <c r="H489" s="467"/>
      <c r="I489" s="467"/>
      <c r="J489" s="467"/>
      <c r="K489" s="467"/>
    </row>
    <row r="490" spans="1:11" ht="20.25">
      <c r="A490" s="467"/>
      <c r="B490" s="467"/>
      <c r="C490" s="467"/>
      <c r="D490" s="467"/>
      <c r="E490" s="467"/>
      <c r="F490" s="467"/>
      <c r="G490" s="467"/>
      <c r="H490" s="467"/>
      <c r="I490" s="467"/>
      <c r="J490" s="467"/>
      <c r="K490" s="467"/>
    </row>
    <row r="491" spans="1:11" ht="20.25">
      <c r="A491" s="467"/>
      <c r="B491" s="467"/>
      <c r="C491" s="467"/>
      <c r="D491" s="467"/>
      <c r="E491" s="467"/>
      <c r="F491" s="467"/>
      <c r="G491" s="467"/>
      <c r="H491" s="467"/>
      <c r="I491" s="467"/>
      <c r="J491" s="467"/>
      <c r="K491" s="467"/>
    </row>
    <row r="492" spans="1:11" ht="20.25">
      <c r="A492" s="467"/>
      <c r="B492" s="467"/>
      <c r="C492" s="467"/>
      <c r="D492" s="467"/>
      <c r="E492" s="467"/>
      <c r="F492" s="467"/>
      <c r="G492" s="467"/>
      <c r="H492" s="467"/>
      <c r="I492" s="467"/>
      <c r="J492" s="467"/>
      <c r="K492" s="467"/>
    </row>
    <row r="493" spans="1:11" ht="20.25">
      <c r="A493" s="467"/>
      <c r="B493" s="467"/>
      <c r="C493" s="467"/>
      <c r="D493" s="467"/>
      <c r="E493" s="467"/>
      <c r="F493" s="467"/>
      <c r="G493" s="467"/>
      <c r="H493" s="467"/>
      <c r="I493" s="467"/>
      <c r="J493" s="467"/>
      <c r="K493" s="467"/>
    </row>
    <row r="494" spans="1:11" ht="20.25">
      <c r="A494" s="467"/>
      <c r="B494" s="467"/>
      <c r="C494" s="467"/>
      <c r="D494" s="467"/>
      <c r="E494" s="467"/>
      <c r="F494" s="467"/>
      <c r="G494" s="467"/>
      <c r="H494" s="467"/>
      <c r="I494" s="467"/>
      <c r="J494" s="467"/>
      <c r="K494" s="467"/>
    </row>
    <row r="495" spans="1:11" ht="20.25">
      <c r="A495" s="467"/>
      <c r="B495" s="467"/>
      <c r="C495" s="467"/>
      <c r="D495" s="467"/>
      <c r="E495" s="467"/>
      <c r="F495" s="467"/>
      <c r="G495" s="467"/>
      <c r="H495" s="467"/>
      <c r="I495" s="467"/>
      <c r="J495" s="467"/>
      <c r="K495" s="467"/>
    </row>
    <row r="496" spans="1:11" ht="20.25">
      <c r="A496" s="467"/>
      <c r="B496" s="467"/>
      <c r="C496" s="467"/>
      <c r="D496" s="467"/>
      <c r="E496" s="467"/>
      <c r="F496" s="467"/>
      <c r="G496" s="467"/>
      <c r="H496" s="467"/>
      <c r="I496" s="467"/>
      <c r="J496" s="467"/>
      <c r="K496" s="467"/>
    </row>
    <row r="497" spans="1:11" ht="20.25">
      <c r="A497" s="467"/>
      <c r="B497" s="467"/>
      <c r="C497" s="467"/>
      <c r="D497" s="467"/>
      <c r="E497" s="467"/>
      <c r="F497" s="467"/>
      <c r="G497" s="467"/>
      <c r="H497" s="467"/>
      <c r="I497" s="467"/>
      <c r="J497" s="467"/>
      <c r="K497" s="467"/>
    </row>
    <row r="498" spans="1:11" ht="20.25">
      <c r="A498" s="467"/>
      <c r="B498" s="467"/>
      <c r="C498" s="467"/>
      <c r="D498" s="467"/>
      <c r="E498" s="467"/>
      <c r="F498" s="467"/>
      <c r="G498" s="467"/>
      <c r="H498" s="467"/>
      <c r="I498" s="467"/>
      <c r="J498" s="467"/>
      <c r="K498" s="467"/>
    </row>
    <row r="499" spans="1:11" ht="20.25">
      <c r="A499" s="467"/>
      <c r="B499" s="467"/>
      <c r="C499" s="467"/>
      <c r="D499" s="467"/>
      <c r="E499" s="467"/>
      <c r="F499" s="467"/>
      <c r="G499" s="467"/>
      <c r="H499" s="467"/>
      <c r="I499" s="467"/>
      <c r="J499" s="467"/>
      <c r="K499" s="467"/>
    </row>
    <row r="500" spans="1:11" ht="20.25">
      <c r="A500" s="467"/>
      <c r="B500" s="467"/>
      <c r="C500" s="467"/>
      <c r="D500" s="467"/>
      <c r="E500" s="467"/>
      <c r="F500" s="467"/>
      <c r="G500" s="467"/>
      <c r="H500" s="467"/>
      <c r="I500" s="467"/>
      <c r="J500" s="467"/>
      <c r="K500" s="467"/>
    </row>
    <row r="501" spans="1:11" ht="20.25">
      <c r="A501" s="467"/>
      <c r="B501" s="467"/>
      <c r="C501" s="467"/>
      <c r="D501" s="467"/>
      <c r="E501" s="467"/>
      <c r="F501" s="467"/>
      <c r="G501" s="467"/>
      <c r="H501" s="467"/>
      <c r="I501" s="467"/>
      <c r="J501" s="467"/>
      <c r="K501" s="467"/>
    </row>
    <row r="502" spans="1:11" ht="20.25">
      <c r="A502" s="467"/>
      <c r="B502" s="467"/>
      <c r="C502" s="467"/>
      <c r="D502" s="467"/>
      <c r="E502" s="467"/>
      <c r="F502" s="467"/>
      <c r="G502" s="467"/>
      <c r="H502" s="467"/>
      <c r="I502" s="467"/>
      <c r="J502" s="467"/>
      <c r="K502" s="467"/>
    </row>
    <row r="503" spans="1:11" ht="20.25">
      <c r="A503" s="467"/>
      <c r="B503" s="467"/>
      <c r="C503" s="467"/>
      <c r="D503" s="467"/>
      <c r="E503" s="467"/>
      <c r="F503" s="467"/>
      <c r="G503" s="467"/>
      <c r="H503" s="467"/>
      <c r="I503" s="467"/>
      <c r="J503" s="467"/>
      <c r="K503" s="467"/>
    </row>
    <row r="504" spans="1:11" ht="20.25">
      <c r="A504" s="467"/>
      <c r="B504" s="467"/>
      <c r="C504" s="467"/>
      <c r="D504" s="467"/>
      <c r="E504" s="467"/>
      <c r="F504" s="467"/>
      <c r="G504" s="467"/>
      <c r="H504" s="467"/>
      <c r="I504" s="467"/>
      <c r="J504" s="467"/>
      <c r="K504" s="467"/>
    </row>
    <row r="505" spans="1:11" ht="20.25">
      <c r="A505" s="467"/>
      <c r="B505" s="467"/>
      <c r="C505" s="467"/>
      <c r="D505" s="467"/>
      <c r="E505" s="467"/>
      <c r="F505" s="467"/>
      <c r="G505" s="467"/>
      <c r="H505" s="467"/>
      <c r="I505" s="467"/>
      <c r="J505" s="467"/>
      <c r="K505" s="467"/>
    </row>
    <row r="506" spans="1:11" ht="20.25">
      <c r="A506" s="467"/>
      <c r="B506" s="467"/>
      <c r="C506" s="467"/>
      <c r="D506" s="467"/>
      <c r="E506" s="467"/>
      <c r="F506" s="467"/>
      <c r="G506" s="467"/>
      <c r="H506" s="467"/>
      <c r="I506" s="467"/>
      <c r="J506" s="467"/>
      <c r="K506" s="467"/>
    </row>
    <row r="507" spans="1:11" ht="20.25">
      <c r="A507" s="467"/>
      <c r="B507" s="467"/>
      <c r="C507" s="467"/>
      <c r="D507" s="467"/>
      <c r="E507" s="467"/>
      <c r="F507" s="467"/>
      <c r="G507" s="467"/>
      <c r="H507" s="467"/>
      <c r="I507" s="467"/>
      <c r="J507" s="467"/>
      <c r="K507" s="467"/>
    </row>
    <row r="508" spans="1:11" ht="20.25">
      <c r="A508" s="467"/>
      <c r="B508" s="467"/>
      <c r="C508" s="467"/>
      <c r="D508" s="467"/>
      <c r="E508" s="467"/>
      <c r="F508" s="467"/>
      <c r="G508" s="467"/>
      <c r="H508" s="467"/>
      <c r="I508" s="467"/>
      <c r="J508" s="467"/>
      <c r="K508" s="467"/>
    </row>
    <row r="509" spans="1:11" ht="20.25">
      <c r="A509" s="467"/>
      <c r="B509" s="467"/>
      <c r="C509" s="467"/>
      <c r="D509" s="467"/>
      <c r="E509" s="467"/>
      <c r="F509" s="467"/>
      <c r="G509" s="467"/>
      <c r="H509" s="467"/>
      <c r="I509" s="467"/>
      <c r="J509" s="467"/>
      <c r="K509" s="467"/>
    </row>
    <row r="510" spans="1:11" ht="20.25">
      <c r="A510" s="467"/>
      <c r="B510" s="467"/>
      <c r="C510" s="467"/>
      <c r="D510" s="467"/>
      <c r="E510" s="467"/>
      <c r="F510" s="467"/>
      <c r="G510" s="467"/>
      <c r="H510" s="467"/>
      <c r="I510" s="467"/>
      <c r="J510" s="467"/>
      <c r="K510" s="467"/>
    </row>
    <row r="511" spans="1:11" ht="20.25">
      <c r="A511" s="467"/>
      <c r="B511" s="467"/>
      <c r="C511" s="467"/>
      <c r="D511" s="467"/>
      <c r="E511" s="467"/>
      <c r="F511" s="467"/>
      <c r="G511" s="467"/>
      <c r="H511" s="467"/>
      <c r="I511" s="467"/>
      <c r="J511" s="467"/>
      <c r="K511" s="467"/>
    </row>
    <row r="512" spans="1:11" ht="20.25">
      <c r="A512" s="467"/>
      <c r="B512" s="467"/>
      <c r="C512" s="467"/>
      <c r="D512" s="467"/>
      <c r="E512" s="467"/>
      <c r="F512" s="467"/>
      <c r="G512" s="467"/>
      <c r="H512" s="467"/>
      <c r="I512" s="467"/>
      <c r="J512" s="467"/>
      <c r="K512" s="467"/>
    </row>
    <row r="513" spans="1:11" ht="20.25">
      <c r="A513" s="467"/>
      <c r="B513" s="467"/>
      <c r="C513" s="467"/>
      <c r="D513" s="467"/>
      <c r="E513" s="467"/>
      <c r="F513" s="467"/>
      <c r="G513" s="467"/>
      <c r="H513" s="467"/>
      <c r="I513" s="467"/>
      <c r="J513" s="467"/>
      <c r="K513" s="467"/>
    </row>
    <row r="514" spans="1:11" ht="20.25">
      <c r="A514" s="467"/>
      <c r="B514" s="467"/>
      <c r="C514" s="467"/>
      <c r="D514" s="467"/>
      <c r="E514" s="467"/>
      <c r="F514" s="467"/>
      <c r="G514" s="467"/>
      <c r="H514" s="467"/>
      <c r="I514" s="467"/>
      <c r="J514" s="467"/>
      <c r="K514" s="467"/>
    </row>
    <row r="515" spans="1:11" ht="20.25">
      <c r="A515" s="467"/>
      <c r="B515" s="467"/>
      <c r="C515" s="467"/>
      <c r="D515" s="467"/>
      <c r="E515" s="467"/>
      <c r="F515" s="467"/>
      <c r="G515" s="467"/>
      <c r="H515" s="467"/>
      <c r="I515" s="467"/>
      <c r="J515" s="467"/>
      <c r="K515" s="467"/>
    </row>
    <row r="516" spans="1:11" ht="20.25">
      <c r="A516" s="467"/>
      <c r="B516" s="467"/>
      <c r="C516" s="467"/>
      <c r="D516" s="467"/>
      <c r="E516" s="467"/>
      <c r="F516" s="467"/>
      <c r="G516" s="467"/>
      <c r="H516" s="467"/>
      <c r="I516" s="467"/>
      <c r="J516" s="467"/>
      <c r="K516" s="467"/>
    </row>
    <row r="517" spans="1:11" ht="20.25">
      <c r="A517" s="467"/>
      <c r="B517" s="467"/>
      <c r="C517" s="467"/>
      <c r="D517" s="467"/>
      <c r="E517" s="467"/>
      <c r="F517" s="467"/>
      <c r="G517" s="467"/>
      <c r="H517" s="467"/>
      <c r="I517" s="467"/>
      <c r="J517" s="467"/>
      <c r="K517" s="467"/>
    </row>
    <row r="518" spans="1:11" ht="20.25">
      <c r="A518" s="467"/>
      <c r="B518" s="467"/>
      <c r="C518" s="467"/>
      <c r="D518" s="467"/>
      <c r="E518" s="467"/>
      <c r="F518" s="467"/>
      <c r="G518" s="467"/>
      <c r="H518" s="467"/>
      <c r="I518" s="467"/>
      <c r="J518" s="467"/>
      <c r="K518" s="467"/>
    </row>
    <row r="519" spans="1:11" ht="20.25">
      <c r="A519" s="467"/>
      <c r="B519" s="467"/>
      <c r="C519" s="467"/>
      <c r="D519" s="467"/>
      <c r="E519" s="467"/>
      <c r="F519" s="467"/>
      <c r="G519" s="467"/>
      <c r="H519" s="467"/>
      <c r="I519" s="467"/>
      <c r="J519" s="467"/>
      <c r="K519" s="467"/>
    </row>
    <row r="520" spans="1:11" ht="20.25">
      <c r="A520" s="467"/>
      <c r="B520" s="467"/>
      <c r="C520" s="467"/>
      <c r="D520" s="467"/>
      <c r="E520" s="467"/>
      <c r="F520" s="467"/>
      <c r="G520" s="467"/>
      <c r="H520" s="467"/>
      <c r="I520" s="467"/>
      <c r="J520" s="467"/>
      <c r="K520" s="467"/>
    </row>
    <row r="521" spans="1:11" ht="20.25">
      <c r="A521" s="467"/>
      <c r="B521" s="467"/>
      <c r="C521" s="467"/>
      <c r="D521" s="467"/>
      <c r="E521" s="467"/>
      <c r="F521" s="467"/>
      <c r="G521" s="467"/>
      <c r="H521" s="467"/>
      <c r="I521" s="467"/>
      <c r="J521" s="467"/>
      <c r="K521" s="467"/>
    </row>
    <row r="522" spans="1:11" ht="20.25">
      <c r="A522" s="467"/>
      <c r="B522" s="467"/>
      <c r="C522" s="467"/>
      <c r="D522" s="467"/>
      <c r="E522" s="467"/>
      <c r="F522" s="467"/>
      <c r="G522" s="467"/>
      <c r="H522" s="467"/>
      <c r="I522" s="467"/>
      <c r="J522" s="467"/>
      <c r="K522" s="467"/>
    </row>
    <row r="523" spans="1:11" ht="20.25">
      <c r="A523" s="467"/>
      <c r="B523" s="467"/>
      <c r="C523" s="467"/>
      <c r="D523" s="467"/>
      <c r="E523" s="467"/>
      <c r="F523" s="467"/>
      <c r="G523" s="467"/>
      <c r="H523" s="467"/>
      <c r="I523" s="467"/>
      <c r="J523" s="467"/>
      <c r="K523" s="467"/>
    </row>
    <row r="524" spans="1:11" ht="20.25">
      <c r="A524" s="467"/>
      <c r="B524" s="467"/>
      <c r="C524" s="467"/>
      <c r="D524" s="467"/>
      <c r="E524" s="467"/>
      <c r="F524" s="467"/>
      <c r="G524" s="467"/>
      <c r="H524" s="467"/>
      <c r="I524" s="467"/>
      <c r="J524" s="467"/>
      <c r="K524" s="467"/>
    </row>
    <row r="525" spans="1:11" ht="20.25">
      <c r="A525" s="467"/>
      <c r="B525" s="467"/>
      <c r="C525" s="467"/>
      <c r="D525" s="467"/>
      <c r="E525" s="467"/>
      <c r="F525" s="467"/>
      <c r="G525" s="467"/>
      <c r="H525" s="467"/>
      <c r="I525" s="467"/>
      <c r="J525" s="467"/>
      <c r="K525" s="467"/>
    </row>
    <row r="526" spans="1:11" ht="20.25">
      <c r="A526" s="467"/>
      <c r="B526" s="467"/>
      <c r="C526" s="467"/>
      <c r="D526" s="467"/>
      <c r="E526" s="467"/>
      <c r="F526" s="467"/>
      <c r="G526" s="467"/>
      <c r="H526" s="467"/>
      <c r="I526" s="467"/>
      <c r="J526" s="467"/>
      <c r="K526" s="467"/>
    </row>
    <row r="527" spans="1:11" ht="20.25">
      <c r="A527" s="467"/>
      <c r="B527" s="467"/>
      <c r="C527" s="467"/>
      <c r="D527" s="467"/>
      <c r="E527" s="467"/>
      <c r="F527" s="467"/>
      <c r="G527" s="467"/>
      <c r="H527" s="467"/>
      <c r="I527" s="467"/>
      <c r="J527" s="467"/>
      <c r="K527" s="467"/>
    </row>
    <row r="528" spans="1:11" ht="20.25">
      <c r="A528" s="467"/>
      <c r="B528" s="467"/>
      <c r="C528" s="467"/>
      <c r="D528" s="467"/>
      <c r="E528" s="467"/>
      <c r="F528" s="467"/>
      <c r="G528" s="467"/>
      <c r="H528" s="467"/>
      <c r="I528" s="467"/>
      <c r="J528" s="467"/>
      <c r="K528" s="467"/>
    </row>
    <row r="529" spans="1:11" ht="20.25">
      <c r="A529" s="467"/>
      <c r="B529" s="467"/>
      <c r="C529" s="467"/>
      <c r="D529" s="467"/>
      <c r="E529" s="467"/>
      <c r="F529" s="467"/>
      <c r="G529" s="467"/>
      <c r="H529" s="467"/>
      <c r="I529" s="467"/>
      <c r="J529" s="467"/>
      <c r="K529" s="467"/>
    </row>
    <row r="530" spans="1:11" ht="20.25">
      <c r="A530" s="467"/>
      <c r="B530" s="467"/>
      <c r="C530" s="467"/>
      <c r="D530" s="467"/>
      <c r="E530" s="467"/>
      <c r="F530" s="467"/>
      <c r="G530" s="467"/>
      <c r="H530" s="467"/>
      <c r="I530" s="467"/>
      <c r="J530" s="467"/>
      <c r="K530" s="467"/>
    </row>
    <row r="531" spans="1:11" ht="20.25">
      <c r="A531" s="467"/>
      <c r="B531" s="467"/>
      <c r="C531" s="467"/>
      <c r="D531" s="467"/>
      <c r="E531" s="467"/>
      <c r="F531" s="467"/>
      <c r="G531" s="467"/>
      <c r="H531" s="467"/>
      <c r="I531" s="467"/>
      <c r="J531" s="467"/>
      <c r="K531" s="467"/>
    </row>
    <row r="532" spans="1:11" ht="20.25">
      <c r="A532" s="467"/>
      <c r="B532" s="467"/>
      <c r="C532" s="467"/>
      <c r="D532" s="467"/>
      <c r="E532" s="467"/>
      <c r="F532" s="467"/>
      <c r="G532" s="467"/>
      <c r="H532" s="467"/>
      <c r="I532" s="467"/>
      <c r="J532" s="467"/>
      <c r="K532" s="467"/>
    </row>
    <row r="533" spans="1:11" ht="20.25">
      <c r="A533" s="467"/>
      <c r="B533" s="467"/>
      <c r="C533" s="467"/>
      <c r="D533" s="467"/>
      <c r="E533" s="467"/>
      <c r="F533" s="467"/>
      <c r="G533" s="467"/>
      <c r="H533" s="467"/>
      <c r="I533" s="467"/>
      <c r="J533" s="467"/>
      <c r="K533" s="467"/>
    </row>
    <row r="534" spans="1:11" ht="20.25">
      <c r="A534" s="467"/>
      <c r="B534" s="467"/>
      <c r="C534" s="467"/>
      <c r="D534" s="467"/>
      <c r="E534" s="467"/>
      <c r="F534" s="467"/>
      <c r="G534" s="467"/>
      <c r="H534" s="467"/>
      <c r="I534" s="467"/>
      <c r="J534" s="467"/>
      <c r="K534" s="467"/>
    </row>
    <row r="535" spans="1:11" ht="20.25">
      <c r="A535" s="467"/>
      <c r="B535" s="467"/>
      <c r="C535" s="467"/>
      <c r="D535" s="467"/>
      <c r="E535" s="467"/>
      <c r="F535" s="467"/>
      <c r="G535" s="467"/>
      <c r="H535" s="467"/>
      <c r="I535" s="467"/>
      <c r="J535" s="467"/>
      <c r="K535" s="467"/>
    </row>
    <row r="536" spans="1:11" ht="20.25">
      <c r="A536" s="467"/>
      <c r="B536" s="467"/>
      <c r="C536" s="467"/>
      <c r="D536" s="467"/>
      <c r="E536" s="467"/>
      <c r="F536" s="467"/>
      <c r="G536" s="467"/>
      <c r="H536" s="467"/>
      <c r="I536" s="467"/>
      <c r="J536" s="467"/>
      <c r="K536" s="467"/>
    </row>
    <row r="537" spans="1:11" ht="20.25">
      <c r="A537" s="467"/>
      <c r="B537" s="467"/>
      <c r="C537" s="467"/>
      <c r="D537" s="467"/>
      <c r="E537" s="467"/>
      <c r="F537" s="467"/>
      <c r="G537" s="467"/>
      <c r="H537" s="467"/>
      <c r="I537" s="467"/>
      <c r="J537" s="467"/>
      <c r="K537" s="467"/>
    </row>
    <row r="538" spans="1:11" ht="20.25">
      <c r="A538" s="467"/>
      <c r="B538" s="467"/>
      <c r="C538" s="467"/>
      <c r="D538" s="467"/>
      <c r="E538" s="467"/>
      <c r="F538" s="467"/>
      <c r="G538" s="467"/>
      <c r="H538" s="467"/>
      <c r="I538" s="467"/>
      <c r="J538" s="467"/>
      <c r="K538" s="467"/>
    </row>
    <row r="539" spans="1:11" ht="20.25">
      <c r="A539" s="467"/>
      <c r="B539" s="467"/>
      <c r="C539" s="467"/>
      <c r="D539" s="467"/>
      <c r="E539" s="467"/>
      <c r="F539" s="467"/>
      <c r="G539" s="467"/>
      <c r="H539" s="467"/>
      <c r="I539" s="467"/>
      <c r="J539" s="467"/>
      <c r="K539" s="467"/>
    </row>
    <row r="540" spans="1:11" ht="20.25">
      <c r="A540" s="467"/>
      <c r="B540" s="467"/>
      <c r="C540" s="467"/>
      <c r="D540" s="467"/>
      <c r="E540" s="467"/>
      <c r="F540" s="467"/>
      <c r="G540" s="467"/>
      <c r="H540" s="467"/>
      <c r="I540" s="467"/>
      <c r="J540" s="467"/>
      <c r="K540" s="467"/>
    </row>
    <row r="541" spans="1:11" ht="20.25">
      <c r="A541" s="467"/>
      <c r="B541" s="467"/>
      <c r="C541" s="467"/>
      <c r="D541" s="467"/>
      <c r="E541" s="467"/>
      <c r="F541" s="467"/>
      <c r="G541" s="467"/>
      <c r="H541" s="467"/>
      <c r="I541" s="467"/>
      <c r="J541" s="467"/>
      <c r="K541" s="467"/>
    </row>
    <row r="542" spans="1:11" ht="20.25">
      <c r="A542" s="467"/>
      <c r="B542" s="467"/>
      <c r="C542" s="467"/>
      <c r="D542" s="467"/>
      <c r="E542" s="467"/>
      <c r="F542" s="467"/>
      <c r="G542" s="467"/>
      <c r="H542" s="467"/>
      <c r="I542" s="467"/>
      <c r="J542" s="467"/>
      <c r="K542" s="467"/>
    </row>
    <row r="543" spans="1:11" ht="20.25">
      <c r="A543" s="467"/>
      <c r="B543" s="467"/>
      <c r="C543" s="467"/>
      <c r="D543" s="467"/>
      <c r="E543" s="467"/>
      <c r="F543" s="467"/>
      <c r="G543" s="467"/>
      <c r="H543" s="467"/>
      <c r="I543" s="467"/>
      <c r="J543" s="467"/>
      <c r="K543" s="467"/>
    </row>
    <row r="544" spans="1:11" ht="20.25">
      <c r="A544" s="467"/>
      <c r="B544" s="467"/>
      <c r="C544" s="467"/>
      <c r="D544" s="467"/>
      <c r="E544" s="467"/>
      <c r="F544" s="467"/>
      <c r="G544" s="467"/>
      <c r="H544" s="467"/>
      <c r="I544" s="467"/>
      <c r="J544" s="467"/>
      <c r="K544" s="467"/>
    </row>
    <row r="545" spans="1:11" ht="20.25">
      <c r="A545" s="467"/>
      <c r="B545" s="467"/>
      <c r="C545" s="467"/>
      <c r="D545" s="467"/>
      <c r="E545" s="467"/>
      <c r="F545" s="467"/>
      <c r="G545" s="467"/>
      <c r="H545" s="467"/>
      <c r="I545" s="467"/>
      <c r="J545" s="467"/>
      <c r="K545" s="467"/>
    </row>
    <row r="546" spans="1:11" ht="20.25">
      <c r="A546" s="467"/>
      <c r="B546" s="467"/>
      <c r="C546" s="467"/>
      <c r="D546" s="467"/>
      <c r="E546" s="467"/>
      <c r="F546" s="467"/>
      <c r="G546" s="467"/>
      <c r="H546" s="467"/>
      <c r="I546" s="467"/>
      <c r="J546" s="467"/>
      <c r="K546" s="467"/>
    </row>
    <row r="547" spans="1:11" ht="20.25">
      <c r="A547" s="467"/>
      <c r="B547" s="467"/>
      <c r="C547" s="467"/>
      <c r="D547" s="467"/>
      <c r="E547" s="467"/>
      <c r="F547" s="467"/>
      <c r="G547" s="467"/>
      <c r="H547" s="467"/>
      <c r="I547" s="467"/>
      <c r="J547" s="467"/>
      <c r="K547" s="467"/>
    </row>
    <row r="548" spans="1:11" ht="20.25">
      <c r="A548" s="467"/>
      <c r="B548" s="467"/>
      <c r="C548" s="467"/>
      <c r="D548" s="467"/>
      <c r="E548" s="467"/>
      <c r="F548" s="467"/>
      <c r="G548" s="467"/>
      <c r="H548" s="467"/>
      <c r="I548" s="467"/>
      <c r="J548" s="467"/>
      <c r="K548" s="467"/>
    </row>
    <row r="549" spans="1:11" ht="20.25">
      <c r="A549" s="467"/>
      <c r="B549" s="467"/>
      <c r="C549" s="467"/>
      <c r="D549" s="467"/>
      <c r="E549" s="467"/>
      <c r="F549" s="467"/>
      <c r="G549" s="467"/>
      <c r="H549" s="467"/>
      <c r="I549" s="467"/>
      <c r="J549" s="467"/>
      <c r="K549" s="467"/>
    </row>
    <row r="550" spans="1:11" ht="20.25">
      <c r="A550" s="467"/>
      <c r="B550" s="467"/>
      <c r="C550" s="467"/>
      <c r="D550" s="467"/>
      <c r="E550" s="467"/>
      <c r="F550" s="467"/>
      <c r="G550" s="467"/>
      <c r="H550" s="467"/>
      <c r="I550" s="467"/>
      <c r="J550" s="467"/>
      <c r="K550" s="467"/>
    </row>
    <row r="551" spans="1:11" ht="20.25">
      <c r="A551" s="467"/>
      <c r="B551" s="467"/>
      <c r="C551" s="467"/>
      <c r="D551" s="467"/>
      <c r="E551" s="467"/>
      <c r="F551" s="467"/>
      <c r="G551" s="467"/>
      <c r="H551" s="467"/>
      <c r="I551" s="467"/>
      <c r="J551" s="467"/>
      <c r="K551" s="467"/>
    </row>
    <row r="552" spans="1:11" ht="20.25">
      <c r="A552" s="467"/>
      <c r="B552" s="467"/>
      <c r="C552" s="467"/>
      <c r="D552" s="467"/>
      <c r="E552" s="467"/>
      <c r="F552" s="467"/>
      <c r="G552" s="467"/>
      <c r="H552" s="467"/>
      <c r="I552" s="467"/>
      <c r="J552" s="467"/>
      <c r="K552" s="467"/>
    </row>
    <row r="553" spans="1:11" ht="20.25">
      <c r="A553" s="467"/>
      <c r="B553" s="467"/>
      <c r="C553" s="467"/>
      <c r="D553" s="467"/>
      <c r="E553" s="467"/>
      <c r="F553" s="467"/>
      <c r="G553" s="467"/>
      <c r="H553" s="467"/>
      <c r="I553" s="467"/>
      <c r="J553" s="467"/>
      <c r="K553" s="467"/>
    </row>
    <row r="554" spans="1:11" ht="20.25">
      <c r="A554" s="467"/>
      <c r="B554" s="467"/>
      <c r="C554" s="467"/>
      <c r="D554" s="467"/>
      <c r="E554" s="467"/>
      <c r="F554" s="467"/>
      <c r="G554" s="467"/>
      <c r="H554" s="467"/>
      <c r="I554" s="467"/>
      <c r="J554" s="467"/>
      <c r="K554" s="467"/>
    </row>
    <row r="555" spans="1:11" ht="20.25">
      <c r="A555" s="467"/>
      <c r="B555" s="467"/>
      <c r="C555" s="467"/>
      <c r="D555" s="467"/>
      <c r="E555" s="467"/>
      <c r="F555" s="467"/>
      <c r="G555" s="467"/>
      <c r="H555" s="467"/>
      <c r="I555" s="467"/>
      <c r="J555" s="467"/>
      <c r="K555" s="467"/>
    </row>
    <row r="556" spans="1:11" ht="20.25">
      <c r="A556" s="467"/>
      <c r="B556" s="467"/>
      <c r="C556" s="467"/>
      <c r="D556" s="467"/>
      <c r="E556" s="467"/>
      <c r="F556" s="467"/>
      <c r="G556" s="467"/>
      <c r="H556" s="467"/>
      <c r="I556" s="467"/>
      <c r="J556" s="467"/>
      <c r="K556" s="467"/>
    </row>
    <row r="557" spans="1:11" ht="20.25">
      <c r="A557" s="467"/>
      <c r="B557" s="467"/>
      <c r="C557" s="467"/>
      <c r="D557" s="467"/>
      <c r="E557" s="467"/>
      <c r="F557" s="467"/>
      <c r="G557" s="467"/>
      <c r="H557" s="467"/>
      <c r="I557" s="467"/>
      <c r="J557" s="467"/>
      <c r="K557" s="467"/>
    </row>
    <row r="558" spans="1:11" ht="20.25">
      <c r="A558" s="467"/>
      <c r="B558" s="467"/>
      <c r="C558" s="467"/>
      <c r="D558" s="467"/>
      <c r="E558" s="467"/>
      <c r="F558" s="467"/>
      <c r="G558" s="467"/>
      <c r="H558" s="467"/>
      <c r="I558" s="467"/>
      <c r="J558" s="467"/>
      <c r="K558" s="467"/>
    </row>
    <row r="559" spans="1:11" ht="20.25">
      <c r="A559" s="467"/>
      <c r="B559" s="467"/>
      <c r="C559" s="467"/>
      <c r="D559" s="467"/>
      <c r="E559" s="467"/>
      <c r="F559" s="467"/>
      <c r="G559" s="467"/>
      <c r="H559" s="467"/>
      <c r="I559" s="467"/>
      <c r="J559" s="467"/>
      <c r="K559" s="467"/>
    </row>
    <row r="560" spans="1:11" ht="20.25">
      <c r="A560" s="467"/>
      <c r="B560" s="467"/>
      <c r="C560" s="467"/>
      <c r="D560" s="467"/>
      <c r="E560" s="467"/>
      <c r="F560" s="467"/>
      <c r="G560" s="467"/>
      <c r="H560" s="467"/>
      <c r="I560" s="467"/>
      <c r="J560" s="467"/>
      <c r="K560" s="467"/>
    </row>
    <row r="561" spans="1:11" ht="20.25">
      <c r="A561" s="467"/>
      <c r="B561" s="467"/>
      <c r="C561" s="467"/>
      <c r="D561" s="467"/>
      <c r="E561" s="467"/>
      <c r="F561" s="467"/>
      <c r="G561" s="467"/>
      <c r="H561" s="467"/>
      <c r="I561" s="467"/>
      <c r="J561" s="467"/>
      <c r="K561" s="467"/>
    </row>
    <row r="562" spans="1:11" ht="20.25">
      <c r="A562" s="467"/>
      <c r="B562" s="467"/>
      <c r="C562" s="467"/>
      <c r="D562" s="467"/>
      <c r="E562" s="467"/>
      <c r="F562" s="467"/>
      <c r="G562" s="467"/>
      <c r="H562" s="467"/>
      <c r="I562" s="467"/>
      <c r="J562" s="467"/>
      <c r="K562" s="467"/>
    </row>
    <row r="563" spans="1:11" ht="20.25">
      <c r="A563" s="467"/>
      <c r="B563" s="467"/>
      <c r="C563" s="467"/>
      <c r="D563" s="467"/>
      <c r="E563" s="467"/>
      <c r="F563" s="467"/>
      <c r="G563" s="467"/>
      <c r="H563" s="467"/>
      <c r="I563" s="467"/>
      <c r="J563" s="467"/>
      <c r="K563" s="467"/>
    </row>
    <row r="564" spans="1:11" ht="20.25">
      <c r="A564" s="467"/>
      <c r="B564" s="467"/>
      <c r="C564" s="467"/>
      <c r="D564" s="467"/>
      <c r="E564" s="467"/>
      <c r="F564" s="467"/>
      <c r="G564" s="467"/>
      <c r="H564" s="467"/>
      <c r="I564" s="467"/>
      <c r="J564" s="467"/>
      <c r="K564" s="467"/>
    </row>
    <row r="565" spans="1:11" ht="20.25">
      <c r="A565" s="467"/>
      <c r="B565" s="467"/>
      <c r="C565" s="467"/>
      <c r="D565" s="467"/>
      <c r="E565" s="467"/>
      <c r="F565" s="467"/>
      <c r="G565" s="467"/>
      <c r="H565" s="467"/>
      <c r="I565" s="467"/>
      <c r="J565" s="467"/>
      <c r="K565" s="467"/>
    </row>
    <row r="566" spans="1:11" ht="20.25">
      <c r="A566" s="467"/>
      <c r="B566" s="467"/>
      <c r="C566" s="467"/>
      <c r="D566" s="467"/>
      <c r="E566" s="467"/>
      <c r="F566" s="467"/>
      <c r="G566" s="467"/>
      <c r="H566" s="467"/>
      <c r="I566" s="467"/>
      <c r="J566" s="467"/>
      <c r="K566" s="467"/>
    </row>
    <row r="567" spans="1:11" ht="20.25">
      <c r="A567" s="467"/>
      <c r="B567" s="467"/>
      <c r="C567" s="467"/>
      <c r="D567" s="467"/>
      <c r="E567" s="467"/>
      <c r="F567" s="467"/>
      <c r="G567" s="467"/>
      <c r="H567" s="467"/>
      <c r="I567" s="467"/>
      <c r="J567" s="467"/>
      <c r="K567" s="467"/>
    </row>
    <row r="568" spans="1:11" ht="20.25">
      <c r="A568" s="467"/>
      <c r="B568" s="467"/>
      <c r="C568" s="467"/>
      <c r="D568" s="467"/>
      <c r="E568" s="467"/>
      <c r="F568" s="467"/>
      <c r="G568" s="467"/>
      <c r="H568" s="467"/>
      <c r="I568" s="467"/>
      <c r="J568" s="467"/>
      <c r="K568" s="467"/>
    </row>
    <row r="569" spans="1:11" ht="20.25">
      <c r="A569" s="467"/>
      <c r="B569" s="467"/>
      <c r="C569" s="467"/>
      <c r="D569" s="467"/>
      <c r="E569" s="467"/>
      <c r="F569" s="467"/>
      <c r="G569" s="467"/>
      <c r="H569" s="467"/>
      <c r="I569" s="467"/>
      <c r="J569" s="467"/>
      <c r="K569" s="467"/>
    </row>
    <row r="570" spans="1:11" ht="20.25">
      <c r="A570" s="467"/>
      <c r="B570" s="467"/>
      <c r="C570" s="467"/>
      <c r="D570" s="467"/>
      <c r="E570" s="467"/>
      <c r="F570" s="467"/>
      <c r="G570" s="467"/>
      <c r="H570" s="467"/>
      <c r="I570" s="467"/>
      <c r="J570" s="467"/>
      <c r="K570" s="467"/>
    </row>
    <row r="571" spans="1:11" ht="20.25">
      <c r="A571" s="467"/>
      <c r="B571" s="467"/>
      <c r="C571" s="467"/>
      <c r="D571" s="467"/>
      <c r="E571" s="467"/>
      <c r="F571" s="467"/>
      <c r="G571" s="467"/>
      <c r="H571" s="467"/>
      <c r="I571" s="467"/>
      <c r="J571" s="467"/>
      <c r="K571" s="467"/>
    </row>
    <row r="572" spans="1:11" ht="20.25">
      <c r="A572" s="467"/>
      <c r="B572" s="467"/>
      <c r="C572" s="467"/>
      <c r="D572" s="467"/>
      <c r="E572" s="467"/>
      <c r="F572" s="467"/>
      <c r="G572" s="467"/>
      <c r="H572" s="467"/>
      <c r="I572" s="467"/>
      <c r="J572" s="467"/>
      <c r="K572" s="467"/>
    </row>
    <row r="573" spans="1:11" ht="20.25">
      <c r="A573" s="467"/>
      <c r="B573" s="467"/>
      <c r="C573" s="467"/>
      <c r="D573" s="467"/>
      <c r="E573" s="467"/>
      <c r="F573" s="467"/>
      <c r="G573" s="467"/>
      <c r="H573" s="467"/>
      <c r="I573" s="467"/>
      <c r="J573" s="467"/>
      <c r="K573" s="467"/>
    </row>
    <row r="574" spans="1:11" ht="20.25">
      <c r="A574" s="467"/>
      <c r="B574" s="467"/>
      <c r="C574" s="467"/>
      <c r="D574" s="467"/>
      <c r="E574" s="467"/>
      <c r="F574" s="467"/>
      <c r="G574" s="467"/>
      <c r="H574" s="467"/>
      <c r="I574" s="467"/>
      <c r="J574" s="467"/>
      <c r="K574" s="467"/>
    </row>
    <row r="575" spans="1:11" ht="20.25">
      <c r="A575" s="467"/>
      <c r="B575" s="467"/>
      <c r="C575" s="467"/>
      <c r="D575" s="467"/>
      <c r="E575" s="467"/>
      <c r="F575" s="467"/>
      <c r="G575" s="467"/>
      <c r="H575" s="467"/>
      <c r="I575" s="467"/>
      <c r="J575" s="467"/>
      <c r="K575" s="467"/>
    </row>
    <row r="576" spans="1:11" ht="20.25">
      <c r="A576" s="467"/>
      <c r="B576" s="467"/>
      <c r="C576" s="467"/>
      <c r="D576" s="467"/>
      <c r="E576" s="467"/>
      <c r="F576" s="467"/>
      <c r="G576" s="467"/>
      <c r="H576" s="467"/>
      <c r="I576" s="467"/>
      <c r="J576" s="467"/>
      <c r="K576" s="467"/>
    </row>
    <row r="577" spans="1:11" ht="20.25">
      <c r="A577" s="467"/>
      <c r="B577" s="467"/>
      <c r="C577" s="467"/>
      <c r="D577" s="467"/>
      <c r="E577" s="467"/>
      <c r="F577" s="467"/>
      <c r="G577" s="467"/>
      <c r="H577" s="467"/>
      <c r="I577" s="467"/>
      <c r="J577" s="467"/>
      <c r="K577" s="467"/>
    </row>
    <row r="578" spans="1:11" ht="20.25">
      <c r="A578" s="467"/>
      <c r="B578" s="467"/>
      <c r="C578" s="467"/>
      <c r="D578" s="467"/>
      <c r="E578" s="467"/>
      <c r="F578" s="467"/>
      <c r="G578" s="467"/>
      <c r="H578" s="467"/>
      <c r="I578" s="467"/>
      <c r="J578" s="467"/>
      <c r="K578" s="467"/>
    </row>
    <row r="579" spans="1:11" ht="20.25">
      <c r="A579" s="467"/>
      <c r="B579" s="467"/>
      <c r="C579" s="467"/>
      <c r="D579" s="467"/>
      <c r="E579" s="467"/>
      <c r="F579" s="467"/>
      <c r="G579" s="467"/>
      <c r="H579" s="467"/>
      <c r="I579" s="467"/>
      <c r="J579" s="467"/>
      <c r="K579" s="467"/>
    </row>
    <row r="580" spans="1:11" ht="20.25">
      <c r="A580" s="467"/>
      <c r="B580" s="467"/>
      <c r="C580" s="467"/>
      <c r="D580" s="467"/>
      <c r="E580" s="467"/>
      <c r="F580" s="467"/>
      <c r="G580" s="467"/>
      <c r="H580" s="467"/>
      <c r="I580" s="467"/>
      <c r="J580" s="467"/>
      <c r="K580" s="467"/>
    </row>
    <row r="581" spans="1:11" ht="20.25">
      <c r="A581" s="467"/>
      <c r="B581" s="467"/>
      <c r="C581" s="467"/>
      <c r="D581" s="467"/>
      <c r="E581" s="467"/>
      <c r="F581" s="467"/>
      <c r="G581" s="467"/>
      <c r="H581" s="467"/>
      <c r="I581" s="467"/>
      <c r="J581" s="467"/>
      <c r="K581" s="467"/>
    </row>
    <row r="582" spans="1:11" ht="20.25">
      <c r="A582" s="467"/>
      <c r="B582" s="467"/>
      <c r="C582" s="467"/>
      <c r="D582" s="467"/>
      <c r="E582" s="467"/>
      <c r="F582" s="467"/>
      <c r="G582" s="467"/>
      <c r="H582" s="467"/>
      <c r="I582" s="467"/>
      <c r="J582" s="467"/>
      <c r="K582" s="467"/>
    </row>
    <row r="583" spans="1:11" ht="20.25">
      <c r="A583" s="467"/>
      <c r="B583" s="467"/>
      <c r="C583" s="467"/>
      <c r="D583" s="467"/>
      <c r="E583" s="467"/>
      <c r="F583" s="467"/>
      <c r="G583" s="467"/>
      <c r="H583" s="467"/>
      <c r="I583" s="467"/>
      <c r="J583" s="467"/>
      <c r="K583" s="467"/>
    </row>
    <row r="584" spans="1:11" ht="20.25">
      <c r="A584" s="467"/>
      <c r="B584" s="467"/>
      <c r="C584" s="467"/>
      <c r="D584" s="467"/>
      <c r="E584" s="467"/>
      <c r="F584" s="467"/>
      <c r="G584" s="467"/>
      <c r="H584" s="467"/>
      <c r="I584" s="467"/>
      <c r="J584" s="467"/>
      <c r="K584" s="467"/>
    </row>
    <row r="585" spans="1:11" ht="20.25">
      <c r="A585" s="467"/>
      <c r="B585" s="467"/>
      <c r="C585" s="467"/>
      <c r="D585" s="467"/>
      <c r="E585" s="467"/>
      <c r="F585" s="467"/>
      <c r="G585" s="467"/>
      <c r="H585" s="467"/>
      <c r="I585" s="467"/>
      <c r="J585" s="467"/>
      <c r="K585" s="467"/>
    </row>
    <row r="586" spans="1:11" ht="20.25">
      <c r="A586" s="467"/>
      <c r="B586" s="467"/>
      <c r="C586" s="467"/>
      <c r="D586" s="467"/>
      <c r="E586" s="467"/>
      <c r="F586" s="467"/>
      <c r="G586" s="467"/>
      <c r="H586" s="467"/>
      <c r="I586" s="467"/>
      <c r="J586" s="467"/>
      <c r="K586" s="467"/>
    </row>
    <row r="587" spans="1:11" ht="20.25">
      <c r="A587" s="467"/>
      <c r="B587" s="467"/>
      <c r="C587" s="467"/>
      <c r="D587" s="467"/>
      <c r="E587" s="467"/>
      <c r="F587" s="467"/>
      <c r="G587" s="467"/>
      <c r="H587" s="467"/>
      <c r="I587" s="467"/>
      <c r="J587" s="467"/>
      <c r="K587" s="467"/>
    </row>
    <row r="588" spans="1:11" ht="20.25">
      <c r="A588" s="467"/>
      <c r="B588" s="467"/>
      <c r="C588" s="467"/>
      <c r="D588" s="467"/>
      <c r="E588" s="467"/>
      <c r="F588" s="467"/>
      <c r="G588" s="467"/>
      <c r="H588" s="467"/>
      <c r="I588" s="467"/>
      <c r="J588" s="467"/>
      <c r="K588" s="467"/>
    </row>
    <row r="589" spans="1:11" ht="20.25">
      <c r="A589" s="467"/>
      <c r="B589" s="467"/>
      <c r="C589" s="467"/>
      <c r="D589" s="467"/>
      <c r="E589" s="467"/>
      <c r="F589" s="467"/>
      <c r="G589" s="467"/>
      <c r="H589" s="467"/>
      <c r="I589" s="467"/>
      <c r="J589" s="467"/>
      <c r="K589" s="467"/>
    </row>
    <row r="590" spans="1:11" ht="20.25">
      <c r="A590" s="467"/>
      <c r="B590" s="467"/>
      <c r="C590" s="467"/>
      <c r="D590" s="467"/>
      <c r="E590" s="467"/>
      <c r="F590" s="467"/>
      <c r="G590" s="467"/>
      <c r="H590" s="467"/>
      <c r="I590" s="467"/>
      <c r="J590" s="467"/>
      <c r="K590" s="467"/>
    </row>
    <row r="591" spans="1:11" ht="20.25">
      <c r="A591" s="467"/>
      <c r="B591" s="467"/>
      <c r="C591" s="467"/>
      <c r="D591" s="467"/>
      <c r="E591" s="467"/>
      <c r="F591" s="467"/>
      <c r="G591" s="467"/>
      <c r="H591" s="467"/>
      <c r="I591" s="467"/>
      <c r="J591" s="467"/>
      <c r="K591" s="467"/>
    </row>
    <row r="592" spans="1:11" ht="20.25">
      <c r="A592" s="467"/>
      <c r="B592" s="467"/>
      <c r="C592" s="467"/>
      <c r="D592" s="467"/>
      <c r="E592" s="467"/>
      <c r="F592" s="467"/>
      <c r="G592" s="467"/>
      <c r="H592" s="467"/>
      <c r="I592" s="467"/>
      <c r="J592" s="467"/>
      <c r="K592" s="467"/>
    </row>
    <row r="593" spans="1:11" ht="20.25">
      <c r="A593" s="467"/>
      <c r="B593" s="467"/>
      <c r="C593" s="467"/>
      <c r="D593" s="467"/>
      <c r="E593" s="467"/>
      <c r="F593" s="467"/>
      <c r="G593" s="467"/>
      <c r="H593" s="467"/>
      <c r="I593" s="467"/>
      <c r="J593" s="467"/>
      <c r="K593" s="467"/>
    </row>
    <row r="594" spans="1:11" ht="20.25">
      <c r="A594" s="467"/>
      <c r="B594" s="467"/>
      <c r="C594" s="467"/>
      <c r="D594" s="467"/>
      <c r="E594" s="467"/>
      <c r="F594" s="467"/>
      <c r="G594" s="467"/>
      <c r="H594" s="467"/>
      <c r="I594" s="467"/>
      <c r="J594" s="467"/>
      <c r="K594" s="467"/>
    </row>
    <row r="595" spans="1:11" ht="20.25">
      <c r="A595" s="467"/>
      <c r="B595" s="467"/>
      <c r="C595" s="467"/>
      <c r="D595" s="467"/>
      <c r="E595" s="467"/>
      <c r="F595" s="467"/>
      <c r="G595" s="467"/>
      <c r="H595" s="467"/>
      <c r="I595" s="467"/>
      <c r="J595" s="467"/>
      <c r="K595" s="467"/>
    </row>
    <row r="596" spans="1:11" ht="20.25">
      <c r="A596" s="467"/>
      <c r="B596" s="467"/>
      <c r="C596" s="467"/>
      <c r="D596" s="467"/>
      <c r="E596" s="467"/>
      <c r="F596" s="467"/>
      <c r="G596" s="467"/>
      <c r="H596" s="467"/>
      <c r="I596" s="467"/>
      <c r="J596" s="467"/>
      <c r="K596" s="467"/>
    </row>
    <row r="597" spans="1:11" ht="20.25">
      <c r="A597" s="467"/>
      <c r="B597" s="467"/>
      <c r="C597" s="467"/>
      <c r="D597" s="467"/>
      <c r="E597" s="467"/>
      <c r="F597" s="467"/>
      <c r="G597" s="467"/>
      <c r="H597" s="467"/>
      <c r="I597" s="467"/>
      <c r="J597" s="467"/>
      <c r="K597" s="467"/>
    </row>
    <row r="598" spans="1:11" ht="20.25">
      <c r="A598" s="467"/>
      <c r="B598" s="467"/>
      <c r="C598" s="467"/>
      <c r="D598" s="467"/>
      <c r="E598" s="467"/>
      <c r="F598" s="467"/>
      <c r="G598" s="467"/>
      <c r="H598" s="467"/>
      <c r="I598" s="467"/>
      <c r="J598" s="467"/>
      <c r="K598" s="467"/>
    </row>
    <row r="599" spans="1:11" ht="20.25">
      <c r="A599" s="467"/>
      <c r="B599" s="467"/>
      <c r="C599" s="467"/>
      <c r="D599" s="467"/>
      <c r="E599" s="467"/>
      <c r="F599" s="467"/>
      <c r="G599" s="467"/>
      <c r="H599" s="467"/>
      <c r="I599" s="467"/>
      <c r="J599" s="467"/>
      <c r="K599" s="467"/>
    </row>
    <row r="600" spans="1:11" ht="20.25">
      <c r="A600" s="467"/>
      <c r="B600" s="467"/>
      <c r="C600" s="467"/>
      <c r="D600" s="467"/>
      <c r="E600" s="467"/>
      <c r="F600" s="467"/>
      <c r="G600" s="467"/>
      <c r="H600" s="467"/>
      <c r="I600" s="467"/>
      <c r="J600" s="467"/>
      <c r="K600" s="467"/>
    </row>
    <row r="601" spans="1:11" ht="20.25">
      <c r="A601" s="467"/>
      <c r="B601" s="467"/>
      <c r="C601" s="467"/>
      <c r="D601" s="467"/>
      <c r="E601" s="467"/>
      <c r="F601" s="467"/>
      <c r="G601" s="467"/>
      <c r="H601" s="467"/>
      <c r="I601" s="467"/>
      <c r="J601" s="467"/>
      <c r="K601" s="467"/>
    </row>
    <row r="602" spans="1:11" ht="20.25">
      <c r="A602" s="467"/>
      <c r="B602" s="467"/>
      <c r="C602" s="467"/>
      <c r="D602" s="467"/>
      <c r="E602" s="467"/>
      <c r="F602" s="467"/>
      <c r="G602" s="467"/>
      <c r="H602" s="467"/>
      <c r="I602" s="467"/>
      <c r="J602" s="467"/>
      <c r="K602" s="467"/>
    </row>
    <row r="603" spans="1:11" ht="20.25">
      <c r="A603" s="467"/>
      <c r="B603" s="467"/>
      <c r="C603" s="467"/>
      <c r="D603" s="467"/>
      <c r="E603" s="467"/>
      <c r="F603" s="467"/>
      <c r="G603" s="467"/>
      <c r="H603" s="467"/>
      <c r="I603" s="467"/>
      <c r="J603" s="467"/>
      <c r="K603" s="467"/>
    </row>
    <row r="604" spans="1:11" ht="20.25">
      <c r="A604" s="467"/>
      <c r="B604" s="467"/>
      <c r="C604" s="467"/>
      <c r="D604" s="467"/>
      <c r="E604" s="467"/>
      <c r="F604" s="467"/>
      <c r="G604" s="467"/>
      <c r="H604" s="467"/>
      <c r="I604" s="467"/>
      <c r="J604" s="467"/>
      <c r="K604" s="467"/>
    </row>
    <row r="605" spans="1:11" ht="20.25">
      <c r="A605" s="467"/>
      <c r="B605" s="467"/>
      <c r="C605" s="467"/>
      <c r="D605" s="467"/>
      <c r="E605" s="467"/>
      <c r="F605" s="467"/>
      <c r="G605" s="467"/>
      <c r="H605" s="467"/>
      <c r="I605" s="467"/>
      <c r="J605" s="467"/>
      <c r="K605" s="467"/>
    </row>
    <row r="606" spans="1:11" ht="20.25">
      <c r="A606" s="467"/>
      <c r="B606" s="467"/>
      <c r="C606" s="467"/>
      <c r="D606" s="467"/>
      <c r="E606" s="467"/>
      <c r="F606" s="467"/>
      <c r="G606" s="467"/>
      <c r="H606" s="467"/>
      <c r="I606" s="467"/>
      <c r="J606" s="467"/>
      <c r="K606" s="467"/>
    </row>
    <row r="607" spans="1:11" ht="20.25">
      <c r="A607" s="467"/>
      <c r="B607" s="467"/>
      <c r="C607" s="467"/>
      <c r="D607" s="467"/>
      <c r="E607" s="467"/>
      <c r="F607" s="467"/>
      <c r="G607" s="467"/>
      <c r="H607" s="467"/>
      <c r="I607" s="467"/>
      <c r="J607" s="467"/>
      <c r="K607" s="467"/>
    </row>
    <row r="608" spans="1:11" ht="20.25">
      <c r="A608" s="467"/>
      <c r="B608" s="467"/>
      <c r="C608" s="467"/>
      <c r="D608" s="467"/>
      <c r="E608" s="467"/>
      <c r="F608" s="467"/>
      <c r="G608" s="467"/>
      <c r="H608" s="467"/>
      <c r="I608" s="467"/>
      <c r="J608" s="467"/>
      <c r="K608" s="467"/>
    </row>
    <row r="609" spans="1:11" ht="20.25">
      <c r="A609" s="467"/>
      <c r="B609" s="467"/>
      <c r="C609" s="467"/>
      <c r="D609" s="467"/>
      <c r="E609" s="467"/>
      <c r="F609" s="467"/>
      <c r="G609" s="467"/>
      <c r="H609" s="467"/>
      <c r="I609" s="467"/>
      <c r="J609" s="467"/>
      <c r="K609" s="467"/>
    </row>
    <row r="610" spans="1:11" ht="20.25">
      <c r="A610" s="467"/>
      <c r="B610" s="467"/>
      <c r="C610" s="467"/>
      <c r="D610" s="467"/>
      <c r="E610" s="467"/>
      <c r="F610" s="467"/>
      <c r="G610" s="467"/>
      <c r="H610" s="467"/>
      <c r="I610" s="467"/>
      <c r="J610" s="467"/>
      <c r="K610" s="467"/>
    </row>
    <row r="611" spans="1:11" ht="20.25">
      <c r="A611" s="467"/>
      <c r="B611" s="467"/>
      <c r="C611" s="467"/>
      <c r="D611" s="467"/>
      <c r="E611" s="467"/>
      <c r="F611" s="467"/>
      <c r="G611" s="467"/>
      <c r="H611" s="467"/>
      <c r="I611" s="467"/>
      <c r="J611" s="467"/>
      <c r="K611" s="467"/>
    </row>
    <row r="612" spans="1:11" ht="20.25">
      <c r="A612" s="467"/>
      <c r="B612" s="467"/>
      <c r="C612" s="467"/>
      <c r="D612" s="467"/>
      <c r="E612" s="467"/>
      <c r="F612" s="467"/>
      <c r="G612" s="467"/>
      <c r="H612" s="467"/>
      <c r="I612" s="467"/>
      <c r="J612" s="467"/>
      <c r="K612" s="467"/>
    </row>
    <row r="613" spans="1:11" ht="20.25">
      <c r="A613" s="467"/>
      <c r="B613" s="467"/>
      <c r="C613" s="467"/>
      <c r="D613" s="467"/>
      <c r="E613" s="467"/>
      <c r="F613" s="467"/>
      <c r="G613" s="467"/>
      <c r="H613" s="467"/>
      <c r="I613" s="467"/>
      <c r="J613" s="467"/>
      <c r="K613" s="467"/>
    </row>
    <row r="614" spans="1:11" ht="20.25">
      <c r="A614" s="467"/>
      <c r="B614" s="467"/>
      <c r="C614" s="467"/>
      <c r="D614" s="467"/>
      <c r="E614" s="467"/>
      <c r="F614" s="467"/>
      <c r="G614" s="467"/>
      <c r="H614" s="467"/>
      <c r="I614" s="467"/>
      <c r="J614" s="467"/>
      <c r="K614" s="467"/>
    </row>
    <row r="615" spans="1:11" ht="20.25">
      <c r="A615" s="467"/>
      <c r="B615" s="467"/>
      <c r="C615" s="467"/>
      <c r="D615" s="467"/>
      <c r="E615" s="467"/>
      <c r="F615" s="467"/>
      <c r="G615" s="467"/>
      <c r="H615" s="467"/>
      <c r="I615" s="467"/>
      <c r="J615" s="467"/>
      <c r="K615" s="467"/>
    </row>
    <row r="616" spans="1:11" ht="20.25">
      <c r="A616" s="467"/>
      <c r="B616" s="467"/>
      <c r="C616" s="467"/>
      <c r="D616" s="467"/>
      <c r="E616" s="467"/>
      <c r="F616" s="467"/>
      <c r="G616" s="467"/>
      <c r="H616" s="467"/>
      <c r="I616" s="467"/>
      <c r="J616" s="467"/>
      <c r="K616" s="467"/>
    </row>
    <row r="617" spans="1:11" ht="20.25">
      <c r="A617" s="467"/>
      <c r="B617" s="467"/>
      <c r="C617" s="467"/>
      <c r="D617" s="467"/>
      <c r="E617" s="467"/>
      <c r="F617" s="467"/>
      <c r="G617" s="467"/>
      <c r="H617" s="467"/>
      <c r="I617" s="467"/>
      <c r="J617" s="467"/>
      <c r="K617" s="467"/>
    </row>
    <row r="618" spans="1:11" ht="20.25">
      <c r="A618" s="467"/>
      <c r="B618" s="467"/>
      <c r="C618" s="467"/>
      <c r="D618" s="467"/>
      <c r="E618" s="467"/>
      <c r="F618" s="467"/>
      <c r="G618" s="467"/>
      <c r="H618" s="467"/>
      <c r="I618" s="467"/>
      <c r="J618" s="467"/>
      <c r="K618" s="467"/>
    </row>
    <row r="619" spans="1:11" ht="20.25">
      <c r="A619" s="467"/>
      <c r="B619" s="467"/>
      <c r="C619" s="467"/>
      <c r="D619" s="467"/>
      <c r="E619" s="467"/>
      <c r="F619" s="467"/>
      <c r="G619" s="467"/>
      <c r="H619" s="467"/>
      <c r="I619" s="467"/>
      <c r="J619" s="467"/>
      <c r="K619" s="467"/>
    </row>
    <row r="620" spans="1:11" ht="20.25">
      <c r="A620" s="467"/>
      <c r="B620" s="467"/>
      <c r="C620" s="467"/>
      <c r="D620" s="467"/>
      <c r="E620" s="467"/>
      <c r="F620" s="467"/>
      <c r="G620" s="467"/>
      <c r="H620" s="467"/>
      <c r="I620" s="467"/>
      <c r="J620" s="467"/>
      <c r="K620" s="467"/>
    </row>
    <row r="621" spans="1:11" ht="20.25">
      <c r="A621" s="467"/>
      <c r="B621" s="467"/>
      <c r="C621" s="467"/>
      <c r="D621" s="467"/>
      <c r="E621" s="467"/>
      <c r="F621" s="467"/>
      <c r="G621" s="467"/>
      <c r="H621" s="467"/>
      <c r="I621" s="467"/>
      <c r="J621" s="467"/>
      <c r="K621" s="467"/>
    </row>
    <row r="622" spans="1:11" ht="20.25">
      <c r="A622" s="467"/>
      <c r="B622" s="467"/>
      <c r="C622" s="467"/>
      <c r="D622" s="467"/>
      <c r="E622" s="467"/>
      <c r="F622" s="467"/>
      <c r="G622" s="467"/>
      <c r="H622" s="467"/>
      <c r="I622" s="467"/>
      <c r="J622" s="467"/>
      <c r="K622" s="467"/>
    </row>
    <row r="623" spans="1:11" ht="20.25">
      <c r="A623" s="467"/>
      <c r="B623" s="467"/>
      <c r="C623" s="467"/>
      <c r="D623" s="467"/>
      <c r="E623" s="467"/>
      <c r="F623" s="467"/>
      <c r="G623" s="467"/>
      <c r="H623" s="467"/>
      <c r="I623" s="467"/>
      <c r="J623" s="467"/>
      <c r="K623" s="467"/>
    </row>
    <row r="624" spans="1:11" ht="20.25">
      <c r="A624" s="467"/>
      <c r="B624" s="467"/>
      <c r="C624" s="467"/>
      <c r="D624" s="467"/>
      <c r="E624" s="467"/>
      <c r="F624" s="467"/>
      <c r="G624" s="467"/>
      <c r="H624" s="467"/>
      <c r="I624" s="467"/>
      <c r="J624" s="467"/>
      <c r="K624" s="467"/>
    </row>
    <row r="625" spans="1:11" ht="20.25">
      <c r="A625" s="467"/>
      <c r="B625" s="467"/>
      <c r="C625" s="467"/>
      <c r="D625" s="467"/>
      <c r="E625" s="467"/>
      <c r="F625" s="467"/>
      <c r="G625" s="467"/>
      <c r="H625" s="467"/>
      <c r="I625" s="467"/>
      <c r="J625" s="467"/>
      <c r="K625" s="467"/>
    </row>
    <row r="626" spans="1:11" ht="20.25">
      <c r="A626" s="467"/>
      <c r="B626" s="467"/>
      <c r="C626" s="467"/>
      <c r="D626" s="467"/>
      <c r="E626" s="467"/>
      <c r="F626" s="467"/>
      <c r="G626" s="467"/>
      <c r="H626" s="467"/>
      <c r="I626" s="467"/>
      <c r="J626" s="467"/>
      <c r="K626" s="467"/>
    </row>
    <row r="627" spans="1:11" ht="20.25">
      <c r="A627" s="467"/>
      <c r="B627" s="467"/>
      <c r="C627" s="467"/>
      <c r="D627" s="467"/>
      <c r="E627" s="467"/>
      <c r="F627" s="467"/>
      <c r="G627" s="467"/>
      <c r="H627" s="467"/>
      <c r="I627" s="467"/>
      <c r="J627" s="467"/>
      <c r="K627" s="467"/>
    </row>
    <row r="628" spans="1:11" ht="20.25">
      <c r="A628" s="467"/>
      <c r="B628" s="467"/>
      <c r="C628" s="467"/>
      <c r="D628" s="467"/>
      <c r="E628" s="467"/>
      <c r="F628" s="467"/>
      <c r="G628" s="467"/>
      <c r="H628" s="467"/>
      <c r="I628" s="467"/>
      <c r="J628" s="467"/>
      <c r="K628" s="467"/>
    </row>
    <row r="629" spans="1:11" ht="20.25">
      <c r="A629" s="467"/>
      <c r="B629" s="467"/>
      <c r="C629" s="467"/>
      <c r="D629" s="467"/>
      <c r="E629" s="467"/>
      <c r="F629" s="467"/>
      <c r="G629" s="467"/>
      <c r="H629" s="467"/>
      <c r="I629" s="467"/>
      <c r="J629" s="467"/>
      <c r="K629" s="467"/>
    </row>
    <row r="630" spans="1:11" ht="20.25">
      <c r="A630" s="467"/>
      <c r="B630" s="467"/>
      <c r="C630" s="467"/>
      <c r="D630" s="467"/>
      <c r="E630" s="467"/>
      <c r="F630" s="467"/>
      <c r="G630" s="467"/>
      <c r="H630" s="467"/>
      <c r="I630" s="467"/>
      <c r="J630" s="467"/>
      <c r="K630" s="467"/>
    </row>
    <row r="631" spans="1:11" ht="20.25">
      <c r="A631" s="467"/>
      <c r="B631" s="467"/>
      <c r="C631" s="467"/>
      <c r="D631" s="467"/>
      <c r="E631" s="467"/>
      <c r="F631" s="467"/>
      <c r="G631" s="467"/>
      <c r="H631" s="467"/>
      <c r="I631" s="467"/>
      <c r="J631" s="467"/>
      <c r="K631" s="467"/>
    </row>
    <row r="632" spans="1:11" ht="20.25">
      <c r="A632" s="467"/>
      <c r="B632" s="467"/>
      <c r="C632" s="467"/>
      <c r="D632" s="467"/>
      <c r="E632" s="467"/>
      <c r="F632" s="467"/>
      <c r="G632" s="467"/>
      <c r="H632" s="467"/>
      <c r="I632" s="467"/>
      <c r="J632" s="467"/>
      <c r="K632" s="467"/>
    </row>
    <row r="633" spans="1:11" ht="20.25">
      <c r="A633" s="467"/>
      <c r="B633" s="467"/>
      <c r="C633" s="467"/>
      <c r="D633" s="467"/>
      <c r="E633" s="467"/>
      <c r="F633" s="467"/>
      <c r="G633" s="467"/>
      <c r="H633" s="467"/>
      <c r="I633" s="467"/>
      <c r="J633" s="467"/>
      <c r="K633" s="467"/>
    </row>
    <row r="634" spans="1:11" ht="20.25">
      <c r="A634" s="467"/>
      <c r="B634" s="467"/>
      <c r="C634" s="467"/>
      <c r="D634" s="467"/>
      <c r="E634" s="467"/>
      <c r="F634" s="467"/>
      <c r="G634" s="467"/>
      <c r="H634" s="467"/>
      <c r="I634" s="467"/>
      <c r="J634" s="467"/>
      <c r="K634" s="467"/>
    </row>
    <row r="635" spans="1:11" ht="20.25">
      <c r="A635" s="467"/>
      <c r="B635" s="467"/>
      <c r="C635" s="467"/>
      <c r="D635" s="467"/>
      <c r="E635" s="467"/>
      <c r="F635" s="467"/>
      <c r="G635" s="467"/>
      <c r="H635" s="467"/>
      <c r="I635" s="467"/>
      <c r="J635" s="467"/>
      <c r="K635" s="467"/>
    </row>
    <row r="636" spans="1:11" ht="20.25">
      <c r="A636" s="467"/>
      <c r="B636" s="467"/>
      <c r="C636" s="467"/>
      <c r="D636" s="467"/>
      <c r="E636" s="467"/>
      <c r="F636" s="467"/>
      <c r="G636" s="467"/>
      <c r="H636" s="467"/>
      <c r="I636" s="467"/>
      <c r="J636" s="467"/>
      <c r="K636" s="467"/>
    </row>
    <row r="637" spans="1:11" ht="20.25">
      <c r="A637" s="467"/>
      <c r="B637" s="467"/>
      <c r="C637" s="467"/>
      <c r="D637" s="467"/>
      <c r="E637" s="467"/>
      <c r="F637" s="467"/>
      <c r="G637" s="467"/>
      <c r="H637" s="467"/>
      <c r="I637" s="467"/>
      <c r="J637" s="467"/>
      <c r="K637" s="467"/>
    </row>
    <row r="638" spans="1:11" ht="20.25">
      <c r="A638" s="467"/>
      <c r="B638" s="467"/>
      <c r="C638" s="467"/>
      <c r="D638" s="467"/>
      <c r="E638" s="467"/>
      <c r="F638" s="467"/>
      <c r="G638" s="467"/>
      <c r="H638" s="467"/>
      <c r="I638" s="467"/>
      <c r="J638" s="467"/>
      <c r="K638" s="467"/>
    </row>
    <row r="639" spans="1:11" ht="20.25">
      <c r="A639" s="467"/>
      <c r="B639" s="467"/>
      <c r="C639" s="467"/>
      <c r="D639" s="467"/>
      <c r="E639" s="467"/>
      <c r="F639" s="467"/>
      <c r="G639" s="467"/>
      <c r="H639" s="467"/>
      <c r="I639" s="467"/>
      <c r="J639" s="467"/>
      <c r="K639" s="467"/>
    </row>
    <row r="640" spans="1:11" ht="20.25">
      <c r="A640" s="467"/>
      <c r="B640" s="467"/>
      <c r="C640" s="467"/>
      <c r="D640" s="467"/>
      <c r="E640" s="467"/>
      <c r="F640" s="467"/>
      <c r="G640" s="467"/>
      <c r="H640" s="467"/>
      <c r="I640" s="467"/>
      <c r="J640" s="467"/>
      <c r="K640" s="467"/>
    </row>
    <row r="641" spans="1:11" ht="20.25">
      <c r="A641" s="467"/>
      <c r="B641" s="467"/>
      <c r="C641" s="467"/>
      <c r="D641" s="467"/>
      <c r="E641" s="467"/>
      <c r="F641" s="467"/>
      <c r="G641" s="467"/>
      <c r="H641" s="467"/>
      <c r="I641" s="467"/>
      <c r="J641" s="467"/>
      <c r="K641" s="467"/>
    </row>
    <row r="642" spans="1:11" ht="20.25">
      <c r="A642" s="467"/>
      <c r="B642" s="467"/>
      <c r="C642" s="467"/>
      <c r="D642" s="467"/>
      <c r="E642" s="467"/>
      <c r="F642" s="467"/>
      <c r="G642" s="467"/>
      <c r="H642" s="467"/>
      <c r="I642" s="467"/>
      <c r="J642" s="467"/>
      <c r="K642" s="467"/>
    </row>
    <row r="643" spans="1:11" ht="20.25">
      <c r="A643" s="467"/>
      <c r="B643" s="467"/>
      <c r="C643" s="467"/>
      <c r="D643" s="467"/>
      <c r="E643" s="467"/>
      <c r="F643" s="467"/>
      <c r="G643" s="467"/>
      <c r="H643" s="467"/>
      <c r="I643" s="467"/>
      <c r="J643" s="467"/>
      <c r="K643" s="467"/>
    </row>
    <row r="644" spans="1:11" ht="20.25">
      <c r="A644" s="467"/>
      <c r="B644" s="467"/>
      <c r="C644" s="467"/>
      <c r="D644" s="467"/>
      <c r="E644" s="467"/>
      <c r="F644" s="467"/>
      <c r="G644" s="467"/>
      <c r="H644" s="467"/>
      <c r="I644" s="467"/>
      <c r="J644" s="467"/>
      <c r="K644" s="467"/>
    </row>
    <row r="645" spans="1:11" ht="20.25">
      <c r="A645" s="467"/>
      <c r="B645" s="467"/>
      <c r="C645" s="467"/>
      <c r="D645" s="467"/>
      <c r="E645" s="467"/>
      <c r="F645" s="467"/>
      <c r="G645" s="467"/>
      <c r="H645" s="467"/>
      <c r="I645" s="467"/>
      <c r="J645" s="467"/>
      <c r="K645" s="467"/>
    </row>
    <row r="646" spans="1:11" ht="20.25">
      <c r="A646" s="467"/>
      <c r="B646" s="467"/>
      <c r="C646" s="467"/>
      <c r="D646" s="467"/>
      <c r="E646" s="467"/>
      <c r="F646" s="467"/>
      <c r="G646" s="467"/>
      <c r="H646" s="467"/>
      <c r="I646" s="467"/>
      <c r="J646" s="467"/>
      <c r="K646" s="467"/>
    </row>
    <row r="647" spans="1:11" ht="20.25">
      <c r="A647" s="467"/>
      <c r="B647" s="467"/>
      <c r="C647" s="467"/>
      <c r="D647" s="467"/>
      <c r="E647" s="467"/>
      <c r="F647" s="467"/>
      <c r="G647" s="467"/>
      <c r="H647" s="467"/>
      <c r="I647" s="467"/>
      <c r="J647" s="467"/>
      <c r="K647" s="467"/>
    </row>
    <row r="648" spans="1:11" ht="20.25">
      <c r="A648" s="467"/>
      <c r="B648" s="467"/>
      <c r="C648" s="467"/>
      <c r="D648" s="467"/>
      <c r="E648" s="467"/>
      <c r="F648" s="467"/>
      <c r="G648" s="467"/>
      <c r="H648" s="467"/>
      <c r="I648" s="467"/>
      <c r="J648" s="467"/>
      <c r="K648" s="467"/>
    </row>
    <row r="649" spans="1:11" ht="20.25">
      <c r="A649" s="467"/>
      <c r="B649" s="467"/>
      <c r="C649" s="467"/>
      <c r="D649" s="467"/>
      <c r="E649" s="467"/>
      <c r="F649" s="467"/>
      <c r="G649" s="467"/>
      <c r="H649" s="467"/>
      <c r="I649" s="467"/>
      <c r="J649" s="467"/>
      <c r="K649" s="467"/>
    </row>
    <row r="650" spans="1:11" ht="20.25">
      <c r="A650" s="467"/>
      <c r="B650" s="467"/>
      <c r="C650" s="467"/>
      <c r="D650" s="467"/>
      <c r="E650" s="467"/>
      <c r="F650" s="467"/>
      <c r="G650" s="467"/>
      <c r="H650" s="467"/>
      <c r="I650" s="467"/>
      <c r="J650" s="467"/>
      <c r="K650" s="467"/>
    </row>
    <row r="651" spans="1:11" ht="20.25">
      <c r="A651" s="467"/>
      <c r="B651" s="467"/>
      <c r="C651" s="467"/>
      <c r="D651" s="467"/>
      <c r="E651" s="467"/>
      <c r="F651" s="467"/>
      <c r="G651" s="467"/>
      <c r="H651" s="467"/>
      <c r="I651" s="467"/>
      <c r="J651" s="467"/>
      <c r="K651" s="467"/>
    </row>
    <row r="652" spans="1:11" ht="20.25">
      <c r="A652" s="467"/>
      <c r="B652" s="467"/>
      <c r="C652" s="467"/>
      <c r="D652" s="467"/>
      <c r="E652" s="467"/>
      <c r="F652" s="467"/>
      <c r="G652" s="467"/>
      <c r="H652" s="467"/>
      <c r="I652" s="467"/>
      <c r="J652" s="467"/>
      <c r="K652" s="467"/>
    </row>
    <row r="653" spans="1:11" ht="20.25">
      <c r="A653" s="467"/>
      <c r="B653" s="467"/>
      <c r="C653" s="467"/>
      <c r="D653" s="467"/>
      <c r="E653" s="467"/>
      <c r="F653" s="467"/>
      <c r="G653" s="467"/>
      <c r="H653" s="467"/>
      <c r="I653" s="467"/>
      <c r="J653" s="467"/>
      <c r="K653" s="467"/>
    </row>
    <row r="654" spans="1:11" ht="20.25">
      <c r="A654" s="467"/>
      <c r="B654" s="467"/>
      <c r="C654" s="467"/>
      <c r="D654" s="467"/>
      <c r="E654" s="467"/>
      <c r="F654" s="467"/>
      <c r="G654" s="467"/>
      <c r="H654" s="467"/>
      <c r="I654" s="467"/>
      <c r="J654" s="467"/>
      <c r="K654" s="467"/>
    </row>
    <row r="655" spans="1:11" ht="20.25">
      <c r="A655" s="467"/>
      <c r="B655" s="467"/>
      <c r="C655" s="467"/>
      <c r="D655" s="467"/>
      <c r="E655" s="467"/>
      <c r="F655" s="467"/>
      <c r="G655" s="467"/>
      <c r="H655" s="467"/>
      <c r="I655" s="467"/>
      <c r="J655" s="467"/>
      <c r="K655" s="467"/>
    </row>
    <row r="656" spans="1:11" ht="20.25">
      <c r="A656" s="467"/>
      <c r="B656" s="467"/>
      <c r="C656" s="467"/>
      <c r="D656" s="467"/>
      <c r="E656" s="467"/>
      <c r="F656" s="467"/>
      <c r="G656" s="467"/>
      <c r="H656" s="467"/>
      <c r="I656" s="467"/>
      <c r="J656" s="467"/>
      <c r="K656" s="467"/>
    </row>
    <row r="657" spans="1:11" ht="20.25">
      <c r="A657" s="467"/>
      <c r="B657" s="467"/>
      <c r="C657" s="467"/>
      <c r="D657" s="467"/>
      <c r="E657" s="467"/>
      <c r="F657" s="467"/>
      <c r="G657" s="467"/>
      <c r="H657" s="467"/>
      <c r="I657" s="467"/>
      <c r="J657" s="467"/>
      <c r="K657" s="467"/>
    </row>
    <row r="658" spans="1:11" ht="20.25">
      <c r="A658" s="467"/>
      <c r="B658" s="467"/>
      <c r="C658" s="467"/>
      <c r="D658" s="467"/>
      <c r="E658" s="467"/>
      <c r="F658" s="467"/>
      <c r="G658" s="467"/>
      <c r="H658" s="467"/>
      <c r="I658" s="467"/>
      <c r="J658" s="467"/>
      <c r="K658" s="467"/>
    </row>
    <row r="659" spans="1:11" ht="20.25">
      <c r="A659" s="467"/>
      <c r="B659" s="467"/>
      <c r="C659" s="467"/>
      <c r="D659" s="467"/>
      <c r="E659" s="467"/>
      <c r="F659" s="467"/>
      <c r="G659" s="467"/>
      <c r="H659" s="467"/>
      <c r="I659" s="467"/>
      <c r="J659" s="467"/>
      <c r="K659" s="467"/>
    </row>
    <row r="660" spans="1:11" ht="20.25">
      <c r="A660" s="467"/>
      <c r="B660" s="467"/>
      <c r="C660" s="467"/>
      <c r="D660" s="467"/>
      <c r="E660" s="467"/>
      <c r="F660" s="467"/>
      <c r="G660" s="467"/>
      <c r="H660" s="467"/>
      <c r="I660" s="467"/>
      <c r="J660" s="467"/>
      <c r="K660" s="467"/>
    </row>
    <row r="661" spans="1:11" ht="20.25">
      <c r="A661" s="467"/>
      <c r="B661" s="467"/>
      <c r="C661" s="467"/>
      <c r="D661" s="467"/>
      <c r="E661" s="467"/>
      <c r="F661" s="467"/>
      <c r="G661" s="467"/>
      <c r="H661" s="467"/>
      <c r="I661" s="467"/>
      <c r="J661" s="467"/>
      <c r="K661" s="467"/>
    </row>
    <row r="662" spans="1:11" ht="20.25">
      <c r="A662" s="467"/>
      <c r="B662" s="467"/>
      <c r="C662" s="467"/>
      <c r="D662" s="467"/>
      <c r="E662" s="467"/>
      <c r="F662" s="467"/>
      <c r="G662" s="467"/>
      <c r="H662" s="467"/>
      <c r="I662" s="467"/>
      <c r="J662" s="467"/>
      <c r="K662" s="467"/>
    </row>
    <row r="663" spans="1:11" ht="20.25">
      <c r="A663" s="467"/>
      <c r="B663" s="467"/>
      <c r="C663" s="467"/>
      <c r="D663" s="467"/>
      <c r="E663" s="467"/>
      <c r="F663" s="467"/>
      <c r="G663" s="467"/>
      <c r="H663" s="467"/>
      <c r="I663" s="467"/>
      <c r="J663" s="467"/>
      <c r="K663" s="467"/>
    </row>
    <row r="664" spans="1:11" ht="20.25">
      <c r="A664" s="467"/>
      <c r="B664" s="467"/>
      <c r="C664" s="467"/>
      <c r="D664" s="467"/>
      <c r="E664" s="467"/>
      <c r="F664" s="467"/>
      <c r="G664" s="467"/>
      <c r="H664" s="467"/>
      <c r="I664" s="467"/>
      <c r="J664" s="467"/>
      <c r="K664" s="467"/>
    </row>
    <row r="665" spans="1:11" ht="20.25">
      <c r="A665" s="467"/>
      <c r="B665" s="467"/>
      <c r="C665" s="467"/>
      <c r="D665" s="467"/>
      <c r="E665" s="467"/>
      <c r="F665" s="467"/>
      <c r="G665" s="467"/>
      <c r="H665" s="467"/>
      <c r="I665" s="467"/>
      <c r="J665" s="467"/>
      <c r="K665" s="467"/>
    </row>
    <row r="666" spans="1:11" ht="20.25">
      <c r="A666" s="467"/>
      <c r="B666" s="467"/>
      <c r="C666" s="467"/>
      <c r="D666" s="467"/>
      <c r="E666" s="467"/>
      <c r="F666" s="467"/>
      <c r="G666" s="467"/>
      <c r="H666" s="467"/>
      <c r="I666" s="467"/>
      <c r="J666" s="467"/>
      <c r="K666" s="467"/>
    </row>
    <row r="667" spans="1:11" ht="20.25">
      <c r="A667" s="467"/>
      <c r="B667" s="467"/>
      <c r="C667" s="467"/>
      <c r="D667" s="467"/>
      <c r="E667" s="467"/>
      <c r="F667" s="467"/>
      <c r="G667" s="467"/>
      <c r="H667" s="467"/>
      <c r="I667" s="467"/>
      <c r="J667" s="467"/>
      <c r="K667" s="467"/>
    </row>
    <row r="668" spans="1:11" ht="20.25">
      <c r="A668" s="467"/>
      <c r="B668" s="467"/>
      <c r="C668" s="467"/>
      <c r="D668" s="467"/>
      <c r="E668" s="467"/>
      <c r="F668" s="467"/>
      <c r="G668" s="467"/>
      <c r="H668" s="467"/>
      <c r="I668" s="467"/>
      <c r="J668" s="467"/>
      <c r="K668" s="467"/>
    </row>
    <row r="669" spans="1:11" ht="20.25">
      <c r="A669" s="467"/>
      <c r="B669" s="467"/>
      <c r="C669" s="467"/>
      <c r="D669" s="467"/>
      <c r="E669" s="467"/>
      <c r="F669" s="467"/>
      <c r="G669" s="467"/>
      <c r="H669" s="467"/>
      <c r="I669" s="467"/>
      <c r="J669" s="467"/>
      <c r="K669" s="467"/>
    </row>
    <row r="670" spans="1:11" ht="20.25">
      <c r="A670" s="467"/>
      <c r="B670" s="467"/>
      <c r="C670" s="467"/>
      <c r="D670" s="467"/>
      <c r="E670" s="467"/>
      <c r="F670" s="467"/>
      <c r="G670" s="467"/>
      <c r="H670" s="467"/>
      <c r="I670" s="467"/>
      <c r="J670" s="467"/>
      <c r="K670" s="467"/>
    </row>
    <row r="671" spans="1:11" ht="20.25">
      <c r="A671" s="467"/>
      <c r="B671" s="467"/>
      <c r="C671" s="467"/>
      <c r="D671" s="467"/>
      <c r="E671" s="467"/>
      <c r="F671" s="467"/>
      <c r="G671" s="467"/>
      <c r="H671" s="467"/>
      <c r="I671" s="467"/>
      <c r="J671" s="467"/>
      <c r="K671" s="467"/>
    </row>
    <row r="672" spans="1:11" ht="20.25">
      <c r="A672" s="467"/>
      <c r="B672" s="467"/>
      <c r="C672" s="467"/>
      <c r="D672" s="467"/>
      <c r="E672" s="467"/>
      <c r="F672" s="467"/>
      <c r="G672" s="467"/>
      <c r="H672" s="467"/>
      <c r="I672" s="467"/>
      <c r="J672" s="467"/>
      <c r="K672" s="467"/>
    </row>
    <row r="673" spans="1:11" ht="20.25">
      <c r="A673" s="467"/>
      <c r="B673" s="467"/>
      <c r="C673" s="467"/>
      <c r="D673" s="467"/>
      <c r="E673" s="467"/>
      <c r="F673" s="467"/>
      <c r="G673" s="467"/>
      <c r="H673" s="467"/>
      <c r="I673" s="467"/>
      <c r="J673" s="467"/>
      <c r="K673" s="467"/>
    </row>
    <row r="674" spans="1:11" ht="20.25">
      <c r="A674" s="467"/>
      <c r="B674" s="467"/>
      <c r="C674" s="467"/>
      <c r="D674" s="467"/>
      <c r="E674" s="467"/>
      <c r="F674" s="467"/>
      <c r="G674" s="467"/>
      <c r="H674" s="467"/>
      <c r="I674" s="467"/>
      <c r="J674" s="467"/>
      <c r="K674" s="467"/>
    </row>
    <row r="675" spans="1:11" ht="20.25">
      <c r="A675" s="467"/>
      <c r="B675" s="467"/>
      <c r="C675" s="467"/>
      <c r="D675" s="467"/>
      <c r="E675" s="467"/>
      <c r="F675" s="467"/>
      <c r="G675" s="467"/>
      <c r="H675" s="467"/>
      <c r="I675" s="467"/>
      <c r="J675" s="467"/>
      <c r="K675" s="467"/>
    </row>
    <row r="676" spans="1:11" ht="20.25">
      <c r="A676" s="467"/>
      <c r="B676" s="467"/>
      <c r="C676" s="467"/>
      <c r="D676" s="467"/>
      <c r="E676" s="467"/>
      <c r="F676" s="467"/>
      <c r="G676" s="467"/>
      <c r="H676" s="467"/>
      <c r="I676" s="467"/>
      <c r="J676" s="467"/>
      <c r="K676" s="467"/>
    </row>
    <row r="677" spans="1:11" ht="20.25">
      <c r="A677" s="467"/>
      <c r="B677" s="467"/>
      <c r="C677" s="467"/>
      <c r="D677" s="467"/>
      <c r="E677" s="467"/>
      <c r="F677" s="467"/>
      <c r="G677" s="467"/>
      <c r="H677" s="467"/>
      <c r="I677" s="467"/>
      <c r="J677" s="467"/>
      <c r="K677" s="467"/>
    </row>
    <row r="678" spans="1:11" ht="20.25">
      <c r="A678" s="467"/>
      <c r="B678" s="467"/>
      <c r="C678" s="467"/>
      <c r="D678" s="467"/>
      <c r="E678" s="467"/>
      <c r="F678" s="467"/>
      <c r="G678" s="467"/>
      <c r="H678" s="467"/>
      <c r="I678" s="467"/>
      <c r="J678" s="467"/>
      <c r="K678" s="467"/>
    </row>
    <row r="679" spans="1:11" ht="20.25">
      <c r="A679" s="467"/>
      <c r="B679" s="467"/>
      <c r="C679" s="467"/>
      <c r="D679" s="467"/>
      <c r="E679" s="467"/>
      <c r="F679" s="467"/>
      <c r="G679" s="467"/>
      <c r="H679" s="467"/>
      <c r="I679" s="467"/>
      <c r="J679" s="467"/>
      <c r="K679" s="467"/>
    </row>
    <row r="680" spans="1:11" ht="20.25">
      <c r="A680" s="467"/>
      <c r="B680" s="467"/>
      <c r="C680" s="467"/>
      <c r="D680" s="467"/>
      <c r="E680" s="467"/>
      <c r="F680" s="467"/>
      <c r="G680" s="467"/>
      <c r="H680" s="467"/>
      <c r="I680" s="467"/>
      <c r="J680" s="467"/>
      <c r="K680" s="467"/>
    </row>
    <row r="681" spans="1:11" ht="20.25">
      <c r="A681" s="467"/>
      <c r="B681" s="467"/>
      <c r="C681" s="467"/>
      <c r="D681" s="467"/>
      <c r="E681" s="467"/>
      <c r="F681" s="467"/>
      <c r="G681" s="467"/>
      <c r="H681" s="467"/>
      <c r="I681" s="467"/>
      <c r="J681" s="467"/>
      <c r="K681" s="467"/>
    </row>
    <row r="682" spans="1:11" ht="20.25">
      <c r="A682" s="467"/>
      <c r="B682" s="467"/>
      <c r="C682" s="467"/>
      <c r="D682" s="467"/>
      <c r="E682" s="467"/>
      <c r="F682" s="467"/>
      <c r="G682" s="467"/>
      <c r="H682" s="467"/>
      <c r="I682" s="467"/>
      <c r="J682" s="467"/>
      <c r="K682" s="467"/>
    </row>
    <row r="683" spans="1:11" ht="20.25">
      <c r="A683" s="467"/>
      <c r="B683" s="467"/>
      <c r="C683" s="467"/>
      <c r="D683" s="467"/>
      <c r="E683" s="467"/>
      <c r="F683" s="467"/>
      <c r="G683" s="467"/>
      <c r="H683" s="467"/>
      <c r="I683" s="467"/>
      <c r="J683" s="467"/>
      <c r="K683" s="467"/>
    </row>
    <row r="684" spans="1:11" ht="20.25">
      <c r="A684" s="467"/>
      <c r="B684" s="467"/>
      <c r="C684" s="467"/>
      <c r="D684" s="467"/>
      <c r="E684" s="467"/>
      <c r="F684" s="467"/>
      <c r="G684" s="467"/>
      <c r="H684" s="467"/>
      <c r="I684" s="467"/>
      <c r="J684" s="467"/>
      <c r="K684" s="467"/>
    </row>
    <row r="685" spans="1:11" ht="20.25">
      <c r="A685" s="467"/>
      <c r="B685" s="467"/>
      <c r="C685" s="467"/>
      <c r="D685" s="467"/>
      <c r="E685" s="467"/>
      <c r="F685" s="467"/>
      <c r="G685" s="467"/>
      <c r="H685" s="467"/>
      <c r="I685" s="467"/>
      <c r="J685" s="467"/>
      <c r="K685" s="467"/>
    </row>
    <row r="686" spans="1:11" ht="20.25">
      <c r="A686" s="467"/>
      <c r="B686" s="467"/>
      <c r="C686" s="467"/>
      <c r="D686" s="467"/>
      <c r="E686" s="467"/>
      <c r="F686" s="467"/>
      <c r="G686" s="467"/>
      <c r="H686" s="467"/>
      <c r="I686" s="467"/>
      <c r="J686" s="467"/>
      <c r="K686" s="467"/>
    </row>
    <row r="687" spans="1:11" ht="20.25">
      <c r="A687" s="467"/>
      <c r="B687" s="467"/>
      <c r="C687" s="467"/>
      <c r="D687" s="467"/>
      <c r="E687" s="467"/>
      <c r="F687" s="467"/>
      <c r="G687" s="467"/>
      <c r="H687" s="467"/>
      <c r="I687" s="467"/>
      <c r="J687" s="467"/>
      <c r="K687" s="467"/>
    </row>
    <row r="688" spans="1:11" ht="20.25">
      <c r="A688" s="467"/>
      <c r="B688" s="467"/>
      <c r="C688" s="467"/>
      <c r="D688" s="467"/>
      <c r="E688" s="467"/>
      <c r="F688" s="467"/>
      <c r="G688" s="467"/>
      <c r="H688" s="467"/>
      <c r="I688" s="467"/>
      <c r="J688" s="467"/>
      <c r="K688" s="467"/>
    </row>
    <row r="689" spans="1:11" ht="20.25">
      <c r="A689" s="467"/>
      <c r="B689" s="467"/>
      <c r="C689" s="467"/>
      <c r="D689" s="467"/>
      <c r="E689" s="467"/>
      <c r="F689" s="467"/>
      <c r="G689" s="467"/>
      <c r="H689" s="467"/>
      <c r="I689" s="467"/>
      <c r="J689" s="467"/>
      <c r="K689" s="467"/>
    </row>
    <row r="690" spans="1:11" ht="20.25">
      <c r="A690" s="467"/>
      <c r="B690" s="467"/>
      <c r="C690" s="467"/>
      <c r="D690" s="467"/>
      <c r="E690" s="467"/>
      <c r="F690" s="467"/>
      <c r="G690" s="467"/>
      <c r="H690" s="467"/>
      <c r="I690" s="467"/>
      <c r="J690" s="467"/>
      <c r="K690" s="467"/>
    </row>
    <row r="691" spans="1:11" ht="20.25">
      <c r="A691" s="467"/>
      <c r="B691" s="467"/>
      <c r="C691" s="467"/>
      <c r="D691" s="467"/>
      <c r="E691" s="467"/>
      <c r="F691" s="467"/>
      <c r="G691" s="467"/>
      <c r="H691" s="467"/>
      <c r="I691" s="467"/>
      <c r="J691" s="467"/>
      <c r="K691" s="467"/>
    </row>
    <row r="692" spans="1:11" ht="20.25">
      <c r="A692" s="467"/>
      <c r="B692" s="467"/>
      <c r="C692" s="467"/>
      <c r="D692" s="467"/>
      <c r="E692" s="467"/>
      <c r="F692" s="467"/>
      <c r="G692" s="467"/>
      <c r="H692" s="467"/>
      <c r="I692" s="467"/>
      <c r="J692" s="467"/>
      <c r="K692" s="467"/>
    </row>
    <row r="693" spans="1:11" ht="20.25">
      <c r="A693" s="467"/>
      <c r="B693" s="467"/>
      <c r="C693" s="467"/>
      <c r="D693" s="467"/>
      <c r="E693" s="467"/>
      <c r="F693" s="467"/>
      <c r="G693" s="467"/>
      <c r="H693" s="467"/>
      <c r="I693" s="467"/>
      <c r="J693" s="467"/>
      <c r="K693" s="467"/>
    </row>
    <row r="694" spans="1:11" ht="20.25">
      <c r="A694" s="467"/>
      <c r="B694" s="467"/>
      <c r="C694" s="467"/>
      <c r="D694" s="467"/>
      <c r="E694" s="467"/>
      <c r="F694" s="467"/>
      <c r="G694" s="467"/>
      <c r="H694" s="467"/>
      <c r="I694" s="467"/>
      <c r="J694" s="467"/>
      <c r="K694" s="467"/>
    </row>
    <row r="695" spans="1:11" ht="20.25">
      <c r="A695" s="467"/>
      <c r="B695" s="467"/>
      <c r="C695" s="467"/>
      <c r="D695" s="467"/>
      <c r="E695" s="467"/>
      <c r="F695" s="467"/>
      <c r="G695" s="467"/>
      <c r="H695" s="467"/>
      <c r="I695" s="467"/>
      <c r="J695" s="467"/>
      <c r="K695" s="467"/>
    </row>
    <row r="696" spans="1:11" ht="20.25">
      <c r="A696" s="467"/>
      <c r="B696" s="467"/>
      <c r="C696" s="467"/>
      <c r="D696" s="467"/>
      <c r="E696" s="467"/>
      <c r="F696" s="467"/>
      <c r="G696" s="467"/>
      <c r="H696" s="467"/>
      <c r="I696" s="467"/>
      <c r="J696" s="467"/>
      <c r="K696" s="467"/>
    </row>
    <row r="697" spans="1:11" ht="20.25">
      <c r="A697" s="467"/>
      <c r="B697" s="467"/>
      <c r="C697" s="467"/>
      <c r="D697" s="467"/>
      <c r="E697" s="467"/>
      <c r="F697" s="467"/>
      <c r="G697" s="467"/>
      <c r="H697" s="467"/>
      <c r="I697" s="467"/>
      <c r="J697" s="467"/>
      <c r="K697" s="467"/>
    </row>
    <row r="698" spans="1:11" ht="20.25">
      <c r="A698" s="467"/>
      <c r="B698" s="467"/>
      <c r="C698" s="467"/>
      <c r="D698" s="467"/>
      <c r="E698" s="467"/>
      <c r="F698" s="467"/>
      <c r="G698" s="467"/>
      <c r="H698" s="467"/>
      <c r="I698" s="467"/>
      <c r="J698" s="467"/>
      <c r="K698" s="467"/>
    </row>
    <row r="699" spans="1:11" ht="20.25">
      <c r="A699" s="467"/>
      <c r="B699" s="467"/>
      <c r="C699" s="467"/>
      <c r="D699" s="467"/>
      <c r="E699" s="467"/>
      <c r="F699" s="467"/>
      <c r="G699" s="467"/>
      <c r="H699" s="467"/>
      <c r="I699" s="467"/>
      <c r="J699" s="467"/>
      <c r="K699" s="467"/>
    </row>
    <row r="700" spans="1:11" ht="20.25">
      <c r="A700" s="467"/>
      <c r="B700" s="467"/>
      <c r="C700" s="467"/>
      <c r="D700" s="467"/>
      <c r="E700" s="467"/>
      <c r="F700" s="467"/>
      <c r="G700" s="467"/>
      <c r="H700" s="467"/>
      <c r="I700" s="467"/>
      <c r="J700" s="467"/>
      <c r="K700" s="467"/>
    </row>
    <row r="701" spans="1:11" ht="20.25">
      <c r="A701" s="467"/>
      <c r="B701" s="467"/>
      <c r="C701" s="467"/>
      <c r="D701" s="467"/>
      <c r="E701" s="467"/>
      <c r="F701" s="467"/>
      <c r="G701" s="467"/>
      <c r="H701" s="467"/>
      <c r="I701" s="467"/>
      <c r="J701" s="467"/>
      <c r="K701" s="467"/>
    </row>
    <row r="702" spans="1:11" ht="20.25">
      <c r="A702" s="467"/>
      <c r="B702" s="467"/>
      <c r="C702" s="467"/>
      <c r="D702" s="467"/>
      <c r="E702" s="467"/>
      <c r="F702" s="467"/>
      <c r="G702" s="467"/>
      <c r="H702" s="467"/>
      <c r="I702" s="467"/>
      <c r="J702" s="467"/>
      <c r="K702" s="467"/>
    </row>
    <row r="703" spans="1:11" ht="20.25">
      <c r="A703" s="467"/>
      <c r="B703" s="467"/>
      <c r="C703" s="467"/>
      <c r="D703" s="467"/>
      <c r="E703" s="467"/>
      <c r="F703" s="467"/>
      <c r="G703" s="467"/>
      <c r="H703" s="467"/>
      <c r="I703" s="467"/>
      <c r="J703" s="467"/>
      <c r="K703" s="467"/>
    </row>
    <row r="704" spans="1:11" ht="20.25">
      <c r="A704" s="467"/>
      <c r="B704" s="467"/>
      <c r="C704" s="467"/>
      <c r="D704" s="467"/>
      <c r="E704" s="467"/>
      <c r="F704" s="467"/>
      <c r="G704" s="467"/>
      <c r="H704" s="467"/>
      <c r="I704" s="467"/>
      <c r="J704" s="467"/>
      <c r="K704" s="467"/>
    </row>
    <row r="705" spans="1:11" ht="20.25">
      <c r="A705" s="467"/>
      <c r="B705" s="467"/>
      <c r="C705" s="467"/>
      <c r="D705" s="467"/>
      <c r="E705" s="467"/>
      <c r="F705" s="467"/>
      <c r="G705" s="467"/>
      <c r="H705" s="467"/>
      <c r="I705" s="467"/>
      <c r="J705" s="467"/>
      <c r="K705" s="467"/>
    </row>
    <row r="706" spans="1:11" ht="20.25">
      <c r="A706" s="467"/>
      <c r="B706" s="467"/>
      <c r="C706" s="467"/>
      <c r="D706" s="467"/>
      <c r="E706" s="467"/>
      <c r="F706" s="467"/>
      <c r="G706" s="467"/>
      <c r="H706" s="467"/>
      <c r="I706" s="467"/>
      <c r="J706" s="467"/>
      <c r="K706" s="467"/>
    </row>
    <row r="707" spans="1:11" ht="20.25">
      <c r="A707" s="467"/>
      <c r="B707" s="467"/>
      <c r="C707" s="467"/>
      <c r="D707" s="467"/>
      <c r="E707" s="467"/>
      <c r="F707" s="467"/>
      <c r="G707" s="467"/>
      <c r="H707" s="467"/>
      <c r="I707" s="467"/>
      <c r="J707" s="467"/>
      <c r="K707" s="467"/>
    </row>
    <row r="708" spans="1:11" ht="20.25">
      <c r="A708" s="467"/>
      <c r="B708" s="467"/>
      <c r="C708" s="467"/>
      <c r="D708" s="467"/>
      <c r="E708" s="467"/>
      <c r="F708" s="467"/>
      <c r="G708" s="467"/>
      <c r="H708" s="467"/>
      <c r="I708" s="467"/>
      <c r="J708" s="467"/>
      <c r="K708" s="467"/>
    </row>
    <row r="709" spans="1:11" ht="20.25">
      <c r="A709" s="467"/>
      <c r="B709" s="467"/>
      <c r="C709" s="467"/>
      <c r="D709" s="467"/>
      <c r="E709" s="467"/>
      <c r="F709" s="467"/>
      <c r="G709" s="467"/>
      <c r="H709" s="467"/>
      <c r="I709" s="467"/>
      <c r="J709" s="467"/>
      <c r="K709" s="467"/>
    </row>
    <row r="710" spans="1:11" ht="20.25">
      <c r="A710" s="467"/>
      <c r="B710" s="467"/>
      <c r="C710" s="467"/>
      <c r="D710" s="467"/>
      <c r="E710" s="467"/>
      <c r="F710" s="467"/>
      <c r="G710" s="467"/>
      <c r="H710" s="467"/>
      <c r="I710" s="467"/>
      <c r="J710" s="467"/>
      <c r="K710" s="467"/>
    </row>
    <row r="711" spans="1:11" ht="20.25">
      <c r="A711" s="467"/>
      <c r="B711" s="467"/>
      <c r="C711" s="467"/>
      <c r="D711" s="467"/>
      <c r="E711" s="467"/>
      <c r="F711" s="467"/>
      <c r="G711" s="467"/>
      <c r="H711" s="467"/>
      <c r="I711" s="467"/>
      <c r="J711" s="467"/>
      <c r="K711" s="467"/>
    </row>
    <row r="712" spans="1:11" ht="20.25">
      <c r="A712" s="467"/>
      <c r="B712" s="467"/>
      <c r="C712" s="467"/>
      <c r="D712" s="467"/>
      <c r="E712" s="467"/>
      <c r="F712" s="467"/>
      <c r="G712" s="467"/>
      <c r="H712" s="467"/>
      <c r="I712" s="467"/>
      <c r="J712" s="467"/>
      <c r="K712" s="467"/>
    </row>
    <row r="713" spans="1:11" ht="20.25">
      <c r="A713" s="467"/>
      <c r="B713" s="467"/>
      <c r="C713" s="467"/>
      <c r="D713" s="467"/>
      <c r="E713" s="467"/>
      <c r="F713" s="467"/>
      <c r="G713" s="467"/>
      <c r="H713" s="467"/>
      <c r="I713" s="467"/>
      <c r="J713" s="467"/>
      <c r="K713" s="467"/>
    </row>
    <row r="714" spans="1:11" ht="20.25">
      <c r="A714" s="467"/>
      <c r="B714" s="467"/>
      <c r="C714" s="467"/>
      <c r="D714" s="467"/>
      <c r="E714" s="467"/>
      <c r="F714" s="467"/>
      <c r="G714" s="467"/>
      <c r="H714" s="467"/>
      <c r="I714" s="467"/>
      <c r="J714" s="467"/>
      <c r="K714" s="467"/>
    </row>
    <row r="715" spans="1:11" ht="20.25">
      <c r="A715" s="467"/>
      <c r="B715" s="467"/>
      <c r="C715" s="467"/>
      <c r="D715" s="467"/>
      <c r="E715" s="467"/>
      <c r="F715" s="467"/>
      <c r="G715" s="467"/>
      <c r="H715" s="467"/>
      <c r="I715" s="467"/>
      <c r="J715" s="467"/>
      <c r="K715" s="467"/>
    </row>
    <row r="716" spans="1:11" ht="20.25">
      <c r="A716" s="467"/>
      <c r="B716" s="467"/>
      <c r="C716" s="467"/>
      <c r="D716" s="467"/>
      <c r="E716" s="467"/>
      <c r="F716" s="467"/>
      <c r="G716" s="467"/>
      <c r="H716" s="467"/>
      <c r="I716" s="467"/>
      <c r="J716" s="467"/>
      <c r="K716" s="467"/>
    </row>
    <row r="717" spans="1:11" ht="20.25">
      <c r="A717" s="467"/>
      <c r="B717" s="467"/>
      <c r="C717" s="467"/>
      <c r="D717" s="467"/>
      <c r="E717" s="467"/>
      <c r="F717" s="467"/>
      <c r="G717" s="467"/>
      <c r="H717" s="467"/>
      <c r="I717" s="467"/>
      <c r="J717" s="467"/>
      <c r="K717" s="467"/>
    </row>
    <row r="718" spans="1:11" ht="20.25">
      <c r="A718" s="467"/>
      <c r="B718" s="467"/>
      <c r="C718" s="467"/>
      <c r="D718" s="467"/>
      <c r="E718" s="467"/>
      <c r="F718" s="467"/>
      <c r="G718" s="467"/>
      <c r="H718" s="467"/>
      <c r="I718" s="467"/>
      <c r="J718" s="467"/>
      <c r="K718" s="467"/>
    </row>
    <row r="719" spans="1:11" ht="20.25">
      <c r="A719" s="467"/>
      <c r="B719" s="467"/>
      <c r="C719" s="467"/>
      <c r="D719" s="467"/>
      <c r="E719" s="467"/>
      <c r="F719" s="467"/>
      <c r="G719" s="467"/>
      <c r="H719" s="467"/>
      <c r="I719" s="467"/>
      <c r="J719" s="467"/>
      <c r="K719" s="467"/>
    </row>
    <row r="720" spans="1:11" ht="20.25">
      <c r="A720" s="467"/>
      <c r="B720" s="467"/>
      <c r="C720" s="467"/>
      <c r="D720" s="467"/>
      <c r="E720" s="467"/>
      <c r="F720" s="467"/>
      <c r="G720" s="467"/>
      <c r="H720" s="467"/>
      <c r="I720" s="467"/>
      <c r="J720" s="467"/>
      <c r="K720" s="467"/>
    </row>
    <row r="721" spans="1:11" ht="20.25">
      <c r="A721" s="467"/>
      <c r="B721" s="467"/>
      <c r="C721" s="467"/>
      <c r="D721" s="467"/>
      <c r="E721" s="467"/>
      <c r="F721" s="467"/>
      <c r="G721" s="467"/>
      <c r="H721" s="467"/>
      <c r="I721" s="467"/>
      <c r="J721" s="467"/>
      <c r="K721" s="467"/>
    </row>
    <row r="722" spans="1:11" ht="20.25">
      <c r="A722" s="467"/>
      <c r="B722" s="467"/>
      <c r="C722" s="467"/>
      <c r="D722" s="467"/>
      <c r="E722" s="467"/>
      <c r="F722" s="467"/>
      <c r="G722" s="467"/>
      <c r="H722" s="467"/>
      <c r="I722" s="467"/>
      <c r="J722" s="467"/>
      <c r="K722" s="467"/>
    </row>
    <row r="723" spans="1:11" ht="20.25">
      <c r="A723" s="467"/>
      <c r="B723" s="467"/>
      <c r="C723" s="467"/>
      <c r="D723" s="467"/>
      <c r="E723" s="467"/>
      <c r="F723" s="467"/>
      <c r="G723" s="467"/>
      <c r="H723" s="467"/>
      <c r="I723" s="467"/>
      <c r="J723" s="467"/>
      <c r="K723" s="467"/>
    </row>
    <row r="724" spans="1:11" ht="20.25">
      <c r="A724" s="467"/>
      <c r="B724" s="467"/>
      <c r="C724" s="467"/>
      <c r="D724" s="467"/>
      <c r="E724" s="467"/>
      <c r="F724" s="467"/>
      <c r="G724" s="467"/>
      <c r="H724" s="467"/>
      <c r="I724" s="467"/>
      <c r="J724" s="467"/>
      <c r="K724" s="467"/>
    </row>
    <row r="725" spans="1:11" ht="20.25">
      <c r="A725" s="467"/>
      <c r="B725" s="467"/>
      <c r="C725" s="467"/>
      <c r="D725" s="467"/>
      <c r="E725" s="467"/>
      <c r="F725" s="467"/>
      <c r="G725" s="467"/>
      <c r="H725" s="467"/>
      <c r="I725" s="467"/>
      <c r="J725" s="467"/>
      <c r="K725" s="467"/>
    </row>
    <row r="726" spans="1:11" ht="20.25">
      <c r="A726" s="467"/>
      <c r="B726" s="467"/>
      <c r="C726" s="467"/>
      <c r="D726" s="467"/>
      <c r="E726" s="467"/>
      <c r="F726" s="467"/>
      <c r="G726" s="467"/>
      <c r="H726" s="467"/>
      <c r="I726" s="467"/>
      <c r="J726" s="467"/>
      <c r="K726" s="467"/>
    </row>
    <row r="727" spans="1:11" ht="20.25">
      <c r="A727" s="467"/>
      <c r="B727" s="467"/>
      <c r="C727" s="467"/>
      <c r="D727" s="467"/>
      <c r="E727" s="467"/>
      <c r="F727" s="467"/>
      <c r="G727" s="467"/>
      <c r="H727" s="467"/>
      <c r="I727" s="467"/>
      <c r="J727" s="467"/>
      <c r="K727" s="467"/>
    </row>
    <row r="728" spans="1:11" ht="20.25">
      <c r="A728" s="467"/>
      <c r="B728" s="467"/>
      <c r="C728" s="467"/>
      <c r="D728" s="467"/>
      <c r="E728" s="467"/>
      <c r="F728" s="467"/>
      <c r="G728" s="467"/>
      <c r="H728" s="467"/>
      <c r="I728" s="467"/>
      <c r="J728" s="467"/>
      <c r="K728" s="467"/>
    </row>
    <row r="729" spans="1:11" ht="20.25">
      <c r="A729" s="467"/>
      <c r="B729" s="467"/>
      <c r="C729" s="467"/>
      <c r="D729" s="467"/>
      <c r="E729" s="467"/>
      <c r="F729" s="467"/>
      <c r="G729" s="467"/>
      <c r="H729" s="467"/>
      <c r="I729" s="467"/>
      <c r="J729" s="467"/>
      <c r="K729" s="467"/>
    </row>
    <row r="730" spans="1:11" ht="20.25">
      <c r="A730" s="467"/>
      <c r="B730" s="467"/>
      <c r="C730" s="467"/>
      <c r="D730" s="467"/>
      <c r="E730" s="467"/>
      <c r="F730" s="467"/>
      <c r="G730" s="467"/>
      <c r="H730" s="467"/>
      <c r="I730" s="467"/>
      <c r="J730" s="467"/>
      <c r="K730" s="467"/>
    </row>
    <row r="731" spans="1:11" ht="20.25">
      <c r="A731" s="467"/>
      <c r="B731" s="467"/>
      <c r="C731" s="467"/>
      <c r="D731" s="467"/>
      <c r="E731" s="467"/>
      <c r="F731" s="467"/>
      <c r="G731" s="467"/>
      <c r="H731" s="467"/>
      <c r="I731" s="467"/>
      <c r="J731" s="467"/>
      <c r="K731" s="467"/>
    </row>
    <row r="732" spans="1:11" ht="20.25">
      <c r="A732" s="467"/>
      <c r="B732" s="467"/>
      <c r="C732" s="467"/>
      <c r="D732" s="467"/>
      <c r="E732" s="467"/>
      <c r="F732" s="467"/>
      <c r="G732" s="467"/>
      <c r="H732" s="467"/>
      <c r="I732" s="467"/>
      <c r="J732" s="467"/>
      <c r="K732" s="467"/>
    </row>
    <row r="733" spans="1:11" ht="20.25">
      <c r="A733" s="467"/>
      <c r="B733" s="467"/>
      <c r="C733" s="467"/>
      <c r="D733" s="467"/>
      <c r="E733" s="467"/>
      <c r="F733" s="467"/>
      <c r="G733" s="467"/>
      <c r="H733" s="467"/>
      <c r="I733" s="467"/>
      <c r="J733" s="467"/>
      <c r="K733" s="467"/>
    </row>
    <row r="734" spans="1:11" ht="20.25">
      <c r="A734" s="467"/>
      <c r="B734" s="467"/>
      <c r="C734" s="467"/>
      <c r="D734" s="467"/>
      <c r="E734" s="467"/>
      <c r="F734" s="467"/>
      <c r="G734" s="467"/>
      <c r="H734" s="467"/>
      <c r="I734" s="467"/>
      <c r="J734" s="467"/>
      <c r="K734" s="467"/>
    </row>
    <row r="735" spans="1:11" ht="20.25">
      <c r="A735" s="467"/>
      <c r="B735" s="467"/>
      <c r="C735" s="467"/>
      <c r="D735" s="467"/>
      <c r="E735" s="467"/>
      <c r="F735" s="467"/>
      <c r="G735" s="467"/>
      <c r="H735" s="467"/>
      <c r="I735" s="467"/>
      <c r="J735" s="467"/>
      <c r="K735" s="467"/>
    </row>
    <row r="736" spans="1:11" ht="20.25">
      <c r="A736" s="467"/>
      <c r="B736" s="467"/>
      <c r="C736" s="467"/>
      <c r="D736" s="467"/>
      <c r="E736" s="467"/>
      <c r="F736" s="467"/>
      <c r="G736" s="467"/>
      <c r="H736" s="467"/>
      <c r="I736" s="467"/>
      <c r="J736" s="467"/>
      <c r="K736" s="467"/>
    </row>
    <row r="737" spans="1:11" ht="20.25">
      <c r="A737" s="467"/>
      <c r="B737" s="467"/>
      <c r="C737" s="467"/>
      <c r="D737" s="467"/>
      <c r="E737" s="467"/>
      <c r="F737" s="467"/>
      <c r="G737" s="467"/>
      <c r="H737" s="467"/>
      <c r="I737" s="467"/>
      <c r="J737" s="467"/>
      <c r="K737" s="467"/>
    </row>
    <row r="738" spans="1:11" ht="20.25">
      <c r="A738" s="467"/>
      <c r="B738" s="467"/>
      <c r="C738" s="467"/>
      <c r="D738" s="467"/>
      <c r="E738" s="467"/>
      <c r="F738" s="467"/>
      <c r="G738" s="467"/>
      <c r="H738" s="467"/>
      <c r="I738" s="467"/>
      <c r="J738" s="467"/>
      <c r="K738" s="467"/>
    </row>
    <row r="739" spans="1:11" ht="20.25">
      <c r="A739" s="467"/>
      <c r="B739" s="467"/>
      <c r="C739" s="467"/>
      <c r="D739" s="467"/>
      <c r="E739" s="467"/>
      <c r="F739" s="467"/>
      <c r="G739" s="467"/>
      <c r="H739" s="467"/>
      <c r="I739" s="467"/>
      <c r="J739" s="467"/>
      <c r="K739" s="467"/>
    </row>
    <row r="740" spans="1:11" ht="20.25">
      <c r="A740" s="467"/>
      <c r="B740" s="467"/>
      <c r="C740" s="467"/>
      <c r="D740" s="467"/>
      <c r="E740" s="467"/>
      <c r="F740" s="467"/>
      <c r="G740" s="467"/>
      <c r="H740" s="467"/>
      <c r="I740" s="467"/>
      <c r="J740" s="467"/>
      <c r="K740" s="467"/>
    </row>
    <row r="741" spans="1:11" ht="20.25">
      <c r="A741" s="467"/>
      <c r="B741" s="467"/>
      <c r="C741" s="467"/>
      <c r="D741" s="467"/>
      <c r="E741" s="467"/>
      <c r="F741" s="467"/>
      <c r="G741" s="467"/>
      <c r="H741" s="467"/>
      <c r="I741" s="467"/>
      <c r="J741" s="467"/>
      <c r="K741" s="467"/>
    </row>
    <row r="742" spans="1:11" ht="20.25">
      <c r="A742" s="467"/>
      <c r="B742" s="467"/>
      <c r="C742" s="467"/>
      <c r="D742" s="467"/>
      <c r="E742" s="467"/>
      <c r="F742" s="467"/>
      <c r="G742" s="467"/>
      <c r="H742" s="467"/>
      <c r="I742" s="467"/>
      <c r="J742" s="467"/>
      <c r="K742" s="467"/>
    </row>
    <row r="743" spans="1:11" ht="20.25">
      <c r="A743" s="467"/>
      <c r="B743" s="467"/>
      <c r="C743" s="467"/>
      <c r="D743" s="467"/>
      <c r="E743" s="467"/>
      <c r="F743" s="467"/>
      <c r="G743" s="467"/>
      <c r="H743" s="467"/>
      <c r="I743" s="467"/>
      <c r="J743" s="467"/>
      <c r="K743" s="467"/>
    </row>
    <row r="744" spans="1:11" ht="20.25">
      <c r="A744" s="467"/>
      <c r="B744" s="467"/>
      <c r="C744" s="467"/>
      <c r="D744" s="467"/>
      <c r="E744" s="467"/>
      <c r="F744" s="467"/>
      <c r="G744" s="467"/>
      <c r="H744" s="467"/>
      <c r="I744" s="467"/>
      <c r="J744" s="467"/>
      <c r="K744" s="467"/>
    </row>
    <row r="745" spans="1:11" ht="20.25">
      <c r="A745" s="467"/>
      <c r="B745" s="467"/>
      <c r="C745" s="467"/>
      <c r="D745" s="467"/>
      <c r="E745" s="467"/>
      <c r="F745" s="467"/>
      <c r="G745" s="467"/>
      <c r="H745" s="467"/>
      <c r="I745" s="467"/>
      <c r="J745" s="467"/>
      <c r="K745" s="467"/>
    </row>
    <row r="746" spans="1:11" ht="20.25">
      <c r="A746" s="467"/>
      <c r="B746" s="467"/>
      <c r="C746" s="467"/>
      <c r="D746" s="467"/>
      <c r="E746" s="467"/>
      <c r="F746" s="467"/>
      <c r="G746" s="467"/>
      <c r="H746" s="467"/>
      <c r="I746" s="467"/>
      <c r="J746" s="467"/>
      <c r="K746" s="467"/>
    </row>
    <row r="747" spans="1:11" ht="20.25">
      <c r="A747" s="467"/>
      <c r="B747" s="467"/>
      <c r="C747" s="467"/>
      <c r="D747" s="467"/>
      <c r="E747" s="467"/>
      <c r="F747" s="467"/>
      <c r="G747" s="467"/>
      <c r="H747" s="467"/>
      <c r="I747" s="467"/>
      <c r="J747" s="467"/>
      <c r="K747" s="467"/>
    </row>
    <row r="748" spans="1:11" ht="20.25">
      <c r="A748" s="467"/>
      <c r="B748" s="467"/>
      <c r="C748" s="467"/>
      <c r="D748" s="467"/>
      <c r="E748" s="467"/>
      <c r="F748" s="467"/>
      <c r="G748" s="467"/>
      <c r="H748" s="467"/>
      <c r="I748" s="467"/>
      <c r="J748" s="467"/>
      <c r="K748" s="467"/>
    </row>
    <row r="749" spans="1:11" ht="20.25">
      <c r="A749" s="467"/>
      <c r="B749" s="467"/>
      <c r="C749" s="467"/>
      <c r="D749" s="467"/>
      <c r="E749" s="467"/>
      <c r="F749" s="467"/>
      <c r="G749" s="467"/>
      <c r="H749" s="467"/>
      <c r="I749" s="467"/>
      <c r="J749" s="467"/>
      <c r="K749" s="467"/>
    </row>
    <row r="750" spans="1:11" ht="20.25">
      <c r="A750" s="467"/>
      <c r="B750" s="467"/>
      <c r="C750" s="467"/>
      <c r="D750" s="467"/>
      <c r="E750" s="467"/>
      <c r="F750" s="467"/>
      <c r="G750" s="467"/>
      <c r="H750" s="467"/>
      <c r="I750" s="467"/>
      <c r="J750" s="467"/>
      <c r="K750" s="467"/>
    </row>
    <row r="751" spans="1:11" ht="20.25">
      <c r="A751" s="467"/>
      <c r="B751" s="467"/>
      <c r="C751" s="467"/>
      <c r="D751" s="467"/>
      <c r="E751" s="467"/>
      <c r="F751" s="467"/>
      <c r="G751" s="467"/>
      <c r="H751" s="467"/>
      <c r="I751" s="467"/>
      <c r="J751" s="467"/>
      <c r="K751" s="467"/>
    </row>
    <row r="752" spans="1:11" ht="20.25">
      <c r="A752" s="467"/>
      <c r="B752" s="467"/>
      <c r="C752" s="467"/>
      <c r="D752" s="467"/>
      <c r="E752" s="467"/>
      <c r="F752" s="467"/>
      <c r="G752" s="467"/>
      <c r="H752" s="467"/>
      <c r="I752" s="467"/>
      <c r="J752" s="467"/>
      <c r="K752" s="467"/>
    </row>
    <row r="753" spans="1:11" ht="20.25">
      <c r="A753" s="467"/>
      <c r="B753" s="467"/>
      <c r="C753" s="467"/>
      <c r="D753" s="467"/>
      <c r="E753" s="467"/>
      <c r="F753" s="467"/>
      <c r="G753" s="467"/>
      <c r="H753" s="467"/>
      <c r="I753" s="467"/>
      <c r="J753" s="467"/>
      <c r="K753" s="467"/>
    </row>
    <row r="754" spans="1:11" ht="20.25">
      <c r="A754" s="467"/>
      <c r="B754" s="467"/>
      <c r="C754" s="467"/>
      <c r="D754" s="467"/>
      <c r="E754" s="467"/>
      <c r="F754" s="467"/>
      <c r="G754" s="467"/>
      <c r="H754" s="467"/>
      <c r="I754" s="467"/>
      <c r="J754" s="467"/>
      <c r="K754" s="467"/>
    </row>
  </sheetData>
  <mergeCells count="81">
    <mergeCell ref="F2:K2"/>
    <mergeCell ref="A3:K3"/>
    <mergeCell ref="A4:B4"/>
    <mergeCell ref="C4:E4"/>
    <mergeCell ref="F4:G4"/>
    <mergeCell ref="H4:I4"/>
    <mergeCell ref="H9:I9"/>
    <mergeCell ref="J9:K9"/>
    <mergeCell ref="A5:B5"/>
    <mergeCell ref="C5:E5"/>
    <mergeCell ref="F5:G5"/>
    <mergeCell ref="H5:I5"/>
    <mergeCell ref="A6:B6"/>
    <mergeCell ref="C6:E6"/>
    <mergeCell ref="F6:H6"/>
    <mergeCell ref="A7:K7"/>
    <mergeCell ref="B8:D8"/>
    <mergeCell ref="E8:G8"/>
    <mergeCell ref="H8:I8"/>
    <mergeCell ref="J8:K8"/>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B42:C42"/>
    <mergeCell ref="F42:G42"/>
    <mergeCell ref="H34:I34"/>
    <mergeCell ref="J34:K34"/>
    <mergeCell ref="H35:I35"/>
    <mergeCell ref="J35:K35"/>
    <mergeCell ref="H36:I36"/>
    <mergeCell ref="J36:K36"/>
    <mergeCell ref="H37:I37"/>
    <mergeCell ref="J37:K37"/>
    <mergeCell ref="A38:K38"/>
    <mergeCell ref="B39:I39"/>
    <mergeCell ref="A40:K40"/>
  </mergeCells>
  <phoneticPr fontId="76" type="noConversion"/>
  <dataValidations count="1">
    <dataValidation type="list" allowBlank="1" showInputMessage="1" showErrorMessage="1" sqref="F6:H6">
      <formula1>$R$3:$R$8</formula1>
    </dataValidation>
  </dataValidations>
  <printOptions horizontalCentered="1"/>
  <pageMargins left="0.57999999999999996" right="0.78740157480314965" top="0.43" bottom="0.59055118110236227" header="0.51181102362204722" footer="0.41"/>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dimension ref="A1:BX36"/>
  <sheetViews>
    <sheetView view="pageBreakPreview" zoomScale="85" zoomScaleSheetLayoutView="85" workbookViewId="0">
      <selection activeCell="F18" sqref="F18:H18"/>
    </sheetView>
  </sheetViews>
  <sheetFormatPr defaultRowHeight="14.25"/>
  <cols>
    <col min="1" max="3" width="4.625" style="296" customWidth="1"/>
    <col min="4" max="4" width="6" style="296" customWidth="1"/>
    <col min="5" max="5" width="7.625" style="296" customWidth="1"/>
    <col min="6" max="6" width="9.375" style="296" customWidth="1"/>
    <col min="7" max="7" width="7.25" style="403" customWidth="1"/>
    <col min="8" max="8" width="7.5" style="296" customWidth="1"/>
    <col min="9" max="9" width="4.75" style="296" customWidth="1"/>
    <col min="10" max="10" width="5.625" style="296" customWidth="1"/>
    <col min="11" max="11" width="4.75" style="296" customWidth="1"/>
    <col min="12" max="12" width="13.125" style="296" customWidth="1"/>
    <col min="13" max="13" width="6.125" style="296" customWidth="1"/>
    <col min="14" max="14" width="4.25" style="296" customWidth="1"/>
    <col min="15" max="15" width="6.125" style="296" customWidth="1"/>
    <col min="16" max="16" width="7.875" style="403" customWidth="1"/>
    <col min="17" max="17" width="6.5" style="296" customWidth="1"/>
    <col min="18" max="18" width="4.75" style="296" customWidth="1"/>
    <col min="19" max="19" width="14.5" style="296" customWidth="1"/>
    <col min="20" max="20" width="10.375" style="296" customWidth="1"/>
    <col min="21" max="21" width="5.25" style="473" customWidth="1"/>
    <col min="22" max="22" width="4.875" style="473" customWidth="1"/>
    <col min="23" max="23" width="22" style="473" customWidth="1"/>
    <col min="24" max="24" width="9.5" style="296" bestFit="1" customWidth="1"/>
    <col min="25" max="25" width="10.125" style="296" customWidth="1"/>
    <col min="26" max="26" width="10" style="296" customWidth="1"/>
    <col min="27" max="27" width="8.375" style="296" customWidth="1"/>
    <col min="28" max="28" width="21.25" style="474" customWidth="1"/>
    <col min="29" max="29" width="15.5" style="474" customWidth="1"/>
    <col min="30" max="30" width="20.25" style="474" bestFit="1" customWidth="1"/>
    <col min="31" max="31" width="16.625" style="474" customWidth="1"/>
    <col min="32" max="33" width="11.375" style="474" customWidth="1"/>
    <col min="34" max="34" width="13.375" style="474" customWidth="1"/>
    <col min="35" max="35" width="11.375" style="473" customWidth="1"/>
    <col min="36" max="39" width="6.125" style="474" customWidth="1"/>
    <col min="40" max="42" width="6.125" style="296" customWidth="1"/>
    <col min="43" max="45" width="13.375" style="296" customWidth="1"/>
    <col min="46" max="51" width="6.125" style="296" customWidth="1"/>
    <col min="52" max="54" width="13.625" style="296" customWidth="1"/>
    <col min="55" max="60" width="6.125" style="296" customWidth="1"/>
    <col min="61" max="61" width="15.375" style="296" customWidth="1"/>
    <col min="62" max="64" width="6.125" style="296" customWidth="1"/>
    <col min="65" max="67" width="11" style="296" customWidth="1"/>
    <col min="68" max="74" width="6.125" style="296" customWidth="1"/>
    <col min="75" max="16384" width="9" style="296"/>
  </cols>
  <sheetData>
    <row r="1" spans="1:76" ht="22.5">
      <c r="A1" s="1035" t="s">
        <v>756</v>
      </c>
      <c r="B1" s="1035"/>
      <c r="C1" s="1035"/>
      <c r="D1" s="1035"/>
      <c r="E1" s="1035"/>
      <c r="F1" s="1035"/>
      <c r="G1" s="1035"/>
      <c r="H1" s="1035"/>
      <c r="I1" s="1035"/>
      <c r="J1" s="1035"/>
      <c r="K1" s="1035"/>
      <c r="L1" s="1035"/>
      <c r="M1" s="1035"/>
      <c r="N1" s="1035"/>
      <c r="O1" s="1035"/>
      <c r="P1" s="1035"/>
      <c r="Q1" s="1035"/>
      <c r="R1" s="470"/>
      <c r="S1" s="471" t="s">
        <v>1035</v>
      </c>
      <c r="T1" s="472" t="s">
        <v>1036</v>
      </c>
    </row>
    <row r="2" spans="1:76" ht="20.100000000000001" customHeight="1" thickBot="1">
      <c r="A2" s="1392" t="s">
        <v>17</v>
      </c>
      <c r="B2" s="1033"/>
      <c r="C2" s="1033"/>
      <c r="D2" s="1033" t="e">
        <f>'作(5)'!C5</f>
        <v>#REF!</v>
      </c>
      <c r="E2" s="1033"/>
      <c r="F2" s="1033"/>
      <c r="G2" s="1033"/>
      <c r="H2" s="1033"/>
      <c r="I2" s="1033"/>
      <c r="J2" s="1033"/>
      <c r="K2" s="1033"/>
      <c r="L2" s="1033"/>
      <c r="M2" s="1033"/>
      <c r="N2" s="1393" t="s">
        <v>455</v>
      </c>
      <c r="O2" s="1393"/>
      <c r="P2" s="1394" t="e">
        <f>实木!B5</f>
        <v>#REF!</v>
      </c>
      <c r="Q2" s="1394"/>
      <c r="T2" s="472" t="s">
        <v>1037</v>
      </c>
      <c r="AA2" s="475"/>
      <c r="AB2" s="476"/>
      <c r="AC2" s="476"/>
      <c r="AD2" s="476"/>
      <c r="AE2" s="476"/>
      <c r="AF2" s="476"/>
      <c r="AG2" s="476"/>
      <c r="AH2" s="476"/>
      <c r="AI2" s="476"/>
      <c r="AJ2" s="476"/>
      <c r="AK2" s="476"/>
      <c r="AL2" s="476"/>
      <c r="AM2" s="476"/>
      <c r="AN2" s="476"/>
      <c r="AO2" s="476"/>
      <c r="AP2" s="476"/>
      <c r="AQ2" s="475"/>
      <c r="AR2" s="475"/>
      <c r="AS2" s="475"/>
      <c r="AT2" s="475"/>
      <c r="AU2" s="475"/>
      <c r="AV2" s="475"/>
      <c r="AW2" s="475"/>
      <c r="AX2" s="475"/>
      <c r="AY2" s="475"/>
      <c r="AZ2" s="477" t="s">
        <v>1038</v>
      </c>
      <c r="BA2" s="477"/>
      <c r="BB2" s="477"/>
      <c r="BC2" s="477"/>
      <c r="BD2" s="477"/>
      <c r="BE2" s="477"/>
      <c r="BF2" s="477"/>
      <c r="BG2" s="477"/>
      <c r="BH2" s="477"/>
      <c r="BI2" s="477"/>
      <c r="BJ2" s="477"/>
      <c r="BK2" s="477"/>
      <c r="BL2" s="477"/>
      <c r="BM2" s="477" t="s">
        <v>1039</v>
      </c>
      <c r="BN2" s="477"/>
      <c r="BO2" s="477"/>
      <c r="BP2" s="477"/>
      <c r="BQ2" s="477"/>
      <c r="BR2" s="477"/>
      <c r="BS2" s="477"/>
      <c r="BT2" s="477"/>
      <c r="BU2" s="477"/>
      <c r="BV2" s="477"/>
    </row>
    <row r="3" spans="1:76" ht="20.100000000000001" customHeight="1">
      <c r="A3" s="1041" t="s">
        <v>10</v>
      </c>
      <c r="B3" s="1042"/>
      <c r="C3" s="1042"/>
      <c r="D3" s="1042" t="e">
        <f>'作(5)'!C4</f>
        <v>#REF!</v>
      </c>
      <c r="E3" s="1042"/>
      <c r="F3" s="1042"/>
      <c r="G3" s="1042"/>
      <c r="H3" s="1042"/>
      <c r="I3" s="1042"/>
      <c r="J3" s="1042" t="s">
        <v>18</v>
      </c>
      <c r="K3" s="1042"/>
      <c r="L3" s="1395">
        <f>'作(5)'!H5</f>
        <v>0</v>
      </c>
      <c r="M3" s="1395"/>
      <c r="N3" s="1042" t="s">
        <v>12</v>
      </c>
      <c r="O3" s="1042"/>
      <c r="P3" s="1397" t="s">
        <v>1040</v>
      </c>
      <c r="Q3" s="1036"/>
      <c r="T3" s="478" t="s">
        <v>1041</v>
      </c>
      <c r="AA3" s="479"/>
      <c r="AB3" s="480"/>
      <c r="AC3" s="480"/>
      <c r="AD3" s="480" t="s">
        <v>1042</v>
      </c>
      <c r="AE3" s="480" t="s">
        <v>1043</v>
      </c>
      <c r="AF3" s="481" t="s">
        <v>1044</v>
      </c>
      <c r="AG3" s="481"/>
      <c r="AH3" s="481"/>
      <c r="AI3" s="481"/>
      <c r="AJ3" s="481"/>
      <c r="AK3" s="481"/>
      <c r="AL3" s="481"/>
      <c r="AM3" s="481"/>
      <c r="AN3" s="481" t="s">
        <v>1045</v>
      </c>
      <c r="AO3" s="481" t="s">
        <v>1046</v>
      </c>
      <c r="AP3" s="481"/>
      <c r="AQ3" s="482" t="s">
        <v>1047</v>
      </c>
      <c r="AR3" s="482"/>
      <c r="AS3" s="482"/>
      <c r="AT3" s="482"/>
      <c r="AU3" s="482"/>
      <c r="AV3" s="482"/>
      <c r="AW3" s="483" t="s">
        <v>1045</v>
      </c>
      <c r="AX3" s="483" t="s">
        <v>1046</v>
      </c>
      <c r="AY3" s="482"/>
      <c r="AZ3" s="484" t="s">
        <v>1048</v>
      </c>
      <c r="BA3" s="484"/>
      <c r="BB3" s="484"/>
      <c r="BC3" s="484"/>
      <c r="BD3" s="484"/>
      <c r="BE3" s="484"/>
      <c r="BF3" s="484" t="s">
        <v>1045</v>
      </c>
      <c r="BG3" s="484"/>
      <c r="BH3" s="484"/>
      <c r="BI3" s="485" t="s">
        <v>1049</v>
      </c>
      <c r="BJ3" s="485" t="s">
        <v>1045</v>
      </c>
      <c r="BK3" s="485" t="s">
        <v>1046</v>
      </c>
      <c r="BL3" s="485"/>
      <c r="BM3" s="486" t="s">
        <v>1050</v>
      </c>
      <c r="BN3" s="486"/>
      <c r="BO3" s="486"/>
      <c r="BP3" s="486"/>
      <c r="BQ3" s="486"/>
      <c r="BR3" s="486"/>
      <c r="BS3" s="486"/>
      <c r="BT3" s="486"/>
      <c r="BU3" s="486"/>
      <c r="BV3" s="475" t="s">
        <v>1051</v>
      </c>
    </row>
    <row r="4" spans="1:76" ht="20.100000000000001" customHeight="1" thickBot="1">
      <c r="A4" s="1399" t="s">
        <v>1052</v>
      </c>
      <c r="B4" s="1396"/>
      <c r="C4" s="1396"/>
      <c r="D4" s="1396">
        <f>'作(5)'!H4</f>
        <v>0</v>
      </c>
      <c r="E4" s="1396"/>
      <c r="F4" s="1396"/>
      <c r="G4" s="1396"/>
      <c r="H4" s="1396"/>
      <c r="I4" s="1396"/>
      <c r="J4" s="1396" t="s">
        <v>11</v>
      </c>
      <c r="K4" s="1396"/>
      <c r="L4" s="1400" t="e">
        <f>'作(5)'!K5</f>
        <v>#REF!</v>
      </c>
      <c r="M4" s="1400"/>
      <c r="N4" s="1396"/>
      <c r="O4" s="1396"/>
      <c r="P4" s="1396"/>
      <c r="Q4" s="1398"/>
      <c r="R4" s="487"/>
      <c r="S4" s="488"/>
      <c r="T4" s="488"/>
      <c r="U4" s="297" t="s">
        <v>995</v>
      </c>
      <c r="AA4" s="489" t="s">
        <v>1053</v>
      </c>
      <c r="AB4" s="489" t="s">
        <v>995</v>
      </c>
      <c r="AC4" s="489" t="s">
        <v>1054</v>
      </c>
      <c r="AD4" s="489" t="s">
        <v>1055</v>
      </c>
      <c r="AE4" s="489" t="s">
        <v>1056</v>
      </c>
      <c r="AF4" s="490" t="s">
        <v>1057</v>
      </c>
      <c r="AG4" s="491" t="s">
        <v>1058</v>
      </c>
      <c r="AH4" s="491" t="s">
        <v>1059</v>
      </c>
      <c r="AI4" s="491" t="s">
        <v>1060</v>
      </c>
      <c r="AJ4" s="481">
        <v>1</v>
      </c>
      <c r="AK4" s="481">
        <v>0.5</v>
      </c>
      <c r="AL4" s="481">
        <v>2</v>
      </c>
      <c r="AM4" s="481">
        <v>0.15</v>
      </c>
      <c r="AN4" s="481">
        <v>50</v>
      </c>
      <c r="AO4" s="481">
        <v>1</v>
      </c>
      <c r="AP4" s="481">
        <f>AN4*AO4</f>
        <v>50</v>
      </c>
      <c r="AQ4" s="482" t="s">
        <v>1061</v>
      </c>
      <c r="AR4" s="482" t="s">
        <v>1058</v>
      </c>
      <c r="AS4" s="482" t="s">
        <v>1059</v>
      </c>
      <c r="AT4" s="482">
        <v>1</v>
      </c>
      <c r="AU4" s="482">
        <v>0.5</v>
      </c>
      <c r="AV4" s="482">
        <v>1.2</v>
      </c>
      <c r="AW4" s="482">
        <v>290</v>
      </c>
      <c r="AX4" s="482">
        <v>1</v>
      </c>
      <c r="AY4" s="482">
        <f t="shared" ref="AY4:AY9" si="0">AW4*AX4</f>
        <v>290</v>
      </c>
      <c r="AZ4" s="484" t="s">
        <v>1062</v>
      </c>
      <c r="BA4" s="484" t="s">
        <v>1063</v>
      </c>
      <c r="BB4" s="484" t="s">
        <v>1064</v>
      </c>
      <c r="BC4" s="484">
        <v>1</v>
      </c>
      <c r="BD4" s="484">
        <v>0.5</v>
      </c>
      <c r="BE4" s="484">
        <v>0.5</v>
      </c>
      <c r="BF4" s="484">
        <v>285</v>
      </c>
      <c r="BG4" s="484">
        <v>3</v>
      </c>
      <c r="BH4" s="484">
        <f t="shared" ref="BH4:BH9" si="1">BF4*BG4</f>
        <v>855</v>
      </c>
      <c r="BI4" s="485" t="s">
        <v>1065</v>
      </c>
      <c r="BJ4" s="485">
        <v>35</v>
      </c>
      <c r="BK4" s="485">
        <v>2</v>
      </c>
      <c r="BL4" s="485">
        <f>BJ4*BK4</f>
        <v>70</v>
      </c>
      <c r="BM4" s="486"/>
      <c r="BN4" s="486"/>
      <c r="BO4" s="486"/>
      <c r="BP4" s="486"/>
      <c r="BQ4" s="486"/>
      <c r="BR4" s="486"/>
      <c r="BS4" s="486" t="s">
        <v>1045</v>
      </c>
      <c r="BT4" s="486"/>
      <c r="BU4" s="486"/>
      <c r="BV4" s="477">
        <v>17</v>
      </c>
      <c r="BW4" s="296">
        <v>1</v>
      </c>
      <c r="BX4" s="296">
        <f>BV4*BW4</f>
        <v>17</v>
      </c>
    </row>
    <row r="5" spans="1:76" ht="20.100000000000001" customHeight="1">
      <c r="A5" s="492" t="s">
        <v>24</v>
      </c>
      <c r="B5" s="493" t="s">
        <v>1</v>
      </c>
      <c r="C5" s="1042" t="s">
        <v>20</v>
      </c>
      <c r="D5" s="1042"/>
      <c r="E5" s="1042" t="s">
        <v>25</v>
      </c>
      <c r="F5" s="1042"/>
      <c r="G5" s="494" t="s">
        <v>6</v>
      </c>
      <c r="H5" s="493" t="s">
        <v>3</v>
      </c>
      <c r="I5" s="492" t="s">
        <v>24</v>
      </c>
      <c r="J5" s="493" t="s">
        <v>1</v>
      </c>
      <c r="K5" s="1042" t="s">
        <v>20</v>
      </c>
      <c r="L5" s="1042"/>
      <c r="M5" s="1042" t="s">
        <v>719</v>
      </c>
      <c r="N5" s="1042"/>
      <c r="O5" s="1042"/>
      <c r="P5" s="495" t="s">
        <v>6</v>
      </c>
      <c r="Q5" s="496" t="s">
        <v>3</v>
      </c>
      <c r="R5" s="487"/>
      <c r="S5" s="488"/>
      <c r="T5" s="488"/>
      <c r="U5" s="297" t="s">
        <v>1001</v>
      </c>
      <c r="AA5" s="489" t="s">
        <v>1066</v>
      </c>
      <c r="AB5" s="489" t="s">
        <v>997</v>
      </c>
      <c r="AC5" s="489" t="s">
        <v>1067</v>
      </c>
      <c r="AD5" s="489" t="s">
        <v>1068</v>
      </c>
      <c r="AE5" s="489" t="s">
        <v>1069</v>
      </c>
      <c r="AF5" s="490" t="s">
        <v>1057</v>
      </c>
      <c r="AG5" s="491" t="s">
        <v>1058</v>
      </c>
      <c r="AH5" s="491" t="s">
        <v>1059</v>
      </c>
      <c r="AI5" s="491" t="s">
        <v>1070</v>
      </c>
      <c r="AJ5" s="481">
        <v>1</v>
      </c>
      <c r="AK5" s="481">
        <v>0.5</v>
      </c>
      <c r="AL5" s="481">
        <v>2</v>
      </c>
      <c r="AM5" s="481">
        <v>0.15</v>
      </c>
      <c r="AN5" s="481">
        <v>280</v>
      </c>
      <c r="AO5" s="481">
        <v>1</v>
      </c>
      <c r="AP5" s="481">
        <f t="shared" ref="AP5:AP9" si="2">AN5*AO5</f>
        <v>280</v>
      </c>
      <c r="AQ5" s="482" t="s">
        <v>1071</v>
      </c>
      <c r="AR5" s="482" t="s">
        <v>1072</v>
      </c>
      <c r="AS5" s="482" t="s">
        <v>1059</v>
      </c>
      <c r="AT5" s="482">
        <v>1</v>
      </c>
      <c r="AU5" s="482">
        <v>0.5</v>
      </c>
      <c r="AV5" s="482">
        <v>0.7</v>
      </c>
      <c r="AW5" s="482">
        <v>315</v>
      </c>
      <c r="AX5" s="482">
        <v>1</v>
      </c>
      <c r="AY5" s="482">
        <f t="shared" si="0"/>
        <v>315</v>
      </c>
      <c r="AZ5" s="484" t="s">
        <v>1062</v>
      </c>
      <c r="BA5" s="484" t="s">
        <v>1063</v>
      </c>
      <c r="BB5" s="484" t="s">
        <v>1064</v>
      </c>
      <c r="BC5" s="484">
        <v>1</v>
      </c>
      <c r="BD5" s="484">
        <v>0.5</v>
      </c>
      <c r="BE5" s="484">
        <v>0.5</v>
      </c>
      <c r="BF5" s="484">
        <v>285</v>
      </c>
      <c r="BG5" s="484">
        <v>3</v>
      </c>
      <c r="BH5" s="484">
        <f t="shared" si="1"/>
        <v>855</v>
      </c>
      <c r="BI5" s="485" t="s">
        <v>1065</v>
      </c>
      <c r="BJ5" s="485">
        <v>35</v>
      </c>
      <c r="BK5" s="485">
        <v>4</v>
      </c>
      <c r="BL5" s="485">
        <f t="shared" ref="BL5:BL9" si="3">BJ5*BK5</f>
        <v>140</v>
      </c>
      <c r="BM5" s="486" t="s">
        <v>1062</v>
      </c>
      <c r="BN5" s="486" t="s">
        <v>1063</v>
      </c>
      <c r="BO5" s="486" t="s">
        <v>1064</v>
      </c>
      <c r="BP5" s="486">
        <v>1</v>
      </c>
      <c r="BQ5" s="486">
        <v>0.5</v>
      </c>
      <c r="BR5" s="486">
        <v>0.5</v>
      </c>
      <c r="BS5" s="486">
        <v>323</v>
      </c>
      <c r="BT5" s="486">
        <v>1</v>
      </c>
      <c r="BU5" s="486">
        <f>BS5*BT5</f>
        <v>323</v>
      </c>
      <c r="BV5" s="477"/>
    </row>
    <row r="6" spans="1:76" ht="20.100000000000001" customHeight="1">
      <c r="A6" s="1390" t="s">
        <v>1073</v>
      </c>
      <c r="B6" s="497">
        <v>1</v>
      </c>
      <c r="C6" s="1360" t="s">
        <v>1074</v>
      </c>
      <c r="D6" s="1360"/>
      <c r="E6" s="1360" t="str">
        <f>'作(5)'!J8</f>
        <v>18厚EO级素刨花板</v>
      </c>
      <c r="F6" s="1360"/>
      <c r="G6" s="498">
        <f>'作(5)'!N38</f>
        <v>0</v>
      </c>
      <c r="H6" s="497" t="s">
        <v>26</v>
      </c>
      <c r="I6" s="1390" t="s">
        <v>57</v>
      </c>
      <c r="J6" s="497">
        <v>1</v>
      </c>
      <c r="K6" s="1360" t="str">
        <f>VLOOKUP('作(5)'!F6,AB:AE,4,0)</f>
        <v>红樱桃木皮封边</v>
      </c>
      <c r="L6" s="1360"/>
      <c r="M6" s="499">
        <v>1</v>
      </c>
      <c r="N6" s="500" t="s">
        <v>1075</v>
      </c>
      <c r="O6" s="501">
        <v>24</v>
      </c>
      <c r="P6" s="502">
        <f>'作(5)'!L38</f>
        <v>0</v>
      </c>
      <c r="Q6" s="503" t="s">
        <v>22</v>
      </c>
      <c r="U6" s="297" t="s">
        <v>1010</v>
      </c>
      <c r="AA6" s="489" t="s">
        <v>1066</v>
      </c>
      <c r="AB6" s="489" t="s">
        <v>1001</v>
      </c>
      <c r="AC6" s="489" t="s">
        <v>1076</v>
      </c>
      <c r="AD6" s="489" t="s">
        <v>1077</v>
      </c>
      <c r="AE6" s="489" t="s">
        <v>1078</v>
      </c>
      <c r="AF6" s="490" t="s">
        <v>1057</v>
      </c>
      <c r="AG6" s="491" t="s">
        <v>1058</v>
      </c>
      <c r="AH6" s="491" t="s">
        <v>1059</v>
      </c>
      <c r="AI6" s="491" t="s">
        <v>1079</v>
      </c>
      <c r="AJ6" s="481">
        <v>1</v>
      </c>
      <c r="AK6" s="481">
        <v>0.5</v>
      </c>
      <c r="AL6" s="481">
        <v>2</v>
      </c>
      <c r="AM6" s="481">
        <v>0.15</v>
      </c>
      <c r="AN6" s="481">
        <v>50</v>
      </c>
      <c r="AO6" s="481">
        <v>1</v>
      </c>
      <c r="AP6" s="481">
        <f t="shared" si="2"/>
        <v>50</v>
      </c>
      <c r="AQ6" s="482" t="s">
        <v>1071</v>
      </c>
      <c r="AR6" s="482" t="s">
        <v>1072</v>
      </c>
      <c r="AS6" s="482" t="s">
        <v>1059</v>
      </c>
      <c r="AT6" s="482">
        <v>1</v>
      </c>
      <c r="AU6" s="482">
        <v>0.5</v>
      </c>
      <c r="AV6" s="482">
        <v>0.7</v>
      </c>
      <c r="AW6" s="482">
        <v>290</v>
      </c>
      <c r="AX6" s="482">
        <v>1</v>
      </c>
      <c r="AY6" s="482">
        <f t="shared" si="0"/>
        <v>290</v>
      </c>
      <c r="AZ6" s="484" t="s">
        <v>1062</v>
      </c>
      <c r="BA6" s="484" t="s">
        <v>1063</v>
      </c>
      <c r="BB6" s="484" t="s">
        <v>1064</v>
      </c>
      <c r="BC6" s="484">
        <v>1</v>
      </c>
      <c r="BD6" s="484">
        <v>0.5</v>
      </c>
      <c r="BE6" s="484">
        <v>0.5</v>
      </c>
      <c r="BF6" s="484">
        <v>285</v>
      </c>
      <c r="BG6" s="484">
        <v>3</v>
      </c>
      <c r="BH6" s="484">
        <f t="shared" si="1"/>
        <v>855</v>
      </c>
      <c r="BI6" s="485" t="s">
        <v>1065</v>
      </c>
      <c r="BJ6" s="485">
        <v>35</v>
      </c>
      <c r="BK6" s="485">
        <v>4</v>
      </c>
      <c r="BL6" s="485">
        <f t="shared" si="3"/>
        <v>140</v>
      </c>
      <c r="BM6" s="486"/>
      <c r="BN6" s="486"/>
      <c r="BO6" s="486"/>
      <c r="BP6" s="486"/>
      <c r="BQ6" s="486"/>
      <c r="BR6" s="486"/>
      <c r="BS6" s="486"/>
      <c r="BT6" s="486"/>
      <c r="BU6" s="486"/>
      <c r="BV6" s="477">
        <v>17</v>
      </c>
      <c r="BW6" s="296">
        <v>1</v>
      </c>
      <c r="BX6" s="296">
        <f>BV6*BW6</f>
        <v>17</v>
      </c>
    </row>
    <row r="7" spans="1:76" ht="20.100000000000001" customHeight="1">
      <c r="A7" s="1390"/>
      <c r="B7" s="497">
        <v>2</v>
      </c>
      <c r="C7" s="1360"/>
      <c r="D7" s="1360"/>
      <c r="E7" s="1360"/>
      <c r="F7" s="1360"/>
      <c r="G7" s="498"/>
      <c r="H7" s="497"/>
      <c r="I7" s="1390"/>
      <c r="J7" s="497">
        <v>2</v>
      </c>
      <c r="K7" s="1360" t="str">
        <f>+K6</f>
        <v>红樱桃木皮封边</v>
      </c>
      <c r="L7" s="1360"/>
      <c r="M7" s="499">
        <v>1</v>
      </c>
      <c r="N7" s="500" t="s">
        <v>1075</v>
      </c>
      <c r="O7" s="501">
        <v>56</v>
      </c>
      <c r="P7" s="502"/>
      <c r="Q7" s="503" t="s">
        <v>22</v>
      </c>
      <c r="AA7" s="489" t="s">
        <v>1066</v>
      </c>
      <c r="AB7" s="489" t="s">
        <v>1008</v>
      </c>
      <c r="AC7" s="489" t="s">
        <v>1080</v>
      </c>
      <c r="AD7" s="489" t="s">
        <v>1077</v>
      </c>
      <c r="AE7" s="489" t="s">
        <v>1081</v>
      </c>
      <c r="AF7" s="490" t="s">
        <v>1057</v>
      </c>
      <c r="AG7" s="491" t="s">
        <v>1058</v>
      </c>
      <c r="AH7" s="491" t="s">
        <v>1059</v>
      </c>
      <c r="AI7" s="491" t="s">
        <v>1079</v>
      </c>
      <c r="AJ7" s="481">
        <v>1</v>
      </c>
      <c r="AK7" s="481">
        <v>0.5</v>
      </c>
      <c r="AL7" s="481">
        <v>2</v>
      </c>
      <c r="AM7" s="481">
        <v>0.15</v>
      </c>
      <c r="AN7" s="481">
        <v>200</v>
      </c>
      <c r="AO7" s="481">
        <v>1</v>
      </c>
      <c r="AP7" s="481">
        <f t="shared" si="2"/>
        <v>200</v>
      </c>
      <c r="AQ7" s="482" t="s">
        <v>1071</v>
      </c>
      <c r="AR7" s="482" t="s">
        <v>1072</v>
      </c>
      <c r="AS7" s="482" t="s">
        <v>1059</v>
      </c>
      <c r="AT7" s="482">
        <v>1</v>
      </c>
      <c r="AU7" s="482">
        <v>0.5</v>
      </c>
      <c r="AV7" s="482">
        <v>0.7</v>
      </c>
      <c r="AW7" s="482">
        <v>315</v>
      </c>
      <c r="AX7" s="482">
        <v>1</v>
      </c>
      <c r="AY7" s="482">
        <f t="shared" si="0"/>
        <v>315</v>
      </c>
      <c r="AZ7" s="484" t="s">
        <v>1062</v>
      </c>
      <c r="BA7" s="484" t="s">
        <v>1063</v>
      </c>
      <c r="BB7" s="484" t="s">
        <v>1064</v>
      </c>
      <c r="BC7" s="484">
        <v>1</v>
      </c>
      <c r="BD7" s="484">
        <v>0.5</v>
      </c>
      <c r="BE7" s="484">
        <v>0.5</v>
      </c>
      <c r="BF7" s="484">
        <v>285</v>
      </c>
      <c r="BG7" s="484">
        <v>3</v>
      </c>
      <c r="BH7" s="484">
        <f t="shared" si="1"/>
        <v>855</v>
      </c>
      <c r="BI7" s="485" t="s">
        <v>1065</v>
      </c>
      <c r="BJ7" s="485">
        <v>35</v>
      </c>
      <c r="BK7" s="485">
        <v>4</v>
      </c>
      <c r="BL7" s="485">
        <f t="shared" si="3"/>
        <v>140</v>
      </c>
      <c r="BM7" s="486" t="s">
        <v>1062</v>
      </c>
      <c r="BN7" s="486" t="s">
        <v>1063</v>
      </c>
      <c r="BO7" s="486" t="s">
        <v>1064</v>
      </c>
      <c r="BP7" s="486">
        <v>1</v>
      </c>
      <c r="BQ7" s="486">
        <v>0.5</v>
      </c>
      <c r="BR7" s="486">
        <v>0.5</v>
      </c>
      <c r="BS7" s="486">
        <v>323</v>
      </c>
      <c r="BT7" s="486">
        <v>1</v>
      </c>
      <c r="BU7" s="486">
        <f>BS7*BT7</f>
        <v>323</v>
      </c>
      <c r="BV7" s="477"/>
    </row>
    <row r="8" spans="1:76" ht="20.100000000000001" customHeight="1">
      <c r="A8" s="1347" t="s">
        <v>1042</v>
      </c>
      <c r="B8" s="497">
        <v>1</v>
      </c>
      <c r="C8" s="1360" t="str">
        <f>VLOOKUP('作(5)'!F6,AB:AC,2,0)</f>
        <v>樱桃山纹木皮</v>
      </c>
      <c r="D8" s="1360"/>
      <c r="E8" s="1360" t="str">
        <f>VLOOKUP('作(5)'!F6,AB:AD,3,0)</f>
        <v>樱桃山纹木皮0.5mm</v>
      </c>
      <c r="F8" s="1360"/>
      <c r="G8" s="498">
        <f>'作(5)'!P38</f>
        <v>0</v>
      </c>
      <c r="H8" s="497" t="s">
        <v>1082</v>
      </c>
      <c r="I8" s="1390"/>
      <c r="J8" s="497">
        <v>3</v>
      </c>
      <c r="K8" s="1360"/>
      <c r="L8" s="1360"/>
      <c r="M8" s="1360" t="s">
        <v>1083</v>
      </c>
      <c r="N8" s="1360"/>
      <c r="O8" s="1360"/>
      <c r="P8" s="504">
        <f>(0.024*P6*2)/0.6+(0.056*P7*2)/0.6</f>
        <v>0</v>
      </c>
      <c r="Q8" s="503" t="s">
        <v>1082</v>
      </c>
      <c r="AA8" s="489" t="s">
        <v>1053</v>
      </c>
      <c r="AB8" s="489" t="s">
        <v>1010</v>
      </c>
      <c r="AC8" s="489" t="s">
        <v>1084</v>
      </c>
      <c r="AD8" s="489" t="s">
        <v>1085</v>
      </c>
      <c r="AE8" s="489" t="s">
        <v>1086</v>
      </c>
      <c r="AF8" s="490" t="s">
        <v>1057</v>
      </c>
      <c r="AG8" s="491" t="s">
        <v>1058</v>
      </c>
      <c r="AH8" s="491" t="s">
        <v>1059</v>
      </c>
      <c r="AI8" s="491" t="s">
        <v>1087</v>
      </c>
      <c r="AJ8" s="481">
        <v>1</v>
      </c>
      <c r="AK8" s="481">
        <v>0.5</v>
      </c>
      <c r="AL8" s="481">
        <v>2</v>
      </c>
      <c r="AM8" s="481">
        <v>0.15</v>
      </c>
      <c r="AN8" s="481">
        <v>280</v>
      </c>
      <c r="AO8" s="481">
        <v>1</v>
      </c>
      <c r="AP8" s="481">
        <f t="shared" si="2"/>
        <v>280</v>
      </c>
      <c r="AQ8" s="482" t="s">
        <v>1061</v>
      </c>
      <c r="AR8" s="482" t="s">
        <v>1058</v>
      </c>
      <c r="AS8" s="482" t="s">
        <v>1059</v>
      </c>
      <c r="AT8" s="482">
        <v>1</v>
      </c>
      <c r="AU8" s="482">
        <v>0.5</v>
      </c>
      <c r="AV8" s="482">
        <v>1.2</v>
      </c>
      <c r="AW8" s="482">
        <v>315</v>
      </c>
      <c r="AX8" s="482">
        <v>1</v>
      </c>
      <c r="AY8" s="482">
        <f t="shared" si="0"/>
        <v>315</v>
      </c>
      <c r="AZ8" s="484" t="s">
        <v>1062</v>
      </c>
      <c r="BA8" s="484" t="s">
        <v>1063</v>
      </c>
      <c r="BB8" s="484" t="s">
        <v>1064</v>
      </c>
      <c r="BC8" s="484">
        <v>1</v>
      </c>
      <c r="BD8" s="484">
        <v>0.5</v>
      </c>
      <c r="BE8" s="484">
        <v>0.8</v>
      </c>
      <c r="BF8" s="484">
        <v>238</v>
      </c>
      <c r="BG8" s="484">
        <v>2</v>
      </c>
      <c r="BH8" s="484">
        <f t="shared" si="1"/>
        <v>476</v>
      </c>
      <c r="BI8" s="485" t="s">
        <v>1065</v>
      </c>
      <c r="BJ8" s="485">
        <v>35</v>
      </c>
      <c r="BK8" s="485">
        <v>2</v>
      </c>
      <c r="BL8" s="485">
        <f t="shared" si="3"/>
        <v>70</v>
      </c>
      <c r="BM8" s="486"/>
      <c r="BN8" s="486"/>
      <c r="BO8" s="486"/>
      <c r="BP8" s="486"/>
      <c r="BQ8" s="486"/>
      <c r="BR8" s="486"/>
      <c r="BS8" s="486"/>
      <c r="BT8" s="486"/>
      <c r="BU8" s="486"/>
      <c r="BV8" s="477"/>
    </row>
    <row r="9" spans="1:76" ht="20.100000000000001" customHeight="1">
      <c r="A9" s="1348"/>
      <c r="B9" s="497"/>
      <c r="C9" s="1360"/>
      <c r="D9" s="1360"/>
      <c r="E9" s="1360"/>
      <c r="F9" s="1360"/>
      <c r="G9" s="498"/>
      <c r="H9" s="497"/>
      <c r="I9" s="1390" t="s">
        <v>1088</v>
      </c>
      <c r="J9" s="497">
        <v>4</v>
      </c>
      <c r="K9" s="1360" t="s">
        <v>454</v>
      </c>
      <c r="L9" s="1360"/>
      <c r="M9" s="1360" t="s">
        <v>1089</v>
      </c>
      <c r="N9" s="1360"/>
      <c r="O9" s="1360"/>
      <c r="P9" s="504">
        <f>P6*4.1+P7*10.5</f>
        <v>0</v>
      </c>
      <c r="Q9" s="503" t="s">
        <v>27</v>
      </c>
      <c r="AA9" s="489" t="s">
        <v>1053</v>
      </c>
      <c r="AB9" s="489" t="s">
        <v>1016</v>
      </c>
      <c r="AC9" s="489" t="s">
        <v>1090</v>
      </c>
      <c r="AD9" s="489" t="s">
        <v>1091</v>
      </c>
      <c r="AE9" s="489" t="s">
        <v>1092</v>
      </c>
      <c r="AF9" s="490" t="s">
        <v>1093</v>
      </c>
      <c r="AG9" s="491" t="s">
        <v>1094</v>
      </c>
      <c r="AH9" s="491" t="s">
        <v>1095</v>
      </c>
      <c r="AI9" s="491" t="s">
        <v>1096</v>
      </c>
      <c r="AJ9" s="481">
        <v>1</v>
      </c>
      <c r="AK9" s="481">
        <v>0.5</v>
      </c>
      <c r="AL9" s="481">
        <v>2</v>
      </c>
      <c r="AM9" s="481">
        <v>0.15</v>
      </c>
      <c r="AN9" s="481">
        <v>280</v>
      </c>
      <c r="AO9" s="481">
        <v>1</v>
      </c>
      <c r="AP9" s="481">
        <f t="shared" si="2"/>
        <v>280</v>
      </c>
      <c r="AQ9" s="482" t="s">
        <v>1097</v>
      </c>
      <c r="AR9" s="482" t="s">
        <v>1094</v>
      </c>
      <c r="AS9" s="482" t="s">
        <v>1095</v>
      </c>
      <c r="AT9" s="482">
        <v>1</v>
      </c>
      <c r="AU9" s="482">
        <v>0.5</v>
      </c>
      <c r="AV9" s="482">
        <v>1.2</v>
      </c>
      <c r="AW9" s="482">
        <v>315</v>
      </c>
      <c r="AX9" s="482">
        <v>1</v>
      </c>
      <c r="AY9" s="482">
        <f t="shared" si="0"/>
        <v>315</v>
      </c>
      <c r="AZ9" s="484" t="s">
        <v>1098</v>
      </c>
      <c r="BA9" s="484" t="s">
        <v>1099</v>
      </c>
      <c r="BB9" s="484" t="s">
        <v>1100</v>
      </c>
      <c r="BC9" s="484">
        <v>1</v>
      </c>
      <c r="BD9" s="484">
        <v>0.5</v>
      </c>
      <c r="BE9" s="484">
        <v>0.5</v>
      </c>
      <c r="BF9" s="484">
        <v>285</v>
      </c>
      <c r="BG9" s="484">
        <v>3</v>
      </c>
      <c r="BH9" s="484">
        <f t="shared" si="1"/>
        <v>855</v>
      </c>
      <c r="BI9" s="485" t="s">
        <v>1101</v>
      </c>
      <c r="BJ9" s="485">
        <v>35</v>
      </c>
      <c r="BK9" s="485">
        <v>4</v>
      </c>
      <c r="BL9" s="485">
        <f t="shared" si="3"/>
        <v>140</v>
      </c>
      <c r="BM9" s="486" t="s">
        <v>1098</v>
      </c>
      <c r="BN9" s="486" t="s">
        <v>1099</v>
      </c>
      <c r="BO9" s="486" t="s">
        <v>1100</v>
      </c>
      <c r="BP9" s="486">
        <v>1</v>
      </c>
      <c r="BQ9" s="486">
        <v>0.5</v>
      </c>
      <c r="BR9" s="486">
        <v>0.5</v>
      </c>
      <c r="BS9" s="486">
        <v>323</v>
      </c>
      <c r="BT9" s="486">
        <v>1</v>
      </c>
      <c r="BU9" s="486">
        <f>BS9*BT9</f>
        <v>323</v>
      </c>
      <c r="BV9" s="477"/>
    </row>
    <row r="10" spans="1:76" ht="20.100000000000001" customHeight="1">
      <c r="A10" s="1348" t="s">
        <v>1102</v>
      </c>
      <c r="B10" s="497">
        <v>1</v>
      </c>
      <c r="C10" s="1360" t="s">
        <v>1102</v>
      </c>
      <c r="D10" s="1360"/>
      <c r="E10" s="1360" t="s">
        <v>1103</v>
      </c>
      <c r="F10" s="1360"/>
      <c r="G10" s="498"/>
      <c r="H10" s="497" t="s">
        <v>1104</v>
      </c>
      <c r="I10" s="1390"/>
      <c r="J10" s="497">
        <v>5</v>
      </c>
      <c r="K10" s="1360" t="s">
        <v>1105</v>
      </c>
      <c r="L10" s="1360"/>
      <c r="M10" s="1360" t="s">
        <v>1106</v>
      </c>
      <c r="N10" s="1360"/>
      <c r="O10" s="1360"/>
      <c r="P10" s="504"/>
      <c r="Q10" s="503" t="s">
        <v>1107</v>
      </c>
    </row>
    <row r="11" spans="1:76" ht="20.100000000000001" customHeight="1">
      <c r="A11" s="1391"/>
      <c r="B11" s="497">
        <v>2</v>
      </c>
      <c r="C11" s="1360" t="s">
        <v>1108</v>
      </c>
      <c r="D11" s="1360"/>
      <c r="E11" s="1360"/>
      <c r="F11" s="1360"/>
      <c r="G11" s="498"/>
      <c r="H11" s="497" t="s">
        <v>1109</v>
      </c>
      <c r="I11" s="1390"/>
      <c r="J11" s="497">
        <v>6</v>
      </c>
      <c r="K11" s="1360" t="s">
        <v>1110</v>
      </c>
      <c r="L11" s="1360"/>
      <c r="M11" s="1360" t="s">
        <v>1111</v>
      </c>
      <c r="N11" s="1360"/>
      <c r="O11" s="1360"/>
      <c r="P11" s="504">
        <f>G8*120</f>
        <v>0</v>
      </c>
      <c r="Q11" s="503" t="s">
        <v>1107</v>
      </c>
    </row>
    <row r="12" spans="1:76" ht="20.100000000000001" customHeight="1">
      <c r="A12" s="1347" t="s">
        <v>1112</v>
      </c>
      <c r="B12" s="497">
        <v>1</v>
      </c>
      <c r="C12" s="984" t="s">
        <v>1113</v>
      </c>
      <c r="D12" s="985"/>
      <c r="E12" s="956" t="s">
        <v>1114</v>
      </c>
      <c r="F12" s="956"/>
      <c r="G12" s="505">
        <f>30*$V$32/1000</f>
        <v>0</v>
      </c>
      <c r="H12" s="506" t="s">
        <v>1115</v>
      </c>
      <c r="I12" s="507"/>
      <c r="J12" s="497"/>
      <c r="K12" s="497"/>
      <c r="L12" s="497"/>
      <c r="M12" s="497"/>
      <c r="N12" s="497"/>
      <c r="O12" s="497"/>
      <c r="P12" s="504"/>
      <c r="Q12" s="503"/>
    </row>
    <row r="13" spans="1:76" ht="20.100000000000001" customHeight="1">
      <c r="A13" s="1348"/>
      <c r="B13" s="497">
        <v>2</v>
      </c>
      <c r="C13" s="1377"/>
      <c r="D13" s="1378"/>
      <c r="E13" s="956" t="s">
        <v>1116</v>
      </c>
      <c r="F13" s="956"/>
      <c r="G13" s="505">
        <f>25*$V$32/1000</f>
        <v>0</v>
      </c>
      <c r="H13" s="506" t="s">
        <v>1115</v>
      </c>
      <c r="I13" s="507"/>
      <c r="J13" s="497"/>
      <c r="K13" s="497"/>
      <c r="L13" s="497"/>
      <c r="M13" s="497"/>
      <c r="N13" s="497"/>
      <c r="O13" s="497"/>
      <c r="P13" s="504"/>
      <c r="Q13" s="503"/>
    </row>
    <row r="14" spans="1:76" ht="20.100000000000001" customHeight="1">
      <c r="A14" s="1348"/>
      <c r="B14" s="497">
        <v>3</v>
      </c>
      <c r="C14" s="1379"/>
      <c r="D14" s="1380"/>
      <c r="E14" s="956" t="s">
        <v>1117</v>
      </c>
      <c r="F14" s="956"/>
      <c r="G14" s="505">
        <f>35*$V$32/1000</f>
        <v>0</v>
      </c>
      <c r="H14" s="506" t="s">
        <v>1115</v>
      </c>
      <c r="I14" s="1350"/>
      <c r="J14" s="497"/>
      <c r="K14" s="1358"/>
      <c r="L14" s="1359"/>
      <c r="M14" s="1358"/>
      <c r="N14" s="1361"/>
      <c r="O14" s="1359"/>
      <c r="P14" s="504"/>
      <c r="Q14" s="503"/>
      <c r="T14" s="1374" t="s">
        <v>1118</v>
      </c>
      <c r="U14" s="1375"/>
      <c r="V14" s="1375"/>
      <c r="W14" s="1375"/>
      <c r="X14" s="1375"/>
      <c r="Y14" s="1376"/>
    </row>
    <row r="15" spans="1:76" ht="20.100000000000001" customHeight="1">
      <c r="A15" s="1348"/>
      <c r="B15" s="497">
        <v>4</v>
      </c>
      <c r="C15" s="1352" t="s">
        <v>1119</v>
      </c>
      <c r="D15" s="1353"/>
      <c r="E15" s="1360" t="str">
        <f>W15</f>
        <v>UA1832</v>
      </c>
      <c r="F15" s="1360"/>
      <c r="G15" s="498">
        <f>Y15</f>
        <v>0</v>
      </c>
      <c r="H15" s="508" t="s">
        <v>1115</v>
      </c>
      <c r="I15" s="1350"/>
      <c r="J15" s="497"/>
      <c r="K15" s="1350"/>
      <c r="L15" s="1350"/>
      <c r="M15" s="1360"/>
      <c r="N15" s="1360"/>
      <c r="O15" s="1360"/>
      <c r="P15" s="504"/>
      <c r="Q15" s="503"/>
      <c r="T15" s="1362" t="s">
        <v>1120</v>
      </c>
      <c r="U15" s="509">
        <v>50</v>
      </c>
      <c r="V15" s="1362">
        <f>'作(5)'!L39</f>
        <v>0</v>
      </c>
      <c r="W15" s="510" t="s">
        <v>1121</v>
      </c>
      <c r="X15" s="510">
        <f>VLOOKUP('作(5)'!F6,AB:BC,28,0)</f>
        <v>1</v>
      </c>
      <c r="Y15" s="511">
        <f>U15*$V$15*X15/1000</f>
        <v>0</v>
      </c>
    </row>
    <row r="16" spans="1:76" ht="20.100000000000001" customHeight="1">
      <c r="A16" s="1348"/>
      <c r="B16" s="497">
        <v>5</v>
      </c>
      <c r="C16" s="1354"/>
      <c r="D16" s="1355"/>
      <c r="E16" s="1360" t="str">
        <f>W16</f>
        <v>UA4032</v>
      </c>
      <c r="F16" s="1360"/>
      <c r="G16" s="498">
        <f>Y16</f>
        <v>0</v>
      </c>
      <c r="H16" s="508" t="s">
        <v>1115</v>
      </c>
      <c r="I16" s="1350"/>
      <c r="J16" s="497"/>
      <c r="K16" s="1381" t="s">
        <v>1122</v>
      </c>
      <c r="L16" s="1382"/>
      <c r="M16" s="1382"/>
      <c r="N16" s="1382"/>
      <c r="O16" s="1382"/>
      <c r="P16" s="1383"/>
      <c r="Q16" s="503"/>
      <c r="T16" s="1363"/>
      <c r="U16" s="509">
        <v>80</v>
      </c>
      <c r="V16" s="1363"/>
      <c r="W16" s="510" t="s">
        <v>1123</v>
      </c>
      <c r="X16" s="510">
        <v>1</v>
      </c>
      <c r="Y16" s="511">
        <f>U16*$V$15*X16/1000</f>
        <v>0</v>
      </c>
    </row>
    <row r="17" spans="1:25" ht="20.100000000000001" customHeight="1">
      <c r="A17" s="1348"/>
      <c r="B17" s="497">
        <v>6</v>
      </c>
      <c r="C17" s="1354"/>
      <c r="D17" s="1355"/>
      <c r="E17" s="1360"/>
      <c r="F17" s="1360"/>
      <c r="G17" s="498"/>
      <c r="H17" s="508"/>
      <c r="I17" s="1350"/>
      <c r="J17" s="497"/>
      <c r="K17" s="1384"/>
      <c r="L17" s="1385"/>
      <c r="M17" s="1385"/>
      <c r="N17" s="1385"/>
      <c r="O17" s="1385"/>
      <c r="P17" s="1386"/>
      <c r="Q17" s="503"/>
      <c r="T17" s="1364"/>
      <c r="U17" s="509"/>
      <c r="V17" s="1364"/>
      <c r="W17" s="510"/>
      <c r="X17" s="510"/>
      <c r="Y17" s="511"/>
    </row>
    <row r="18" spans="1:25" ht="20.100000000000001" customHeight="1">
      <c r="A18" s="1348"/>
      <c r="B18" s="497">
        <v>7</v>
      </c>
      <c r="C18" s="1356"/>
      <c r="D18" s="1357"/>
      <c r="E18" s="1358"/>
      <c r="F18" s="1359"/>
      <c r="G18" s="498"/>
      <c r="H18" s="508"/>
      <c r="I18" s="1350"/>
      <c r="J18" s="497"/>
      <c r="K18" s="1384"/>
      <c r="L18" s="1385"/>
      <c r="M18" s="1385"/>
      <c r="N18" s="1385"/>
      <c r="O18" s="1385"/>
      <c r="P18" s="1386"/>
      <c r="Q18" s="503"/>
      <c r="T18" s="512"/>
      <c r="U18" s="512"/>
      <c r="V18" s="512"/>
      <c r="W18" s="513"/>
      <c r="X18" s="514"/>
      <c r="Y18" s="515"/>
    </row>
    <row r="19" spans="1:25" ht="20.100000000000001" customHeight="1">
      <c r="A19" s="1348"/>
      <c r="B19" s="497">
        <v>8</v>
      </c>
      <c r="C19" s="1352" t="s">
        <v>1124</v>
      </c>
      <c r="D19" s="1353"/>
      <c r="E19" s="1360" t="str">
        <f>+IF(OR('作(5)'!F6='料单 (5)'!U4,'作(5)'!F6='料单 (5)'!U5,'作(5)'!F6='料单 (5)'!U6),"",'料单 (5)'!W19)</f>
        <v>主剂PD3200</v>
      </c>
      <c r="F19" s="1360"/>
      <c r="G19" s="498">
        <f>IF(E19="","",Y19)</f>
        <v>0</v>
      </c>
      <c r="H19" s="508" t="str">
        <f>IF(E19="","","千克")</f>
        <v>千克</v>
      </c>
      <c r="I19" s="1350"/>
      <c r="J19" s="497"/>
      <c r="K19" s="1384"/>
      <c r="L19" s="1385"/>
      <c r="M19" s="1385"/>
      <c r="N19" s="1385"/>
      <c r="O19" s="1385"/>
      <c r="P19" s="1386"/>
      <c r="Q19" s="503"/>
      <c r="T19" s="1362" t="str">
        <f>C19</f>
        <v>PU清底（手工喷涂）</v>
      </c>
      <c r="U19" s="1362">
        <f>VLOOKUP('作(5)'!F6,AB:BU,46,0)</f>
        <v>323</v>
      </c>
      <c r="V19" s="1362">
        <f>'作(5)'!O38</f>
        <v>0</v>
      </c>
      <c r="W19" s="510" t="str">
        <f>VLOOKUP('作(5)'!F6,AB:BM,38,0)</f>
        <v>主剂PD3200</v>
      </c>
      <c r="X19" s="510">
        <f>VLOOKUP('作(5)'!F6,AB:BP,41,0)</f>
        <v>1</v>
      </c>
      <c r="Y19" s="511">
        <f>V$19*(U$19/(X$19+X$20+X$21))*X19/1000</f>
        <v>0</v>
      </c>
    </row>
    <row r="20" spans="1:25" ht="20.100000000000001" customHeight="1">
      <c r="A20" s="1348"/>
      <c r="B20" s="497">
        <v>9</v>
      </c>
      <c r="C20" s="1354"/>
      <c r="D20" s="1355"/>
      <c r="E20" s="1360" t="str">
        <f>+IF(OR('作(5)'!F6='料单 (5)'!U4,'作(5)'!F6='料单 (5)'!U5,'作(5)'!F6='料单 (5)'!U6),"",'料单 (5)'!W20)</f>
        <v>固化剂PR66</v>
      </c>
      <c r="F20" s="1360"/>
      <c r="G20" s="498">
        <f>IF(E20="","",Y20)</f>
        <v>0</v>
      </c>
      <c r="H20" s="508" t="str">
        <f>IF(E20="","","千克")</f>
        <v>千克</v>
      </c>
      <c r="I20" s="1350"/>
      <c r="J20" s="497"/>
      <c r="K20" s="1384"/>
      <c r="L20" s="1385"/>
      <c r="M20" s="1385"/>
      <c r="N20" s="1385"/>
      <c r="O20" s="1385"/>
      <c r="P20" s="1386"/>
      <c r="Q20" s="503"/>
      <c r="T20" s="1363"/>
      <c r="U20" s="1363"/>
      <c r="V20" s="1363"/>
      <c r="W20" s="510" t="str">
        <f>VLOOKUP('作(5)'!F6,AB:BN,39,0)</f>
        <v>固化剂PR66</v>
      </c>
      <c r="X20" s="510">
        <f>VLOOKUP('作(5)'!F6,AB:BQ,42,0)</f>
        <v>0.5</v>
      </c>
      <c r="Y20" s="511">
        <f>V$19*(U$19/(X$19+X$20+X$21))*X20/1000</f>
        <v>0</v>
      </c>
    </row>
    <row r="21" spans="1:25" ht="20.100000000000001" customHeight="1">
      <c r="A21" s="1348"/>
      <c r="B21" s="497">
        <v>10</v>
      </c>
      <c r="C21" s="1354"/>
      <c r="D21" s="1355"/>
      <c r="E21" s="1360" t="str">
        <f>+IF(OR('作(5)'!F6='料单 (5)'!U4,'作(5)'!F6='料单 (5)'!U5,'作(5)'!F6='料单 (5)'!U6),"",'料单 (5)'!W21)</f>
        <v>稀料PX705/PX707</v>
      </c>
      <c r="F21" s="1360"/>
      <c r="G21" s="498">
        <f>IF(E21="","",IF(E22="",Y21,Y21/1.3*1))</f>
        <v>0</v>
      </c>
      <c r="H21" s="508" t="str">
        <f>IF(E21="","","千克")</f>
        <v>千克</v>
      </c>
      <c r="I21" s="1350"/>
      <c r="J21" s="497"/>
      <c r="K21" s="1384"/>
      <c r="L21" s="1385"/>
      <c r="M21" s="1385"/>
      <c r="N21" s="1385"/>
      <c r="O21" s="1385"/>
      <c r="P21" s="1386"/>
      <c r="Q21" s="503"/>
      <c r="T21" s="1364"/>
      <c r="U21" s="1364"/>
      <c r="V21" s="1364"/>
      <c r="W21" s="510" t="str">
        <f>VLOOKUP('作(5)'!F6,AB:BO,40,0)</f>
        <v>稀料PX705/PX707</v>
      </c>
      <c r="X21" s="510">
        <f>VLOOKUP('作(5)'!F6,AB:BR,43,0)</f>
        <v>0.5</v>
      </c>
      <c r="Y21" s="511">
        <f>V$19*(U$19/(X$19+X$20+X$21))*X21/1000</f>
        <v>0</v>
      </c>
    </row>
    <row r="22" spans="1:25" ht="20.100000000000001" customHeight="1">
      <c r="A22" s="1348"/>
      <c r="B22" s="497">
        <v>11</v>
      </c>
      <c r="C22" s="1356"/>
      <c r="D22" s="1357"/>
      <c r="E22" s="1360" t="str">
        <f>+IF(OR('作(5)'!F6='料单 (5)'!U4,'作(5)'!F6='料单 (5)'!U5,'作(5)'!F6='料单 (5)'!U6),"",'料单 (5)'!W22)</f>
        <v>慢干水PZ807</v>
      </c>
      <c r="F22" s="1360"/>
      <c r="G22" s="498">
        <f>IF(E22="","",G21*0.3)</f>
        <v>0</v>
      </c>
      <c r="H22" s="508" t="str">
        <f>IF(E22="","","千克")</f>
        <v>千克</v>
      </c>
      <c r="I22" s="1350"/>
      <c r="J22" s="497"/>
      <c r="K22" s="1384"/>
      <c r="L22" s="1385"/>
      <c r="M22" s="1385"/>
      <c r="N22" s="1385"/>
      <c r="O22" s="1385"/>
      <c r="P22" s="1386"/>
      <c r="Q22" s="503"/>
      <c r="T22" s="516"/>
      <c r="U22" s="516"/>
      <c r="V22" s="516"/>
      <c r="W22" s="510" t="str">
        <f>IF($S$1=$T$2,"慢干水PZ807","")</f>
        <v>慢干水PZ807</v>
      </c>
      <c r="X22" s="510"/>
      <c r="Y22" s="511">
        <f>IF(W22="","",Y21*0.34)</f>
        <v>0</v>
      </c>
    </row>
    <row r="23" spans="1:25" ht="20.100000000000001" customHeight="1">
      <c r="A23" s="1348"/>
      <c r="B23" s="497">
        <v>12</v>
      </c>
      <c r="C23" s="1352" t="s">
        <v>1125</v>
      </c>
      <c r="D23" s="1353"/>
      <c r="E23" s="1360" t="str">
        <f>W23</f>
        <v>主剂GT2024</v>
      </c>
      <c r="F23" s="1360"/>
      <c r="G23" s="498">
        <f>Y23</f>
        <v>0</v>
      </c>
      <c r="H23" s="508" t="s">
        <v>1115</v>
      </c>
      <c r="I23" s="1350"/>
      <c r="J23" s="497"/>
      <c r="K23" s="1384"/>
      <c r="L23" s="1385"/>
      <c r="M23" s="1385"/>
      <c r="N23" s="1385"/>
      <c r="O23" s="1385"/>
      <c r="P23" s="1386"/>
      <c r="Q23" s="503"/>
      <c r="T23" s="1362" t="str">
        <f>C23</f>
        <v>修色 面漆</v>
      </c>
      <c r="U23" s="1362">
        <f>VLOOKUP('作(5)'!F6,AB:AP,15,0)</f>
        <v>280</v>
      </c>
      <c r="V23" s="1362">
        <f>+'作(5)'!K39</f>
        <v>0</v>
      </c>
      <c r="W23" s="510" t="str">
        <f>VLOOKUP('作(5)'!F6,AB:AF,5,0)</f>
        <v>主剂GT2024</v>
      </c>
      <c r="X23" s="510">
        <f>VLOOKUP('作(5)'!F6,AB:AJ,9,0)</f>
        <v>1</v>
      </c>
      <c r="Y23" s="511">
        <f>V$23*(U$23/(X$23+X$24+X$25+X26))*X23/1000</f>
        <v>0</v>
      </c>
    </row>
    <row r="24" spans="1:25" ht="20.100000000000001" customHeight="1">
      <c r="A24" s="1348"/>
      <c r="B24" s="497">
        <v>13</v>
      </c>
      <c r="C24" s="1354"/>
      <c r="D24" s="1355"/>
      <c r="E24" s="1360" t="str">
        <f>W24</f>
        <v>固化剂PR50</v>
      </c>
      <c r="F24" s="1360"/>
      <c r="G24" s="498">
        <f>Y24</f>
        <v>0</v>
      </c>
      <c r="H24" s="508" t="s">
        <v>1115</v>
      </c>
      <c r="I24" s="1350"/>
      <c r="J24" s="497"/>
      <c r="K24" s="1387"/>
      <c r="L24" s="1388"/>
      <c r="M24" s="1388"/>
      <c r="N24" s="1388"/>
      <c r="O24" s="1388"/>
      <c r="P24" s="1389"/>
      <c r="Q24" s="517"/>
      <c r="T24" s="1363"/>
      <c r="U24" s="1363"/>
      <c r="V24" s="1363"/>
      <c r="W24" s="510" t="str">
        <f>VLOOKUP('作(5)'!F6,AB:AG,6,0)</f>
        <v>固化剂PR50</v>
      </c>
      <c r="X24" s="510">
        <f>VLOOKUP('作(5)'!F6,AB:AK,10,0)</f>
        <v>0.5</v>
      </c>
      <c r="Y24" s="511">
        <f>V$23*(U$23/(X$23+X$24+X$25+X26))*X24/1000</f>
        <v>0</v>
      </c>
    </row>
    <row r="25" spans="1:25" ht="20.100000000000001" customHeight="1">
      <c r="A25" s="1348"/>
      <c r="B25" s="497">
        <v>14</v>
      </c>
      <c r="C25" s="1354"/>
      <c r="D25" s="1355"/>
      <c r="E25" s="1360" t="str">
        <f>W25</f>
        <v>稀料PX903/PX904</v>
      </c>
      <c r="F25" s="1360"/>
      <c r="G25" s="498">
        <f>IF(E27="",Y25,Y25/1.3*1)</f>
        <v>0</v>
      </c>
      <c r="H25" s="508" t="s">
        <v>1115</v>
      </c>
      <c r="I25" s="1350"/>
      <c r="J25" s="497"/>
      <c r="K25" s="1365"/>
      <c r="L25" s="1366"/>
      <c r="M25" s="1360"/>
      <c r="N25" s="1360"/>
      <c r="O25" s="1360"/>
      <c r="P25" s="504"/>
      <c r="Q25" s="503"/>
      <c r="T25" s="1363"/>
      <c r="U25" s="1363"/>
      <c r="V25" s="1363"/>
      <c r="W25" s="510" t="str">
        <f>VLOOKUP('作(5)'!F6,AB:AH,7,0)</f>
        <v>稀料PX903/PX904</v>
      </c>
      <c r="X25" s="510">
        <f>VLOOKUP('作(5)'!F6,AB:AL,11,0)</f>
        <v>2</v>
      </c>
      <c r="Y25" s="511">
        <f>V$23*(U$23/(X$23+X$24+X$25+X26))*X25/1000</f>
        <v>0</v>
      </c>
    </row>
    <row r="26" spans="1:25" ht="20.100000000000001" customHeight="1">
      <c r="A26" s="1348"/>
      <c r="B26" s="497">
        <v>15</v>
      </c>
      <c r="C26" s="1354"/>
      <c r="D26" s="1355"/>
      <c r="E26" s="1358" t="str">
        <f>W26</f>
        <v>PBJ3992</v>
      </c>
      <c r="F26" s="1359"/>
      <c r="G26" s="498">
        <f>+Y26</f>
        <v>0</v>
      </c>
      <c r="H26" s="508" t="s">
        <v>1115</v>
      </c>
      <c r="I26" s="1350"/>
      <c r="J26" s="497"/>
      <c r="K26" s="518"/>
      <c r="L26" s="507"/>
      <c r="M26" s="1360"/>
      <c r="N26" s="1360"/>
      <c r="O26" s="1360"/>
      <c r="P26" s="504"/>
      <c r="Q26" s="503"/>
      <c r="T26" s="1363"/>
      <c r="U26" s="1364"/>
      <c r="V26" s="516"/>
      <c r="W26" s="510" t="str">
        <f>VLOOKUP('作(5)'!F6,AB:AI,8,0)</f>
        <v>PBJ3992</v>
      </c>
      <c r="X26" s="510">
        <f>VLOOKUP('作(5)'!F6,AB:AM,12,0)</f>
        <v>0.15</v>
      </c>
      <c r="Y26" s="511">
        <f>V$23*(U$23/(X$23+X$24+X$25+X26))*X26/1000</f>
        <v>0</v>
      </c>
    </row>
    <row r="27" spans="1:25" ht="20.100000000000001" customHeight="1">
      <c r="A27" s="1348"/>
      <c r="B27" s="497">
        <v>16</v>
      </c>
      <c r="C27" s="1356"/>
      <c r="D27" s="1357"/>
      <c r="E27" s="1358" t="str">
        <f>IF($S$1=$T$2,"慢干水PZ807","")</f>
        <v>慢干水PZ807</v>
      </c>
      <c r="F27" s="1359"/>
      <c r="G27" s="498">
        <f>IF(E27="","",G25*0.3)</f>
        <v>0</v>
      </c>
      <c r="H27" s="508" t="str">
        <f>IF(E27="","","千克")</f>
        <v>千克</v>
      </c>
      <c r="I27" s="1350"/>
      <c r="J27" s="497"/>
      <c r="K27" s="1350"/>
      <c r="L27" s="1350"/>
      <c r="M27" s="1360"/>
      <c r="N27" s="1360"/>
      <c r="O27" s="1360"/>
      <c r="P27" s="504"/>
      <c r="Q27" s="503"/>
      <c r="T27" s="1364"/>
      <c r="U27" s="519"/>
      <c r="V27" s="519"/>
      <c r="W27" s="510" t="s">
        <v>1126</v>
      </c>
      <c r="X27" s="510"/>
      <c r="Y27" s="511"/>
    </row>
    <row r="28" spans="1:25" ht="20.100000000000001" customHeight="1">
      <c r="A28" s="1348"/>
      <c r="B28" s="497">
        <v>17</v>
      </c>
      <c r="C28" s="1350" t="s">
        <v>1127</v>
      </c>
      <c r="D28" s="1350"/>
      <c r="E28" s="1360" t="str">
        <f>W28</f>
        <v>主剂P86003</v>
      </c>
      <c r="F28" s="1360"/>
      <c r="G28" s="498">
        <f>Y28</f>
        <v>0</v>
      </c>
      <c r="H28" s="497" t="s">
        <v>1115</v>
      </c>
      <c r="I28" s="1347" t="s">
        <v>1112</v>
      </c>
      <c r="J28" s="497">
        <v>1</v>
      </c>
      <c r="K28" s="1350" t="str">
        <f>+IF(OR('作(5)'!F6='料单 (5)'!U4,'作(5)'!F6='料单 (5)'!U5),"UV辊面","")</f>
        <v/>
      </c>
      <c r="L28" s="1350"/>
      <c r="M28" s="1360" t="str">
        <f>+IF(OR('作(5)'!F6='料单 (5)'!U4,'作(5)'!F6='料单 (5)'!U5),"主剂UA69225","")</f>
        <v/>
      </c>
      <c r="N28" s="1360"/>
      <c r="O28" s="1360"/>
      <c r="P28" s="504" t="str">
        <f>IF(M28="","",Y33)</f>
        <v/>
      </c>
      <c r="Q28" s="503" t="str">
        <f>IF(M28="","","千克")</f>
        <v/>
      </c>
      <c r="T28" s="1371" t="str">
        <f>C28</f>
        <v>PU面漆（手工喷涂）</v>
      </c>
      <c r="U28" s="1371">
        <f>VLOOKUP('作(5)'!F6,AB:AY,24,0)</f>
        <v>315</v>
      </c>
      <c r="V28" s="1371">
        <f>+'作(5)'!K39</f>
        <v>0</v>
      </c>
      <c r="W28" s="520" t="str">
        <f>VLOOKUP('作(5)'!F6,AB:AQ,16,0)</f>
        <v>主剂P86003</v>
      </c>
      <c r="X28" s="520">
        <f>VLOOKUP('作(5)'!F6,AB:AJ,9,0)</f>
        <v>1</v>
      </c>
      <c r="Y28" s="521">
        <f>V$28*(U$28/(X$28+X$29+X$30))*X28/1000</f>
        <v>0</v>
      </c>
    </row>
    <row r="29" spans="1:25" ht="20.100000000000001" customHeight="1">
      <c r="A29" s="1348"/>
      <c r="B29" s="497">
        <v>18</v>
      </c>
      <c r="C29" s="1350"/>
      <c r="D29" s="1350"/>
      <c r="E29" s="1360" t="str">
        <f>W29</f>
        <v>固化剂PR86</v>
      </c>
      <c r="F29" s="1360"/>
      <c r="G29" s="498">
        <f>Y29</f>
        <v>0</v>
      </c>
      <c r="H29" s="497" t="s">
        <v>1115</v>
      </c>
      <c r="I29" s="1348"/>
      <c r="J29" s="497"/>
      <c r="K29" s="1350"/>
      <c r="L29" s="1350"/>
      <c r="M29" s="1360"/>
      <c r="N29" s="1360"/>
      <c r="O29" s="1360"/>
      <c r="P29" s="504"/>
      <c r="Q29" s="503"/>
      <c r="T29" s="1372"/>
      <c r="U29" s="1372"/>
      <c r="V29" s="1372"/>
      <c r="W29" s="520" t="str">
        <f>VLOOKUP('作(5)'!F6,AB:AR,17,0)</f>
        <v>固化剂PR86</v>
      </c>
      <c r="X29" s="520">
        <f>VLOOKUP('作(5)'!F6,AB:AU,20,0)</f>
        <v>0.5</v>
      </c>
      <c r="Y29" s="521">
        <f>V$28*(U$28/(X$28+X$29+X$30))*X29/1000</f>
        <v>0</v>
      </c>
    </row>
    <row r="30" spans="1:25" ht="20.100000000000001" customHeight="1">
      <c r="A30" s="1348"/>
      <c r="B30" s="497">
        <v>19</v>
      </c>
      <c r="C30" s="1350"/>
      <c r="D30" s="1350"/>
      <c r="E30" s="1360" t="str">
        <f>W30</f>
        <v>稀料PX903/PX904</v>
      </c>
      <c r="F30" s="1360"/>
      <c r="G30" s="498">
        <f>IF(E31="",Y30,Y30/1.3*1)</f>
        <v>0</v>
      </c>
      <c r="H30" s="497" t="s">
        <v>1115</v>
      </c>
      <c r="I30" s="1348"/>
      <c r="J30" s="497"/>
      <c r="K30" s="1360"/>
      <c r="L30" s="1360"/>
      <c r="M30" s="1360"/>
      <c r="N30" s="1360"/>
      <c r="O30" s="1360"/>
      <c r="P30" s="504"/>
      <c r="Q30" s="503"/>
      <c r="T30" s="1372"/>
      <c r="U30" s="1372"/>
      <c r="V30" s="1372"/>
      <c r="W30" s="520" t="str">
        <f>VLOOKUP('作(5)'!F6,AB:AS,18,0)</f>
        <v>稀料PX903/PX904</v>
      </c>
      <c r="X30" s="520">
        <f>VLOOKUP('作(5)'!F6,AB:AV,21,0)</f>
        <v>0.7</v>
      </c>
      <c r="Y30" s="521">
        <f>V$28*(U$28/(X$28+X$29+X$30))*X30/1000</f>
        <v>0</v>
      </c>
    </row>
    <row r="31" spans="1:25" ht="20.100000000000001" customHeight="1" thickBot="1">
      <c r="A31" s="1349"/>
      <c r="B31" s="497">
        <v>20</v>
      </c>
      <c r="C31" s="1351"/>
      <c r="D31" s="1351"/>
      <c r="E31" s="1368" t="str">
        <f>IF($S$1=$T$2,"慢干水PZ807","")</f>
        <v>慢干水PZ807</v>
      </c>
      <c r="F31" s="1369"/>
      <c r="G31" s="522">
        <f>IF(E31="","",G30*0.3)</f>
        <v>0</v>
      </c>
      <c r="H31" s="523" t="str">
        <f>H27</f>
        <v>千克</v>
      </c>
      <c r="I31" s="1349"/>
      <c r="J31" s="523"/>
      <c r="K31" s="1370"/>
      <c r="L31" s="1370"/>
      <c r="M31" s="1370"/>
      <c r="N31" s="1370"/>
      <c r="O31" s="1370"/>
      <c r="P31" s="522"/>
      <c r="Q31" s="524"/>
      <c r="T31" s="1373"/>
      <c r="U31" s="1373"/>
      <c r="V31" s="1373"/>
      <c r="W31" s="520" t="str">
        <f>E31</f>
        <v>慢干水PZ807</v>
      </c>
      <c r="X31" s="520"/>
      <c r="Y31" s="521">
        <f>Y30*0.3</f>
        <v>0</v>
      </c>
    </row>
    <row r="32" spans="1:25" ht="15" customHeight="1">
      <c r="A32" s="525"/>
      <c r="B32" s="525"/>
      <c r="C32" s="525"/>
      <c r="D32" s="525"/>
      <c r="E32" s="525"/>
      <c r="F32" s="525"/>
      <c r="G32" s="526"/>
      <c r="H32" s="525"/>
      <c r="I32" s="525"/>
      <c r="J32" s="525"/>
      <c r="K32" s="525"/>
      <c r="L32" s="525"/>
      <c r="M32" s="527"/>
      <c r="N32" s="527"/>
      <c r="O32" s="527"/>
      <c r="P32" s="528"/>
      <c r="Q32" s="527"/>
      <c r="T32" s="521" t="s">
        <v>1128</v>
      </c>
      <c r="U32" s="520">
        <f>VLOOKUP('作(5)'!F6,AB:BL,37,0)</f>
        <v>140</v>
      </c>
      <c r="V32" s="520">
        <f>'作(5)'!O38</f>
        <v>0</v>
      </c>
      <c r="W32" s="520" t="str">
        <f>VLOOKUP('作(5)'!F6,AB:BI,34,0)</f>
        <v>主剂UA5002</v>
      </c>
      <c r="X32" s="521"/>
      <c r="Y32" s="521">
        <f>V32*U32/1000</f>
        <v>0</v>
      </c>
    </row>
    <row r="33" spans="1:25" ht="15" customHeight="1">
      <c r="A33" s="1032"/>
      <c r="B33" s="1032"/>
      <c r="C33" s="525"/>
      <c r="D33" s="1346" t="s">
        <v>1129</v>
      </c>
      <c r="E33" s="1346"/>
      <c r="F33" s="1031" t="s">
        <v>1258</v>
      </c>
      <c r="G33" s="1031"/>
      <c r="H33" s="1031"/>
      <c r="I33" s="529"/>
      <c r="J33" s="530"/>
      <c r="K33" s="529"/>
      <c r="L33" s="531" t="s">
        <v>1130</v>
      </c>
      <c r="M33" s="1031"/>
      <c r="N33" s="1031"/>
      <c r="O33" s="527"/>
      <c r="P33" s="532"/>
      <c r="Q33" s="527"/>
      <c r="T33" s="533" t="s">
        <v>1131</v>
      </c>
      <c r="U33" s="534">
        <f>VLOOKUP('作(5)'!F6,AB:BX,49,0)</f>
        <v>0</v>
      </c>
      <c r="V33" s="535">
        <f>'作(5)'!O38</f>
        <v>0</v>
      </c>
      <c r="W33" s="534" t="s">
        <v>1132</v>
      </c>
      <c r="X33" s="533"/>
      <c r="Y33" s="536">
        <f>V33*U33/1000</f>
        <v>0</v>
      </c>
    </row>
    <row r="34" spans="1:25" ht="15" customHeight="1">
      <c r="A34" s="537"/>
      <c r="B34" s="537"/>
      <c r="C34" s="525"/>
      <c r="D34" s="531"/>
      <c r="E34" s="531"/>
      <c r="F34" s="531"/>
      <c r="G34" s="538"/>
      <c r="H34" s="539"/>
      <c r="I34" s="529"/>
      <c r="J34" s="530"/>
      <c r="K34" s="529"/>
      <c r="L34" s="531"/>
      <c r="M34" s="540"/>
      <c r="N34" s="540"/>
      <c r="O34" s="527"/>
      <c r="P34" s="528"/>
      <c r="Q34" s="527"/>
    </row>
    <row r="35" spans="1:25" ht="15" customHeight="1">
      <c r="A35" s="537"/>
      <c r="B35" s="537"/>
      <c r="C35" s="525"/>
      <c r="D35" s="1346" t="s">
        <v>1133</v>
      </c>
      <c r="E35" s="1346"/>
      <c r="F35" s="1030"/>
      <c r="G35" s="1030"/>
      <c r="H35" s="1030"/>
      <c r="I35" s="529"/>
      <c r="J35" s="530"/>
      <c r="K35" s="1367" t="s">
        <v>1134</v>
      </c>
      <c r="L35" s="1367"/>
      <c r="M35" s="1031"/>
      <c r="N35" s="1031"/>
      <c r="O35" s="527"/>
      <c r="P35" s="528"/>
      <c r="Q35" s="527"/>
    </row>
    <row r="36" spans="1:25">
      <c r="A36" s="394"/>
      <c r="B36" s="394"/>
      <c r="C36" s="394"/>
      <c r="D36" s="394"/>
      <c r="E36" s="394"/>
      <c r="F36" s="394"/>
      <c r="G36" s="395"/>
      <c r="H36" s="394"/>
      <c r="I36" s="394"/>
      <c r="J36" s="394"/>
      <c r="K36" s="394"/>
      <c r="L36" s="394"/>
      <c r="M36" s="394"/>
      <c r="N36" s="394"/>
      <c r="O36" s="394"/>
      <c r="P36" s="395"/>
      <c r="Q36" s="394"/>
    </row>
  </sheetData>
  <mergeCells count="117">
    <mergeCell ref="A1:Q1"/>
    <mergeCell ref="A2:C2"/>
    <mergeCell ref="D2:G2"/>
    <mergeCell ref="H2:I2"/>
    <mergeCell ref="J2:M2"/>
    <mergeCell ref="N2:O2"/>
    <mergeCell ref="P2:Q2"/>
    <mergeCell ref="L3:M3"/>
    <mergeCell ref="N3:O4"/>
    <mergeCell ref="P3:Q4"/>
    <mergeCell ref="A4:C4"/>
    <mergeCell ref="D4:E4"/>
    <mergeCell ref="J4:K4"/>
    <mergeCell ref="L4:M4"/>
    <mergeCell ref="A3:C3"/>
    <mergeCell ref="D3:E3"/>
    <mergeCell ref="F3:G4"/>
    <mergeCell ref="H3:H4"/>
    <mergeCell ref="I3:I4"/>
    <mergeCell ref="J3:K3"/>
    <mergeCell ref="C5:D5"/>
    <mergeCell ref="E5:F5"/>
    <mergeCell ref="K5:L5"/>
    <mergeCell ref="M5:O5"/>
    <mergeCell ref="A6:A7"/>
    <mergeCell ref="C6:D6"/>
    <mergeCell ref="E6:F6"/>
    <mergeCell ref="I6:I8"/>
    <mergeCell ref="K6:L6"/>
    <mergeCell ref="C7:D7"/>
    <mergeCell ref="M8:O8"/>
    <mergeCell ref="C9:D9"/>
    <mergeCell ref="E9:F9"/>
    <mergeCell ref="I9:I11"/>
    <mergeCell ref="K9:L9"/>
    <mergeCell ref="M9:O9"/>
    <mergeCell ref="E7:F7"/>
    <mergeCell ref="K7:L7"/>
    <mergeCell ref="A8:A9"/>
    <mergeCell ref="C8:D8"/>
    <mergeCell ref="E8:F8"/>
    <mergeCell ref="K8:L8"/>
    <mergeCell ref="A10:A11"/>
    <mergeCell ref="C10:D10"/>
    <mergeCell ref="E10:F10"/>
    <mergeCell ref="K10:L10"/>
    <mergeCell ref="M10:O10"/>
    <mergeCell ref="C11:D11"/>
    <mergeCell ref="E11:F11"/>
    <mergeCell ref="K11:L11"/>
    <mergeCell ref="M11:O11"/>
    <mergeCell ref="T14:Y14"/>
    <mergeCell ref="C15:D18"/>
    <mergeCell ref="E15:F15"/>
    <mergeCell ref="K15:L15"/>
    <mergeCell ref="M15:O15"/>
    <mergeCell ref="T15:T17"/>
    <mergeCell ref="V15:V17"/>
    <mergeCell ref="E16:F16"/>
    <mergeCell ref="C12:D14"/>
    <mergeCell ref="E12:F12"/>
    <mergeCell ref="E13:F13"/>
    <mergeCell ref="E14:F14"/>
    <mergeCell ref="I14:I27"/>
    <mergeCell ref="E25:F25"/>
    <mergeCell ref="C23:D27"/>
    <mergeCell ref="E23:F23"/>
    <mergeCell ref="T23:T27"/>
    <mergeCell ref="U23:U26"/>
    <mergeCell ref="V23:V25"/>
    <mergeCell ref="K16:P24"/>
    <mergeCell ref="E17:F17"/>
    <mergeCell ref="E18:F18"/>
    <mergeCell ref="U19:U21"/>
    <mergeCell ref="V19:V21"/>
    <mergeCell ref="U28:U31"/>
    <mergeCell ref="V28:V31"/>
    <mergeCell ref="E29:F29"/>
    <mergeCell ref="K29:L29"/>
    <mergeCell ref="M29:O29"/>
    <mergeCell ref="E30:F30"/>
    <mergeCell ref="K30:L30"/>
    <mergeCell ref="E28:F28"/>
    <mergeCell ref="I28:I31"/>
    <mergeCell ref="T19:T21"/>
    <mergeCell ref="E24:F24"/>
    <mergeCell ref="K25:L25"/>
    <mergeCell ref="M25:O25"/>
    <mergeCell ref="E26:F26"/>
    <mergeCell ref="M26:O26"/>
    <mergeCell ref="D35:E35"/>
    <mergeCell ref="F35:H35"/>
    <mergeCell ref="K35:L35"/>
    <mergeCell ref="M35:N35"/>
    <mergeCell ref="M30:O30"/>
    <mergeCell ref="E31:F31"/>
    <mergeCell ref="K31:L31"/>
    <mergeCell ref="M31:O31"/>
    <mergeCell ref="E20:F20"/>
    <mergeCell ref="E21:F21"/>
    <mergeCell ref="E22:F22"/>
    <mergeCell ref="K28:L28"/>
    <mergeCell ref="M28:O28"/>
    <mergeCell ref="T28:T31"/>
    <mergeCell ref="A33:B33"/>
    <mergeCell ref="D33:E33"/>
    <mergeCell ref="F33:H33"/>
    <mergeCell ref="M33:N33"/>
    <mergeCell ref="A12:A31"/>
    <mergeCell ref="C28:D31"/>
    <mergeCell ref="C19:D22"/>
    <mergeCell ref="E27:F27"/>
    <mergeCell ref="K27:L27"/>
    <mergeCell ref="M27:O27"/>
    <mergeCell ref="K14:L14"/>
    <mergeCell ref="M14:O14"/>
    <mergeCell ref="E19:F19"/>
  </mergeCells>
  <phoneticPr fontId="76" type="noConversion"/>
  <dataValidations count="1">
    <dataValidation type="list" allowBlank="1" showInputMessage="1" showErrorMessage="1" sqref="S1">
      <formula1>$T$1:$T$3</formula1>
    </dataValidation>
  </dataValidations>
  <pageMargins left="7.874015748031496E-2" right="7.874015748031496E-2" top="0.59055118110236227" bottom="0.98425196850393704" header="0.51181102362204722" footer="0.51181102362204722"/>
  <pageSetup paperSize="9" scale="84" orientation="portrait" r:id="rId1"/>
  <headerFooter alignWithMargins="0"/>
  <colBreaks count="1" manualBreakCount="1">
    <brk id="17" max="1048575" man="1"/>
  </colBreaks>
</worksheet>
</file>

<file path=xl/worksheets/sheet22.xml><?xml version="1.0" encoding="utf-8"?>
<worksheet xmlns="http://schemas.openxmlformats.org/spreadsheetml/2006/main" xmlns:r="http://schemas.openxmlformats.org/officeDocument/2006/relationships">
  <sheetPr>
    <tabColor rgb="FFFF0000"/>
  </sheetPr>
  <dimension ref="A1:K951"/>
  <sheetViews>
    <sheetView view="pageBreakPreview" zoomScale="85" zoomScaleSheetLayoutView="85" workbookViewId="0">
      <selection activeCell="F18" sqref="F18:H18"/>
    </sheetView>
  </sheetViews>
  <sheetFormatPr defaultRowHeight="14.25"/>
  <cols>
    <col min="1" max="1" width="9.75" style="550" customWidth="1"/>
    <col min="2" max="2" width="8.625" style="550" customWidth="1"/>
    <col min="3" max="3" width="4.625" style="550" customWidth="1"/>
    <col min="4" max="4" width="9.75" style="550" customWidth="1"/>
    <col min="5" max="5" width="10.875" style="550" customWidth="1"/>
    <col min="6" max="6" width="6" style="550" customWidth="1"/>
    <col min="7" max="7" width="5.625" style="550" customWidth="1"/>
    <col min="8" max="8" width="10.125" style="550" customWidth="1"/>
    <col min="9" max="9" width="15" style="550" customWidth="1"/>
    <col min="10" max="16384" width="9" style="550"/>
  </cols>
  <sheetData>
    <row r="1" spans="1:11">
      <c r="A1" s="549"/>
      <c r="B1" s="549"/>
      <c r="C1" s="549"/>
      <c r="D1" s="549"/>
      <c r="E1" s="549"/>
      <c r="F1" s="549"/>
    </row>
    <row r="2" spans="1:11">
      <c r="A2" s="551"/>
      <c r="B2" s="551"/>
      <c r="C2" s="551"/>
      <c r="D2" s="551"/>
      <c r="E2" s="549"/>
      <c r="F2" s="549"/>
      <c r="H2" s="1412" t="s">
        <v>1254</v>
      </c>
      <c r="I2" s="1412"/>
    </row>
    <row r="3" spans="1:11" ht="21">
      <c r="A3" s="1413" t="s">
        <v>1202</v>
      </c>
      <c r="B3" s="1414"/>
      <c r="C3" s="1414"/>
      <c r="D3" s="1414"/>
      <c r="E3" s="1414"/>
      <c r="F3" s="1414"/>
      <c r="G3" s="1414"/>
      <c r="H3" s="1414"/>
      <c r="I3" s="1414"/>
      <c r="K3" s="552" t="s">
        <v>1203</v>
      </c>
    </row>
    <row r="4" spans="1:11" ht="20.100000000000001" customHeight="1">
      <c r="A4" s="552" t="s">
        <v>1204</v>
      </c>
      <c r="B4" s="1415" t="s">
        <v>1205</v>
      </c>
      <c r="C4" s="1415"/>
      <c r="D4" s="1415"/>
      <c r="E4" s="553" t="s">
        <v>1206</v>
      </c>
      <c r="F4" s="1415" t="e">
        <f>#REF!</f>
        <v>#REF!</v>
      </c>
      <c r="G4" s="1415"/>
      <c r="H4" s="554" t="s">
        <v>1207</v>
      </c>
      <c r="I4" s="555" t="str">
        <f>SUM(E10:E33)&amp;"块"</f>
        <v>0块</v>
      </c>
    </row>
    <row r="5" spans="1:11" ht="20.100000000000001" customHeight="1">
      <c r="A5" s="550" t="s">
        <v>1208</v>
      </c>
      <c r="B5" s="1415" t="e">
        <f>#REF!</f>
        <v>#REF!</v>
      </c>
      <c r="C5" s="1416"/>
      <c r="D5" s="1416"/>
      <c r="E5" s="553" t="s">
        <v>1209</v>
      </c>
      <c r="F5" s="1417"/>
      <c r="G5" s="1417"/>
      <c r="H5" s="554" t="s">
        <v>1210</v>
      </c>
      <c r="I5" s="556"/>
    </row>
    <row r="6" spans="1:11" ht="20.100000000000001" customHeight="1">
      <c r="A6" s="557" t="s">
        <v>1211</v>
      </c>
      <c r="B6" s="1415" t="s">
        <v>1205</v>
      </c>
      <c r="C6" s="1415"/>
      <c r="D6" s="1415"/>
      <c r="E6" s="558" t="s">
        <v>1212</v>
      </c>
      <c r="F6" s="1418">
        <v>89251111</v>
      </c>
      <c r="G6" s="1418"/>
      <c r="H6" s="554" t="s">
        <v>1213</v>
      </c>
      <c r="I6" s="555">
        <v>89251111</v>
      </c>
    </row>
    <row r="7" spans="1:11" ht="20.100000000000001" customHeight="1">
      <c r="A7" s="559" t="s">
        <v>1214</v>
      </c>
      <c r="B7" s="1419"/>
      <c r="C7" s="1418"/>
      <c r="D7" s="1418"/>
      <c r="E7" s="558" t="s">
        <v>1215</v>
      </c>
      <c r="F7" s="1418">
        <v>80529723</v>
      </c>
      <c r="G7" s="1418"/>
      <c r="H7" s="554" t="s">
        <v>1216</v>
      </c>
      <c r="I7" s="560">
        <v>80529723</v>
      </c>
    </row>
    <row r="8" spans="1:11" ht="20.100000000000001" customHeight="1">
      <c r="A8" s="557" t="s">
        <v>1217</v>
      </c>
      <c r="B8" s="1419" t="s">
        <v>1218</v>
      </c>
      <c r="C8" s="1418"/>
      <c r="D8" s="1418"/>
      <c r="E8" s="1418"/>
      <c r="F8" s="1418"/>
      <c r="G8" s="1418"/>
      <c r="H8" s="559" t="s">
        <v>1219</v>
      </c>
      <c r="I8" s="555" t="s">
        <v>1220</v>
      </c>
    </row>
    <row r="9" spans="1:11" ht="20.100000000000001" customHeight="1">
      <c r="A9" s="561" t="s">
        <v>777</v>
      </c>
      <c r="B9" s="561" t="s">
        <v>491</v>
      </c>
      <c r="C9" s="561" t="s">
        <v>1221</v>
      </c>
      <c r="D9" s="561" t="s">
        <v>778</v>
      </c>
      <c r="E9" s="562" t="s">
        <v>779</v>
      </c>
      <c r="F9" s="1410" t="s">
        <v>1222</v>
      </c>
      <c r="G9" s="1410"/>
      <c r="H9" s="1410"/>
      <c r="I9" s="561" t="s">
        <v>944</v>
      </c>
    </row>
    <row r="10" spans="1:11" ht="20.100000000000001" customHeight="1">
      <c r="A10" s="563"/>
      <c r="B10" s="564"/>
      <c r="C10" s="561" t="s">
        <v>1221</v>
      </c>
      <c r="D10" s="564"/>
      <c r="E10" s="564"/>
      <c r="F10" s="1410"/>
      <c r="G10" s="1410"/>
      <c r="H10" s="1410"/>
      <c r="I10" s="561"/>
      <c r="J10" s="565">
        <f>B10*D10*E10/1000000</f>
        <v>0</v>
      </c>
    </row>
    <row r="11" spans="1:11" ht="20.100000000000001" customHeight="1">
      <c r="A11" s="563"/>
      <c r="B11" s="564"/>
      <c r="C11" s="561" t="s">
        <v>1221</v>
      </c>
      <c r="D11" s="564"/>
      <c r="E11" s="564"/>
      <c r="F11" s="1410"/>
      <c r="G11" s="1410"/>
      <c r="H11" s="1410"/>
      <c r="I11" s="561"/>
      <c r="J11" s="565">
        <f t="shared" ref="J11:J33" si="0">B11*D11*E11/1000000</f>
        <v>0</v>
      </c>
    </row>
    <row r="12" spans="1:11" ht="20.100000000000001" customHeight="1">
      <c r="A12" s="563"/>
      <c r="B12" s="564"/>
      <c r="C12" s="561" t="s">
        <v>1221</v>
      </c>
      <c r="D12" s="564"/>
      <c r="E12" s="564"/>
      <c r="F12" s="1410"/>
      <c r="G12" s="1410"/>
      <c r="H12" s="1410"/>
      <c r="I12" s="561"/>
      <c r="J12" s="565">
        <f t="shared" si="0"/>
        <v>0</v>
      </c>
    </row>
    <row r="13" spans="1:11" ht="20.100000000000001" customHeight="1">
      <c r="A13" s="563"/>
      <c r="B13" s="564"/>
      <c r="C13" s="561" t="s">
        <v>1221</v>
      </c>
      <c r="D13" s="564"/>
      <c r="E13" s="564"/>
      <c r="F13" s="1410"/>
      <c r="G13" s="1410"/>
      <c r="H13" s="1410"/>
      <c r="I13" s="561"/>
      <c r="J13" s="565">
        <f t="shared" si="0"/>
        <v>0</v>
      </c>
    </row>
    <row r="14" spans="1:11" ht="20.100000000000001" customHeight="1">
      <c r="A14" s="563"/>
      <c r="B14" s="566"/>
      <c r="C14" s="561" t="s">
        <v>1221</v>
      </c>
      <c r="D14" s="566"/>
      <c r="E14" s="564"/>
      <c r="F14" s="1410"/>
      <c r="G14" s="1410"/>
      <c r="H14" s="1410"/>
      <c r="I14" s="561"/>
      <c r="J14" s="565">
        <f t="shared" si="0"/>
        <v>0</v>
      </c>
    </row>
    <row r="15" spans="1:11" ht="20.100000000000001" customHeight="1">
      <c r="A15" s="563"/>
      <c r="B15" s="566"/>
      <c r="C15" s="561" t="s">
        <v>1221</v>
      </c>
      <c r="D15" s="566"/>
      <c r="E15" s="564"/>
      <c r="F15" s="1410"/>
      <c r="G15" s="1410"/>
      <c r="H15" s="1410"/>
      <c r="I15" s="561"/>
      <c r="J15" s="565">
        <f t="shared" si="0"/>
        <v>0</v>
      </c>
    </row>
    <row r="16" spans="1:11" ht="20.100000000000001" customHeight="1">
      <c r="A16" s="563"/>
      <c r="B16" s="566"/>
      <c r="C16" s="561" t="s">
        <v>1221</v>
      </c>
      <c r="D16" s="566"/>
      <c r="E16" s="564"/>
      <c r="F16" s="1410"/>
      <c r="G16" s="1410"/>
      <c r="H16" s="1410"/>
      <c r="I16" s="561"/>
      <c r="J16" s="565">
        <f t="shared" si="0"/>
        <v>0</v>
      </c>
    </row>
    <row r="17" spans="1:10" ht="20.100000000000001" customHeight="1">
      <c r="A17" s="563"/>
      <c r="B17" s="566"/>
      <c r="C17" s="561" t="s">
        <v>1221</v>
      </c>
      <c r="D17" s="566"/>
      <c r="E17" s="564"/>
      <c r="F17" s="1410"/>
      <c r="G17" s="1410"/>
      <c r="H17" s="1410"/>
      <c r="I17" s="561"/>
      <c r="J17" s="565">
        <f t="shared" si="0"/>
        <v>0</v>
      </c>
    </row>
    <row r="18" spans="1:10" ht="20.100000000000001" customHeight="1">
      <c r="A18" s="563"/>
      <c r="B18" s="566"/>
      <c r="C18" s="561" t="s">
        <v>1221</v>
      </c>
      <c r="D18" s="566"/>
      <c r="E18" s="564"/>
      <c r="F18" s="1410"/>
      <c r="G18" s="1410"/>
      <c r="H18" s="1410"/>
      <c r="I18" s="561"/>
      <c r="J18" s="565">
        <f t="shared" si="0"/>
        <v>0</v>
      </c>
    </row>
    <row r="19" spans="1:10" ht="20.100000000000001" customHeight="1">
      <c r="A19" s="563"/>
      <c r="B19" s="566"/>
      <c r="C19" s="561" t="s">
        <v>1221</v>
      </c>
      <c r="D19" s="566"/>
      <c r="E19" s="566"/>
      <c r="F19" s="1410"/>
      <c r="G19" s="1410"/>
      <c r="H19" s="1410"/>
      <c r="I19" s="561"/>
      <c r="J19" s="565">
        <f t="shared" si="0"/>
        <v>0</v>
      </c>
    </row>
    <row r="20" spans="1:10" ht="20.100000000000001" customHeight="1">
      <c r="A20" s="567"/>
      <c r="B20" s="566"/>
      <c r="C20" s="561" t="s">
        <v>1221</v>
      </c>
      <c r="D20" s="566"/>
      <c r="E20" s="564"/>
      <c r="F20" s="1410"/>
      <c r="G20" s="1410"/>
      <c r="H20" s="1410"/>
      <c r="I20" s="561"/>
      <c r="J20" s="565">
        <f t="shared" si="0"/>
        <v>0</v>
      </c>
    </row>
    <row r="21" spans="1:10" ht="20.100000000000001" customHeight="1">
      <c r="A21" s="567"/>
      <c r="B21" s="566"/>
      <c r="C21" s="561" t="s">
        <v>1221</v>
      </c>
      <c r="D21" s="566"/>
      <c r="E21" s="564"/>
      <c r="F21" s="1410"/>
      <c r="G21" s="1410"/>
      <c r="H21" s="1410"/>
      <c r="I21" s="561"/>
      <c r="J21" s="565">
        <f t="shared" si="0"/>
        <v>0</v>
      </c>
    </row>
    <row r="22" spans="1:10" ht="20.100000000000001" customHeight="1">
      <c r="A22" s="568"/>
      <c r="B22" s="566"/>
      <c r="C22" s="561" t="s">
        <v>1221</v>
      </c>
      <c r="D22" s="566"/>
      <c r="E22" s="566"/>
      <c r="F22" s="1410"/>
      <c r="G22" s="1410"/>
      <c r="H22" s="1410"/>
      <c r="I22" s="561"/>
      <c r="J22" s="565">
        <f t="shared" si="0"/>
        <v>0</v>
      </c>
    </row>
    <row r="23" spans="1:10" ht="20.100000000000001" customHeight="1">
      <c r="A23" s="568"/>
      <c r="B23" s="566"/>
      <c r="C23" s="561" t="s">
        <v>1221</v>
      </c>
      <c r="D23" s="564"/>
      <c r="E23" s="566"/>
      <c r="F23" s="1410"/>
      <c r="G23" s="1410"/>
      <c r="H23" s="1410"/>
      <c r="I23" s="561"/>
      <c r="J23" s="565">
        <f t="shared" si="0"/>
        <v>0</v>
      </c>
    </row>
    <row r="24" spans="1:10" ht="20.100000000000001" customHeight="1">
      <c r="A24" s="569"/>
      <c r="B24" s="566"/>
      <c r="C24" s="561" t="s">
        <v>1221</v>
      </c>
      <c r="D24" s="564"/>
      <c r="E24" s="566"/>
      <c r="F24" s="1410"/>
      <c r="G24" s="1410"/>
      <c r="H24" s="1410"/>
      <c r="I24" s="561"/>
      <c r="J24" s="565">
        <f t="shared" si="0"/>
        <v>0</v>
      </c>
    </row>
    <row r="25" spans="1:10" ht="20.100000000000001" customHeight="1">
      <c r="A25" s="568"/>
      <c r="B25" s="566"/>
      <c r="C25" s="561" t="s">
        <v>1221</v>
      </c>
      <c r="D25" s="566"/>
      <c r="E25" s="564"/>
      <c r="F25" s="1410"/>
      <c r="G25" s="1410"/>
      <c r="H25" s="1410"/>
      <c r="I25" s="561"/>
      <c r="J25" s="565">
        <f t="shared" si="0"/>
        <v>0</v>
      </c>
    </row>
    <row r="26" spans="1:10" ht="20.100000000000001" customHeight="1">
      <c r="A26" s="568"/>
      <c r="B26" s="566"/>
      <c r="C26" s="561" t="s">
        <v>1221</v>
      </c>
      <c r="D26" s="566"/>
      <c r="E26" s="564"/>
      <c r="F26" s="1410"/>
      <c r="G26" s="1410"/>
      <c r="H26" s="1410"/>
      <c r="I26" s="561"/>
      <c r="J26" s="565">
        <f t="shared" si="0"/>
        <v>0</v>
      </c>
    </row>
    <row r="27" spans="1:10" ht="20.100000000000001" customHeight="1">
      <c r="A27" s="568"/>
      <c r="B27" s="566"/>
      <c r="C27" s="561" t="s">
        <v>1221</v>
      </c>
      <c r="D27" s="566"/>
      <c r="E27" s="564"/>
      <c r="F27" s="1410"/>
      <c r="G27" s="1410"/>
      <c r="H27" s="1410"/>
      <c r="I27" s="561"/>
      <c r="J27" s="565">
        <f t="shared" si="0"/>
        <v>0</v>
      </c>
    </row>
    <row r="28" spans="1:10" ht="20.100000000000001" customHeight="1">
      <c r="A28" s="570" t="s">
        <v>1223</v>
      </c>
      <c r="B28" s="571">
        <v>50</v>
      </c>
      <c r="C28" s="572" t="s">
        <v>1221</v>
      </c>
      <c r="D28" s="571">
        <v>720</v>
      </c>
      <c r="E28" s="573"/>
      <c r="F28" s="1411"/>
      <c r="G28" s="1411"/>
      <c r="H28" s="1411"/>
      <c r="I28" s="561"/>
      <c r="J28" s="565">
        <f t="shared" si="0"/>
        <v>0</v>
      </c>
    </row>
    <row r="29" spans="1:10" ht="20.100000000000001" customHeight="1">
      <c r="A29" s="570" t="s">
        <v>1223</v>
      </c>
      <c r="B29" s="572">
        <v>50</v>
      </c>
      <c r="C29" s="572" t="s">
        <v>1221</v>
      </c>
      <c r="D29" s="572">
        <v>820</v>
      </c>
      <c r="E29" s="574"/>
      <c r="F29" s="1411" t="s">
        <v>1224</v>
      </c>
      <c r="G29" s="1411"/>
      <c r="H29" s="1411"/>
      <c r="I29" s="561"/>
      <c r="J29" s="565">
        <f t="shared" si="0"/>
        <v>0</v>
      </c>
    </row>
    <row r="30" spans="1:10" ht="20.100000000000001" customHeight="1">
      <c r="A30" s="570" t="s">
        <v>1225</v>
      </c>
      <c r="B30" s="572">
        <v>2400</v>
      </c>
      <c r="C30" s="572" t="s">
        <v>1221</v>
      </c>
      <c r="D30" s="572"/>
      <c r="E30" s="574"/>
      <c r="F30" s="1411" t="s">
        <v>1226</v>
      </c>
      <c r="G30" s="1411"/>
      <c r="H30" s="1411"/>
      <c r="I30" s="561"/>
      <c r="J30" s="565">
        <f>B30*D30*E30/1000000</f>
        <v>0</v>
      </c>
    </row>
    <row r="31" spans="1:10" ht="20.100000000000001" customHeight="1">
      <c r="A31" s="575" t="s">
        <v>1227</v>
      </c>
      <c r="B31" s="561">
        <v>2400</v>
      </c>
      <c r="C31" s="561" t="s">
        <v>1221</v>
      </c>
      <c r="D31" s="561">
        <v>80</v>
      </c>
      <c r="E31" s="576"/>
      <c r="F31" s="1410"/>
      <c r="G31" s="1410"/>
      <c r="H31" s="1410"/>
      <c r="I31" s="561"/>
      <c r="J31" s="565">
        <f>B31*D31*E31/1000000</f>
        <v>0</v>
      </c>
    </row>
    <row r="32" spans="1:10" ht="20.100000000000001" customHeight="1">
      <c r="A32" s="577" t="s">
        <v>1228</v>
      </c>
      <c r="B32" s="578">
        <v>2400</v>
      </c>
      <c r="C32" s="578" t="s">
        <v>1221</v>
      </c>
      <c r="D32" s="578">
        <v>80</v>
      </c>
      <c r="E32" s="579"/>
      <c r="F32" s="1409"/>
      <c r="G32" s="1409"/>
      <c r="H32" s="1409"/>
      <c r="I32" s="578">
        <v>2</v>
      </c>
      <c r="J32" s="565">
        <f t="shared" si="0"/>
        <v>0</v>
      </c>
    </row>
    <row r="33" spans="1:10" ht="20.100000000000001" customHeight="1">
      <c r="A33" s="577" t="s">
        <v>1229</v>
      </c>
      <c r="B33" s="578">
        <v>2400</v>
      </c>
      <c r="C33" s="578" t="s">
        <v>1221</v>
      </c>
      <c r="D33" s="578"/>
      <c r="E33" s="580"/>
      <c r="F33" s="1409"/>
      <c r="G33" s="1409"/>
      <c r="H33" s="1409"/>
      <c r="I33" s="578">
        <v>2</v>
      </c>
      <c r="J33" s="565">
        <f t="shared" si="0"/>
        <v>0</v>
      </c>
    </row>
    <row r="34" spans="1:10" ht="20.100000000000001" customHeight="1">
      <c r="A34" s="1401" t="s">
        <v>1230</v>
      </c>
      <c r="B34" s="1402"/>
      <c r="C34" s="1402"/>
      <c r="D34" s="1402"/>
      <c r="E34" s="1402"/>
      <c r="F34" s="1402"/>
      <c r="G34" s="1402"/>
      <c r="H34" s="1402"/>
      <c r="I34" s="1402"/>
    </row>
    <row r="35" spans="1:10" ht="20.100000000000001" customHeight="1">
      <c r="A35" s="1403"/>
      <c r="B35" s="1403"/>
      <c r="C35" s="1403"/>
      <c r="D35" s="1403"/>
      <c r="E35" s="1403"/>
      <c r="F35" s="1403"/>
      <c r="G35" s="1403"/>
      <c r="H35" s="1403"/>
      <c r="I35" s="1403"/>
    </row>
    <row r="36" spans="1:10" ht="20.100000000000001" customHeight="1">
      <c r="A36" s="1007" t="s">
        <v>1231</v>
      </c>
      <c r="B36" s="1404"/>
      <c r="C36" s="1404"/>
      <c r="D36" s="1404"/>
      <c r="E36" s="1404"/>
      <c r="F36" s="1404"/>
      <c r="G36" s="1404"/>
      <c r="H36" s="1404"/>
      <c r="I36" s="1404"/>
    </row>
    <row r="37" spans="1:10" ht="20.100000000000001" customHeight="1">
      <c r="A37" s="581"/>
      <c r="B37" s="582"/>
      <c r="C37" s="583"/>
      <c r="D37" s="583"/>
      <c r="E37" s="583"/>
      <c r="F37" s="584"/>
      <c r="G37" s="585"/>
      <c r="H37" s="584"/>
      <c r="I37" s="586"/>
    </row>
    <row r="38" spans="1:10" s="583" customFormat="1" ht="20.100000000000001" customHeight="1">
      <c r="A38" s="587" t="s">
        <v>793</v>
      </c>
      <c r="B38" s="1405" t="s">
        <v>1259</v>
      </c>
      <c r="C38" s="1405"/>
      <c r="D38" s="553"/>
      <c r="E38" s="588"/>
      <c r="F38" s="1406" t="s">
        <v>1232</v>
      </c>
      <c r="G38" s="1406"/>
      <c r="H38" s="553"/>
      <c r="I38" s="586"/>
    </row>
    <row r="39" spans="1:10" ht="20.100000000000001" customHeight="1">
      <c r="A39" s="589"/>
      <c r="B39" s="1407"/>
      <c r="C39" s="1408"/>
      <c r="D39" s="590"/>
      <c r="E39" s="586"/>
      <c r="F39" s="590"/>
      <c r="G39" s="591"/>
      <c r="H39" s="590"/>
      <c r="I39" s="592"/>
    </row>
    <row r="40" spans="1:10" ht="20.100000000000001" customHeight="1">
      <c r="A40" s="589"/>
      <c r="B40" s="590"/>
      <c r="C40" s="584"/>
      <c r="D40" s="590"/>
      <c r="E40" s="586"/>
      <c r="F40" s="590"/>
      <c r="G40" s="591"/>
      <c r="H40" s="590"/>
      <c r="I40" s="592"/>
    </row>
    <row r="41" spans="1:10" ht="21.75" customHeight="1">
      <c r="A41" s="589"/>
      <c r="B41" s="590"/>
      <c r="C41" s="584"/>
      <c r="D41" s="590"/>
      <c r="E41" s="586"/>
      <c r="F41" s="590"/>
      <c r="G41" s="591"/>
      <c r="H41" s="590"/>
      <c r="I41" s="592"/>
    </row>
    <row r="42" spans="1:10" ht="21.75" customHeight="1">
      <c r="A42" s="589"/>
      <c r="B42" s="590"/>
      <c r="C42" s="584"/>
      <c r="D42" s="590"/>
      <c r="E42" s="586"/>
      <c r="F42" s="590"/>
      <c r="G42" s="591"/>
      <c r="H42" s="590"/>
      <c r="I42" s="592"/>
    </row>
    <row r="43" spans="1:10" ht="21.75" customHeight="1">
      <c r="A43" s="589"/>
      <c r="B43" s="590"/>
      <c r="C43" s="584"/>
      <c r="D43" s="590"/>
      <c r="E43" s="586"/>
      <c r="F43" s="590"/>
      <c r="G43" s="591"/>
      <c r="H43" s="590"/>
      <c r="I43" s="592"/>
    </row>
    <row r="44" spans="1:10" ht="21.75" customHeight="1">
      <c r="A44" s="589"/>
      <c r="B44" s="590"/>
      <c r="C44" s="584"/>
      <c r="D44" s="590"/>
      <c r="E44" s="586"/>
      <c r="F44" s="590"/>
      <c r="G44" s="591"/>
      <c r="H44" s="590"/>
      <c r="I44" s="592"/>
    </row>
    <row r="45" spans="1:10" ht="21.75" customHeight="1">
      <c r="A45" s="589"/>
      <c r="B45" s="590"/>
      <c r="C45" s="590"/>
      <c r="D45" s="590"/>
      <c r="E45" s="592"/>
      <c r="F45" s="590"/>
      <c r="G45" s="591"/>
      <c r="H45" s="590"/>
      <c r="I45" s="592"/>
    </row>
    <row r="46" spans="1:10" ht="20.25">
      <c r="A46" s="593"/>
      <c r="B46" s="594"/>
      <c r="C46" s="593"/>
      <c r="E46" s="593"/>
      <c r="F46" s="593"/>
      <c r="G46" s="593"/>
      <c r="H46" s="593"/>
      <c r="I46" s="593"/>
    </row>
    <row r="47" spans="1:10" ht="20.25">
      <c r="A47" s="593"/>
      <c r="B47" s="593"/>
      <c r="C47" s="593"/>
      <c r="D47" s="593"/>
      <c r="E47" s="593"/>
      <c r="F47" s="593"/>
      <c r="G47" s="593"/>
      <c r="H47" s="593"/>
      <c r="I47" s="593"/>
    </row>
    <row r="48" spans="1:10" ht="20.25">
      <c r="A48" s="593"/>
      <c r="B48" s="593"/>
      <c r="C48" s="593"/>
      <c r="D48" s="593"/>
      <c r="E48" s="593"/>
      <c r="F48" s="593"/>
      <c r="G48" s="593"/>
      <c r="H48" s="593"/>
      <c r="I48" s="593"/>
    </row>
    <row r="49" spans="1:9" ht="20.25">
      <c r="A49" s="593"/>
      <c r="B49" s="593"/>
      <c r="C49" s="593"/>
      <c r="D49" s="593"/>
      <c r="E49" s="593"/>
      <c r="F49" s="593"/>
      <c r="G49" s="593"/>
      <c r="H49" s="593"/>
      <c r="I49" s="593"/>
    </row>
    <row r="50" spans="1:9" ht="20.25">
      <c r="A50" s="593"/>
      <c r="B50" s="593"/>
      <c r="C50" s="593"/>
      <c r="D50" s="593"/>
      <c r="E50" s="593"/>
      <c r="F50" s="593"/>
      <c r="G50" s="593"/>
      <c r="H50" s="593"/>
      <c r="I50" s="593"/>
    </row>
    <row r="51" spans="1:9" ht="20.25">
      <c r="A51" s="593"/>
      <c r="B51" s="593"/>
      <c r="C51" s="593"/>
      <c r="D51" s="593"/>
      <c r="E51" s="593"/>
      <c r="F51" s="593"/>
      <c r="G51" s="593"/>
      <c r="H51" s="593"/>
      <c r="I51" s="593"/>
    </row>
    <row r="52" spans="1:9" ht="20.25">
      <c r="A52" s="593"/>
      <c r="B52" s="593"/>
      <c r="C52" s="593"/>
      <c r="D52" s="593"/>
      <c r="E52" s="593"/>
      <c r="F52" s="593"/>
      <c r="G52" s="593"/>
      <c r="H52" s="593"/>
      <c r="I52" s="593"/>
    </row>
    <row r="53" spans="1:9" ht="20.25">
      <c r="A53" s="593"/>
      <c r="B53" s="593"/>
      <c r="C53" s="593"/>
      <c r="D53" s="593"/>
      <c r="E53" s="593"/>
      <c r="F53" s="593"/>
      <c r="G53" s="593"/>
      <c r="H53" s="593"/>
      <c r="I53" s="593"/>
    </row>
    <row r="54" spans="1:9" ht="20.25">
      <c r="A54" s="593"/>
      <c r="B54" s="593"/>
      <c r="C54" s="593"/>
      <c r="D54" s="593"/>
      <c r="E54" s="593"/>
      <c r="F54" s="593"/>
      <c r="G54" s="593"/>
      <c r="H54" s="593"/>
      <c r="I54" s="593"/>
    </row>
    <row r="55" spans="1:9" ht="20.25">
      <c r="A55" s="593"/>
      <c r="B55" s="593"/>
      <c r="C55" s="593"/>
      <c r="D55" s="593"/>
      <c r="E55" s="593"/>
      <c r="F55" s="593"/>
      <c r="G55" s="593"/>
      <c r="H55" s="593"/>
      <c r="I55" s="593"/>
    </row>
    <row r="56" spans="1:9" ht="20.25">
      <c r="A56" s="593"/>
      <c r="B56" s="593"/>
      <c r="C56" s="593"/>
      <c r="D56" s="593"/>
      <c r="E56" s="593"/>
      <c r="F56" s="593"/>
      <c r="G56" s="593"/>
      <c r="H56" s="593"/>
      <c r="I56" s="593"/>
    </row>
    <row r="57" spans="1:9" ht="20.25">
      <c r="A57" s="593"/>
      <c r="B57" s="593"/>
      <c r="C57" s="593"/>
      <c r="D57" s="593"/>
      <c r="E57" s="593"/>
      <c r="F57" s="593"/>
      <c r="G57" s="593"/>
      <c r="H57" s="593"/>
      <c r="I57" s="593"/>
    </row>
    <row r="58" spans="1:9" ht="20.25">
      <c r="A58" s="593"/>
      <c r="B58" s="593"/>
      <c r="C58" s="593"/>
      <c r="D58" s="593"/>
      <c r="E58" s="593"/>
      <c r="F58" s="593"/>
      <c r="G58" s="593"/>
      <c r="H58" s="593"/>
      <c r="I58" s="593"/>
    </row>
    <row r="59" spans="1:9" ht="20.25">
      <c r="A59" s="593"/>
      <c r="B59" s="593"/>
      <c r="C59" s="593"/>
      <c r="D59" s="593"/>
      <c r="E59" s="593"/>
      <c r="F59" s="593"/>
      <c r="G59" s="593"/>
      <c r="H59" s="593"/>
      <c r="I59" s="593"/>
    </row>
    <row r="60" spans="1:9" ht="20.25">
      <c r="A60" s="593"/>
      <c r="B60" s="593"/>
      <c r="C60" s="593"/>
      <c r="D60" s="593"/>
      <c r="E60" s="593"/>
      <c r="F60" s="593"/>
      <c r="G60" s="593"/>
      <c r="H60" s="593"/>
      <c r="I60" s="593"/>
    </row>
    <row r="61" spans="1:9" ht="20.25">
      <c r="A61" s="593"/>
      <c r="B61" s="593"/>
      <c r="C61" s="593"/>
      <c r="D61" s="593"/>
      <c r="E61" s="593"/>
      <c r="F61" s="593"/>
      <c r="G61" s="593"/>
      <c r="H61" s="593"/>
      <c r="I61" s="593"/>
    </row>
    <row r="62" spans="1:9" ht="20.25">
      <c r="A62" s="593"/>
      <c r="B62" s="593"/>
      <c r="C62" s="593"/>
      <c r="D62" s="593"/>
      <c r="E62" s="593"/>
      <c r="F62" s="593"/>
      <c r="G62" s="593"/>
      <c r="H62" s="593"/>
      <c r="I62" s="593"/>
    </row>
    <row r="63" spans="1:9" ht="20.25">
      <c r="A63" s="593"/>
      <c r="B63" s="593"/>
      <c r="C63" s="593"/>
      <c r="D63" s="593"/>
      <c r="E63" s="593"/>
      <c r="F63" s="593"/>
      <c r="G63" s="593"/>
      <c r="H63" s="593"/>
      <c r="I63" s="593"/>
    </row>
    <row r="64" spans="1:9" ht="20.25">
      <c r="A64" s="593"/>
      <c r="B64" s="593"/>
      <c r="C64" s="593"/>
      <c r="D64" s="593"/>
      <c r="E64" s="593"/>
      <c r="F64" s="593"/>
      <c r="G64" s="593"/>
      <c r="H64" s="593"/>
      <c r="I64" s="593"/>
    </row>
    <row r="65" spans="1:9" ht="20.25">
      <c r="A65" s="593"/>
      <c r="B65" s="593"/>
      <c r="C65" s="593"/>
      <c r="D65" s="593"/>
      <c r="E65" s="593"/>
      <c r="F65" s="593"/>
      <c r="G65" s="593"/>
      <c r="H65" s="593"/>
      <c r="I65" s="593"/>
    </row>
    <row r="66" spans="1:9" ht="20.25">
      <c r="A66" s="593"/>
      <c r="B66" s="593"/>
      <c r="C66" s="593"/>
      <c r="D66" s="593"/>
      <c r="E66" s="593"/>
      <c r="F66" s="593"/>
      <c r="G66" s="593"/>
      <c r="H66" s="593"/>
      <c r="I66" s="593"/>
    </row>
    <row r="67" spans="1:9" ht="20.25">
      <c r="A67" s="593"/>
      <c r="B67" s="593"/>
      <c r="C67" s="593"/>
      <c r="D67" s="593"/>
      <c r="E67" s="593"/>
      <c r="F67" s="593"/>
      <c r="G67" s="593"/>
      <c r="H67" s="593"/>
      <c r="I67" s="593"/>
    </row>
    <row r="68" spans="1:9" ht="20.25">
      <c r="A68" s="593"/>
      <c r="B68" s="593"/>
      <c r="C68" s="593"/>
      <c r="D68" s="593"/>
      <c r="E68" s="593"/>
      <c r="F68" s="593"/>
      <c r="G68" s="593"/>
      <c r="H68" s="593"/>
      <c r="I68" s="593"/>
    </row>
    <row r="69" spans="1:9" ht="20.25">
      <c r="A69" s="593"/>
      <c r="B69" s="593"/>
      <c r="C69" s="593"/>
      <c r="D69" s="593"/>
      <c r="E69" s="593"/>
      <c r="F69" s="593"/>
      <c r="G69" s="593"/>
      <c r="H69" s="593"/>
      <c r="I69" s="593"/>
    </row>
    <row r="70" spans="1:9" ht="20.25">
      <c r="A70" s="593"/>
      <c r="B70" s="593"/>
      <c r="C70" s="593"/>
      <c r="D70" s="593"/>
      <c r="E70" s="593"/>
      <c r="F70" s="593"/>
      <c r="G70" s="593"/>
      <c r="H70" s="593"/>
      <c r="I70" s="593"/>
    </row>
    <row r="71" spans="1:9" ht="20.25">
      <c r="A71" s="593"/>
      <c r="B71" s="593"/>
      <c r="C71" s="593"/>
      <c r="D71" s="593"/>
      <c r="E71" s="593"/>
      <c r="F71" s="593"/>
      <c r="G71" s="593"/>
      <c r="H71" s="593"/>
      <c r="I71" s="593"/>
    </row>
    <row r="72" spans="1:9" ht="20.25">
      <c r="A72" s="593"/>
      <c r="B72" s="593"/>
      <c r="C72" s="593"/>
      <c r="D72" s="593"/>
      <c r="E72" s="593"/>
      <c r="F72" s="593"/>
      <c r="G72" s="593"/>
      <c r="H72" s="593"/>
      <c r="I72" s="593"/>
    </row>
    <row r="73" spans="1:9" ht="20.25">
      <c r="A73" s="593"/>
      <c r="B73" s="593"/>
      <c r="C73" s="593"/>
      <c r="D73" s="593"/>
      <c r="E73" s="593"/>
      <c r="F73" s="593"/>
      <c r="G73" s="593"/>
      <c r="H73" s="593"/>
      <c r="I73" s="593"/>
    </row>
    <row r="74" spans="1:9" ht="20.25">
      <c r="A74" s="593"/>
      <c r="B74" s="593"/>
      <c r="C74" s="593"/>
      <c r="D74" s="593"/>
      <c r="E74" s="593"/>
      <c r="F74" s="593"/>
      <c r="G74" s="593"/>
      <c r="H74" s="593"/>
      <c r="I74" s="593"/>
    </row>
    <row r="75" spans="1:9" ht="20.25">
      <c r="A75" s="593"/>
      <c r="B75" s="593"/>
      <c r="C75" s="593"/>
      <c r="D75" s="593"/>
      <c r="E75" s="593"/>
      <c r="F75" s="593"/>
      <c r="G75" s="593"/>
      <c r="H75" s="593"/>
      <c r="I75" s="593"/>
    </row>
    <row r="76" spans="1:9" ht="20.25">
      <c r="A76" s="593"/>
      <c r="B76" s="593"/>
      <c r="C76" s="593"/>
      <c r="D76" s="593"/>
      <c r="E76" s="593"/>
      <c r="F76" s="593"/>
      <c r="G76" s="593"/>
      <c r="H76" s="593"/>
      <c r="I76" s="593"/>
    </row>
    <row r="77" spans="1:9" ht="20.25">
      <c r="A77" s="593"/>
      <c r="B77" s="593"/>
      <c r="C77" s="593"/>
      <c r="D77" s="593"/>
      <c r="E77" s="593"/>
      <c r="F77" s="593"/>
      <c r="G77" s="593"/>
      <c r="H77" s="593"/>
      <c r="I77" s="593"/>
    </row>
    <row r="78" spans="1:9" ht="20.25">
      <c r="A78" s="593"/>
      <c r="B78" s="593"/>
      <c r="C78" s="593"/>
      <c r="D78" s="593"/>
      <c r="E78" s="593"/>
      <c r="F78" s="593"/>
      <c r="G78" s="593"/>
      <c r="H78" s="593"/>
      <c r="I78" s="593"/>
    </row>
    <row r="79" spans="1:9" ht="20.25">
      <c r="A79" s="593"/>
      <c r="B79" s="593"/>
      <c r="C79" s="593"/>
      <c r="D79" s="593"/>
      <c r="E79" s="593"/>
      <c r="F79" s="593"/>
      <c r="G79" s="593"/>
      <c r="H79" s="593"/>
      <c r="I79" s="593"/>
    </row>
    <row r="80" spans="1:9" ht="20.25">
      <c r="A80" s="593"/>
      <c r="B80" s="593"/>
      <c r="C80" s="593"/>
      <c r="D80" s="593"/>
      <c r="E80" s="593"/>
      <c r="F80" s="593"/>
      <c r="G80" s="593"/>
      <c r="H80" s="593"/>
      <c r="I80" s="593"/>
    </row>
    <row r="81" spans="1:9" ht="20.25">
      <c r="A81" s="593"/>
      <c r="B81" s="593"/>
      <c r="C81" s="593"/>
      <c r="D81" s="593"/>
      <c r="E81" s="593"/>
      <c r="F81" s="593"/>
      <c r="G81" s="593"/>
      <c r="H81" s="593"/>
      <c r="I81" s="593"/>
    </row>
    <row r="82" spans="1:9" ht="20.25">
      <c r="A82" s="593"/>
      <c r="B82" s="593"/>
      <c r="C82" s="593"/>
      <c r="D82" s="593"/>
      <c r="E82" s="593"/>
      <c r="F82" s="593"/>
      <c r="G82" s="593"/>
      <c r="H82" s="593"/>
      <c r="I82" s="593"/>
    </row>
    <row r="83" spans="1:9" ht="20.25">
      <c r="A83" s="593"/>
      <c r="B83" s="593"/>
      <c r="C83" s="593"/>
      <c r="D83" s="593"/>
      <c r="E83" s="593"/>
      <c r="F83" s="593"/>
      <c r="G83" s="593"/>
      <c r="H83" s="593"/>
      <c r="I83" s="593"/>
    </row>
    <row r="84" spans="1:9" ht="20.25">
      <c r="A84" s="593"/>
      <c r="B84" s="593"/>
      <c r="C84" s="593"/>
      <c r="D84" s="593"/>
      <c r="E84" s="593"/>
      <c r="F84" s="593"/>
      <c r="G84" s="593"/>
      <c r="H84" s="593"/>
      <c r="I84" s="593"/>
    </row>
    <row r="85" spans="1:9" ht="20.25">
      <c r="A85" s="593"/>
      <c r="B85" s="593"/>
      <c r="C85" s="593"/>
      <c r="D85" s="593"/>
      <c r="E85" s="593"/>
      <c r="F85" s="593"/>
      <c r="G85" s="593"/>
      <c r="H85" s="593"/>
      <c r="I85" s="593"/>
    </row>
    <row r="86" spans="1:9" ht="20.25">
      <c r="A86" s="593"/>
      <c r="B86" s="593"/>
      <c r="C86" s="593"/>
      <c r="D86" s="593"/>
      <c r="E86" s="593"/>
      <c r="F86" s="593"/>
      <c r="G86" s="593"/>
      <c r="H86" s="593"/>
      <c r="I86" s="593"/>
    </row>
    <row r="87" spans="1:9" ht="20.25">
      <c r="A87" s="593"/>
      <c r="B87" s="593"/>
      <c r="C87" s="593"/>
      <c r="D87" s="593"/>
      <c r="E87" s="593"/>
      <c r="F87" s="593"/>
      <c r="G87" s="593"/>
      <c r="H87" s="593"/>
      <c r="I87" s="593"/>
    </row>
    <row r="88" spans="1:9" ht="20.25">
      <c r="A88" s="593"/>
      <c r="B88" s="593"/>
      <c r="C88" s="593"/>
      <c r="D88" s="593"/>
      <c r="E88" s="593"/>
      <c r="F88" s="593"/>
      <c r="G88" s="593"/>
      <c r="H88" s="593"/>
      <c r="I88" s="593"/>
    </row>
    <row r="89" spans="1:9" ht="20.25">
      <c r="A89" s="593"/>
      <c r="B89" s="593"/>
      <c r="C89" s="593"/>
      <c r="D89" s="593"/>
      <c r="E89" s="593"/>
      <c r="F89" s="593"/>
      <c r="G89" s="593"/>
      <c r="H89" s="593"/>
      <c r="I89" s="593"/>
    </row>
    <row r="90" spans="1:9" ht="20.25">
      <c r="A90" s="593"/>
      <c r="B90" s="593"/>
      <c r="C90" s="593"/>
      <c r="D90" s="593"/>
      <c r="E90" s="593"/>
      <c r="F90" s="593"/>
      <c r="G90" s="593"/>
      <c r="H90" s="593"/>
      <c r="I90" s="593"/>
    </row>
    <row r="91" spans="1:9" ht="20.25">
      <c r="A91" s="593"/>
      <c r="B91" s="593"/>
      <c r="C91" s="593"/>
      <c r="D91" s="593"/>
      <c r="E91" s="593"/>
      <c r="F91" s="593"/>
      <c r="G91" s="593"/>
      <c r="H91" s="593"/>
      <c r="I91" s="593"/>
    </row>
    <row r="92" spans="1:9" ht="20.25">
      <c r="A92" s="593"/>
      <c r="B92" s="593"/>
      <c r="C92" s="593"/>
      <c r="D92" s="593"/>
      <c r="E92" s="593"/>
      <c r="F92" s="593"/>
      <c r="G92" s="593"/>
      <c r="H92" s="593"/>
      <c r="I92" s="593"/>
    </row>
    <row r="93" spans="1:9" ht="20.25">
      <c r="A93" s="593"/>
      <c r="B93" s="593"/>
      <c r="C93" s="593"/>
      <c r="D93" s="593"/>
      <c r="E93" s="593"/>
      <c r="F93" s="593"/>
      <c r="G93" s="593"/>
      <c r="H93" s="593"/>
      <c r="I93" s="593"/>
    </row>
    <row r="94" spans="1:9" ht="20.25">
      <c r="A94" s="593"/>
      <c r="B94" s="593"/>
      <c r="C94" s="593"/>
      <c r="D94" s="593"/>
      <c r="E94" s="593"/>
      <c r="F94" s="593"/>
      <c r="G94" s="593"/>
      <c r="H94" s="593"/>
      <c r="I94" s="593"/>
    </row>
    <row r="95" spans="1:9" ht="20.25">
      <c r="A95" s="593"/>
      <c r="B95" s="593"/>
      <c r="C95" s="593"/>
      <c r="D95" s="593"/>
      <c r="E95" s="593"/>
      <c r="F95" s="593"/>
      <c r="G95" s="593"/>
      <c r="H95" s="593"/>
      <c r="I95" s="593"/>
    </row>
    <row r="96" spans="1:9" ht="20.25">
      <c r="A96" s="593"/>
      <c r="B96" s="593"/>
      <c r="C96" s="593"/>
      <c r="D96" s="593"/>
      <c r="E96" s="593"/>
      <c r="F96" s="593"/>
      <c r="G96" s="593"/>
      <c r="H96" s="593"/>
      <c r="I96" s="593"/>
    </row>
    <row r="97" spans="1:9" ht="20.25">
      <c r="A97" s="593"/>
      <c r="B97" s="593"/>
      <c r="C97" s="593"/>
      <c r="D97" s="593"/>
      <c r="E97" s="593"/>
      <c r="F97" s="593"/>
      <c r="G97" s="593"/>
      <c r="H97" s="593"/>
      <c r="I97" s="593"/>
    </row>
    <row r="98" spans="1:9" ht="20.25">
      <c r="A98" s="593"/>
      <c r="B98" s="593"/>
      <c r="C98" s="593"/>
      <c r="D98" s="593"/>
      <c r="E98" s="593"/>
      <c r="F98" s="593"/>
      <c r="G98" s="593"/>
      <c r="H98" s="593"/>
      <c r="I98" s="593"/>
    </row>
    <row r="99" spans="1:9" ht="20.25">
      <c r="A99" s="593"/>
      <c r="B99" s="593"/>
      <c r="C99" s="593"/>
      <c r="D99" s="593"/>
      <c r="E99" s="593"/>
      <c r="F99" s="593"/>
      <c r="G99" s="593"/>
      <c r="H99" s="593"/>
      <c r="I99" s="593"/>
    </row>
    <row r="100" spans="1:9" ht="20.25">
      <c r="A100" s="593"/>
      <c r="B100" s="593"/>
      <c r="C100" s="593"/>
      <c r="D100" s="593"/>
      <c r="E100" s="593"/>
      <c r="F100" s="593"/>
      <c r="G100" s="593"/>
      <c r="H100" s="593"/>
      <c r="I100" s="593"/>
    </row>
    <row r="101" spans="1:9" ht="20.25">
      <c r="A101" s="593"/>
      <c r="B101" s="593"/>
      <c r="C101" s="593"/>
      <c r="D101" s="593"/>
      <c r="E101" s="593"/>
      <c r="F101" s="593"/>
      <c r="G101" s="593"/>
      <c r="H101" s="593"/>
      <c r="I101" s="593"/>
    </row>
    <row r="102" spans="1:9" ht="20.25">
      <c r="A102" s="593"/>
      <c r="B102" s="593"/>
      <c r="C102" s="593"/>
      <c r="D102" s="593"/>
      <c r="E102" s="593"/>
      <c r="F102" s="593"/>
      <c r="G102" s="593"/>
      <c r="H102" s="593"/>
      <c r="I102" s="593"/>
    </row>
    <row r="103" spans="1:9" ht="20.25">
      <c r="A103" s="593"/>
      <c r="B103" s="593"/>
      <c r="C103" s="593"/>
      <c r="D103" s="593"/>
      <c r="E103" s="593"/>
      <c r="F103" s="593"/>
      <c r="G103" s="593"/>
      <c r="H103" s="593"/>
      <c r="I103" s="593"/>
    </row>
    <row r="104" spans="1:9" ht="20.25">
      <c r="A104" s="593"/>
      <c r="B104" s="593"/>
      <c r="C104" s="593"/>
      <c r="D104" s="593"/>
      <c r="E104" s="593"/>
      <c r="F104" s="593"/>
      <c r="G104" s="593"/>
      <c r="H104" s="593"/>
      <c r="I104" s="593"/>
    </row>
    <row r="105" spans="1:9" ht="20.25">
      <c r="A105" s="593"/>
      <c r="B105" s="593"/>
      <c r="C105" s="593"/>
      <c r="D105" s="593"/>
      <c r="E105" s="593"/>
      <c r="F105" s="593"/>
      <c r="G105" s="593"/>
      <c r="H105" s="593"/>
      <c r="I105" s="593"/>
    </row>
    <row r="106" spans="1:9" ht="20.25">
      <c r="A106" s="593"/>
      <c r="B106" s="593"/>
      <c r="C106" s="593"/>
      <c r="D106" s="593"/>
      <c r="E106" s="593"/>
      <c r="F106" s="593"/>
      <c r="G106" s="593"/>
      <c r="H106" s="593"/>
      <c r="I106" s="593"/>
    </row>
    <row r="107" spans="1:9" ht="20.25">
      <c r="A107" s="593"/>
      <c r="B107" s="593"/>
      <c r="C107" s="593"/>
      <c r="D107" s="593"/>
      <c r="E107" s="593"/>
      <c r="F107" s="593"/>
      <c r="G107" s="593"/>
      <c r="H107" s="593"/>
      <c r="I107" s="593"/>
    </row>
    <row r="108" spans="1:9" ht="20.25">
      <c r="A108" s="593"/>
      <c r="B108" s="593"/>
      <c r="C108" s="593"/>
      <c r="D108" s="593"/>
      <c r="E108" s="593"/>
      <c r="F108" s="593"/>
      <c r="G108" s="593"/>
      <c r="H108" s="593"/>
      <c r="I108" s="593"/>
    </row>
    <row r="109" spans="1:9" ht="20.25">
      <c r="A109" s="593"/>
      <c r="B109" s="593"/>
      <c r="C109" s="593"/>
      <c r="D109" s="593"/>
      <c r="E109" s="593"/>
      <c r="F109" s="593"/>
      <c r="G109" s="593"/>
      <c r="H109" s="593"/>
      <c r="I109" s="593"/>
    </row>
    <row r="110" spans="1:9" ht="20.25">
      <c r="A110" s="593"/>
      <c r="B110" s="593"/>
      <c r="C110" s="593"/>
      <c r="D110" s="593"/>
      <c r="E110" s="593"/>
      <c r="F110" s="593"/>
      <c r="G110" s="593"/>
      <c r="H110" s="593"/>
      <c r="I110" s="593"/>
    </row>
    <row r="111" spans="1:9" ht="20.25">
      <c r="A111" s="593"/>
      <c r="B111" s="593"/>
      <c r="C111" s="593"/>
      <c r="D111" s="593"/>
      <c r="E111" s="593"/>
      <c r="F111" s="593"/>
      <c r="G111" s="593"/>
      <c r="H111" s="593"/>
      <c r="I111" s="593"/>
    </row>
    <row r="112" spans="1:9" ht="20.25">
      <c r="A112" s="593"/>
      <c r="B112" s="593"/>
      <c r="C112" s="593"/>
      <c r="D112" s="593"/>
      <c r="E112" s="593"/>
      <c r="F112" s="593"/>
      <c r="G112" s="593"/>
      <c r="H112" s="593"/>
      <c r="I112" s="593"/>
    </row>
    <row r="113" spans="1:9" ht="20.25">
      <c r="A113" s="593"/>
      <c r="B113" s="593"/>
      <c r="C113" s="593"/>
      <c r="D113" s="593"/>
      <c r="E113" s="593"/>
      <c r="F113" s="593"/>
      <c r="G113" s="593"/>
      <c r="H113" s="593"/>
      <c r="I113" s="593"/>
    </row>
    <row r="114" spans="1:9" ht="20.25">
      <c r="A114" s="593"/>
      <c r="B114" s="593"/>
      <c r="C114" s="593"/>
      <c r="D114" s="593"/>
      <c r="E114" s="593"/>
      <c r="F114" s="593"/>
      <c r="G114" s="593"/>
      <c r="H114" s="593"/>
      <c r="I114" s="593"/>
    </row>
    <row r="115" spans="1:9" ht="20.25">
      <c r="A115" s="593"/>
      <c r="B115" s="593"/>
      <c r="C115" s="593"/>
      <c r="D115" s="593"/>
      <c r="E115" s="593"/>
      <c r="F115" s="593"/>
      <c r="G115" s="593"/>
      <c r="H115" s="593"/>
      <c r="I115" s="593"/>
    </row>
    <row r="116" spans="1:9" ht="20.25">
      <c r="A116" s="593"/>
      <c r="B116" s="593"/>
      <c r="C116" s="593"/>
      <c r="D116" s="593"/>
      <c r="E116" s="593"/>
      <c r="F116" s="593"/>
      <c r="G116" s="593"/>
      <c r="H116" s="593"/>
      <c r="I116" s="593"/>
    </row>
    <row r="117" spans="1:9" ht="20.25">
      <c r="A117" s="593"/>
      <c r="B117" s="593"/>
      <c r="C117" s="593"/>
      <c r="D117" s="593"/>
      <c r="E117" s="593"/>
      <c r="F117" s="593"/>
      <c r="G117" s="593"/>
      <c r="H117" s="593"/>
      <c r="I117" s="593"/>
    </row>
    <row r="118" spans="1:9" ht="20.25">
      <c r="A118" s="593"/>
      <c r="B118" s="593"/>
      <c r="C118" s="593"/>
      <c r="D118" s="593"/>
      <c r="E118" s="593"/>
      <c r="F118" s="593"/>
      <c r="G118" s="593"/>
      <c r="H118" s="593"/>
      <c r="I118" s="593"/>
    </row>
    <row r="119" spans="1:9" ht="20.25">
      <c r="A119" s="593"/>
      <c r="B119" s="593"/>
      <c r="C119" s="593"/>
      <c r="D119" s="593"/>
      <c r="E119" s="593"/>
      <c r="F119" s="593"/>
      <c r="G119" s="593"/>
      <c r="H119" s="593"/>
      <c r="I119" s="593"/>
    </row>
    <row r="120" spans="1:9" ht="20.25">
      <c r="A120" s="593"/>
      <c r="B120" s="593"/>
      <c r="C120" s="593"/>
      <c r="D120" s="593"/>
      <c r="E120" s="593"/>
      <c r="F120" s="593"/>
      <c r="G120" s="593"/>
      <c r="H120" s="593"/>
      <c r="I120" s="593"/>
    </row>
    <row r="121" spans="1:9" ht="20.25">
      <c r="A121" s="593"/>
      <c r="B121" s="593"/>
      <c r="C121" s="593"/>
      <c r="D121" s="593"/>
      <c r="E121" s="593"/>
      <c r="F121" s="593"/>
      <c r="G121" s="593"/>
      <c r="H121" s="593"/>
      <c r="I121" s="593"/>
    </row>
    <row r="122" spans="1:9" ht="20.25">
      <c r="A122" s="593"/>
      <c r="B122" s="593"/>
      <c r="C122" s="593"/>
      <c r="D122" s="593"/>
      <c r="E122" s="593"/>
      <c r="F122" s="593"/>
      <c r="G122" s="593"/>
      <c r="H122" s="593"/>
      <c r="I122" s="593"/>
    </row>
    <row r="123" spans="1:9" ht="20.25">
      <c r="A123" s="593"/>
      <c r="B123" s="593"/>
      <c r="C123" s="593"/>
      <c r="D123" s="593"/>
      <c r="E123" s="593"/>
      <c r="F123" s="593"/>
      <c r="G123" s="593"/>
      <c r="H123" s="593"/>
      <c r="I123" s="593"/>
    </row>
    <row r="124" spans="1:9" ht="20.25">
      <c r="A124" s="593"/>
      <c r="B124" s="593"/>
      <c r="C124" s="593"/>
      <c r="D124" s="593"/>
      <c r="E124" s="593"/>
      <c r="F124" s="593"/>
      <c r="G124" s="593"/>
      <c r="H124" s="593"/>
      <c r="I124" s="593"/>
    </row>
    <row r="125" spans="1:9" ht="20.25">
      <c r="A125" s="593"/>
      <c r="B125" s="593"/>
      <c r="C125" s="593"/>
      <c r="D125" s="593"/>
      <c r="E125" s="593"/>
      <c r="F125" s="593"/>
      <c r="G125" s="593"/>
      <c r="H125" s="593"/>
      <c r="I125" s="593"/>
    </row>
    <row r="126" spans="1:9" ht="20.25">
      <c r="A126" s="593"/>
      <c r="B126" s="593"/>
      <c r="C126" s="593"/>
      <c r="D126" s="593"/>
      <c r="E126" s="593"/>
      <c r="F126" s="593"/>
      <c r="G126" s="593"/>
      <c r="H126" s="593"/>
      <c r="I126" s="593"/>
    </row>
    <row r="127" spans="1:9" ht="20.25">
      <c r="A127" s="593"/>
      <c r="B127" s="593"/>
      <c r="C127" s="593"/>
      <c r="D127" s="593"/>
      <c r="E127" s="593"/>
      <c r="F127" s="593"/>
      <c r="G127" s="593"/>
      <c r="H127" s="593"/>
      <c r="I127" s="593"/>
    </row>
    <row r="128" spans="1:9" ht="20.25">
      <c r="A128" s="593"/>
      <c r="B128" s="593"/>
      <c r="C128" s="593"/>
      <c r="D128" s="593"/>
      <c r="E128" s="593"/>
      <c r="F128" s="593"/>
      <c r="G128" s="593"/>
      <c r="H128" s="593"/>
      <c r="I128" s="593"/>
    </row>
    <row r="129" spans="1:9" ht="20.25">
      <c r="A129" s="593"/>
      <c r="B129" s="593"/>
      <c r="C129" s="593"/>
      <c r="D129" s="593"/>
      <c r="E129" s="593"/>
      <c r="F129" s="593"/>
      <c r="G129" s="593"/>
      <c r="H129" s="593"/>
      <c r="I129" s="593"/>
    </row>
    <row r="130" spans="1:9" ht="20.25">
      <c r="A130" s="593"/>
      <c r="B130" s="593"/>
      <c r="C130" s="593"/>
      <c r="D130" s="593"/>
      <c r="E130" s="593"/>
      <c r="F130" s="593"/>
      <c r="G130" s="593"/>
      <c r="H130" s="593"/>
      <c r="I130" s="593"/>
    </row>
    <row r="131" spans="1:9" ht="20.25">
      <c r="A131" s="593"/>
      <c r="B131" s="593"/>
      <c r="C131" s="593"/>
      <c r="D131" s="593"/>
      <c r="E131" s="593"/>
      <c r="F131" s="593"/>
      <c r="G131" s="593"/>
      <c r="H131" s="593"/>
      <c r="I131" s="593"/>
    </row>
    <row r="132" spans="1:9" ht="20.25">
      <c r="A132" s="593"/>
      <c r="B132" s="593"/>
      <c r="C132" s="593"/>
      <c r="D132" s="593"/>
      <c r="E132" s="593"/>
      <c r="F132" s="593"/>
      <c r="G132" s="593"/>
      <c r="H132" s="593"/>
      <c r="I132" s="593"/>
    </row>
    <row r="133" spans="1:9" ht="20.25">
      <c r="A133" s="593"/>
      <c r="B133" s="593"/>
      <c r="C133" s="593"/>
      <c r="D133" s="593"/>
      <c r="E133" s="593"/>
      <c r="F133" s="593"/>
      <c r="G133" s="593"/>
      <c r="H133" s="593"/>
      <c r="I133" s="593"/>
    </row>
    <row r="134" spans="1:9" ht="20.25">
      <c r="A134" s="593"/>
      <c r="B134" s="593"/>
      <c r="C134" s="593"/>
      <c r="D134" s="593"/>
      <c r="E134" s="593"/>
      <c r="F134" s="593"/>
      <c r="G134" s="593"/>
      <c r="H134" s="593"/>
      <c r="I134" s="593"/>
    </row>
    <row r="135" spans="1:9" ht="20.25">
      <c r="A135" s="593"/>
      <c r="B135" s="593"/>
      <c r="C135" s="593"/>
      <c r="D135" s="593"/>
      <c r="E135" s="593"/>
      <c r="F135" s="593"/>
      <c r="G135" s="593"/>
      <c r="H135" s="593"/>
      <c r="I135" s="593"/>
    </row>
    <row r="136" spans="1:9" ht="20.25">
      <c r="A136" s="593"/>
      <c r="B136" s="593"/>
      <c r="C136" s="593"/>
      <c r="D136" s="593"/>
      <c r="E136" s="593"/>
      <c r="F136" s="593"/>
      <c r="G136" s="593"/>
      <c r="H136" s="593"/>
      <c r="I136" s="593"/>
    </row>
    <row r="137" spans="1:9" ht="20.25">
      <c r="A137" s="593"/>
      <c r="B137" s="593"/>
      <c r="C137" s="593"/>
      <c r="D137" s="593"/>
      <c r="E137" s="593"/>
      <c r="F137" s="593"/>
      <c r="G137" s="593"/>
      <c r="H137" s="593"/>
      <c r="I137" s="593"/>
    </row>
    <row r="138" spans="1:9" ht="20.25">
      <c r="A138" s="593"/>
      <c r="B138" s="593"/>
      <c r="C138" s="593"/>
      <c r="D138" s="593"/>
      <c r="E138" s="593"/>
      <c r="F138" s="593"/>
      <c r="G138" s="593"/>
      <c r="H138" s="593"/>
      <c r="I138" s="593"/>
    </row>
    <row r="139" spans="1:9" ht="20.25">
      <c r="A139" s="593"/>
      <c r="B139" s="593"/>
      <c r="C139" s="593"/>
      <c r="D139" s="593"/>
      <c r="E139" s="593"/>
      <c r="F139" s="593"/>
      <c r="G139" s="593"/>
      <c r="H139" s="593"/>
      <c r="I139" s="593"/>
    </row>
    <row r="140" spans="1:9" ht="20.25">
      <c r="A140" s="593"/>
      <c r="B140" s="593"/>
      <c r="C140" s="593"/>
      <c r="D140" s="593"/>
      <c r="E140" s="593"/>
      <c r="F140" s="593"/>
      <c r="G140" s="593"/>
      <c r="H140" s="593"/>
      <c r="I140" s="593"/>
    </row>
    <row r="141" spans="1:9" ht="20.25">
      <c r="A141" s="593"/>
      <c r="B141" s="593"/>
      <c r="C141" s="593"/>
      <c r="D141" s="593"/>
      <c r="E141" s="593"/>
      <c r="F141" s="593"/>
      <c r="G141" s="593"/>
      <c r="H141" s="593"/>
      <c r="I141" s="593"/>
    </row>
    <row r="142" spans="1:9" ht="20.25">
      <c r="A142" s="593"/>
      <c r="B142" s="593"/>
      <c r="C142" s="593"/>
      <c r="D142" s="593"/>
      <c r="E142" s="593"/>
      <c r="F142" s="593"/>
      <c r="G142" s="593"/>
      <c r="H142" s="593"/>
      <c r="I142" s="593"/>
    </row>
    <row r="143" spans="1:9" ht="20.25">
      <c r="A143" s="593"/>
      <c r="B143" s="593"/>
      <c r="C143" s="593"/>
      <c r="D143" s="593"/>
      <c r="E143" s="593"/>
      <c r="F143" s="593"/>
      <c r="G143" s="593"/>
      <c r="H143" s="593"/>
      <c r="I143" s="593"/>
    </row>
    <row r="144" spans="1:9" ht="20.25">
      <c r="A144" s="593"/>
      <c r="B144" s="593"/>
      <c r="C144" s="593"/>
      <c r="D144" s="593"/>
      <c r="E144" s="593"/>
      <c r="F144" s="593"/>
      <c r="G144" s="593"/>
      <c r="H144" s="593"/>
      <c r="I144" s="593"/>
    </row>
    <row r="145" spans="1:9" ht="20.25">
      <c r="A145" s="593"/>
      <c r="B145" s="593"/>
      <c r="C145" s="593"/>
      <c r="D145" s="593"/>
      <c r="E145" s="593"/>
      <c r="F145" s="593"/>
      <c r="G145" s="593"/>
      <c r="H145" s="593"/>
      <c r="I145" s="593"/>
    </row>
    <row r="146" spans="1:9" ht="20.25">
      <c r="A146" s="593"/>
      <c r="B146" s="593"/>
      <c r="C146" s="593"/>
      <c r="D146" s="593"/>
      <c r="E146" s="593"/>
      <c r="F146" s="593"/>
      <c r="G146" s="593"/>
      <c r="H146" s="593"/>
      <c r="I146" s="593"/>
    </row>
    <row r="147" spans="1:9" ht="20.25">
      <c r="A147" s="593"/>
      <c r="B147" s="593"/>
      <c r="C147" s="593"/>
      <c r="D147" s="593"/>
      <c r="E147" s="593"/>
      <c r="F147" s="593"/>
      <c r="G147" s="593"/>
      <c r="H147" s="593"/>
      <c r="I147" s="593"/>
    </row>
    <row r="148" spans="1:9" ht="20.25">
      <c r="A148" s="593"/>
      <c r="B148" s="593"/>
      <c r="C148" s="593"/>
      <c r="D148" s="593"/>
      <c r="E148" s="593"/>
      <c r="F148" s="593"/>
      <c r="G148" s="593"/>
      <c r="H148" s="593"/>
      <c r="I148" s="593"/>
    </row>
    <row r="149" spans="1:9" ht="20.25">
      <c r="A149" s="593"/>
      <c r="B149" s="593"/>
      <c r="C149" s="593"/>
      <c r="D149" s="593"/>
      <c r="E149" s="593"/>
      <c r="F149" s="593"/>
      <c r="G149" s="593"/>
      <c r="H149" s="593"/>
      <c r="I149" s="593"/>
    </row>
    <row r="150" spans="1:9" ht="20.25">
      <c r="A150" s="593"/>
      <c r="B150" s="593"/>
      <c r="C150" s="593"/>
      <c r="D150" s="593"/>
      <c r="E150" s="593"/>
      <c r="F150" s="593"/>
      <c r="G150" s="593"/>
      <c r="H150" s="593"/>
      <c r="I150" s="593"/>
    </row>
    <row r="151" spans="1:9" ht="20.25">
      <c r="A151" s="593"/>
      <c r="B151" s="593"/>
      <c r="C151" s="593"/>
      <c r="D151" s="593"/>
      <c r="E151" s="593"/>
      <c r="F151" s="593"/>
      <c r="G151" s="593"/>
      <c r="H151" s="593"/>
      <c r="I151" s="593"/>
    </row>
    <row r="152" spans="1:9" ht="20.25">
      <c r="A152" s="593"/>
      <c r="B152" s="593"/>
      <c r="C152" s="593"/>
      <c r="D152" s="593"/>
      <c r="E152" s="593"/>
      <c r="F152" s="593"/>
      <c r="G152" s="593"/>
      <c r="H152" s="593"/>
      <c r="I152" s="593"/>
    </row>
    <row r="153" spans="1:9" ht="20.25">
      <c r="A153" s="593"/>
      <c r="B153" s="593"/>
      <c r="C153" s="593"/>
      <c r="D153" s="593"/>
      <c r="E153" s="593"/>
      <c r="F153" s="593"/>
      <c r="G153" s="593"/>
      <c r="H153" s="593"/>
      <c r="I153" s="593"/>
    </row>
    <row r="154" spans="1:9" ht="20.25">
      <c r="A154" s="593"/>
      <c r="B154" s="593"/>
      <c r="C154" s="593"/>
      <c r="D154" s="593"/>
      <c r="E154" s="593"/>
      <c r="F154" s="593"/>
      <c r="G154" s="593"/>
      <c r="H154" s="593"/>
      <c r="I154" s="593"/>
    </row>
    <row r="155" spans="1:9" ht="20.25">
      <c r="A155" s="593"/>
      <c r="B155" s="593"/>
      <c r="C155" s="593"/>
      <c r="D155" s="593"/>
      <c r="E155" s="593"/>
      <c r="F155" s="593"/>
      <c r="G155" s="593"/>
      <c r="H155" s="593"/>
      <c r="I155" s="593"/>
    </row>
    <row r="156" spans="1:9" ht="20.25">
      <c r="A156" s="593"/>
      <c r="B156" s="593"/>
      <c r="C156" s="593"/>
      <c r="D156" s="593"/>
      <c r="E156" s="593"/>
      <c r="F156" s="593"/>
      <c r="G156" s="593"/>
      <c r="H156" s="593"/>
      <c r="I156" s="593"/>
    </row>
    <row r="157" spans="1:9" ht="20.25">
      <c r="A157" s="593"/>
      <c r="B157" s="593"/>
      <c r="C157" s="593"/>
      <c r="D157" s="593"/>
      <c r="E157" s="593"/>
      <c r="F157" s="593"/>
      <c r="G157" s="593"/>
      <c r="H157" s="593"/>
      <c r="I157" s="593"/>
    </row>
    <row r="158" spans="1:9" ht="20.25">
      <c r="A158" s="593"/>
      <c r="B158" s="593"/>
      <c r="C158" s="593"/>
      <c r="D158" s="593"/>
      <c r="E158" s="593"/>
      <c r="F158" s="593"/>
      <c r="G158" s="593"/>
      <c r="H158" s="593"/>
      <c r="I158" s="593"/>
    </row>
    <row r="159" spans="1:9" ht="20.25">
      <c r="A159" s="593"/>
      <c r="B159" s="593"/>
      <c r="C159" s="593"/>
      <c r="D159" s="593"/>
      <c r="E159" s="593"/>
      <c r="F159" s="593"/>
      <c r="G159" s="593"/>
      <c r="H159" s="593"/>
      <c r="I159" s="593"/>
    </row>
    <row r="160" spans="1:9" ht="20.25">
      <c r="A160" s="593"/>
      <c r="B160" s="593"/>
      <c r="C160" s="593"/>
      <c r="D160" s="593"/>
      <c r="E160" s="593"/>
      <c r="F160" s="593"/>
      <c r="G160" s="593"/>
      <c r="H160" s="593"/>
      <c r="I160" s="593"/>
    </row>
    <row r="161" spans="1:9" ht="20.25">
      <c r="A161" s="593"/>
      <c r="B161" s="593"/>
      <c r="C161" s="593"/>
      <c r="D161" s="593"/>
      <c r="E161" s="593"/>
      <c r="F161" s="593"/>
      <c r="G161" s="593"/>
      <c r="H161" s="593"/>
      <c r="I161" s="593"/>
    </row>
    <row r="162" spans="1:9" ht="20.25">
      <c r="A162" s="593"/>
      <c r="B162" s="593"/>
      <c r="C162" s="593"/>
      <c r="D162" s="593"/>
      <c r="E162" s="593"/>
      <c r="F162" s="593"/>
      <c r="G162" s="593"/>
      <c r="H162" s="593"/>
      <c r="I162" s="593"/>
    </row>
    <row r="163" spans="1:9" ht="20.25">
      <c r="A163" s="593"/>
      <c r="B163" s="593"/>
      <c r="C163" s="593"/>
      <c r="D163" s="593"/>
      <c r="E163" s="593"/>
      <c r="F163" s="593"/>
      <c r="G163" s="593"/>
      <c r="H163" s="593"/>
      <c r="I163" s="593"/>
    </row>
    <row r="164" spans="1:9" ht="20.25">
      <c r="A164" s="593"/>
      <c r="B164" s="593"/>
      <c r="C164" s="593"/>
      <c r="D164" s="593"/>
      <c r="E164" s="593"/>
      <c r="F164" s="593"/>
      <c r="G164" s="593"/>
      <c r="H164" s="593"/>
      <c r="I164" s="593"/>
    </row>
    <row r="165" spans="1:9" ht="20.25">
      <c r="A165" s="593"/>
      <c r="B165" s="593"/>
      <c r="C165" s="593"/>
      <c r="D165" s="593"/>
      <c r="E165" s="593"/>
      <c r="F165" s="593"/>
      <c r="G165" s="593"/>
      <c r="H165" s="593"/>
      <c r="I165" s="593"/>
    </row>
    <row r="166" spans="1:9" ht="20.25">
      <c r="A166" s="593"/>
      <c r="B166" s="593"/>
      <c r="C166" s="593"/>
      <c r="D166" s="593"/>
      <c r="E166" s="593"/>
      <c r="F166" s="593"/>
      <c r="G166" s="593"/>
      <c r="H166" s="593"/>
      <c r="I166" s="593"/>
    </row>
    <row r="167" spans="1:9" ht="20.25">
      <c r="A167" s="593"/>
      <c r="B167" s="593"/>
      <c r="C167" s="593"/>
      <c r="D167" s="593"/>
      <c r="E167" s="593"/>
      <c r="F167" s="593"/>
      <c r="G167" s="593"/>
      <c r="H167" s="593"/>
      <c r="I167" s="593"/>
    </row>
    <row r="168" spans="1:9" ht="20.25">
      <c r="A168" s="593"/>
      <c r="B168" s="593"/>
      <c r="C168" s="593"/>
      <c r="D168" s="593"/>
      <c r="E168" s="593"/>
      <c r="F168" s="593"/>
      <c r="G168" s="593"/>
      <c r="H168" s="593"/>
      <c r="I168" s="593"/>
    </row>
    <row r="169" spans="1:9" ht="20.25">
      <c r="A169" s="593"/>
      <c r="B169" s="593"/>
      <c r="C169" s="593"/>
      <c r="D169" s="593"/>
      <c r="E169" s="593"/>
      <c r="F169" s="593"/>
      <c r="G169" s="593"/>
      <c r="H169" s="593"/>
      <c r="I169" s="593"/>
    </row>
    <row r="170" spans="1:9" ht="20.25">
      <c r="A170" s="593"/>
      <c r="B170" s="593"/>
      <c r="C170" s="593"/>
      <c r="D170" s="593"/>
      <c r="E170" s="593"/>
      <c r="F170" s="593"/>
      <c r="G170" s="593"/>
      <c r="H170" s="593"/>
      <c r="I170" s="593"/>
    </row>
    <row r="171" spans="1:9" ht="20.25">
      <c r="A171" s="593"/>
      <c r="B171" s="593"/>
      <c r="C171" s="593"/>
      <c r="D171" s="593"/>
      <c r="E171" s="593"/>
      <c r="F171" s="593"/>
      <c r="G171" s="593"/>
      <c r="H171" s="593"/>
      <c r="I171" s="593"/>
    </row>
    <row r="172" spans="1:9" ht="20.25">
      <c r="A172" s="593"/>
      <c r="B172" s="593"/>
      <c r="C172" s="593"/>
      <c r="D172" s="593"/>
      <c r="E172" s="593"/>
      <c r="F172" s="593"/>
      <c r="G172" s="593"/>
      <c r="H172" s="593"/>
      <c r="I172" s="593"/>
    </row>
    <row r="173" spans="1:9" ht="20.25">
      <c r="A173" s="593"/>
      <c r="B173" s="593"/>
      <c r="C173" s="593"/>
      <c r="D173" s="593"/>
      <c r="E173" s="593"/>
      <c r="F173" s="593"/>
      <c r="G173" s="593"/>
      <c r="H173" s="593"/>
      <c r="I173" s="593"/>
    </row>
    <row r="174" spans="1:9" ht="20.25">
      <c r="A174" s="593"/>
      <c r="B174" s="593"/>
      <c r="C174" s="593"/>
      <c r="D174" s="593"/>
      <c r="E174" s="593"/>
      <c r="F174" s="593"/>
      <c r="G174" s="593"/>
      <c r="H174" s="593"/>
      <c r="I174" s="593"/>
    </row>
    <row r="175" spans="1:9" ht="20.25">
      <c r="A175" s="593"/>
      <c r="B175" s="593"/>
      <c r="C175" s="593"/>
      <c r="D175" s="593"/>
      <c r="E175" s="593"/>
      <c r="F175" s="593"/>
      <c r="G175" s="593"/>
      <c r="H175" s="593"/>
      <c r="I175" s="593"/>
    </row>
    <row r="176" spans="1:9" ht="20.25">
      <c r="A176" s="593"/>
      <c r="B176" s="593"/>
      <c r="C176" s="593"/>
      <c r="D176" s="593"/>
      <c r="E176" s="593"/>
      <c r="F176" s="593"/>
      <c r="G176" s="593"/>
      <c r="H176" s="593"/>
      <c r="I176" s="593"/>
    </row>
    <row r="177" spans="1:9" ht="20.25">
      <c r="A177" s="593"/>
      <c r="B177" s="593"/>
      <c r="C177" s="593"/>
      <c r="D177" s="593"/>
      <c r="E177" s="593"/>
      <c r="F177" s="593"/>
      <c r="G177" s="593"/>
      <c r="H177" s="593"/>
      <c r="I177" s="593"/>
    </row>
    <row r="178" spans="1:9" ht="20.25">
      <c r="A178" s="593"/>
      <c r="B178" s="593"/>
      <c r="C178" s="593"/>
      <c r="D178" s="593"/>
      <c r="E178" s="593"/>
      <c r="F178" s="593"/>
      <c r="G178" s="593"/>
      <c r="H178" s="593"/>
      <c r="I178" s="593"/>
    </row>
    <row r="179" spans="1:9" ht="20.25">
      <c r="A179" s="593"/>
      <c r="B179" s="593"/>
      <c r="C179" s="593"/>
      <c r="D179" s="593"/>
      <c r="E179" s="593"/>
      <c r="F179" s="593"/>
      <c r="G179" s="593"/>
      <c r="H179" s="593"/>
      <c r="I179" s="593"/>
    </row>
    <row r="180" spans="1:9" ht="20.25">
      <c r="A180" s="593"/>
      <c r="B180" s="593"/>
      <c r="C180" s="593"/>
      <c r="D180" s="593"/>
      <c r="E180" s="593"/>
      <c r="F180" s="593"/>
      <c r="G180" s="593"/>
      <c r="H180" s="593"/>
      <c r="I180" s="593"/>
    </row>
    <row r="181" spans="1:9" ht="20.25">
      <c r="A181" s="593"/>
      <c r="B181" s="593"/>
      <c r="C181" s="593"/>
      <c r="D181" s="593"/>
      <c r="E181" s="593"/>
      <c r="F181" s="593"/>
      <c r="G181" s="593"/>
      <c r="H181" s="593"/>
      <c r="I181" s="593"/>
    </row>
    <row r="182" spans="1:9" ht="20.25">
      <c r="A182" s="593"/>
      <c r="B182" s="593"/>
      <c r="C182" s="593"/>
      <c r="D182" s="593"/>
      <c r="E182" s="593"/>
      <c r="F182" s="593"/>
      <c r="G182" s="593"/>
      <c r="H182" s="593"/>
      <c r="I182" s="593"/>
    </row>
    <row r="183" spans="1:9" ht="20.25">
      <c r="A183" s="593"/>
      <c r="B183" s="593"/>
      <c r="C183" s="593"/>
      <c r="D183" s="593"/>
      <c r="E183" s="593"/>
      <c r="F183" s="593"/>
      <c r="G183" s="593"/>
      <c r="H183" s="593"/>
      <c r="I183" s="593"/>
    </row>
    <row r="184" spans="1:9" ht="20.25">
      <c r="A184" s="593"/>
      <c r="B184" s="593"/>
      <c r="C184" s="593"/>
      <c r="D184" s="593"/>
      <c r="E184" s="593"/>
      <c r="F184" s="593"/>
      <c r="G184" s="593"/>
      <c r="H184" s="593"/>
      <c r="I184" s="593"/>
    </row>
    <row r="185" spans="1:9" ht="20.25">
      <c r="A185" s="593"/>
      <c r="B185" s="593"/>
      <c r="C185" s="593"/>
      <c r="D185" s="593"/>
      <c r="E185" s="593"/>
      <c r="F185" s="593"/>
      <c r="G185" s="593"/>
      <c r="H185" s="593"/>
      <c r="I185" s="593"/>
    </row>
    <row r="186" spans="1:9" ht="20.25">
      <c r="A186" s="593"/>
      <c r="B186" s="593"/>
      <c r="C186" s="593"/>
      <c r="D186" s="593"/>
      <c r="E186" s="593"/>
      <c r="F186" s="593"/>
      <c r="G186" s="593"/>
      <c r="H186" s="593"/>
      <c r="I186" s="593"/>
    </row>
    <row r="187" spans="1:9" ht="20.25">
      <c r="A187" s="593"/>
      <c r="B187" s="593"/>
      <c r="C187" s="593"/>
      <c r="D187" s="593"/>
      <c r="E187" s="593"/>
      <c r="F187" s="593"/>
      <c r="G187" s="593"/>
      <c r="H187" s="593"/>
      <c r="I187" s="593"/>
    </row>
    <row r="188" spans="1:9" ht="20.25">
      <c r="A188" s="593"/>
      <c r="B188" s="593"/>
      <c r="C188" s="593"/>
      <c r="D188" s="593"/>
      <c r="E188" s="593"/>
      <c r="F188" s="593"/>
      <c r="G188" s="593"/>
      <c r="H188" s="593"/>
      <c r="I188" s="593"/>
    </row>
    <row r="189" spans="1:9" ht="20.25">
      <c r="A189" s="593"/>
      <c r="B189" s="593"/>
      <c r="C189" s="593"/>
      <c r="D189" s="593"/>
      <c r="E189" s="593"/>
      <c r="F189" s="593"/>
      <c r="G189" s="593"/>
      <c r="H189" s="593"/>
      <c r="I189" s="593"/>
    </row>
    <row r="190" spans="1:9" ht="20.25">
      <c r="A190" s="593"/>
      <c r="B190" s="593"/>
      <c r="C190" s="593"/>
      <c r="D190" s="593"/>
      <c r="E190" s="593"/>
      <c r="F190" s="593"/>
      <c r="G190" s="593"/>
      <c r="H190" s="593"/>
      <c r="I190" s="593"/>
    </row>
    <row r="191" spans="1:9" ht="20.25">
      <c r="A191" s="593"/>
      <c r="B191" s="593"/>
      <c r="C191" s="593"/>
      <c r="D191" s="593"/>
      <c r="E191" s="593"/>
      <c r="F191" s="593"/>
      <c r="G191" s="593"/>
      <c r="H191" s="593"/>
      <c r="I191" s="593"/>
    </row>
    <row r="192" spans="1:9" ht="20.25">
      <c r="A192" s="593"/>
      <c r="B192" s="593"/>
      <c r="C192" s="593"/>
      <c r="D192" s="593"/>
      <c r="E192" s="593"/>
      <c r="F192" s="593"/>
      <c r="G192" s="593"/>
      <c r="H192" s="593"/>
      <c r="I192" s="593"/>
    </row>
    <row r="193" spans="1:9" ht="20.25">
      <c r="A193" s="593"/>
      <c r="B193" s="593"/>
      <c r="C193" s="593"/>
      <c r="D193" s="593"/>
      <c r="E193" s="593"/>
      <c r="F193" s="593"/>
      <c r="G193" s="593"/>
      <c r="H193" s="593"/>
      <c r="I193" s="593"/>
    </row>
    <row r="194" spans="1:9" ht="20.25">
      <c r="A194" s="593"/>
      <c r="B194" s="593"/>
      <c r="C194" s="593"/>
      <c r="D194" s="593"/>
      <c r="E194" s="593"/>
      <c r="F194" s="593"/>
      <c r="G194" s="593"/>
      <c r="H194" s="593"/>
      <c r="I194" s="593"/>
    </row>
    <row r="195" spans="1:9" ht="20.25">
      <c r="A195" s="593"/>
      <c r="B195" s="593"/>
      <c r="C195" s="593"/>
      <c r="D195" s="593"/>
      <c r="E195" s="593"/>
      <c r="F195" s="593"/>
      <c r="G195" s="593"/>
      <c r="H195" s="593"/>
      <c r="I195" s="593"/>
    </row>
    <row r="196" spans="1:9" ht="20.25">
      <c r="A196" s="593"/>
      <c r="B196" s="593"/>
      <c r="C196" s="593"/>
      <c r="D196" s="593"/>
      <c r="E196" s="593"/>
      <c r="F196" s="593"/>
      <c r="G196" s="593"/>
      <c r="H196" s="593"/>
      <c r="I196" s="593"/>
    </row>
    <row r="197" spans="1:9" ht="20.25">
      <c r="A197" s="593"/>
      <c r="B197" s="593"/>
      <c r="C197" s="593"/>
      <c r="D197" s="593"/>
      <c r="E197" s="593"/>
      <c r="F197" s="593"/>
      <c r="G197" s="593"/>
      <c r="H197" s="593"/>
      <c r="I197" s="593"/>
    </row>
    <row r="198" spans="1:9" ht="20.25">
      <c r="A198" s="593"/>
      <c r="B198" s="593"/>
      <c r="C198" s="593"/>
      <c r="D198" s="593"/>
      <c r="E198" s="593"/>
      <c r="F198" s="593"/>
      <c r="G198" s="593"/>
      <c r="H198" s="593"/>
      <c r="I198" s="593"/>
    </row>
    <row r="199" spans="1:9" ht="20.25">
      <c r="A199" s="593"/>
      <c r="B199" s="593"/>
      <c r="C199" s="593"/>
      <c r="D199" s="593"/>
      <c r="E199" s="593"/>
      <c r="F199" s="593"/>
      <c r="G199" s="593"/>
      <c r="H199" s="593"/>
      <c r="I199" s="593"/>
    </row>
    <row r="200" spans="1:9" ht="20.25">
      <c r="A200" s="593"/>
      <c r="B200" s="593"/>
      <c r="C200" s="593"/>
      <c r="D200" s="593"/>
      <c r="E200" s="593"/>
      <c r="F200" s="593"/>
      <c r="G200" s="593"/>
      <c r="H200" s="593"/>
      <c r="I200" s="593"/>
    </row>
    <row r="201" spans="1:9" ht="20.25">
      <c r="A201" s="593"/>
      <c r="B201" s="593"/>
      <c r="C201" s="593"/>
      <c r="D201" s="593"/>
      <c r="E201" s="593"/>
      <c r="F201" s="593"/>
      <c r="G201" s="593"/>
      <c r="H201" s="593"/>
      <c r="I201" s="593"/>
    </row>
    <row r="202" spans="1:9" ht="20.25">
      <c r="A202" s="593"/>
      <c r="B202" s="593"/>
      <c r="C202" s="593"/>
      <c r="D202" s="593"/>
      <c r="E202" s="593"/>
      <c r="F202" s="593"/>
      <c r="G202" s="593"/>
      <c r="H202" s="593"/>
      <c r="I202" s="593"/>
    </row>
    <row r="203" spans="1:9" ht="20.25">
      <c r="A203" s="593"/>
      <c r="B203" s="593"/>
      <c r="C203" s="593"/>
      <c r="D203" s="593"/>
      <c r="E203" s="593"/>
      <c r="F203" s="593"/>
      <c r="G203" s="593"/>
      <c r="H203" s="593"/>
      <c r="I203" s="593"/>
    </row>
    <row r="204" spans="1:9" ht="20.25">
      <c r="A204" s="593"/>
      <c r="B204" s="593"/>
      <c r="C204" s="593"/>
      <c r="D204" s="593"/>
      <c r="E204" s="593"/>
      <c r="F204" s="593"/>
      <c r="G204" s="593"/>
      <c r="H204" s="593"/>
      <c r="I204" s="593"/>
    </row>
    <row r="205" spans="1:9" ht="20.25">
      <c r="A205" s="593"/>
      <c r="B205" s="593"/>
      <c r="C205" s="593"/>
      <c r="D205" s="593"/>
      <c r="E205" s="593"/>
      <c r="F205" s="593"/>
      <c r="G205" s="593"/>
      <c r="H205" s="593"/>
      <c r="I205" s="593"/>
    </row>
    <row r="206" spans="1:9" ht="20.25">
      <c r="A206" s="593"/>
      <c r="B206" s="593"/>
      <c r="C206" s="593"/>
      <c r="D206" s="593"/>
      <c r="E206" s="593"/>
      <c r="F206" s="593"/>
      <c r="G206" s="593"/>
      <c r="H206" s="593"/>
      <c r="I206" s="593"/>
    </row>
    <row r="207" spans="1:9" ht="20.25">
      <c r="A207" s="593"/>
      <c r="B207" s="593"/>
      <c r="C207" s="593"/>
      <c r="D207" s="593"/>
      <c r="E207" s="593"/>
      <c r="F207" s="593"/>
      <c r="G207" s="593"/>
      <c r="H207" s="593"/>
      <c r="I207" s="593"/>
    </row>
    <row r="208" spans="1:9" ht="20.25">
      <c r="A208" s="593"/>
      <c r="B208" s="593"/>
      <c r="C208" s="593"/>
      <c r="D208" s="593"/>
      <c r="E208" s="593"/>
      <c r="F208" s="593"/>
      <c r="G208" s="593"/>
      <c r="H208" s="593"/>
      <c r="I208" s="593"/>
    </row>
    <row r="209" spans="1:9" ht="20.25">
      <c r="A209" s="593"/>
      <c r="B209" s="593"/>
      <c r="C209" s="593"/>
      <c r="D209" s="593"/>
      <c r="E209" s="593"/>
      <c r="F209" s="593"/>
      <c r="G209" s="593"/>
      <c r="H209" s="593"/>
      <c r="I209" s="593"/>
    </row>
    <row r="210" spans="1:9" ht="20.25">
      <c r="A210" s="593"/>
      <c r="B210" s="593"/>
      <c r="C210" s="593"/>
      <c r="D210" s="593"/>
      <c r="E210" s="593"/>
      <c r="F210" s="593"/>
      <c r="G210" s="593"/>
      <c r="H210" s="593"/>
      <c r="I210" s="593"/>
    </row>
    <row r="211" spans="1:9" ht="20.25">
      <c r="A211" s="593"/>
      <c r="B211" s="593"/>
      <c r="C211" s="593"/>
      <c r="D211" s="593"/>
      <c r="E211" s="593"/>
      <c r="F211" s="593"/>
      <c r="G211" s="593"/>
      <c r="H211" s="593"/>
      <c r="I211" s="593"/>
    </row>
    <row r="212" spans="1:9" ht="20.25">
      <c r="A212" s="593"/>
      <c r="B212" s="593"/>
      <c r="C212" s="593"/>
      <c r="D212" s="593"/>
      <c r="E212" s="593"/>
      <c r="F212" s="593"/>
      <c r="G212" s="593"/>
      <c r="H212" s="593"/>
      <c r="I212" s="593"/>
    </row>
    <row r="213" spans="1:9" ht="20.25">
      <c r="A213" s="593"/>
      <c r="B213" s="593"/>
      <c r="C213" s="593"/>
      <c r="D213" s="593"/>
      <c r="E213" s="593"/>
      <c r="F213" s="593"/>
      <c r="G213" s="593"/>
      <c r="H213" s="593"/>
      <c r="I213" s="593"/>
    </row>
    <row r="214" spans="1:9" ht="20.25">
      <c r="A214" s="593"/>
      <c r="B214" s="593"/>
      <c r="C214" s="593"/>
      <c r="D214" s="593"/>
      <c r="E214" s="593"/>
      <c r="F214" s="593"/>
      <c r="G214" s="593"/>
      <c r="H214" s="593"/>
      <c r="I214" s="593"/>
    </row>
    <row r="215" spans="1:9" ht="20.25">
      <c r="A215" s="593"/>
      <c r="B215" s="593"/>
      <c r="C215" s="593"/>
      <c r="D215" s="593"/>
      <c r="E215" s="593"/>
      <c r="F215" s="593"/>
      <c r="G215" s="593"/>
      <c r="H215" s="593"/>
      <c r="I215" s="593"/>
    </row>
    <row r="216" spans="1:9" ht="20.25">
      <c r="A216" s="593"/>
      <c r="B216" s="593"/>
      <c r="C216" s="593"/>
      <c r="D216" s="593"/>
      <c r="E216" s="593"/>
      <c r="F216" s="593"/>
      <c r="G216" s="593"/>
      <c r="H216" s="593"/>
      <c r="I216" s="593"/>
    </row>
    <row r="217" spans="1:9" ht="20.25">
      <c r="A217" s="593"/>
      <c r="B217" s="593"/>
      <c r="C217" s="593"/>
      <c r="D217" s="593"/>
      <c r="E217" s="593"/>
      <c r="F217" s="593"/>
      <c r="G217" s="593"/>
      <c r="H217" s="593"/>
      <c r="I217" s="593"/>
    </row>
    <row r="218" spans="1:9" ht="20.25">
      <c r="A218" s="593"/>
      <c r="B218" s="593"/>
      <c r="C218" s="593"/>
      <c r="D218" s="593"/>
      <c r="E218" s="593"/>
      <c r="F218" s="593"/>
      <c r="G218" s="593"/>
      <c r="H218" s="593"/>
      <c r="I218" s="593"/>
    </row>
    <row r="219" spans="1:9" ht="20.25">
      <c r="A219" s="593"/>
      <c r="B219" s="593"/>
      <c r="C219" s="593"/>
      <c r="D219" s="593"/>
      <c r="E219" s="593"/>
      <c r="F219" s="593"/>
      <c r="G219" s="593"/>
      <c r="H219" s="593"/>
      <c r="I219" s="593"/>
    </row>
    <row r="220" spans="1:9" ht="20.25">
      <c r="A220" s="593"/>
      <c r="B220" s="593"/>
      <c r="C220" s="593"/>
      <c r="D220" s="593"/>
      <c r="E220" s="593"/>
      <c r="F220" s="593"/>
      <c r="G220" s="593"/>
      <c r="H220" s="593"/>
      <c r="I220" s="593"/>
    </row>
    <row r="221" spans="1:9" ht="20.25">
      <c r="A221" s="593"/>
      <c r="B221" s="593"/>
      <c r="C221" s="593"/>
      <c r="D221" s="593"/>
      <c r="E221" s="593"/>
      <c r="F221" s="593"/>
      <c r="G221" s="593"/>
      <c r="H221" s="593"/>
      <c r="I221" s="593"/>
    </row>
    <row r="222" spans="1:9" ht="20.25">
      <c r="A222" s="593"/>
      <c r="B222" s="593"/>
      <c r="C222" s="593"/>
      <c r="D222" s="593"/>
      <c r="E222" s="593"/>
      <c r="F222" s="593"/>
      <c r="G222" s="593"/>
      <c r="H222" s="593"/>
      <c r="I222" s="593"/>
    </row>
    <row r="223" spans="1:9" ht="20.25">
      <c r="A223" s="593"/>
      <c r="B223" s="593"/>
      <c r="C223" s="593"/>
      <c r="D223" s="593"/>
      <c r="E223" s="593"/>
      <c r="F223" s="593"/>
      <c r="G223" s="593"/>
      <c r="H223" s="593"/>
      <c r="I223" s="593"/>
    </row>
    <row r="224" spans="1:9" ht="20.25">
      <c r="A224" s="593"/>
      <c r="B224" s="593"/>
      <c r="C224" s="593"/>
      <c r="D224" s="593"/>
      <c r="E224" s="593"/>
      <c r="F224" s="593"/>
      <c r="G224" s="593"/>
      <c r="H224" s="593"/>
      <c r="I224" s="593"/>
    </row>
    <row r="225" spans="1:9" ht="20.25">
      <c r="A225" s="593"/>
      <c r="B225" s="593"/>
      <c r="C225" s="593"/>
      <c r="D225" s="593"/>
      <c r="E225" s="593"/>
      <c r="F225" s="593"/>
      <c r="G225" s="593"/>
      <c r="H225" s="593"/>
      <c r="I225" s="593"/>
    </row>
    <row r="226" spans="1:9" ht="20.25">
      <c r="A226" s="593"/>
      <c r="B226" s="593"/>
      <c r="C226" s="593"/>
      <c r="D226" s="593"/>
      <c r="E226" s="593"/>
      <c r="F226" s="593"/>
      <c r="G226" s="593"/>
      <c r="H226" s="593"/>
      <c r="I226" s="593"/>
    </row>
    <row r="227" spans="1:9" ht="20.25">
      <c r="A227" s="593"/>
      <c r="B227" s="593"/>
      <c r="C227" s="593"/>
      <c r="D227" s="593"/>
      <c r="E227" s="593"/>
      <c r="F227" s="593"/>
      <c r="G227" s="593"/>
      <c r="H227" s="593"/>
      <c r="I227" s="593"/>
    </row>
    <row r="228" spans="1:9" ht="20.25">
      <c r="A228" s="593"/>
      <c r="B228" s="593"/>
      <c r="C228" s="593"/>
      <c r="D228" s="593"/>
      <c r="E228" s="593"/>
      <c r="F228" s="593"/>
      <c r="G228" s="593"/>
      <c r="H228" s="593"/>
      <c r="I228" s="593"/>
    </row>
    <row r="229" spans="1:9" ht="20.25">
      <c r="A229" s="593"/>
      <c r="B229" s="593"/>
      <c r="C229" s="593"/>
      <c r="D229" s="593"/>
      <c r="E229" s="593"/>
      <c r="F229" s="593"/>
      <c r="G229" s="593"/>
      <c r="H229" s="593"/>
      <c r="I229" s="593"/>
    </row>
    <row r="230" spans="1:9" ht="20.25">
      <c r="A230" s="593"/>
      <c r="B230" s="593"/>
      <c r="C230" s="593"/>
      <c r="D230" s="593"/>
      <c r="E230" s="593"/>
      <c r="F230" s="593"/>
      <c r="G230" s="593"/>
      <c r="H230" s="593"/>
      <c r="I230" s="593"/>
    </row>
    <row r="231" spans="1:9" ht="20.25">
      <c r="A231" s="593"/>
      <c r="B231" s="593"/>
      <c r="C231" s="593"/>
      <c r="D231" s="593"/>
      <c r="E231" s="593"/>
      <c r="F231" s="593"/>
      <c r="G231" s="593"/>
      <c r="H231" s="593"/>
      <c r="I231" s="593"/>
    </row>
    <row r="232" spans="1:9" ht="20.25">
      <c r="A232" s="593"/>
      <c r="B232" s="593"/>
      <c r="C232" s="593"/>
      <c r="D232" s="593"/>
      <c r="E232" s="593"/>
      <c r="F232" s="593"/>
      <c r="G232" s="593"/>
      <c r="H232" s="593"/>
      <c r="I232" s="593"/>
    </row>
    <row r="233" spans="1:9" ht="20.25">
      <c r="A233" s="593"/>
      <c r="B233" s="593"/>
      <c r="C233" s="593"/>
      <c r="D233" s="593"/>
      <c r="E233" s="593"/>
      <c r="F233" s="593"/>
      <c r="G233" s="593"/>
      <c r="H233" s="593"/>
      <c r="I233" s="593"/>
    </row>
    <row r="234" spans="1:9" ht="20.25">
      <c r="A234" s="593"/>
      <c r="B234" s="593"/>
      <c r="C234" s="593"/>
      <c r="D234" s="593"/>
      <c r="E234" s="593"/>
      <c r="F234" s="593"/>
      <c r="G234" s="593"/>
      <c r="H234" s="593"/>
      <c r="I234" s="593"/>
    </row>
    <row r="235" spans="1:9" ht="20.25">
      <c r="A235" s="593"/>
      <c r="B235" s="593"/>
      <c r="C235" s="593"/>
      <c r="D235" s="593"/>
      <c r="E235" s="593"/>
      <c r="F235" s="593"/>
      <c r="G235" s="593"/>
      <c r="H235" s="593"/>
      <c r="I235" s="593"/>
    </row>
    <row r="236" spans="1:9" ht="20.25">
      <c r="A236" s="593"/>
      <c r="B236" s="593"/>
      <c r="C236" s="593"/>
      <c r="D236" s="593"/>
      <c r="E236" s="593"/>
      <c r="F236" s="593"/>
      <c r="G236" s="593"/>
      <c r="H236" s="593"/>
      <c r="I236" s="593"/>
    </row>
    <row r="237" spans="1:9" ht="20.25">
      <c r="A237" s="593"/>
      <c r="B237" s="593"/>
      <c r="C237" s="593"/>
      <c r="D237" s="593"/>
      <c r="E237" s="593"/>
      <c r="F237" s="593"/>
      <c r="G237" s="593"/>
      <c r="H237" s="593"/>
      <c r="I237" s="593"/>
    </row>
    <row r="238" spans="1:9" ht="20.25">
      <c r="A238" s="593"/>
      <c r="B238" s="593"/>
      <c r="C238" s="593"/>
      <c r="D238" s="593"/>
      <c r="E238" s="593"/>
      <c r="F238" s="593"/>
      <c r="G238" s="593"/>
      <c r="H238" s="593"/>
      <c r="I238" s="593"/>
    </row>
    <row r="239" spans="1:9" ht="20.25">
      <c r="A239" s="593"/>
      <c r="B239" s="593"/>
      <c r="C239" s="593"/>
      <c r="D239" s="593"/>
      <c r="E239" s="593"/>
      <c r="F239" s="593"/>
      <c r="G239" s="593"/>
      <c r="H239" s="593"/>
      <c r="I239" s="593"/>
    </row>
    <row r="240" spans="1:9" ht="20.25">
      <c r="A240" s="593"/>
      <c r="B240" s="593"/>
      <c r="C240" s="593"/>
      <c r="D240" s="593"/>
      <c r="E240" s="593"/>
      <c r="F240" s="593"/>
      <c r="G240" s="593"/>
      <c r="H240" s="593"/>
      <c r="I240" s="593"/>
    </row>
    <row r="241" spans="1:9" ht="20.25">
      <c r="A241" s="593"/>
      <c r="B241" s="593"/>
      <c r="C241" s="593"/>
      <c r="D241" s="593"/>
      <c r="E241" s="593"/>
      <c r="F241" s="593"/>
      <c r="G241" s="593"/>
      <c r="H241" s="593"/>
      <c r="I241" s="593"/>
    </row>
    <row r="242" spans="1:9" ht="20.25">
      <c r="A242" s="593"/>
      <c r="B242" s="593"/>
      <c r="C242" s="593"/>
      <c r="D242" s="593"/>
      <c r="E242" s="593"/>
      <c r="F242" s="593"/>
      <c r="G242" s="593"/>
      <c r="H242" s="593"/>
      <c r="I242" s="593"/>
    </row>
    <row r="243" spans="1:9" ht="20.25">
      <c r="A243" s="593"/>
      <c r="B243" s="593"/>
      <c r="C243" s="593"/>
      <c r="D243" s="593"/>
      <c r="E243" s="593"/>
      <c r="F243" s="593"/>
      <c r="G243" s="593"/>
      <c r="H243" s="593"/>
      <c r="I243" s="593"/>
    </row>
    <row r="244" spans="1:9" ht="20.25">
      <c r="A244" s="593"/>
      <c r="B244" s="593"/>
      <c r="C244" s="593"/>
      <c r="D244" s="593"/>
      <c r="E244" s="593"/>
      <c r="F244" s="593"/>
      <c r="G244" s="593"/>
      <c r="H244" s="593"/>
      <c r="I244" s="593"/>
    </row>
    <row r="245" spans="1:9" ht="20.25">
      <c r="A245" s="593"/>
      <c r="B245" s="593"/>
      <c r="C245" s="593"/>
      <c r="D245" s="593"/>
      <c r="E245" s="593"/>
      <c r="F245" s="593"/>
      <c r="G245" s="593"/>
      <c r="H245" s="593"/>
      <c r="I245" s="593"/>
    </row>
    <row r="246" spans="1:9" ht="20.25">
      <c r="A246" s="593"/>
      <c r="B246" s="593"/>
      <c r="C246" s="593"/>
      <c r="D246" s="593"/>
      <c r="E246" s="593"/>
      <c r="F246" s="593"/>
      <c r="G246" s="593"/>
      <c r="H246" s="593"/>
      <c r="I246" s="593"/>
    </row>
    <row r="247" spans="1:9" ht="20.25">
      <c r="A247" s="593"/>
      <c r="B247" s="593"/>
      <c r="C247" s="593"/>
      <c r="D247" s="593"/>
      <c r="E247" s="593"/>
      <c r="F247" s="593"/>
      <c r="G247" s="593"/>
      <c r="H247" s="593"/>
      <c r="I247" s="593"/>
    </row>
    <row r="248" spans="1:9" ht="20.25">
      <c r="A248" s="593"/>
      <c r="B248" s="593"/>
      <c r="C248" s="593"/>
      <c r="D248" s="593"/>
      <c r="E248" s="593"/>
      <c r="F248" s="593"/>
      <c r="G248" s="593"/>
      <c r="H248" s="593"/>
      <c r="I248" s="593"/>
    </row>
    <row r="249" spans="1:9" ht="20.25">
      <c r="A249" s="593"/>
      <c r="B249" s="593"/>
      <c r="C249" s="593"/>
      <c r="D249" s="593"/>
      <c r="E249" s="593"/>
      <c r="F249" s="593"/>
      <c r="G249" s="593"/>
      <c r="H249" s="593"/>
      <c r="I249" s="593"/>
    </row>
    <row r="250" spans="1:9" ht="20.25">
      <c r="A250" s="593"/>
      <c r="B250" s="593"/>
      <c r="C250" s="593"/>
      <c r="D250" s="593"/>
      <c r="E250" s="593"/>
      <c r="F250" s="593"/>
      <c r="G250" s="593"/>
      <c r="H250" s="593"/>
      <c r="I250" s="593"/>
    </row>
    <row r="251" spans="1:9" ht="20.25">
      <c r="A251" s="593"/>
      <c r="B251" s="593"/>
      <c r="C251" s="593"/>
      <c r="D251" s="593"/>
      <c r="E251" s="593"/>
      <c r="F251" s="593"/>
      <c r="G251" s="593"/>
      <c r="H251" s="593"/>
      <c r="I251" s="593"/>
    </row>
    <row r="252" spans="1:9" ht="20.25">
      <c r="A252" s="593"/>
      <c r="B252" s="593"/>
      <c r="C252" s="593"/>
      <c r="D252" s="593"/>
      <c r="E252" s="593"/>
      <c r="F252" s="593"/>
      <c r="G252" s="593"/>
      <c r="H252" s="593"/>
      <c r="I252" s="593"/>
    </row>
    <row r="253" spans="1:9" ht="20.25">
      <c r="A253" s="593"/>
      <c r="B253" s="593"/>
      <c r="C253" s="593"/>
      <c r="D253" s="593"/>
      <c r="E253" s="593"/>
      <c r="F253" s="593"/>
      <c r="G253" s="593"/>
      <c r="H253" s="593"/>
      <c r="I253" s="593"/>
    </row>
    <row r="254" spans="1:9" ht="20.25">
      <c r="A254" s="593"/>
      <c r="B254" s="593"/>
      <c r="C254" s="593"/>
      <c r="D254" s="593"/>
      <c r="E254" s="593"/>
      <c r="F254" s="593"/>
      <c r="G254" s="593"/>
      <c r="H254" s="593"/>
      <c r="I254" s="593"/>
    </row>
    <row r="255" spans="1:9" ht="20.25">
      <c r="A255" s="593"/>
      <c r="B255" s="593"/>
      <c r="C255" s="593"/>
      <c r="D255" s="593"/>
      <c r="E255" s="593"/>
      <c r="F255" s="593"/>
      <c r="G255" s="593"/>
      <c r="H255" s="593"/>
      <c r="I255" s="593"/>
    </row>
    <row r="256" spans="1:9" ht="20.25">
      <c r="A256" s="593"/>
      <c r="B256" s="593"/>
      <c r="C256" s="593"/>
      <c r="D256" s="593"/>
      <c r="E256" s="593"/>
      <c r="F256" s="593"/>
      <c r="G256" s="593"/>
      <c r="H256" s="593"/>
      <c r="I256" s="593"/>
    </row>
    <row r="257" spans="1:9" ht="20.25">
      <c r="A257" s="593"/>
      <c r="B257" s="593"/>
      <c r="C257" s="593"/>
      <c r="D257" s="593"/>
      <c r="E257" s="593"/>
      <c r="F257" s="593"/>
      <c r="G257" s="593"/>
      <c r="H257" s="593"/>
      <c r="I257" s="593"/>
    </row>
    <row r="258" spans="1:9" ht="20.25">
      <c r="A258" s="593"/>
      <c r="B258" s="593"/>
      <c r="C258" s="593"/>
      <c r="D258" s="593"/>
      <c r="E258" s="593"/>
      <c r="F258" s="593"/>
      <c r="G258" s="593"/>
      <c r="H258" s="593"/>
      <c r="I258" s="593"/>
    </row>
    <row r="259" spans="1:9" ht="20.25">
      <c r="A259" s="593"/>
      <c r="B259" s="593"/>
      <c r="C259" s="593"/>
      <c r="D259" s="593"/>
      <c r="E259" s="593"/>
      <c r="F259" s="593"/>
      <c r="G259" s="593"/>
      <c r="H259" s="593"/>
      <c r="I259" s="593"/>
    </row>
    <row r="260" spans="1:9" ht="20.25">
      <c r="A260" s="593"/>
      <c r="B260" s="593"/>
      <c r="C260" s="593"/>
      <c r="D260" s="593"/>
      <c r="E260" s="593"/>
      <c r="F260" s="593"/>
      <c r="G260" s="593"/>
      <c r="H260" s="593"/>
      <c r="I260" s="593"/>
    </row>
    <row r="261" spans="1:9" ht="20.25">
      <c r="A261" s="593"/>
      <c r="B261" s="593"/>
      <c r="C261" s="593"/>
      <c r="D261" s="593"/>
      <c r="E261" s="593"/>
      <c r="F261" s="593"/>
      <c r="G261" s="593"/>
      <c r="H261" s="593"/>
      <c r="I261" s="593"/>
    </row>
    <row r="262" spans="1:9" ht="20.25">
      <c r="A262" s="593"/>
      <c r="B262" s="593"/>
      <c r="C262" s="593"/>
      <c r="D262" s="593"/>
      <c r="E262" s="593"/>
      <c r="F262" s="593"/>
      <c r="G262" s="593"/>
      <c r="H262" s="593"/>
      <c r="I262" s="593"/>
    </row>
    <row r="263" spans="1:9" ht="20.25">
      <c r="A263" s="593"/>
      <c r="B263" s="593"/>
      <c r="C263" s="593"/>
      <c r="D263" s="593"/>
      <c r="E263" s="593"/>
      <c r="F263" s="593"/>
      <c r="G263" s="593"/>
      <c r="H263" s="593"/>
      <c r="I263" s="593"/>
    </row>
    <row r="264" spans="1:9" ht="20.25">
      <c r="A264" s="593"/>
      <c r="B264" s="593"/>
      <c r="C264" s="593"/>
      <c r="D264" s="593"/>
      <c r="E264" s="593"/>
      <c r="F264" s="593"/>
      <c r="G264" s="593"/>
      <c r="H264" s="593"/>
      <c r="I264" s="593"/>
    </row>
    <row r="265" spans="1:9" ht="20.25">
      <c r="A265" s="593"/>
      <c r="B265" s="593"/>
      <c r="C265" s="593"/>
      <c r="D265" s="593"/>
      <c r="E265" s="593"/>
      <c r="F265" s="593"/>
      <c r="G265" s="593"/>
      <c r="H265" s="593"/>
      <c r="I265" s="593"/>
    </row>
    <row r="266" spans="1:9" ht="20.25">
      <c r="A266" s="593"/>
      <c r="B266" s="593"/>
      <c r="C266" s="593"/>
      <c r="D266" s="593"/>
      <c r="E266" s="593"/>
      <c r="F266" s="593"/>
      <c r="G266" s="593"/>
      <c r="H266" s="593"/>
      <c r="I266" s="593"/>
    </row>
    <row r="267" spans="1:9" ht="20.25">
      <c r="A267" s="593"/>
      <c r="B267" s="593"/>
      <c r="C267" s="593"/>
      <c r="D267" s="593"/>
      <c r="E267" s="593"/>
      <c r="F267" s="593"/>
      <c r="G267" s="593"/>
      <c r="H267" s="593"/>
      <c r="I267" s="593"/>
    </row>
    <row r="268" spans="1:9" ht="20.25">
      <c r="A268" s="593"/>
      <c r="B268" s="593"/>
      <c r="C268" s="593"/>
      <c r="D268" s="593"/>
      <c r="E268" s="593"/>
      <c r="F268" s="593"/>
      <c r="G268" s="593"/>
      <c r="H268" s="593"/>
      <c r="I268" s="593"/>
    </row>
    <row r="269" spans="1:9" ht="20.25">
      <c r="A269" s="593"/>
      <c r="B269" s="593"/>
      <c r="C269" s="593"/>
      <c r="D269" s="593"/>
      <c r="E269" s="593"/>
      <c r="F269" s="593"/>
      <c r="G269" s="593"/>
      <c r="H269" s="593"/>
      <c r="I269" s="593"/>
    </row>
    <row r="270" spans="1:9" ht="20.25">
      <c r="A270" s="593"/>
      <c r="B270" s="593"/>
      <c r="C270" s="593"/>
      <c r="D270" s="593"/>
      <c r="E270" s="593"/>
      <c r="F270" s="593"/>
      <c r="G270" s="593"/>
      <c r="H270" s="593"/>
      <c r="I270" s="593"/>
    </row>
    <row r="271" spans="1:9" ht="20.25">
      <c r="A271" s="593"/>
      <c r="B271" s="593"/>
      <c r="C271" s="593"/>
      <c r="D271" s="593"/>
      <c r="E271" s="593"/>
      <c r="F271" s="593"/>
      <c r="G271" s="593"/>
      <c r="H271" s="593"/>
      <c r="I271" s="593"/>
    </row>
    <row r="272" spans="1:9" ht="20.25">
      <c r="A272" s="593"/>
      <c r="B272" s="593"/>
      <c r="C272" s="593"/>
      <c r="D272" s="593"/>
      <c r="E272" s="593"/>
      <c r="F272" s="593"/>
      <c r="G272" s="593"/>
      <c r="H272" s="593"/>
      <c r="I272" s="593"/>
    </row>
    <row r="273" spans="1:9" ht="20.25">
      <c r="A273" s="593"/>
      <c r="B273" s="593"/>
      <c r="C273" s="593"/>
      <c r="D273" s="593"/>
      <c r="E273" s="593"/>
      <c r="F273" s="593"/>
      <c r="G273" s="593"/>
      <c r="H273" s="593"/>
      <c r="I273" s="593"/>
    </row>
    <row r="274" spans="1:9" ht="20.25">
      <c r="A274" s="593"/>
      <c r="B274" s="593"/>
      <c r="C274" s="593"/>
      <c r="D274" s="593"/>
      <c r="E274" s="593"/>
      <c r="F274" s="593"/>
      <c r="G274" s="593"/>
      <c r="H274" s="593"/>
      <c r="I274" s="593"/>
    </row>
    <row r="275" spans="1:9" ht="20.25">
      <c r="A275" s="593"/>
      <c r="B275" s="593"/>
      <c r="C275" s="593"/>
      <c r="D275" s="593"/>
      <c r="E275" s="593"/>
      <c r="F275" s="593"/>
      <c r="G275" s="593"/>
      <c r="H275" s="593"/>
      <c r="I275" s="593"/>
    </row>
    <row r="276" spans="1:9" ht="20.25">
      <c r="A276" s="593"/>
      <c r="B276" s="593"/>
      <c r="C276" s="593"/>
      <c r="D276" s="593"/>
      <c r="E276" s="593"/>
      <c r="F276" s="593"/>
      <c r="G276" s="593"/>
      <c r="H276" s="593"/>
      <c r="I276" s="593"/>
    </row>
    <row r="277" spans="1:9" ht="20.25">
      <c r="A277" s="593"/>
      <c r="B277" s="593"/>
      <c r="C277" s="593"/>
      <c r="D277" s="593"/>
      <c r="E277" s="593"/>
      <c r="F277" s="593"/>
      <c r="G277" s="593"/>
      <c r="H277" s="593"/>
      <c r="I277" s="593"/>
    </row>
    <row r="278" spans="1:9" ht="20.25">
      <c r="A278" s="593"/>
      <c r="B278" s="593"/>
      <c r="C278" s="593"/>
      <c r="D278" s="593"/>
      <c r="E278" s="593"/>
      <c r="F278" s="593"/>
      <c r="G278" s="593"/>
      <c r="H278" s="593"/>
      <c r="I278" s="593"/>
    </row>
    <row r="279" spans="1:9" ht="20.25">
      <c r="A279" s="593"/>
      <c r="B279" s="593"/>
      <c r="C279" s="593"/>
      <c r="D279" s="593"/>
      <c r="E279" s="593"/>
      <c r="F279" s="593"/>
      <c r="G279" s="593"/>
      <c r="H279" s="593"/>
      <c r="I279" s="593"/>
    </row>
    <row r="280" spans="1:9" ht="20.25">
      <c r="A280" s="593"/>
      <c r="B280" s="593"/>
      <c r="C280" s="593"/>
      <c r="D280" s="593"/>
      <c r="E280" s="593"/>
      <c r="F280" s="593"/>
      <c r="G280" s="593"/>
      <c r="H280" s="593"/>
      <c r="I280" s="593"/>
    </row>
    <row r="281" spans="1:9" ht="20.25">
      <c r="A281" s="593"/>
      <c r="B281" s="593"/>
      <c r="C281" s="593"/>
      <c r="D281" s="593"/>
      <c r="E281" s="593"/>
      <c r="F281" s="593"/>
      <c r="G281" s="593"/>
      <c r="H281" s="593"/>
      <c r="I281" s="593"/>
    </row>
    <row r="282" spans="1:9" ht="20.25">
      <c r="A282" s="593"/>
      <c r="B282" s="593"/>
      <c r="C282" s="593"/>
      <c r="D282" s="593"/>
      <c r="E282" s="593"/>
      <c r="F282" s="593"/>
      <c r="G282" s="593"/>
      <c r="H282" s="593"/>
      <c r="I282" s="593"/>
    </row>
    <row r="283" spans="1:9" ht="20.25">
      <c r="A283" s="593"/>
      <c r="B283" s="593"/>
      <c r="C283" s="593"/>
      <c r="D283" s="593"/>
      <c r="E283" s="593"/>
      <c r="F283" s="593"/>
      <c r="G283" s="593"/>
      <c r="H283" s="593"/>
      <c r="I283" s="593"/>
    </row>
    <row r="284" spans="1:9" ht="20.25">
      <c r="A284" s="593"/>
      <c r="B284" s="593"/>
      <c r="C284" s="593"/>
      <c r="D284" s="593"/>
      <c r="E284" s="593"/>
      <c r="F284" s="593"/>
      <c r="G284" s="593"/>
      <c r="H284" s="593"/>
      <c r="I284" s="593"/>
    </row>
    <row r="285" spans="1:9" ht="20.25">
      <c r="A285" s="593"/>
      <c r="B285" s="593"/>
      <c r="C285" s="593"/>
      <c r="D285" s="593"/>
      <c r="E285" s="593"/>
      <c r="F285" s="593"/>
      <c r="G285" s="593"/>
      <c r="H285" s="593"/>
      <c r="I285" s="593"/>
    </row>
    <row r="286" spans="1:9" ht="20.25">
      <c r="A286" s="593"/>
      <c r="B286" s="593"/>
      <c r="C286" s="593"/>
      <c r="D286" s="593"/>
      <c r="E286" s="593"/>
      <c r="F286" s="593"/>
      <c r="G286" s="593"/>
      <c r="H286" s="593"/>
      <c r="I286" s="593"/>
    </row>
    <row r="287" spans="1:9" ht="20.25">
      <c r="A287" s="593"/>
      <c r="B287" s="593"/>
      <c r="C287" s="593"/>
      <c r="D287" s="593"/>
      <c r="E287" s="593"/>
      <c r="F287" s="593"/>
      <c r="G287" s="593"/>
      <c r="H287" s="593"/>
      <c r="I287" s="593"/>
    </row>
    <row r="288" spans="1:9" ht="20.25">
      <c r="A288" s="593"/>
      <c r="B288" s="593"/>
      <c r="C288" s="593"/>
      <c r="D288" s="593"/>
      <c r="E288" s="593"/>
      <c r="F288" s="593"/>
      <c r="G288" s="593"/>
      <c r="H288" s="593"/>
      <c r="I288" s="593"/>
    </row>
    <row r="289" spans="1:9" ht="20.25">
      <c r="A289" s="593"/>
      <c r="B289" s="593"/>
      <c r="C289" s="593"/>
      <c r="D289" s="593"/>
      <c r="E289" s="593"/>
      <c r="F289" s="593"/>
      <c r="G289" s="593"/>
      <c r="H289" s="593"/>
      <c r="I289" s="593"/>
    </row>
    <row r="290" spans="1:9" ht="20.25">
      <c r="A290" s="593"/>
      <c r="B290" s="593"/>
      <c r="C290" s="593"/>
      <c r="D290" s="593"/>
      <c r="E290" s="593"/>
      <c r="F290" s="593"/>
      <c r="G290" s="593"/>
      <c r="H290" s="593"/>
      <c r="I290" s="593"/>
    </row>
    <row r="291" spans="1:9" ht="20.25">
      <c r="A291" s="593"/>
      <c r="B291" s="593"/>
      <c r="C291" s="593"/>
      <c r="D291" s="593"/>
      <c r="E291" s="593"/>
      <c r="F291" s="593"/>
      <c r="G291" s="593"/>
      <c r="H291" s="593"/>
      <c r="I291" s="593"/>
    </row>
    <row r="292" spans="1:9" ht="20.25">
      <c r="A292" s="593"/>
      <c r="B292" s="593"/>
      <c r="C292" s="593"/>
      <c r="D292" s="593"/>
      <c r="E292" s="593"/>
      <c r="F292" s="593"/>
      <c r="G292" s="593"/>
      <c r="H292" s="593"/>
      <c r="I292" s="593"/>
    </row>
    <row r="293" spans="1:9" ht="20.25">
      <c r="A293" s="593"/>
      <c r="B293" s="593"/>
      <c r="C293" s="593"/>
      <c r="D293" s="593"/>
      <c r="E293" s="593"/>
      <c r="F293" s="593"/>
      <c r="G293" s="593"/>
      <c r="H293" s="593"/>
      <c r="I293" s="593"/>
    </row>
    <row r="294" spans="1:9" ht="20.25">
      <c r="A294" s="593"/>
      <c r="B294" s="593"/>
      <c r="C294" s="593"/>
      <c r="D294" s="593"/>
      <c r="E294" s="593"/>
      <c r="F294" s="593"/>
      <c r="G294" s="593"/>
      <c r="H294" s="593"/>
      <c r="I294" s="593"/>
    </row>
    <row r="295" spans="1:9" ht="20.25">
      <c r="A295" s="593"/>
      <c r="B295" s="593"/>
      <c r="C295" s="593"/>
      <c r="D295" s="593"/>
      <c r="E295" s="593"/>
      <c r="F295" s="593"/>
      <c r="G295" s="593"/>
      <c r="H295" s="593"/>
      <c r="I295" s="593"/>
    </row>
    <row r="296" spans="1:9" ht="20.25">
      <c r="A296" s="593"/>
      <c r="B296" s="593"/>
      <c r="C296" s="593"/>
      <c r="D296" s="593"/>
      <c r="E296" s="593"/>
      <c r="F296" s="593"/>
      <c r="G296" s="593"/>
      <c r="H296" s="593"/>
      <c r="I296" s="593"/>
    </row>
    <row r="297" spans="1:9" ht="20.25">
      <c r="A297" s="593"/>
      <c r="B297" s="593"/>
      <c r="C297" s="593"/>
      <c r="D297" s="593"/>
      <c r="E297" s="593"/>
      <c r="F297" s="593"/>
      <c r="G297" s="593"/>
      <c r="H297" s="593"/>
      <c r="I297" s="593"/>
    </row>
    <row r="298" spans="1:9" ht="20.25">
      <c r="A298" s="593"/>
      <c r="B298" s="593"/>
      <c r="C298" s="593"/>
      <c r="D298" s="593"/>
      <c r="E298" s="593"/>
      <c r="F298" s="593"/>
      <c r="G298" s="593"/>
      <c r="H298" s="593"/>
      <c r="I298" s="593"/>
    </row>
    <row r="299" spans="1:9" ht="20.25">
      <c r="A299" s="593"/>
      <c r="B299" s="593"/>
      <c r="C299" s="593"/>
      <c r="D299" s="593"/>
      <c r="E299" s="593"/>
      <c r="F299" s="593"/>
      <c r="G299" s="593"/>
      <c r="H299" s="593"/>
      <c r="I299" s="593"/>
    </row>
    <row r="300" spans="1:9" ht="20.25">
      <c r="A300" s="593"/>
      <c r="B300" s="593"/>
      <c r="C300" s="593"/>
      <c r="D300" s="593"/>
      <c r="E300" s="593"/>
      <c r="F300" s="593"/>
      <c r="G300" s="593"/>
      <c r="H300" s="593"/>
      <c r="I300" s="593"/>
    </row>
    <row r="301" spans="1:9" ht="20.25">
      <c r="A301" s="593"/>
      <c r="B301" s="593"/>
      <c r="C301" s="593"/>
      <c r="D301" s="593"/>
      <c r="E301" s="593"/>
      <c r="F301" s="593"/>
      <c r="G301" s="593"/>
      <c r="H301" s="593"/>
      <c r="I301" s="593"/>
    </row>
    <row r="302" spans="1:9" ht="20.25">
      <c r="A302" s="593"/>
      <c r="B302" s="593"/>
      <c r="C302" s="593"/>
      <c r="D302" s="593"/>
      <c r="E302" s="593"/>
      <c r="F302" s="593"/>
      <c r="G302" s="593"/>
      <c r="H302" s="593"/>
      <c r="I302" s="593"/>
    </row>
    <row r="303" spans="1:9" ht="20.25">
      <c r="A303" s="593"/>
      <c r="B303" s="593"/>
      <c r="C303" s="593"/>
      <c r="D303" s="593"/>
      <c r="E303" s="593"/>
      <c r="F303" s="593"/>
      <c r="G303" s="593"/>
      <c r="H303" s="593"/>
      <c r="I303" s="593"/>
    </row>
    <row r="304" spans="1:9" ht="20.25">
      <c r="A304" s="593"/>
      <c r="B304" s="593"/>
      <c r="C304" s="593"/>
      <c r="D304" s="593"/>
      <c r="E304" s="593"/>
      <c r="F304" s="593"/>
      <c r="G304" s="593"/>
      <c r="H304" s="593"/>
      <c r="I304" s="593"/>
    </row>
    <row r="305" spans="1:9" ht="20.25">
      <c r="A305" s="593"/>
      <c r="B305" s="593"/>
      <c r="C305" s="593"/>
      <c r="D305" s="593"/>
      <c r="E305" s="593"/>
      <c r="F305" s="593"/>
      <c r="G305" s="593"/>
      <c r="H305" s="593"/>
      <c r="I305" s="593"/>
    </row>
    <row r="306" spans="1:9" ht="20.25">
      <c r="A306" s="593"/>
      <c r="B306" s="593"/>
      <c r="C306" s="593"/>
      <c r="D306" s="593"/>
      <c r="E306" s="593"/>
      <c r="F306" s="593"/>
      <c r="G306" s="593"/>
      <c r="H306" s="593"/>
      <c r="I306" s="593"/>
    </row>
    <row r="307" spans="1:9" ht="20.25">
      <c r="A307" s="593"/>
      <c r="B307" s="593"/>
      <c r="C307" s="593"/>
      <c r="D307" s="593"/>
      <c r="E307" s="593"/>
      <c r="F307" s="593"/>
      <c r="G307" s="593"/>
      <c r="H307" s="593"/>
      <c r="I307" s="593"/>
    </row>
    <row r="308" spans="1:9" ht="20.25">
      <c r="A308" s="593"/>
      <c r="B308" s="593"/>
      <c r="C308" s="593"/>
      <c r="D308" s="593"/>
      <c r="E308" s="593"/>
      <c r="F308" s="593"/>
      <c r="G308" s="593"/>
      <c r="H308" s="593"/>
      <c r="I308" s="593"/>
    </row>
    <row r="309" spans="1:9" ht="20.25">
      <c r="A309" s="593"/>
      <c r="B309" s="593"/>
      <c r="C309" s="593"/>
      <c r="D309" s="593"/>
      <c r="E309" s="593"/>
      <c r="F309" s="593"/>
      <c r="G309" s="593"/>
      <c r="H309" s="593"/>
      <c r="I309" s="593"/>
    </row>
    <row r="310" spans="1:9" ht="20.25">
      <c r="A310" s="593"/>
      <c r="B310" s="593"/>
      <c r="C310" s="593"/>
      <c r="D310" s="593"/>
      <c r="E310" s="593"/>
      <c r="F310" s="593"/>
      <c r="G310" s="593"/>
      <c r="H310" s="593"/>
      <c r="I310" s="593"/>
    </row>
    <row r="311" spans="1:9" ht="20.25">
      <c r="A311" s="593"/>
      <c r="B311" s="593"/>
      <c r="C311" s="593"/>
      <c r="D311" s="593"/>
      <c r="E311" s="593"/>
      <c r="F311" s="593"/>
      <c r="G311" s="593"/>
      <c r="H311" s="593"/>
      <c r="I311" s="593"/>
    </row>
    <row r="312" spans="1:9" ht="20.25">
      <c r="A312" s="593"/>
      <c r="B312" s="593"/>
      <c r="C312" s="593"/>
      <c r="D312" s="593"/>
      <c r="E312" s="593"/>
      <c r="F312" s="593"/>
      <c r="G312" s="593"/>
      <c r="H312" s="593"/>
      <c r="I312" s="593"/>
    </row>
    <row r="313" spans="1:9" ht="20.25">
      <c r="A313" s="593"/>
      <c r="B313" s="593"/>
      <c r="C313" s="593"/>
      <c r="D313" s="593"/>
      <c r="E313" s="593"/>
      <c r="F313" s="593"/>
      <c r="G313" s="593"/>
      <c r="H313" s="593"/>
      <c r="I313" s="593"/>
    </row>
    <row r="314" spans="1:9" ht="20.25">
      <c r="A314" s="593"/>
      <c r="B314" s="593"/>
      <c r="C314" s="593"/>
      <c r="D314" s="593"/>
      <c r="E314" s="593"/>
      <c r="F314" s="593"/>
      <c r="G314" s="593"/>
      <c r="H314" s="593"/>
      <c r="I314" s="593"/>
    </row>
    <row r="315" spans="1:9" ht="20.25">
      <c r="A315" s="593"/>
      <c r="B315" s="593"/>
      <c r="C315" s="593"/>
      <c r="D315" s="593"/>
      <c r="E315" s="593"/>
      <c r="F315" s="593"/>
      <c r="G315" s="593"/>
      <c r="H315" s="593"/>
      <c r="I315" s="593"/>
    </row>
    <row r="316" spans="1:9" ht="20.25">
      <c r="A316" s="593"/>
      <c r="B316" s="593"/>
      <c r="C316" s="593"/>
      <c r="D316" s="593"/>
      <c r="E316" s="593"/>
      <c r="F316" s="593"/>
      <c r="G316" s="593"/>
      <c r="H316" s="593"/>
      <c r="I316" s="593"/>
    </row>
    <row r="317" spans="1:9" ht="20.25">
      <c r="A317" s="593"/>
      <c r="B317" s="593"/>
      <c r="C317" s="593"/>
      <c r="D317" s="593"/>
      <c r="E317" s="593"/>
      <c r="F317" s="593"/>
      <c r="G317" s="593"/>
      <c r="H317" s="593"/>
      <c r="I317" s="593"/>
    </row>
    <row r="318" spans="1:9" ht="20.25">
      <c r="A318" s="593"/>
      <c r="B318" s="593"/>
      <c r="C318" s="593"/>
      <c r="D318" s="593"/>
      <c r="E318" s="593"/>
      <c r="F318" s="593"/>
      <c r="G318" s="593"/>
      <c r="H318" s="593"/>
      <c r="I318" s="593"/>
    </row>
    <row r="319" spans="1:9" ht="20.25">
      <c r="A319" s="593"/>
      <c r="B319" s="593"/>
      <c r="C319" s="593"/>
      <c r="D319" s="593"/>
      <c r="E319" s="593"/>
      <c r="F319" s="593"/>
      <c r="G319" s="593"/>
      <c r="H319" s="593"/>
      <c r="I319" s="593"/>
    </row>
    <row r="320" spans="1:9" ht="20.25">
      <c r="A320" s="593"/>
      <c r="B320" s="593"/>
      <c r="C320" s="593"/>
      <c r="D320" s="593"/>
      <c r="E320" s="593"/>
      <c r="F320" s="593"/>
      <c r="G320" s="593"/>
      <c r="H320" s="593"/>
      <c r="I320" s="593"/>
    </row>
    <row r="321" spans="1:9" ht="20.25">
      <c r="A321" s="593"/>
      <c r="B321" s="593"/>
      <c r="C321" s="593"/>
      <c r="D321" s="593"/>
      <c r="E321" s="593"/>
      <c r="F321" s="593"/>
      <c r="G321" s="593"/>
      <c r="H321" s="593"/>
      <c r="I321" s="593"/>
    </row>
    <row r="322" spans="1:9" ht="20.25">
      <c r="A322" s="593"/>
      <c r="B322" s="593"/>
      <c r="C322" s="593"/>
      <c r="D322" s="593"/>
      <c r="E322" s="593"/>
      <c r="F322" s="593"/>
      <c r="G322" s="593"/>
      <c r="H322" s="593"/>
      <c r="I322" s="593"/>
    </row>
    <row r="323" spans="1:9" ht="20.25">
      <c r="A323" s="593"/>
      <c r="B323" s="593"/>
      <c r="C323" s="593"/>
      <c r="D323" s="593"/>
      <c r="E323" s="593"/>
      <c r="F323" s="593"/>
      <c r="G323" s="593"/>
      <c r="H323" s="593"/>
      <c r="I323" s="593"/>
    </row>
    <row r="324" spans="1:9" ht="20.25">
      <c r="A324" s="593"/>
      <c r="B324" s="593"/>
      <c r="C324" s="593"/>
      <c r="D324" s="593"/>
      <c r="E324" s="593"/>
      <c r="F324" s="593"/>
      <c r="G324" s="593"/>
      <c r="H324" s="593"/>
      <c r="I324" s="593"/>
    </row>
    <row r="325" spans="1:9" ht="20.25">
      <c r="A325" s="593"/>
      <c r="B325" s="593"/>
      <c r="C325" s="593"/>
      <c r="D325" s="593"/>
      <c r="E325" s="593"/>
      <c r="F325" s="593"/>
      <c r="G325" s="593"/>
      <c r="H325" s="593"/>
      <c r="I325" s="593"/>
    </row>
    <row r="326" spans="1:9" ht="20.25">
      <c r="A326" s="593"/>
      <c r="B326" s="593"/>
      <c r="C326" s="593"/>
      <c r="D326" s="593"/>
      <c r="E326" s="593"/>
      <c r="F326" s="593"/>
      <c r="G326" s="593"/>
      <c r="H326" s="593"/>
      <c r="I326" s="593"/>
    </row>
    <row r="327" spans="1:9" ht="20.25">
      <c r="A327" s="593"/>
      <c r="B327" s="593"/>
      <c r="C327" s="593"/>
      <c r="D327" s="593"/>
      <c r="E327" s="593"/>
      <c r="F327" s="593"/>
      <c r="G327" s="593"/>
      <c r="H327" s="593"/>
      <c r="I327" s="593"/>
    </row>
    <row r="328" spans="1:9" ht="20.25">
      <c r="A328" s="593"/>
      <c r="B328" s="593"/>
      <c r="C328" s="593"/>
      <c r="D328" s="593"/>
      <c r="E328" s="593"/>
      <c r="F328" s="593"/>
      <c r="G328" s="593"/>
      <c r="H328" s="593"/>
      <c r="I328" s="593"/>
    </row>
    <row r="329" spans="1:9" ht="20.25">
      <c r="A329" s="593"/>
      <c r="B329" s="593"/>
      <c r="C329" s="593"/>
      <c r="D329" s="593"/>
      <c r="E329" s="593"/>
      <c r="F329" s="593"/>
      <c r="G329" s="593"/>
      <c r="H329" s="593"/>
      <c r="I329" s="593"/>
    </row>
    <row r="330" spans="1:9" ht="20.25">
      <c r="A330" s="593"/>
      <c r="B330" s="593"/>
      <c r="C330" s="593"/>
      <c r="D330" s="593"/>
      <c r="E330" s="593"/>
      <c r="F330" s="593"/>
      <c r="G330" s="593"/>
      <c r="H330" s="593"/>
      <c r="I330" s="593"/>
    </row>
    <row r="331" spans="1:9" ht="20.25">
      <c r="A331" s="593"/>
      <c r="B331" s="593"/>
      <c r="C331" s="593"/>
      <c r="D331" s="593"/>
      <c r="E331" s="593"/>
      <c r="F331" s="593"/>
      <c r="G331" s="593"/>
      <c r="H331" s="593"/>
      <c r="I331" s="593"/>
    </row>
    <row r="332" spans="1:9" ht="20.25">
      <c r="A332" s="593"/>
      <c r="B332" s="593"/>
      <c r="C332" s="593"/>
      <c r="D332" s="593"/>
      <c r="E332" s="593"/>
      <c r="F332" s="593"/>
      <c r="G332" s="593"/>
      <c r="H332" s="593"/>
      <c r="I332" s="593"/>
    </row>
    <row r="333" spans="1:9" ht="20.25">
      <c r="A333" s="593"/>
      <c r="B333" s="593"/>
      <c r="C333" s="593"/>
      <c r="D333" s="593"/>
      <c r="E333" s="593"/>
      <c r="F333" s="593"/>
      <c r="G333" s="593"/>
      <c r="H333" s="593"/>
      <c r="I333" s="593"/>
    </row>
    <row r="334" spans="1:9" ht="20.25">
      <c r="A334" s="593"/>
      <c r="B334" s="593"/>
      <c r="C334" s="593"/>
      <c r="D334" s="593"/>
      <c r="E334" s="593"/>
      <c r="F334" s="593"/>
      <c r="G334" s="593"/>
      <c r="H334" s="593"/>
      <c r="I334" s="593"/>
    </row>
    <row r="335" spans="1:9" ht="20.25">
      <c r="A335" s="593"/>
      <c r="B335" s="593"/>
      <c r="C335" s="593"/>
      <c r="D335" s="593"/>
      <c r="E335" s="593"/>
      <c r="F335" s="593"/>
      <c r="G335" s="593"/>
      <c r="H335" s="593"/>
      <c r="I335" s="593"/>
    </row>
    <row r="336" spans="1:9" ht="20.25">
      <c r="A336" s="593"/>
      <c r="B336" s="593"/>
      <c r="C336" s="593"/>
      <c r="D336" s="593"/>
      <c r="E336" s="593"/>
      <c r="F336" s="593"/>
      <c r="G336" s="593"/>
      <c r="H336" s="593"/>
      <c r="I336" s="593"/>
    </row>
    <row r="337" spans="1:9" ht="20.25">
      <c r="A337" s="593"/>
      <c r="B337" s="593"/>
      <c r="C337" s="593"/>
      <c r="D337" s="593"/>
      <c r="E337" s="593"/>
      <c r="F337" s="593"/>
      <c r="G337" s="593"/>
      <c r="H337" s="593"/>
      <c r="I337" s="593"/>
    </row>
    <row r="338" spans="1:9" ht="20.25">
      <c r="A338" s="593"/>
      <c r="B338" s="593"/>
      <c r="C338" s="593"/>
      <c r="D338" s="593"/>
      <c r="E338" s="593"/>
      <c r="F338" s="593"/>
      <c r="G338" s="593"/>
      <c r="H338" s="593"/>
      <c r="I338" s="593"/>
    </row>
    <row r="339" spans="1:9" ht="20.25">
      <c r="A339" s="593"/>
      <c r="B339" s="593"/>
      <c r="C339" s="593"/>
      <c r="D339" s="593"/>
      <c r="E339" s="593"/>
      <c r="F339" s="593"/>
      <c r="G339" s="593"/>
      <c r="H339" s="593"/>
      <c r="I339" s="593"/>
    </row>
    <row r="340" spans="1:9" ht="20.25">
      <c r="A340" s="593"/>
      <c r="B340" s="593"/>
      <c r="C340" s="593"/>
      <c r="D340" s="593"/>
      <c r="E340" s="593"/>
      <c r="F340" s="593"/>
      <c r="G340" s="593"/>
      <c r="H340" s="593"/>
      <c r="I340" s="593"/>
    </row>
    <row r="341" spans="1:9" ht="20.25">
      <c r="A341" s="593"/>
      <c r="B341" s="593"/>
      <c r="C341" s="593"/>
      <c r="D341" s="593"/>
      <c r="E341" s="593"/>
      <c r="F341" s="593"/>
      <c r="G341" s="593"/>
      <c r="H341" s="593"/>
      <c r="I341" s="593"/>
    </row>
    <row r="342" spans="1:9" ht="20.25">
      <c r="A342" s="593"/>
      <c r="B342" s="593"/>
      <c r="C342" s="593"/>
      <c r="D342" s="593"/>
      <c r="E342" s="593"/>
      <c r="F342" s="593"/>
      <c r="G342" s="593"/>
      <c r="H342" s="593"/>
      <c r="I342" s="593"/>
    </row>
    <row r="343" spans="1:9" ht="20.25">
      <c r="A343" s="593"/>
      <c r="B343" s="593"/>
      <c r="C343" s="593"/>
      <c r="D343" s="593"/>
      <c r="E343" s="593"/>
      <c r="F343" s="593"/>
      <c r="G343" s="593"/>
      <c r="H343" s="593"/>
      <c r="I343" s="593"/>
    </row>
    <row r="344" spans="1:9" ht="20.25">
      <c r="A344" s="593"/>
      <c r="B344" s="593"/>
      <c r="C344" s="593"/>
      <c r="D344" s="593"/>
      <c r="E344" s="593"/>
      <c r="F344" s="593"/>
      <c r="G344" s="593"/>
      <c r="H344" s="593"/>
      <c r="I344" s="593"/>
    </row>
    <row r="345" spans="1:9" ht="20.25">
      <c r="A345" s="593"/>
      <c r="B345" s="593"/>
      <c r="C345" s="593"/>
      <c r="D345" s="593"/>
      <c r="E345" s="593"/>
      <c r="F345" s="593"/>
      <c r="G345" s="593"/>
      <c r="H345" s="593"/>
      <c r="I345" s="593"/>
    </row>
    <row r="346" spans="1:9" ht="20.25">
      <c r="A346" s="593"/>
      <c r="B346" s="593"/>
      <c r="C346" s="593"/>
      <c r="D346" s="593"/>
      <c r="E346" s="593"/>
      <c r="F346" s="593"/>
      <c r="G346" s="593"/>
      <c r="H346" s="593"/>
      <c r="I346" s="593"/>
    </row>
    <row r="347" spans="1:9" ht="20.25">
      <c r="A347" s="593"/>
      <c r="B347" s="593"/>
      <c r="C347" s="593"/>
      <c r="D347" s="593"/>
      <c r="E347" s="593"/>
      <c r="F347" s="593"/>
      <c r="G347" s="593"/>
      <c r="H347" s="593"/>
      <c r="I347" s="593"/>
    </row>
    <row r="348" spans="1:9" ht="20.25">
      <c r="A348" s="593"/>
      <c r="B348" s="593"/>
      <c r="C348" s="593"/>
      <c r="D348" s="593"/>
      <c r="E348" s="593"/>
      <c r="F348" s="593"/>
      <c r="G348" s="593"/>
      <c r="H348" s="593"/>
      <c r="I348" s="593"/>
    </row>
    <row r="349" spans="1:9" ht="20.25">
      <c r="A349" s="593"/>
      <c r="B349" s="593"/>
      <c r="C349" s="593"/>
      <c r="D349" s="593"/>
      <c r="E349" s="593"/>
      <c r="F349" s="593"/>
      <c r="G349" s="593"/>
      <c r="H349" s="593"/>
      <c r="I349" s="593"/>
    </row>
    <row r="350" spans="1:9" ht="20.25">
      <c r="A350" s="593"/>
      <c r="B350" s="593"/>
      <c r="C350" s="593"/>
      <c r="D350" s="593"/>
      <c r="E350" s="593"/>
      <c r="F350" s="593"/>
      <c r="G350" s="593"/>
      <c r="H350" s="593"/>
      <c r="I350" s="593"/>
    </row>
    <row r="351" spans="1:9" ht="20.25">
      <c r="A351" s="593"/>
      <c r="B351" s="593"/>
      <c r="C351" s="593"/>
      <c r="D351" s="593"/>
      <c r="E351" s="593"/>
      <c r="F351" s="593"/>
      <c r="G351" s="593"/>
      <c r="H351" s="593"/>
      <c r="I351" s="593"/>
    </row>
    <row r="352" spans="1:9" ht="20.25">
      <c r="A352" s="593"/>
      <c r="B352" s="593"/>
      <c r="C352" s="593"/>
      <c r="D352" s="593"/>
      <c r="E352" s="593"/>
      <c r="F352" s="593"/>
      <c r="G352" s="593"/>
      <c r="H352" s="593"/>
      <c r="I352" s="593"/>
    </row>
    <row r="353" spans="1:9" ht="20.25">
      <c r="A353" s="593"/>
      <c r="B353" s="593"/>
      <c r="C353" s="593"/>
      <c r="D353" s="593"/>
      <c r="E353" s="593"/>
      <c r="F353" s="593"/>
      <c r="G353" s="593"/>
      <c r="H353" s="593"/>
      <c r="I353" s="593"/>
    </row>
    <row r="354" spans="1:9" ht="20.25">
      <c r="A354" s="593"/>
      <c r="B354" s="593"/>
      <c r="C354" s="593"/>
      <c r="D354" s="593"/>
      <c r="E354" s="593"/>
      <c r="F354" s="593"/>
      <c r="G354" s="593"/>
      <c r="H354" s="593"/>
      <c r="I354" s="593"/>
    </row>
    <row r="355" spans="1:9" ht="20.25">
      <c r="A355" s="593"/>
      <c r="B355" s="593"/>
      <c r="C355" s="593"/>
      <c r="D355" s="593"/>
      <c r="E355" s="593"/>
      <c r="F355" s="593"/>
      <c r="G355" s="593"/>
      <c r="H355" s="593"/>
      <c r="I355" s="593"/>
    </row>
    <row r="356" spans="1:9" ht="20.25">
      <c r="A356" s="593"/>
      <c r="B356" s="593"/>
      <c r="C356" s="593"/>
      <c r="D356" s="593"/>
      <c r="E356" s="593"/>
      <c r="F356" s="593"/>
      <c r="G356" s="593"/>
      <c r="H356" s="593"/>
      <c r="I356" s="593"/>
    </row>
    <row r="357" spans="1:9" ht="20.25">
      <c r="A357" s="593"/>
      <c r="B357" s="593"/>
      <c r="C357" s="593"/>
      <c r="D357" s="593"/>
      <c r="E357" s="593"/>
      <c r="F357" s="593"/>
      <c r="G357" s="593"/>
      <c r="H357" s="593"/>
      <c r="I357" s="593"/>
    </row>
    <row r="358" spans="1:9" ht="20.25">
      <c r="A358" s="593"/>
      <c r="B358" s="593"/>
      <c r="C358" s="593"/>
      <c r="D358" s="593"/>
      <c r="E358" s="593"/>
      <c r="F358" s="593"/>
      <c r="G358" s="593"/>
      <c r="H358" s="593"/>
      <c r="I358" s="593"/>
    </row>
    <row r="359" spans="1:9" ht="20.25">
      <c r="A359" s="593"/>
      <c r="B359" s="593"/>
      <c r="C359" s="593"/>
      <c r="D359" s="593"/>
      <c r="E359" s="593"/>
      <c r="F359" s="593"/>
      <c r="G359" s="593"/>
      <c r="H359" s="593"/>
      <c r="I359" s="593"/>
    </row>
    <row r="360" spans="1:9" ht="20.25">
      <c r="A360" s="593"/>
      <c r="B360" s="593"/>
      <c r="C360" s="593"/>
      <c r="D360" s="593"/>
      <c r="E360" s="593"/>
      <c r="F360" s="593"/>
      <c r="G360" s="593"/>
      <c r="H360" s="593"/>
      <c r="I360" s="593"/>
    </row>
    <row r="361" spans="1:9" ht="20.25">
      <c r="A361" s="593"/>
      <c r="B361" s="593"/>
      <c r="C361" s="593"/>
      <c r="D361" s="593"/>
      <c r="E361" s="593"/>
      <c r="F361" s="593"/>
      <c r="G361" s="593"/>
      <c r="H361" s="593"/>
      <c r="I361" s="593"/>
    </row>
    <row r="362" spans="1:9" ht="20.25">
      <c r="A362" s="593"/>
      <c r="B362" s="593"/>
      <c r="C362" s="593"/>
      <c r="D362" s="593"/>
      <c r="E362" s="593"/>
      <c r="F362" s="593"/>
      <c r="G362" s="593"/>
      <c r="H362" s="593"/>
      <c r="I362" s="593"/>
    </row>
    <row r="363" spans="1:9" ht="20.25">
      <c r="A363" s="593"/>
      <c r="B363" s="593"/>
      <c r="C363" s="593"/>
      <c r="D363" s="593"/>
      <c r="E363" s="593"/>
      <c r="F363" s="593"/>
      <c r="G363" s="593"/>
      <c r="H363" s="593"/>
      <c r="I363" s="593"/>
    </row>
    <row r="364" spans="1:9" ht="20.25">
      <c r="A364" s="593"/>
      <c r="B364" s="593"/>
      <c r="C364" s="593"/>
      <c r="D364" s="593"/>
      <c r="E364" s="593"/>
      <c r="F364" s="593"/>
      <c r="G364" s="593"/>
      <c r="H364" s="593"/>
      <c r="I364" s="593"/>
    </row>
    <row r="365" spans="1:9" ht="20.25">
      <c r="A365" s="593"/>
      <c r="B365" s="593"/>
      <c r="C365" s="593"/>
      <c r="D365" s="593"/>
      <c r="E365" s="593"/>
      <c r="F365" s="593"/>
      <c r="G365" s="593"/>
      <c r="H365" s="593"/>
      <c r="I365" s="593"/>
    </row>
    <row r="366" spans="1:9" ht="20.25">
      <c r="A366" s="593"/>
      <c r="B366" s="593"/>
      <c r="C366" s="593"/>
      <c r="D366" s="593"/>
      <c r="E366" s="593"/>
      <c r="F366" s="593"/>
      <c r="G366" s="593"/>
      <c r="H366" s="593"/>
      <c r="I366" s="593"/>
    </row>
    <row r="367" spans="1:9" ht="20.25">
      <c r="A367" s="593"/>
      <c r="B367" s="593"/>
      <c r="C367" s="593"/>
      <c r="D367" s="593"/>
      <c r="E367" s="593"/>
      <c r="F367" s="593"/>
      <c r="G367" s="593"/>
      <c r="H367" s="593"/>
      <c r="I367" s="593"/>
    </row>
    <row r="368" spans="1:9" ht="20.25">
      <c r="A368" s="593"/>
      <c r="B368" s="593"/>
      <c r="C368" s="593"/>
      <c r="D368" s="593"/>
      <c r="E368" s="593"/>
      <c r="F368" s="593"/>
      <c r="G368" s="593"/>
      <c r="H368" s="593"/>
      <c r="I368" s="593"/>
    </row>
    <row r="369" spans="1:9" ht="20.25">
      <c r="A369" s="593"/>
      <c r="B369" s="593"/>
      <c r="C369" s="593"/>
      <c r="D369" s="593"/>
      <c r="E369" s="593"/>
      <c r="F369" s="593"/>
      <c r="G369" s="593"/>
      <c r="H369" s="593"/>
      <c r="I369" s="593"/>
    </row>
    <row r="370" spans="1:9" ht="20.25">
      <c r="A370" s="593"/>
      <c r="B370" s="593"/>
      <c r="C370" s="593"/>
      <c r="D370" s="593"/>
      <c r="E370" s="593"/>
      <c r="F370" s="593"/>
      <c r="G370" s="593"/>
      <c r="H370" s="593"/>
      <c r="I370" s="593"/>
    </row>
    <row r="371" spans="1:9" ht="20.25">
      <c r="A371" s="593"/>
      <c r="B371" s="593"/>
      <c r="C371" s="593"/>
      <c r="D371" s="593"/>
      <c r="E371" s="593"/>
      <c r="F371" s="593"/>
      <c r="G371" s="593"/>
      <c r="H371" s="593"/>
      <c r="I371" s="593"/>
    </row>
    <row r="372" spans="1:9" ht="20.25">
      <c r="A372" s="593"/>
      <c r="B372" s="593"/>
      <c r="C372" s="593"/>
      <c r="D372" s="593"/>
      <c r="E372" s="593"/>
      <c r="F372" s="593"/>
      <c r="G372" s="593"/>
      <c r="H372" s="593"/>
      <c r="I372" s="593"/>
    </row>
    <row r="373" spans="1:9" ht="20.25">
      <c r="A373" s="593"/>
      <c r="B373" s="593"/>
      <c r="C373" s="593"/>
      <c r="D373" s="593"/>
      <c r="E373" s="593"/>
      <c r="F373" s="593"/>
      <c r="G373" s="593"/>
      <c r="H373" s="593"/>
      <c r="I373" s="593"/>
    </row>
    <row r="374" spans="1:9" ht="20.25">
      <c r="A374" s="593"/>
      <c r="B374" s="593"/>
      <c r="C374" s="593"/>
      <c r="D374" s="593"/>
      <c r="E374" s="593"/>
      <c r="F374" s="593"/>
      <c r="G374" s="593"/>
      <c r="H374" s="593"/>
      <c r="I374" s="593"/>
    </row>
    <row r="375" spans="1:9" ht="20.25">
      <c r="A375" s="593"/>
      <c r="B375" s="593"/>
      <c r="C375" s="593"/>
      <c r="D375" s="593"/>
      <c r="E375" s="593"/>
      <c r="F375" s="593"/>
      <c r="G375" s="593"/>
      <c r="H375" s="593"/>
      <c r="I375" s="593"/>
    </row>
    <row r="376" spans="1:9" ht="20.25">
      <c r="A376" s="593"/>
      <c r="B376" s="593"/>
      <c r="C376" s="593"/>
      <c r="D376" s="593"/>
      <c r="E376" s="593"/>
      <c r="F376" s="593"/>
      <c r="G376" s="593"/>
      <c r="H376" s="593"/>
      <c r="I376" s="593"/>
    </row>
    <row r="377" spans="1:9" ht="20.25">
      <c r="A377" s="593"/>
      <c r="B377" s="593"/>
      <c r="C377" s="593"/>
      <c r="D377" s="593"/>
      <c r="E377" s="593"/>
      <c r="F377" s="593"/>
      <c r="G377" s="593"/>
      <c r="H377" s="593"/>
      <c r="I377" s="593"/>
    </row>
    <row r="378" spans="1:9" ht="20.25">
      <c r="A378" s="593"/>
      <c r="B378" s="593"/>
      <c r="C378" s="593"/>
      <c r="D378" s="593"/>
      <c r="E378" s="593"/>
      <c r="F378" s="593"/>
      <c r="G378" s="593"/>
      <c r="H378" s="593"/>
      <c r="I378" s="593"/>
    </row>
    <row r="379" spans="1:9" ht="20.25">
      <c r="A379" s="593"/>
      <c r="B379" s="593"/>
      <c r="C379" s="593"/>
      <c r="D379" s="593"/>
      <c r="E379" s="593"/>
      <c r="F379" s="593"/>
      <c r="G379" s="593"/>
      <c r="H379" s="593"/>
      <c r="I379" s="593"/>
    </row>
    <row r="380" spans="1:9" ht="20.25">
      <c r="A380" s="593"/>
      <c r="B380" s="593"/>
      <c r="C380" s="593"/>
      <c r="D380" s="593"/>
      <c r="E380" s="593"/>
      <c r="F380" s="593"/>
      <c r="G380" s="593"/>
      <c r="H380" s="593"/>
      <c r="I380" s="593"/>
    </row>
    <row r="381" spans="1:9" ht="20.25">
      <c r="A381" s="593"/>
      <c r="B381" s="593"/>
      <c r="C381" s="593"/>
      <c r="D381" s="593"/>
      <c r="E381" s="593"/>
      <c r="F381" s="593"/>
      <c r="G381" s="593"/>
      <c r="H381" s="593"/>
      <c r="I381" s="593"/>
    </row>
    <row r="382" spans="1:9" ht="20.25">
      <c r="A382" s="593"/>
      <c r="B382" s="593"/>
      <c r="C382" s="593"/>
      <c r="D382" s="593"/>
      <c r="E382" s="593"/>
      <c r="F382" s="593"/>
      <c r="G382" s="593"/>
      <c r="H382" s="593"/>
      <c r="I382" s="593"/>
    </row>
    <row r="383" spans="1:9" ht="20.25">
      <c r="A383" s="593"/>
      <c r="B383" s="593"/>
      <c r="C383" s="593"/>
      <c r="D383" s="593"/>
      <c r="E383" s="593"/>
      <c r="F383" s="593"/>
      <c r="G383" s="593"/>
      <c r="H383" s="593"/>
      <c r="I383" s="593"/>
    </row>
    <row r="384" spans="1:9" ht="20.25">
      <c r="A384" s="593"/>
      <c r="B384" s="593"/>
      <c r="C384" s="593"/>
      <c r="D384" s="593"/>
      <c r="E384" s="593"/>
      <c r="F384" s="593"/>
      <c r="G384" s="593"/>
      <c r="H384" s="593"/>
      <c r="I384" s="593"/>
    </row>
    <row r="385" spans="1:9" ht="20.25">
      <c r="A385" s="593"/>
      <c r="B385" s="593"/>
      <c r="C385" s="593"/>
      <c r="D385" s="593"/>
      <c r="E385" s="593"/>
      <c r="F385" s="593"/>
      <c r="G385" s="593"/>
      <c r="H385" s="593"/>
      <c r="I385" s="593"/>
    </row>
    <row r="386" spans="1:9" ht="20.25">
      <c r="A386" s="593"/>
      <c r="B386" s="593"/>
      <c r="C386" s="593"/>
      <c r="D386" s="593"/>
      <c r="E386" s="593"/>
      <c r="F386" s="593"/>
      <c r="G386" s="593"/>
      <c r="H386" s="593"/>
      <c r="I386" s="593"/>
    </row>
    <row r="387" spans="1:9" ht="20.25">
      <c r="A387" s="593"/>
      <c r="B387" s="593"/>
      <c r="C387" s="593"/>
      <c r="D387" s="593"/>
      <c r="E387" s="593"/>
      <c r="F387" s="593"/>
      <c r="G387" s="593"/>
      <c r="H387" s="593"/>
      <c r="I387" s="593"/>
    </row>
    <row r="388" spans="1:9" ht="20.25">
      <c r="A388" s="593"/>
      <c r="B388" s="593"/>
      <c r="C388" s="593"/>
      <c r="D388" s="593"/>
      <c r="E388" s="593"/>
      <c r="F388" s="593"/>
      <c r="G388" s="593"/>
      <c r="H388" s="593"/>
      <c r="I388" s="593"/>
    </row>
    <row r="389" spans="1:9" ht="20.25">
      <c r="A389" s="593"/>
      <c r="B389" s="593"/>
      <c r="C389" s="593"/>
      <c r="D389" s="593"/>
      <c r="E389" s="593"/>
      <c r="F389" s="593"/>
      <c r="G389" s="593"/>
      <c r="H389" s="593"/>
      <c r="I389" s="593"/>
    </row>
    <row r="390" spans="1:9" ht="20.25">
      <c r="A390" s="593"/>
      <c r="B390" s="593"/>
      <c r="C390" s="593"/>
      <c r="D390" s="593"/>
      <c r="E390" s="593"/>
      <c r="F390" s="593"/>
      <c r="G390" s="593"/>
      <c r="H390" s="593"/>
      <c r="I390" s="593"/>
    </row>
    <row r="391" spans="1:9" ht="20.25">
      <c r="A391" s="593"/>
      <c r="B391" s="593"/>
      <c r="C391" s="593"/>
      <c r="D391" s="593"/>
      <c r="E391" s="593"/>
      <c r="F391" s="593"/>
      <c r="G391" s="593"/>
      <c r="H391" s="593"/>
      <c r="I391" s="593"/>
    </row>
    <row r="392" spans="1:9" ht="20.25">
      <c r="A392" s="593"/>
      <c r="B392" s="593"/>
      <c r="C392" s="593"/>
      <c r="D392" s="593"/>
      <c r="E392" s="593"/>
      <c r="F392" s="593"/>
      <c r="G392" s="593"/>
      <c r="H392" s="593"/>
      <c r="I392" s="593"/>
    </row>
    <row r="393" spans="1:9" ht="20.25">
      <c r="A393" s="593"/>
      <c r="B393" s="593"/>
      <c r="C393" s="593"/>
      <c r="D393" s="593"/>
      <c r="E393" s="593"/>
      <c r="F393" s="593"/>
      <c r="G393" s="593"/>
      <c r="H393" s="593"/>
      <c r="I393" s="593"/>
    </row>
    <row r="394" spans="1:9" ht="20.25">
      <c r="A394" s="593"/>
      <c r="B394" s="593"/>
      <c r="C394" s="593"/>
      <c r="D394" s="593"/>
      <c r="E394" s="593"/>
      <c r="F394" s="593"/>
      <c r="G394" s="593"/>
      <c r="H394" s="593"/>
      <c r="I394" s="593"/>
    </row>
    <row r="395" spans="1:9" ht="20.25">
      <c r="A395" s="593"/>
      <c r="B395" s="593"/>
      <c r="C395" s="593"/>
      <c r="D395" s="593"/>
      <c r="E395" s="593"/>
      <c r="F395" s="593"/>
      <c r="G395" s="593"/>
      <c r="H395" s="593"/>
      <c r="I395" s="593"/>
    </row>
    <row r="396" spans="1:9" ht="20.25">
      <c r="A396" s="593"/>
      <c r="B396" s="593"/>
      <c r="C396" s="593"/>
      <c r="D396" s="593"/>
      <c r="E396" s="593"/>
      <c r="F396" s="593"/>
      <c r="G396" s="593"/>
      <c r="H396" s="593"/>
      <c r="I396" s="593"/>
    </row>
    <row r="397" spans="1:9" ht="20.25">
      <c r="A397" s="593"/>
      <c r="B397" s="593"/>
      <c r="C397" s="593"/>
      <c r="D397" s="593"/>
      <c r="E397" s="593"/>
      <c r="F397" s="593"/>
      <c r="G397" s="593"/>
      <c r="H397" s="593"/>
      <c r="I397" s="593"/>
    </row>
    <row r="398" spans="1:9" ht="20.25">
      <c r="A398" s="593"/>
      <c r="B398" s="593"/>
      <c r="C398" s="593"/>
      <c r="D398" s="593"/>
      <c r="E398" s="593"/>
      <c r="F398" s="593"/>
      <c r="G398" s="593"/>
      <c r="H398" s="593"/>
      <c r="I398" s="593"/>
    </row>
    <row r="399" spans="1:9" ht="20.25">
      <c r="A399" s="593"/>
      <c r="B399" s="593"/>
      <c r="C399" s="593"/>
      <c r="D399" s="593"/>
      <c r="E399" s="593"/>
      <c r="F399" s="593"/>
      <c r="G399" s="593"/>
      <c r="H399" s="593"/>
      <c r="I399" s="593"/>
    </row>
    <row r="400" spans="1:9" ht="20.25">
      <c r="A400" s="593"/>
      <c r="B400" s="593"/>
      <c r="C400" s="593"/>
      <c r="D400" s="593"/>
      <c r="E400" s="593"/>
      <c r="F400" s="593"/>
      <c r="G400" s="593"/>
      <c r="H400" s="593"/>
      <c r="I400" s="593"/>
    </row>
    <row r="401" spans="1:9" ht="20.25">
      <c r="A401" s="593"/>
      <c r="B401" s="593"/>
      <c r="C401" s="593"/>
      <c r="D401" s="593"/>
      <c r="E401" s="593"/>
      <c r="F401" s="593"/>
      <c r="G401" s="593"/>
      <c r="H401" s="593"/>
      <c r="I401" s="593"/>
    </row>
    <row r="402" spans="1:9" ht="20.25">
      <c r="A402" s="593"/>
      <c r="B402" s="593"/>
      <c r="C402" s="593"/>
      <c r="D402" s="593"/>
      <c r="E402" s="593"/>
      <c r="F402" s="593"/>
      <c r="G402" s="593"/>
      <c r="H402" s="593"/>
      <c r="I402" s="593"/>
    </row>
    <row r="403" spans="1:9" ht="20.25">
      <c r="A403" s="593"/>
      <c r="B403" s="593"/>
      <c r="C403" s="593"/>
      <c r="D403" s="593"/>
      <c r="E403" s="593"/>
      <c r="F403" s="593"/>
      <c r="G403" s="593"/>
      <c r="H403" s="593"/>
      <c r="I403" s="593"/>
    </row>
    <row r="404" spans="1:9" ht="20.25">
      <c r="A404" s="593"/>
      <c r="B404" s="593"/>
      <c r="C404" s="593"/>
      <c r="D404" s="593"/>
      <c r="E404" s="593"/>
      <c r="F404" s="593"/>
      <c r="G404" s="593"/>
      <c r="H404" s="593"/>
      <c r="I404" s="593"/>
    </row>
    <row r="405" spans="1:9" ht="20.25">
      <c r="A405" s="593"/>
      <c r="B405" s="593"/>
      <c r="C405" s="593"/>
      <c r="D405" s="593"/>
      <c r="E405" s="593"/>
      <c r="F405" s="593"/>
      <c r="G405" s="593"/>
      <c r="H405" s="593"/>
      <c r="I405" s="593"/>
    </row>
    <row r="406" spans="1:9" ht="20.25">
      <c r="A406" s="593"/>
      <c r="B406" s="593"/>
      <c r="C406" s="593"/>
      <c r="D406" s="593"/>
      <c r="E406" s="593"/>
      <c r="F406" s="593"/>
      <c r="G406" s="593"/>
      <c r="H406" s="593"/>
      <c r="I406" s="593"/>
    </row>
    <row r="407" spans="1:9" ht="20.25">
      <c r="A407" s="593"/>
      <c r="B407" s="593"/>
      <c r="C407" s="593"/>
      <c r="D407" s="593"/>
      <c r="E407" s="593"/>
      <c r="F407" s="593"/>
      <c r="G407" s="593"/>
      <c r="H407" s="593"/>
      <c r="I407" s="593"/>
    </row>
    <row r="408" spans="1:9" ht="20.25">
      <c r="A408" s="593"/>
      <c r="B408" s="593"/>
      <c r="C408" s="593"/>
      <c r="D408" s="593"/>
      <c r="E408" s="593"/>
      <c r="F408" s="593"/>
      <c r="G408" s="593"/>
      <c r="H408" s="593"/>
      <c r="I408" s="593"/>
    </row>
    <row r="409" spans="1:9" ht="20.25">
      <c r="A409" s="593"/>
      <c r="B409" s="593"/>
      <c r="C409" s="593"/>
      <c r="D409" s="593"/>
      <c r="E409" s="593"/>
      <c r="F409" s="593"/>
      <c r="G409" s="593"/>
      <c r="H409" s="593"/>
      <c r="I409" s="593"/>
    </row>
    <row r="410" spans="1:9" ht="20.25">
      <c r="A410" s="593"/>
      <c r="B410" s="593"/>
      <c r="C410" s="593"/>
      <c r="D410" s="593"/>
      <c r="E410" s="593"/>
      <c r="F410" s="593"/>
      <c r="G410" s="593"/>
      <c r="H410" s="593"/>
      <c r="I410" s="593"/>
    </row>
    <row r="411" spans="1:9" ht="20.25">
      <c r="A411" s="593"/>
      <c r="B411" s="593"/>
      <c r="C411" s="593"/>
      <c r="D411" s="593"/>
      <c r="E411" s="593"/>
      <c r="F411" s="593"/>
      <c r="G411" s="593"/>
      <c r="H411" s="593"/>
      <c r="I411" s="593"/>
    </row>
    <row r="412" spans="1:9" ht="20.25">
      <c r="A412" s="593"/>
      <c r="B412" s="593"/>
      <c r="C412" s="593"/>
      <c r="D412" s="593"/>
      <c r="E412" s="593"/>
      <c r="F412" s="593"/>
      <c r="G412" s="593"/>
      <c r="H412" s="593"/>
      <c r="I412" s="593"/>
    </row>
    <row r="413" spans="1:9" ht="20.25">
      <c r="A413" s="593"/>
      <c r="B413" s="593"/>
      <c r="C413" s="593"/>
      <c r="D413" s="593"/>
      <c r="E413" s="593"/>
      <c r="F413" s="593"/>
      <c r="G413" s="593"/>
      <c r="H413" s="593"/>
      <c r="I413" s="593"/>
    </row>
    <row r="414" spans="1:9" ht="20.25">
      <c r="A414" s="593"/>
      <c r="B414" s="593"/>
      <c r="C414" s="593"/>
      <c r="D414" s="593"/>
      <c r="E414" s="593"/>
      <c r="F414" s="593"/>
      <c r="G414" s="593"/>
      <c r="H414" s="593"/>
      <c r="I414" s="593"/>
    </row>
    <row r="415" spans="1:9" ht="20.25">
      <c r="A415" s="593"/>
      <c r="B415" s="593"/>
      <c r="C415" s="593"/>
      <c r="D415" s="593"/>
      <c r="E415" s="593"/>
      <c r="F415" s="593"/>
      <c r="G415" s="593"/>
      <c r="H415" s="593"/>
      <c r="I415" s="593"/>
    </row>
    <row r="416" spans="1:9" ht="20.25">
      <c r="A416" s="593"/>
      <c r="B416" s="593"/>
      <c r="C416" s="593"/>
      <c r="D416" s="593"/>
      <c r="E416" s="593"/>
      <c r="F416" s="593"/>
      <c r="G416" s="593"/>
      <c r="H416" s="593"/>
      <c r="I416" s="593"/>
    </row>
    <row r="417" spans="1:9" ht="20.25">
      <c r="A417" s="593"/>
      <c r="B417" s="593"/>
      <c r="C417" s="593"/>
      <c r="D417" s="593"/>
      <c r="E417" s="593"/>
      <c r="F417" s="593"/>
      <c r="G417" s="593"/>
      <c r="H417" s="593"/>
      <c r="I417" s="593"/>
    </row>
    <row r="418" spans="1:9" ht="20.25">
      <c r="A418" s="593"/>
      <c r="B418" s="593"/>
      <c r="C418" s="593"/>
      <c r="D418" s="593"/>
      <c r="E418" s="593"/>
      <c r="F418" s="593"/>
      <c r="G418" s="593"/>
      <c r="H418" s="593"/>
      <c r="I418" s="593"/>
    </row>
    <row r="419" spans="1:9" ht="20.25">
      <c r="A419" s="593"/>
      <c r="B419" s="593"/>
      <c r="C419" s="593"/>
      <c r="D419" s="593"/>
      <c r="E419" s="593"/>
      <c r="F419" s="593"/>
      <c r="G419" s="593"/>
      <c r="H419" s="593"/>
      <c r="I419" s="593"/>
    </row>
    <row r="420" spans="1:9" ht="20.25">
      <c r="A420" s="593"/>
      <c r="B420" s="593"/>
      <c r="C420" s="593"/>
      <c r="D420" s="593"/>
      <c r="E420" s="593"/>
      <c r="F420" s="593"/>
      <c r="G420" s="593"/>
      <c r="H420" s="593"/>
      <c r="I420" s="593"/>
    </row>
    <row r="421" spans="1:9" ht="20.25">
      <c r="A421" s="593"/>
      <c r="B421" s="593"/>
      <c r="C421" s="593"/>
      <c r="D421" s="593"/>
      <c r="E421" s="593"/>
      <c r="F421" s="593"/>
      <c r="G421" s="593"/>
      <c r="H421" s="593"/>
      <c r="I421" s="593"/>
    </row>
    <row r="422" spans="1:9" ht="20.25">
      <c r="A422" s="593"/>
      <c r="B422" s="593"/>
      <c r="C422" s="593"/>
      <c r="D422" s="593"/>
      <c r="E422" s="593"/>
      <c r="F422" s="593"/>
      <c r="G422" s="593"/>
      <c r="H422" s="593"/>
      <c r="I422" s="593"/>
    </row>
    <row r="423" spans="1:9" ht="20.25">
      <c r="A423" s="593"/>
      <c r="B423" s="593"/>
      <c r="C423" s="593"/>
      <c r="D423" s="593"/>
      <c r="E423" s="593"/>
      <c r="F423" s="593"/>
      <c r="G423" s="593"/>
      <c r="H423" s="593"/>
      <c r="I423" s="593"/>
    </row>
    <row r="424" spans="1:9" ht="20.25">
      <c r="A424" s="593"/>
      <c r="B424" s="593"/>
      <c r="C424" s="593"/>
      <c r="D424" s="593"/>
      <c r="E424" s="593"/>
      <c r="F424" s="593"/>
      <c r="G424" s="593"/>
      <c r="H424" s="593"/>
      <c r="I424" s="593"/>
    </row>
    <row r="425" spans="1:9" ht="20.25">
      <c r="A425" s="593"/>
      <c r="B425" s="593"/>
      <c r="C425" s="593"/>
      <c r="D425" s="593"/>
      <c r="E425" s="593"/>
      <c r="F425" s="593"/>
      <c r="G425" s="593"/>
      <c r="H425" s="593"/>
      <c r="I425" s="593"/>
    </row>
    <row r="426" spans="1:9" ht="20.25">
      <c r="A426" s="593"/>
      <c r="B426" s="593"/>
      <c r="C426" s="593"/>
      <c r="D426" s="593"/>
      <c r="E426" s="593"/>
      <c r="F426" s="593"/>
      <c r="G426" s="593"/>
      <c r="H426" s="593"/>
      <c r="I426" s="593"/>
    </row>
    <row r="427" spans="1:9" ht="20.25">
      <c r="A427" s="593"/>
      <c r="B427" s="593"/>
      <c r="C427" s="593"/>
      <c r="D427" s="593"/>
      <c r="E427" s="593"/>
      <c r="F427" s="593"/>
      <c r="G427" s="593"/>
      <c r="H427" s="593"/>
      <c r="I427" s="593"/>
    </row>
    <row r="428" spans="1:9" ht="20.25">
      <c r="A428" s="593"/>
      <c r="B428" s="593"/>
      <c r="C428" s="593"/>
      <c r="D428" s="593"/>
      <c r="E428" s="593"/>
      <c r="F428" s="593"/>
      <c r="G428" s="593"/>
      <c r="H428" s="593"/>
      <c r="I428" s="593"/>
    </row>
    <row r="429" spans="1:9" ht="20.25">
      <c r="A429" s="593"/>
      <c r="B429" s="593"/>
      <c r="C429" s="593"/>
      <c r="D429" s="593"/>
      <c r="E429" s="593"/>
      <c r="F429" s="593"/>
      <c r="G429" s="593"/>
      <c r="H429" s="593"/>
      <c r="I429" s="593"/>
    </row>
    <row r="430" spans="1:9" ht="20.25">
      <c r="A430" s="593"/>
      <c r="B430" s="593"/>
      <c r="C430" s="593"/>
      <c r="D430" s="593"/>
      <c r="E430" s="593"/>
      <c r="F430" s="593"/>
      <c r="G430" s="593"/>
      <c r="H430" s="593"/>
      <c r="I430" s="593"/>
    </row>
    <row r="431" spans="1:9" ht="20.25">
      <c r="A431" s="593"/>
      <c r="B431" s="593"/>
      <c r="C431" s="593"/>
      <c r="D431" s="593"/>
      <c r="E431" s="593"/>
      <c r="F431" s="593"/>
      <c r="G431" s="593"/>
      <c r="H431" s="593"/>
      <c r="I431" s="593"/>
    </row>
    <row r="432" spans="1:9" ht="20.25">
      <c r="A432" s="593"/>
      <c r="B432" s="593"/>
      <c r="C432" s="593"/>
      <c r="D432" s="593"/>
      <c r="E432" s="593"/>
      <c r="F432" s="593"/>
      <c r="G432" s="593"/>
      <c r="H432" s="593"/>
      <c r="I432" s="593"/>
    </row>
    <row r="433" spans="1:9" ht="20.25">
      <c r="A433" s="593"/>
      <c r="B433" s="593"/>
      <c r="C433" s="593"/>
      <c r="D433" s="593"/>
      <c r="E433" s="593"/>
      <c r="F433" s="593"/>
      <c r="G433" s="593"/>
      <c r="H433" s="593"/>
      <c r="I433" s="593"/>
    </row>
    <row r="434" spans="1:9" ht="20.25">
      <c r="A434" s="593"/>
      <c r="B434" s="593"/>
      <c r="C434" s="593"/>
      <c r="D434" s="593"/>
      <c r="E434" s="593"/>
      <c r="F434" s="593"/>
      <c r="G434" s="593"/>
      <c r="H434" s="593"/>
      <c r="I434" s="593"/>
    </row>
    <row r="435" spans="1:9" ht="20.25">
      <c r="A435" s="593"/>
      <c r="B435" s="593"/>
      <c r="C435" s="593"/>
      <c r="D435" s="593"/>
      <c r="E435" s="593"/>
      <c r="F435" s="593"/>
      <c r="G435" s="593"/>
      <c r="H435" s="593"/>
      <c r="I435" s="593"/>
    </row>
    <row r="436" spans="1:9" ht="20.25">
      <c r="A436" s="593"/>
      <c r="B436" s="593"/>
      <c r="C436" s="593"/>
      <c r="D436" s="593"/>
      <c r="E436" s="593"/>
      <c r="F436" s="593"/>
      <c r="G436" s="593"/>
      <c r="H436" s="593"/>
      <c r="I436" s="593"/>
    </row>
    <row r="437" spans="1:9" ht="20.25">
      <c r="A437" s="593"/>
      <c r="B437" s="593"/>
      <c r="C437" s="593"/>
      <c r="D437" s="593"/>
      <c r="E437" s="593"/>
      <c r="F437" s="593"/>
      <c r="G437" s="593"/>
      <c r="H437" s="593"/>
      <c r="I437" s="593"/>
    </row>
    <row r="438" spans="1:9" ht="20.25">
      <c r="A438" s="593"/>
      <c r="B438" s="593"/>
      <c r="C438" s="593"/>
      <c r="D438" s="593"/>
      <c r="E438" s="593"/>
      <c r="F438" s="593"/>
      <c r="G438" s="593"/>
      <c r="H438" s="593"/>
      <c r="I438" s="593"/>
    </row>
    <row r="439" spans="1:9" ht="20.25">
      <c r="A439" s="593"/>
      <c r="B439" s="593"/>
      <c r="C439" s="593"/>
      <c r="D439" s="593"/>
      <c r="E439" s="593"/>
      <c r="F439" s="593"/>
      <c r="G439" s="593"/>
      <c r="H439" s="593"/>
      <c r="I439" s="593"/>
    </row>
    <row r="440" spans="1:9" ht="20.25">
      <c r="A440" s="593"/>
      <c r="B440" s="593"/>
      <c r="C440" s="593"/>
      <c r="D440" s="593"/>
      <c r="E440" s="593"/>
      <c r="F440" s="593"/>
      <c r="G440" s="593"/>
      <c r="H440" s="593"/>
      <c r="I440" s="593"/>
    </row>
    <row r="441" spans="1:9" ht="20.25">
      <c r="A441" s="593"/>
      <c r="B441" s="593"/>
      <c r="C441" s="593"/>
      <c r="D441" s="593"/>
      <c r="E441" s="593"/>
      <c r="F441" s="593"/>
      <c r="G441" s="593"/>
      <c r="H441" s="593"/>
      <c r="I441" s="593"/>
    </row>
    <row r="442" spans="1:9" ht="20.25">
      <c r="A442" s="593"/>
      <c r="B442" s="593"/>
      <c r="C442" s="593"/>
      <c r="D442" s="593"/>
      <c r="E442" s="593"/>
      <c r="F442" s="593"/>
      <c r="G442" s="593"/>
      <c r="H442" s="593"/>
      <c r="I442" s="593"/>
    </row>
    <row r="443" spans="1:9" ht="20.25">
      <c r="A443" s="593"/>
      <c r="B443" s="593"/>
      <c r="C443" s="593"/>
      <c r="D443" s="593"/>
      <c r="E443" s="593"/>
      <c r="F443" s="593"/>
      <c r="G443" s="593"/>
      <c r="H443" s="593"/>
      <c r="I443" s="593"/>
    </row>
    <row r="444" spans="1:9" ht="20.25">
      <c r="A444" s="593"/>
      <c r="B444" s="593"/>
      <c r="C444" s="593"/>
      <c r="D444" s="593"/>
      <c r="E444" s="593"/>
      <c r="F444" s="593"/>
      <c r="G444" s="593"/>
      <c r="H444" s="593"/>
      <c r="I444" s="593"/>
    </row>
    <row r="445" spans="1:9" ht="20.25">
      <c r="A445" s="593"/>
      <c r="B445" s="593"/>
      <c r="C445" s="593"/>
      <c r="D445" s="593"/>
      <c r="E445" s="593"/>
      <c r="F445" s="593"/>
      <c r="G445" s="593"/>
      <c r="H445" s="593"/>
      <c r="I445" s="593"/>
    </row>
    <row r="446" spans="1:9" ht="20.25">
      <c r="A446" s="593"/>
      <c r="B446" s="593"/>
      <c r="C446" s="593"/>
      <c r="D446" s="593"/>
      <c r="E446" s="593"/>
      <c r="F446" s="593"/>
      <c r="G446" s="593"/>
      <c r="H446" s="593"/>
      <c r="I446" s="593"/>
    </row>
    <row r="447" spans="1:9" ht="20.25">
      <c r="A447" s="593"/>
      <c r="B447" s="593"/>
      <c r="C447" s="593"/>
      <c r="D447" s="593"/>
      <c r="E447" s="593"/>
      <c r="F447" s="593"/>
      <c r="G447" s="593"/>
      <c r="H447" s="593"/>
      <c r="I447" s="593"/>
    </row>
    <row r="448" spans="1:9" ht="20.25">
      <c r="A448" s="593"/>
      <c r="B448" s="593"/>
      <c r="C448" s="593"/>
      <c r="D448" s="593"/>
      <c r="E448" s="593"/>
      <c r="F448" s="593"/>
      <c r="G448" s="593"/>
      <c r="H448" s="593"/>
      <c r="I448" s="593"/>
    </row>
    <row r="449" spans="1:9" ht="20.25">
      <c r="A449" s="593"/>
      <c r="B449" s="593"/>
      <c r="C449" s="593"/>
      <c r="D449" s="593"/>
      <c r="E449" s="593"/>
      <c r="F449" s="593"/>
      <c r="G449" s="593"/>
      <c r="H449" s="593"/>
      <c r="I449" s="593"/>
    </row>
    <row r="450" spans="1:9" ht="20.25">
      <c r="A450" s="593"/>
      <c r="B450" s="593"/>
      <c r="C450" s="593"/>
      <c r="D450" s="593"/>
      <c r="E450" s="593"/>
      <c r="F450" s="593"/>
      <c r="G450" s="593"/>
      <c r="H450" s="593"/>
      <c r="I450" s="593"/>
    </row>
    <row r="451" spans="1:9" ht="20.25">
      <c r="A451" s="593"/>
      <c r="B451" s="593"/>
      <c r="C451" s="593"/>
      <c r="D451" s="593"/>
      <c r="E451" s="593"/>
      <c r="F451" s="593"/>
      <c r="G451" s="593"/>
      <c r="H451" s="593"/>
      <c r="I451" s="593"/>
    </row>
    <row r="452" spans="1:9" ht="20.25">
      <c r="A452" s="593"/>
      <c r="B452" s="593"/>
      <c r="C452" s="593"/>
      <c r="D452" s="593"/>
      <c r="E452" s="593"/>
      <c r="F452" s="593"/>
      <c r="G452" s="593"/>
      <c r="H452" s="593"/>
      <c r="I452" s="593"/>
    </row>
    <row r="453" spans="1:9" ht="20.25">
      <c r="A453" s="593"/>
      <c r="B453" s="593"/>
      <c r="C453" s="593"/>
      <c r="D453" s="593"/>
      <c r="E453" s="593"/>
      <c r="F453" s="593"/>
      <c r="G453" s="593"/>
      <c r="H453" s="593"/>
      <c r="I453" s="593"/>
    </row>
    <row r="454" spans="1:9" ht="20.25">
      <c r="A454" s="593"/>
      <c r="B454" s="593"/>
      <c r="C454" s="593"/>
      <c r="D454" s="593"/>
      <c r="E454" s="593"/>
      <c r="F454" s="593"/>
      <c r="G454" s="593"/>
      <c r="H454" s="593"/>
      <c r="I454" s="593"/>
    </row>
    <row r="455" spans="1:9" ht="20.25">
      <c r="A455" s="593"/>
      <c r="B455" s="593"/>
      <c r="C455" s="593"/>
      <c r="D455" s="593"/>
      <c r="E455" s="593"/>
      <c r="F455" s="593"/>
      <c r="G455" s="593"/>
      <c r="H455" s="593"/>
      <c r="I455" s="593"/>
    </row>
    <row r="456" spans="1:9" ht="20.25">
      <c r="A456" s="593"/>
      <c r="B456" s="593"/>
      <c r="C456" s="593"/>
      <c r="D456" s="593"/>
      <c r="E456" s="593"/>
      <c r="F456" s="593"/>
      <c r="G456" s="593"/>
      <c r="H456" s="593"/>
      <c r="I456" s="593"/>
    </row>
    <row r="457" spans="1:9" ht="20.25">
      <c r="A457" s="593"/>
      <c r="B457" s="593"/>
      <c r="C457" s="593"/>
      <c r="D457" s="593"/>
      <c r="E457" s="593"/>
      <c r="F457" s="593"/>
      <c r="G457" s="593"/>
      <c r="H457" s="593"/>
      <c r="I457" s="593"/>
    </row>
    <row r="458" spans="1:9" ht="20.25">
      <c r="A458" s="593"/>
      <c r="B458" s="593"/>
      <c r="C458" s="593"/>
      <c r="D458" s="593"/>
      <c r="E458" s="593"/>
      <c r="F458" s="593"/>
      <c r="G458" s="593"/>
      <c r="H458" s="593"/>
      <c r="I458" s="593"/>
    </row>
    <row r="459" spans="1:9" ht="20.25">
      <c r="A459" s="593"/>
      <c r="B459" s="593"/>
      <c r="C459" s="593"/>
      <c r="D459" s="593"/>
      <c r="E459" s="593"/>
      <c r="F459" s="593"/>
      <c r="G459" s="593"/>
      <c r="H459" s="593"/>
      <c r="I459" s="593"/>
    </row>
    <row r="460" spans="1:9" ht="20.25">
      <c r="A460" s="593"/>
      <c r="B460" s="593"/>
      <c r="C460" s="593"/>
      <c r="D460" s="593"/>
      <c r="E460" s="593"/>
      <c r="F460" s="593"/>
      <c r="G460" s="593"/>
      <c r="H460" s="593"/>
      <c r="I460" s="593"/>
    </row>
    <row r="461" spans="1:9" ht="20.25">
      <c r="A461" s="593"/>
      <c r="B461" s="593"/>
      <c r="C461" s="593"/>
      <c r="D461" s="593"/>
      <c r="E461" s="593"/>
      <c r="F461" s="593"/>
      <c r="G461" s="593"/>
      <c r="H461" s="593"/>
      <c r="I461" s="593"/>
    </row>
    <row r="462" spans="1:9" ht="20.25">
      <c r="A462" s="593"/>
      <c r="B462" s="593"/>
      <c r="C462" s="593"/>
      <c r="D462" s="593"/>
      <c r="E462" s="593"/>
      <c r="F462" s="593"/>
      <c r="G462" s="593"/>
      <c r="H462" s="593"/>
      <c r="I462" s="593"/>
    </row>
    <row r="463" spans="1:9" ht="20.25">
      <c r="A463" s="593"/>
      <c r="B463" s="593"/>
      <c r="C463" s="593"/>
      <c r="D463" s="593"/>
      <c r="E463" s="593"/>
      <c r="F463" s="593"/>
      <c r="G463" s="593"/>
      <c r="H463" s="593"/>
      <c r="I463" s="593"/>
    </row>
    <row r="464" spans="1:9" ht="20.25">
      <c r="A464" s="593"/>
      <c r="B464" s="593"/>
      <c r="C464" s="593"/>
      <c r="D464" s="593"/>
      <c r="E464" s="593"/>
      <c r="F464" s="593"/>
      <c r="G464" s="593"/>
      <c r="H464" s="593"/>
      <c r="I464" s="593"/>
    </row>
    <row r="465" spans="1:9" ht="20.25">
      <c r="A465" s="593"/>
      <c r="B465" s="593"/>
      <c r="C465" s="593"/>
      <c r="D465" s="593"/>
      <c r="E465" s="593"/>
      <c r="F465" s="593"/>
      <c r="G465" s="593"/>
      <c r="H465" s="593"/>
      <c r="I465" s="593"/>
    </row>
    <row r="466" spans="1:9" ht="20.25">
      <c r="A466" s="593"/>
      <c r="B466" s="593"/>
      <c r="C466" s="593"/>
      <c r="D466" s="593"/>
      <c r="E466" s="593"/>
      <c r="F466" s="593"/>
      <c r="G466" s="593"/>
      <c r="H466" s="593"/>
      <c r="I466" s="593"/>
    </row>
    <row r="467" spans="1:9" ht="20.25">
      <c r="A467" s="593"/>
      <c r="B467" s="593"/>
      <c r="C467" s="593"/>
      <c r="D467" s="593"/>
      <c r="E467" s="593"/>
      <c r="F467" s="593"/>
      <c r="G467" s="593"/>
      <c r="H467" s="593"/>
      <c r="I467" s="593"/>
    </row>
    <row r="468" spans="1:9" ht="20.25">
      <c r="A468" s="593"/>
      <c r="B468" s="593"/>
      <c r="C468" s="593"/>
      <c r="D468" s="593"/>
      <c r="E468" s="593"/>
      <c r="F468" s="593"/>
      <c r="G468" s="593"/>
      <c r="H468" s="593"/>
      <c r="I468" s="593"/>
    </row>
    <row r="469" spans="1:9" ht="20.25">
      <c r="A469" s="593"/>
      <c r="B469" s="593"/>
      <c r="C469" s="593"/>
      <c r="D469" s="593"/>
      <c r="E469" s="593"/>
      <c r="F469" s="593"/>
      <c r="G469" s="593"/>
      <c r="H469" s="593"/>
      <c r="I469" s="593"/>
    </row>
    <row r="470" spans="1:9" ht="20.25">
      <c r="A470" s="593"/>
      <c r="B470" s="593"/>
      <c r="C470" s="593"/>
      <c r="D470" s="593"/>
      <c r="E470" s="593"/>
      <c r="F470" s="593"/>
      <c r="G470" s="593"/>
      <c r="H470" s="593"/>
      <c r="I470" s="593"/>
    </row>
    <row r="471" spans="1:9" ht="20.25">
      <c r="A471" s="593"/>
      <c r="B471" s="593"/>
      <c r="C471" s="593"/>
      <c r="D471" s="593"/>
      <c r="E471" s="593"/>
      <c r="F471" s="593"/>
      <c r="G471" s="593"/>
      <c r="H471" s="593"/>
      <c r="I471" s="593"/>
    </row>
    <row r="472" spans="1:9" ht="20.25">
      <c r="A472" s="593"/>
      <c r="B472" s="593"/>
      <c r="C472" s="593"/>
      <c r="D472" s="593"/>
      <c r="E472" s="593"/>
      <c r="F472" s="593"/>
      <c r="G472" s="593"/>
      <c r="H472" s="593"/>
      <c r="I472" s="593"/>
    </row>
    <row r="473" spans="1:9" ht="20.25">
      <c r="A473" s="593"/>
      <c r="B473" s="593"/>
      <c r="C473" s="593"/>
      <c r="D473" s="593"/>
      <c r="E473" s="593"/>
      <c r="F473" s="593"/>
      <c r="G473" s="593"/>
      <c r="H473" s="593"/>
      <c r="I473" s="593"/>
    </row>
    <row r="474" spans="1:9" ht="20.25">
      <c r="A474" s="593"/>
      <c r="B474" s="593"/>
      <c r="C474" s="593"/>
      <c r="D474" s="593"/>
      <c r="E474" s="593"/>
      <c r="F474" s="593"/>
      <c r="G474" s="593"/>
      <c r="H474" s="593"/>
      <c r="I474" s="593"/>
    </row>
    <row r="475" spans="1:9" ht="20.25">
      <c r="A475" s="593"/>
      <c r="B475" s="593"/>
      <c r="C475" s="593"/>
      <c r="D475" s="593"/>
      <c r="E475" s="593"/>
      <c r="F475" s="593"/>
      <c r="G475" s="593"/>
      <c r="H475" s="593"/>
      <c r="I475" s="593"/>
    </row>
    <row r="476" spans="1:9" ht="20.25">
      <c r="A476" s="593"/>
      <c r="B476" s="593"/>
      <c r="C476" s="593"/>
      <c r="D476" s="593"/>
      <c r="E476" s="593"/>
      <c r="F476" s="593"/>
      <c r="G476" s="593"/>
      <c r="H476" s="593"/>
      <c r="I476" s="593"/>
    </row>
    <row r="477" spans="1:9" ht="20.25">
      <c r="A477" s="593"/>
      <c r="B477" s="593"/>
      <c r="C477" s="593"/>
      <c r="D477" s="593"/>
      <c r="E477" s="593"/>
      <c r="F477" s="593"/>
      <c r="G477" s="593"/>
      <c r="H477" s="593"/>
      <c r="I477" s="593"/>
    </row>
    <row r="478" spans="1:9" ht="20.25">
      <c r="A478" s="593"/>
      <c r="B478" s="593"/>
      <c r="C478" s="593"/>
      <c r="D478" s="593"/>
      <c r="E478" s="593"/>
      <c r="F478" s="593"/>
      <c r="G478" s="593"/>
      <c r="H478" s="593"/>
      <c r="I478" s="593"/>
    </row>
    <row r="479" spans="1:9" ht="20.25">
      <c r="A479" s="593"/>
      <c r="B479" s="593"/>
      <c r="C479" s="593"/>
      <c r="D479" s="593"/>
      <c r="E479" s="593"/>
      <c r="F479" s="593"/>
      <c r="G479" s="593"/>
      <c r="H479" s="593"/>
      <c r="I479" s="593"/>
    </row>
    <row r="480" spans="1:9" ht="20.25">
      <c r="A480" s="593"/>
      <c r="B480" s="593"/>
      <c r="C480" s="593"/>
      <c r="D480" s="593"/>
      <c r="E480" s="593"/>
      <c r="F480" s="593"/>
      <c r="G480" s="593"/>
      <c r="H480" s="593"/>
      <c r="I480" s="593"/>
    </row>
    <row r="481" spans="1:9" ht="20.25">
      <c r="A481" s="593"/>
      <c r="B481" s="593"/>
      <c r="C481" s="593"/>
      <c r="D481" s="593"/>
      <c r="E481" s="593"/>
      <c r="F481" s="593"/>
      <c r="G481" s="593"/>
      <c r="H481" s="593"/>
      <c r="I481" s="593"/>
    </row>
    <row r="482" spans="1:9" ht="20.25">
      <c r="A482" s="593"/>
      <c r="B482" s="593"/>
      <c r="C482" s="593"/>
      <c r="D482" s="593"/>
      <c r="E482" s="593"/>
      <c r="F482" s="593"/>
      <c r="G482" s="593"/>
      <c r="H482" s="593"/>
      <c r="I482" s="593"/>
    </row>
    <row r="483" spans="1:9" ht="20.25">
      <c r="A483" s="593"/>
      <c r="B483" s="593"/>
      <c r="C483" s="593"/>
      <c r="D483" s="593"/>
      <c r="E483" s="593"/>
      <c r="F483" s="593"/>
      <c r="G483" s="593"/>
      <c r="H483" s="593"/>
      <c r="I483" s="593"/>
    </row>
    <row r="484" spans="1:9" ht="20.25">
      <c r="A484" s="593"/>
      <c r="B484" s="593"/>
      <c r="C484" s="593"/>
      <c r="D484" s="593"/>
      <c r="E484" s="593"/>
      <c r="F484" s="593"/>
      <c r="G484" s="593"/>
      <c r="H484" s="593"/>
      <c r="I484" s="593"/>
    </row>
    <row r="485" spans="1:9" ht="20.25">
      <c r="A485" s="593"/>
      <c r="B485" s="593"/>
      <c r="C485" s="593"/>
      <c r="D485" s="593"/>
      <c r="E485" s="593"/>
      <c r="F485" s="593"/>
      <c r="G485" s="593"/>
      <c r="H485" s="593"/>
      <c r="I485" s="593"/>
    </row>
    <row r="486" spans="1:9" ht="20.25">
      <c r="A486" s="593"/>
      <c r="B486" s="593"/>
      <c r="C486" s="593"/>
      <c r="D486" s="593"/>
      <c r="E486" s="593"/>
      <c r="F486" s="593"/>
      <c r="G486" s="593"/>
      <c r="H486" s="593"/>
      <c r="I486" s="593"/>
    </row>
    <row r="487" spans="1:9" ht="20.25">
      <c r="A487" s="593"/>
      <c r="B487" s="593"/>
      <c r="C487" s="593"/>
      <c r="D487" s="593"/>
      <c r="E487" s="593"/>
      <c r="F487" s="593"/>
      <c r="G487" s="593"/>
      <c r="H487" s="593"/>
      <c r="I487" s="593"/>
    </row>
    <row r="488" spans="1:9" ht="20.25">
      <c r="A488" s="593"/>
      <c r="B488" s="593"/>
      <c r="C488" s="593"/>
      <c r="D488" s="593"/>
      <c r="E488" s="593"/>
      <c r="F488" s="593"/>
      <c r="G488" s="593"/>
      <c r="H488" s="593"/>
      <c r="I488" s="593"/>
    </row>
    <row r="489" spans="1:9" ht="20.25">
      <c r="A489" s="593"/>
      <c r="B489" s="593"/>
      <c r="C489" s="593"/>
      <c r="D489" s="593"/>
      <c r="E489" s="593"/>
      <c r="F489" s="593"/>
      <c r="G489" s="593"/>
      <c r="H489" s="593"/>
      <c r="I489" s="593"/>
    </row>
    <row r="490" spans="1:9" ht="20.25">
      <c r="A490" s="593"/>
      <c r="B490" s="593"/>
      <c r="C490" s="593"/>
      <c r="D490" s="593"/>
      <c r="E490" s="593"/>
      <c r="F490" s="593"/>
      <c r="G490" s="593"/>
      <c r="H490" s="593"/>
      <c r="I490" s="593"/>
    </row>
    <row r="491" spans="1:9" ht="20.25">
      <c r="A491" s="593"/>
      <c r="B491" s="593"/>
      <c r="C491" s="593"/>
      <c r="D491" s="593"/>
      <c r="E491" s="593"/>
      <c r="F491" s="593"/>
      <c r="G491" s="593"/>
      <c r="H491" s="593"/>
      <c r="I491" s="593"/>
    </row>
    <row r="492" spans="1:9" ht="20.25">
      <c r="A492" s="593"/>
      <c r="B492" s="593"/>
      <c r="C492" s="593"/>
      <c r="D492" s="593"/>
      <c r="E492" s="593"/>
      <c r="F492" s="593"/>
      <c r="G492" s="593"/>
      <c r="H492" s="593"/>
      <c r="I492" s="593"/>
    </row>
    <row r="493" spans="1:9" ht="20.25">
      <c r="A493" s="593"/>
      <c r="B493" s="593"/>
      <c r="C493" s="593"/>
      <c r="D493" s="593"/>
      <c r="E493" s="593"/>
      <c r="F493" s="593"/>
      <c r="G493" s="593"/>
      <c r="H493" s="593"/>
      <c r="I493" s="593"/>
    </row>
    <row r="494" spans="1:9" ht="20.25">
      <c r="A494" s="593"/>
      <c r="B494" s="593"/>
      <c r="C494" s="593"/>
      <c r="D494" s="593"/>
      <c r="E494" s="593"/>
      <c r="F494" s="593"/>
      <c r="G494" s="593"/>
      <c r="H494" s="593"/>
      <c r="I494" s="593"/>
    </row>
    <row r="495" spans="1:9" ht="20.25">
      <c r="A495" s="593"/>
      <c r="B495" s="593"/>
      <c r="C495" s="593"/>
      <c r="D495" s="593"/>
      <c r="E495" s="593"/>
      <c r="F495" s="593"/>
      <c r="G495" s="593"/>
      <c r="H495" s="593"/>
      <c r="I495" s="593"/>
    </row>
    <row r="496" spans="1:9" ht="20.25">
      <c r="A496" s="593"/>
      <c r="B496" s="593"/>
      <c r="C496" s="593"/>
      <c r="D496" s="593"/>
      <c r="E496" s="593"/>
      <c r="F496" s="593"/>
      <c r="G496" s="593"/>
      <c r="H496" s="593"/>
      <c r="I496" s="593"/>
    </row>
    <row r="497" spans="1:9" ht="20.25">
      <c r="A497" s="593"/>
      <c r="B497" s="593"/>
      <c r="C497" s="593"/>
      <c r="D497" s="593"/>
      <c r="E497" s="593"/>
      <c r="F497" s="593"/>
      <c r="G497" s="593"/>
      <c r="H497" s="593"/>
      <c r="I497" s="593"/>
    </row>
    <row r="498" spans="1:9" ht="20.25">
      <c r="A498" s="593"/>
      <c r="B498" s="593"/>
      <c r="C498" s="593"/>
      <c r="D498" s="593"/>
      <c r="E498" s="593"/>
      <c r="F498" s="593"/>
      <c r="G498" s="593"/>
      <c r="H498" s="593"/>
      <c r="I498" s="593"/>
    </row>
    <row r="499" spans="1:9" ht="20.25">
      <c r="A499" s="593"/>
      <c r="B499" s="593"/>
      <c r="C499" s="593"/>
      <c r="D499" s="593"/>
      <c r="E499" s="593"/>
      <c r="F499" s="593"/>
      <c r="G499" s="593"/>
      <c r="H499" s="593"/>
      <c r="I499" s="593"/>
    </row>
    <row r="500" spans="1:9" ht="20.25">
      <c r="A500" s="593"/>
      <c r="B500" s="593"/>
      <c r="C500" s="593"/>
      <c r="D500" s="593"/>
      <c r="E500" s="593"/>
      <c r="F500" s="593"/>
      <c r="G500" s="593"/>
      <c r="H500" s="593"/>
      <c r="I500" s="593"/>
    </row>
    <row r="501" spans="1:9" ht="20.25">
      <c r="A501" s="593"/>
      <c r="B501" s="593"/>
      <c r="C501" s="593"/>
      <c r="D501" s="593"/>
      <c r="E501" s="593"/>
      <c r="F501" s="593"/>
      <c r="G501" s="593"/>
      <c r="H501" s="593"/>
      <c r="I501" s="593"/>
    </row>
    <row r="502" spans="1:9" ht="20.25">
      <c r="A502" s="593"/>
      <c r="B502" s="593"/>
      <c r="C502" s="593"/>
      <c r="D502" s="593"/>
      <c r="E502" s="593"/>
      <c r="F502" s="593"/>
      <c r="G502" s="593"/>
      <c r="H502" s="593"/>
      <c r="I502" s="593"/>
    </row>
    <row r="503" spans="1:9" ht="20.25">
      <c r="A503" s="593"/>
      <c r="B503" s="593"/>
      <c r="C503" s="593"/>
      <c r="D503" s="593"/>
      <c r="E503" s="593"/>
      <c r="F503" s="593"/>
      <c r="G503" s="593"/>
      <c r="H503" s="593"/>
      <c r="I503" s="593"/>
    </row>
    <row r="504" spans="1:9" ht="20.25">
      <c r="A504" s="593"/>
      <c r="B504" s="593"/>
      <c r="C504" s="593"/>
      <c r="D504" s="593"/>
      <c r="E504" s="593"/>
      <c r="F504" s="593"/>
      <c r="G504" s="593"/>
      <c r="H504" s="593"/>
      <c r="I504" s="593"/>
    </row>
    <row r="505" spans="1:9" ht="20.25">
      <c r="A505" s="593"/>
      <c r="B505" s="593"/>
      <c r="C505" s="593"/>
      <c r="D505" s="593"/>
      <c r="E505" s="593"/>
      <c r="F505" s="593"/>
      <c r="G505" s="593"/>
      <c r="H505" s="593"/>
      <c r="I505" s="593"/>
    </row>
    <row r="506" spans="1:9" ht="20.25">
      <c r="A506" s="593"/>
      <c r="B506" s="593"/>
      <c r="C506" s="593"/>
      <c r="D506" s="593"/>
      <c r="E506" s="593"/>
      <c r="F506" s="593"/>
      <c r="G506" s="593"/>
      <c r="H506" s="593"/>
      <c r="I506" s="593"/>
    </row>
    <row r="507" spans="1:9" ht="20.25">
      <c r="A507" s="593"/>
      <c r="B507" s="593"/>
      <c r="C507" s="593"/>
      <c r="D507" s="593"/>
      <c r="E507" s="593"/>
      <c r="F507" s="593"/>
      <c r="G507" s="593"/>
      <c r="H507" s="593"/>
      <c r="I507" s="593"/>
    </row>
    <row r="508" spans="1:9" ht="20.25">
      <c r="A508" s="593"/>
      <c r="B508" s="593"/>
      <c r="C508" s="593"/>
      <c r="D508" s="593"/>
      <c r="E508" s="593"/>
      <c r="F508" s="593"/>
      <c r="G508" s="593"/>
      <c r="H508" s="593"/>
      <c r="I508" s="593"/>
    </row>
    <row r="509" spans="1:9" ht="20.25">
      <c r="A509" s="593"/>
      <c r="B509" s="593"/>
      <c r="C509" s="593"/>
      <c r="D509" s="593"/>
      <c r="E509" s="593"/>
      <c r="F509" s="593"/>
      <c r="G509" s="593"/>
      <c r="H509" s="593"/>
      <c r="I509" s="593"/>
    </row>
    <row r="510" spans="1:9" ht="20.25">
      <c r="A510" s="593"/>
      <c r="B510" s="593"/>
      <c r="C510" s="593"/>
      <c r="D510" s="593"/>
      <c r="E510" s="593"/>
      <c r="F510" s="593"/>
      <c r="G510" s="593"/>
      <c r="H510" s="593"/>
      <c r="I510" s="593"/>
    </row>
    <row r="511" spans="1:9" ht="20.25">
      <c r="A511" s="593"/>
      <c r="B511" s="593"/>
      <c r="C511" s="593"/>
      <c r="D511" s="593"/>
      <c r="E511" s="593"/>
      <c r="F511" s="593"/>
      <c r="G511" s="593"/>
      <c r="H511" s="593"/>
      <c r="I511" s="593"/>
    </row>
    <row r="512" spans="1:9" ht="20.25">
      <c r="A512" s="593"/>
      <c r="B512" s="593"/>
      <c r="C512" s="593"/>
      <c r="D512" s="593"/>
      <c r="E512" s="593"/>
      <c r="F512" s="593"/>
      <c r="G512" s="593"/>
      <c r="H512" s="593"/>
      <c r="I512" s="593"/>
    </row>
    <row r="513" spans="1:9" ht="20.25">
      <c r="A513" s="593"/>
      <c r="B513" s="593"/>
      <c r="C513" s="593"/>
      <c r="D513" s="593"/>
      <c r="E513" s="593"/>
      <c r="F513" s="593"/>
      <c r="G513" s="593"/>
      <c r="H513" s="593"/>
      <c r="I513" s="593"/>
    </row>
    <row r="514" spans="1:9" ht="20.25">
      <c r="A514" s="593"/>
      <c r="B514" s="593"/>
      <c r="C514" s="593"/>
      <c r="D514" s="593"/>
      <c r="E514" s="593"/>
      <c r="F514" s="593"/>
      <c r="G514" s="593"/>
      <c r="H514" s="593"/>
      <c r="I514" s="593"/>
    </row>
    <row r="515" spans="1:9" ht="20.25">
      <c r="A515" s="593"/>
      <c r="B515" s="593"/>
      <c r="C515" s="593"/>
      <c r="D515" s="593"/>
      <c r="E515" s="593"/>
      <c r="F515" s="593"/>
      <c r="G515" s="593"/>
      <c r="H515" s="593"/>
      <c r="I515" s="593"/>
    </row>
    <row r="516" spans="1:9" ht="20.25">
      <c r="A516" s="593"/>
      <c r="B516" s="593"/>
      <c r="C516" s="593"/>
      <c r="D516" s="593"/>
      <c r="E516" s="593"/>
      <c r="F516" s="593"/>
      <c r="G516" s="593"/>
      <c r="H516" s="593"/>
      <c r="I516" s="593"/>
    </row>
    <row r="517" spans="1:9" ht="20.25">
      <c r="A517" s="593"/>
      <c r="B517" s="593"/>
      <c r="C517" s="593"/>
      <c r="D517" s="593"/>
      <c r="E517" s="593"/>
      <c r="F517" s="593"/>
      <c r="G517" s="593"/>
      <c r="H517" s="593"/>
      <c r="I517" s="593"/>
    </row>
    <row r="518" spans="1:9" ht="20.25">
      <c r="A518" s="593"/>
      <c r="B518" s="593"/>
      <c r="C518" s="593"/>
      <c r="D518" s="593"/>
      <c r="E518" s="593"/>
      <c r="F518" s="593"/>
      <c r="G518" s="593"/>
      <c r="H518" s="593"/>
      <c r="I518" s="593"/>
    </row>
    <row r="519" spans="1:9" ht="20.25">
      <c r="A519" s="593"/>
      <c r="B519" s="593"/>
      <c r="C519" s="593"/>
      <c r="D519" s="593"/>
      <c r="E519" s="593"/>
      <c r="F519" s="593"/>
      <c r="G519" s="593"/>
      <c r="H519" s="593"/>
      <c r="I519" s="593"/>
    </row>
    <row r="520" spans="1:9" ht="20.25">
      <c r="A520" s="593"/>
      <c r="B520" s="593"/>
      <c r="C520" s="593"/>
      <c r="D520" s="593"/>
      <c r="E520" s="593"/>
      <c r="F520" s="593"/>
      <c r="G520" s="593"/>
      <c r="H520" s="593"/>
      <c r="I520" s="593"/>
    </row>
    <row r="521" spans="1:9" ht="20.25">
      <c r="A521" s="593"/>
      <c r="B521" s="593"/>
      <c r="C521" s="593"/>
      <c r="D521" s="593"/>
      <c r="E521" s="593"/>
      <c r="F521" s="593"/>
      <c r="G521" s="593"/>
      <c r="H521" s="593"/>
      <c r="I521" s="593"/>
    </row>
    <row r="522" spans="1:9" ht="20.25">
      <c r="A522" s="593"/>
      <c r="B522" s="593"/>
      <c r="C522" s="593"/>
      <c r="D522" s="593"/>
      <c r="E522" s="593"/>
      <c r="F522" s="593"/>
      <c r="G522" s="593"/>
      <c r="H522" s="593"/>
      <c r="I522" s="593"/>
    </row>
    <row r="523" spans="1:9" ht="20.25">
      <c r="A523" s="593"/>
      <c r="B523" s="593"/>
      <c r="C523" s="593"/>
      <c r="D523" s="593"/>
      <c r="E523" s="593"/>
      <c r="F523" s="593"/>
      <c r="G523" s="593"/>
      <c r="H523" s="593"/>
      <c r="I523" s="593"/>
    </row>
    <row r="524" spans="1:9" ht="20.25">
      <c r="A524" s="593"/>
      <c r="B524" s="593"/>
      <c r="C524" s="593"/>
      <c r="D524" s="593"/>
      <c r="E524" s="593"/>
      <c r="F524" s="593"/>
      <c r="G524" s="593"/>
      <c r="H524" s="593"/>
      <c r="I524" s="593"/>
    </row>
    <row r="525" spans="1:9" ht="20.25">
      <c r="A525" s="593"/>
      <c r="B525" s="593"/>
      <c r="C525" s="593"/>
      <c r="D525" s="593"/>
      <c r="E525" s="593"/>
      <c r="F525" s="593"/>
      <c r="G525" s="593"/>
      <c r="H525" s="593"/>
      <c r="I525" s="593"/>
    </row>
    <row r="526" spans="1:9" ht="20.25">
      <c r="A526" s="593"/>
      <c r="B526" s="593"/>
      <c r="C526" s="593"/>
      <c r="D526" s="593"/>
      <c r="E526" s="593"/>
      <c r="F526" s="593"/>
      <c r="G526" s="593"/>
      <c r="H526" s="593"/>
      <c r="I526" s="593"/>
    </row>
    <row r="527" spans="1:9" ht="20.25">
      <c r="A527" s="593"/>
      <c r="B527" s="593"/>
      <c r="C527" s="593"/>
      <c r="D527" s="593"/>
      <c r="E527" s="593"/>
      <c r="F527" s="593"/>
      <c r="G527" s="593"/>
      <c r="H527" s="593"/>
      <c r="I527" s="593"/>
    </row>
    <row r="528" spans="1:9" ht="20.25">
      <c r="A528" s="593"/>
      <c r="B528" s="593"/>
      <c r="C528" s="593"/>
      <c r="D528" s="593"/>
      <c r="E528" s="593"/>
      <c r="F528" s="593"/>
      <c r="G528" s="593"/>
      <c r="H528" s="593"/>
      <c r="I528" s="593"/>
    </row>
    <row r="529" spans="1:9" ht="20.25">
      <c r="A529" s="593"/>
      <c r="B529" s="593"/>
      <c r="C529" s="593"/>
      <c r="D529" s="593"/>
      <c r="E529" s="593"/>
      <c r="F529" s="593"/>
      <c r="G529" s="593"/>
      <c r="H529" s="593"/>
      <c r="I529" s="593"/>
    </row>
    <row r="530" spans="1:9" ht="20.25">
      <c r="A530" s="593"/>
      <c r="B530" s="593"/>
      <c r="C530" s="593"/>
      <c r="D530" s="593"/>
      <c r="E530" s="593"/>
      <c r="F530" s="593"/>
      <c r="G530" s="593"/>
      <c r="H530" s="593"/>
      <c r="I530" s="593"/>
    </row>
    <row r="531" spans="1:9" ht="20.25">
      <c r="A531" s="593"/>
      <c r="B531" s="593"/>
      <c r="C531" s="593"/>
      <c r="D531" s="593"/>
      <c r="E531" s="593"/>
      <c r="F531" s="593"/>
      <c r="G531" s="593"/>
      <c r="H531" s="593"/>
      <c r="I531" s="593"/>
    </row>
    <row r="532" spans="1:9" ht="20.25">
      <c r="A532" s="593"/>
      <c r="B532" s="593"/>
      <c r="C532" s="593"/>
      <c r="D532" s="593"/>
      <c r="E532" s="593"/>
      <c r="F532" s="593"/>
      <c r="G532" s="593"/>
      <c r="H532" s="593"/>
      <c r="I532" s="593"/>
    </row>
    <row r="533" spans="1:9" ht="20.25">
      <c r="A533" s="593"/>
      <c r="B533" s="593"/>
      <c r="C533" s="593"/>
      <c r="D533" s="593"/>
      <c r="E533" s="593"/>
      <c r="F533" s="593"/>
      <c r="G533" s="593"/>
      <c r="H533" s="593"/>
      <c r="I533" s="593"/>
    </row>
    <row r="534" spans="1:9" ht="20.25">
      <c r="A534" s="593"/>
      <c r="B534" s="593"/>
      <c r="C534" s="593"/>
      <c r="D534" s="593"/>
      <c r="E534" s="593"/>
      <c r="F534" s="593"/>
      <c r="G534" s="593"/>
      <c r="H534" s="593"/>
      <c r="I534" s="593"/>
    </row>
    <row r="535" spans="1:9" ht="20.25">
      <c r="A535" s="593"/>
      <c r="B535" s="593"/>
      <c r="C535" s="593"/>
      <c r="D535" s="593"/>
      <c r="E535" s="593"/>
      <c r="F535" s="593"/>
      <c r="G535" s="593"/>
      <c r="H535" s="593"/>
      <c r="I535" s="593"/>
    </row>
    <row r="536" spans="1:9" ht="20.25">
      <c r="A536" s="593"/>
      <c r="B536" s="593"/>
      <c r="C536" s="593"/>
      <c r="D536" s="593"/>
      <c r="E536" s="593"/>
      <c r="F536" s="593"/>
      <c r="G536" s="593"/>
      <c r="H536" s="593"/>
      <c r="I536" s="593"/>
    </row>
    <row r="537" spans="1:9" ht="20.25">
      <c r="A537" s="593"/>
      <c r="B537" s="593"/>
      <c r="C537" s="593"/>
      <c r="D537" s="593"/>
      <c r="E537" s="593"/>
      <c r="F537" s="593"/>
      <c r="G537" s="593"/>
      <c r="H537" s="593"/>
      <c r="I537" s="593"/>
    </row>
    <row r="538" spans="1:9" ht="20.25">
      <c r="A538" s="593"/>
      <c r="B538" s="593"/>
      <c r="C538" s="593"/>
      <c r="D538" s="593"/>
      <c r="E538" s="593"/>
      <c r="F538" s="593"/>
      <c r="G538" s="593"/>
      <c r="H538" s="593"/>
      <c r="I538" s="593"/>
    </row>
    <row r="539" spans="1:9" ht="20.25">
      <c r="A539" s="593"/>
      <c r="B539" s="593"/>
      <c r="C539" s="593"/>
      <c r="D539" s="593"/>
      <c r="E539" s="593"/>
      <c r="F539" s="593"/>
      <c r="G539" s="593"/>
      <c r="H539" s="593"/>
      <c r="I539" s="593"/>
    </row>
    <row r="540" spans="1:9" ht="20.25">
      <c r="A540" s="593"/>
      <c r="B540" s="593"/>
      <c r="C540" s="593"/>
      <c r="D540" s="593"/>
      <c r="E540" s="593"/>
      <c r="F540" s="593"/>
      <c r="G540" s="593"/>
      <c r="H540" s="593"/>
      <c r="I540" s="593"/>
    </row>
    <row r="541" spans="1:9" ht="20.25">
      <c r="A541" s="593"/>
      <c r="B541" s="593"/>
      <c r="C541" s="593"/>
      <c r="D541" s="593"/>
      <c r="E541" s="593"/>
      <c r="F541" s="593"/>
      <c r="G541" s="593"/>
      <c r="H541" s="593"/>
      <c r="I541" s="593"/>
    </row>
    <row r="542" spans="1:9" ht="20.25">
      <c r="A542" s="593"/>
      <c r="B542" s="593"/>
      <c r="C542" s="593"/>
      <c r="D542" s="593"/>
      <c r="E542" s="593"/>
      <c r="F542" s="593"/>
      <c r="G542" s="593"/>
      <c r="H542" s="593"/>
      <c r="I542" s="593"/>
    </row>
    <row r="543" spans="1:9" ht="20.25">
      <c r="A543" s="593"/>
      <c r="B543" s="593"/>
      <c r="C543" s="593"/>
      <c r="D543" s="593"/>
      <c r="E543" s="593"/>
      <c r="F543" s="593"/>
      <c r="G543" s="593"/>
      <c r="H543" s="593"/>
      <c r="I543" s="593"/>
    </row>
    <row r="544" spans="1:9" ht="20.25">
      <c r="A544" s="593"/>
      <c r="B544" s="593"/>
      <c r="C544" s="593"/>
      <c r="D544" s="593"/>
      <c r="E544" s="593"/>
      <c r="F544" s="593"/>
      <c r="G544" s="593"/>
      <c r="H544" s="593"/>
      <c r="I544" s="593"/>
    </row>
    <row r="545" spans="1:9" ht="20.25">
      <c r="A545" s="593"/>
      <c r="B545" s="593"/>
      <c r="C545" s="593"/>
      <c r="D545" s="593"/>
      <c r="E545" s="593"/>
      <c r="F545" s="593"/>
      <c r="G545" s="593"/>
      <c r="H545" s="593"/>
      <c r="I545" s="593"/>
    </row>
    <row r="546" spans="1:9" ht="20.25">
      <c r="A546" s="593"/>
      <c r="B546" s="593"/>
      <c r="C546" s="593"/>
      <c r="D546" s="593"/>
      <c r="E546" s="593"/>
      <c r="F546" s="593"/>
      <c r="G546" s="593"/>
      <c r="H546" s="593"/>
      <c r="I546" s="593"/>
    </row>
    <row r="547" spans="1:9" ht="20.25">
      <c r="A547" s="593"/>
      <c r="B547" s="593"/>
      <c r="C547" s="593"/>
      <c r="D547" s="593"/>
      <c r="E547" s="593"/>
      <c r="F547" s="593"/>
      <c r="G547" s="593"/>
      <c r="H547" s="593"/>
      <c r="I547" s="593"/>
    </row>
    <row r="548" spans="1:9" ht="20.25">
      <c r="A548" s="593"/>
      <c r="B548" s="593"/>
      <c r="C548" s="593"/>
      <c r="D548" s="593"/>
      <c r="E548" s="593"/>
      <c r="F548" s="593"/>
      <c r="G548" s="593"/>
      <c r="H548" s="593"/>
      <c r="I548" s="593"/>
    </row>
    <row r="549" spans="1:9" ht="20.25">
      <c r="A549" s="593"/>
      <c r="B549" s="593"/>
      <c r="C549" s="593"/>
      <c r="D549" s="593"/>
      <c r="E549" s="593"/>
      <c r="F549" s="593"/>
      <c r="G549" s="593"/>
      <c r="H549" s="593"/>
      <c r="I549" s="593"/>
    </row>
    <row r="550" spans="1:9" ht="20.25">
      <c r="A550" s="593"/>
      <c r="B550" s="593"/>
      <c r="C550" s="593"/>
      <c r="D550" s="593"/>
      <c r="E550" s="593"/>
      <c r="F550" s="593"/>
      <c r="G550" s="593"/>
      <c r="H550" s="593"/>
      <c r="I550" s="593"/>
    </row>
    <row r="551" spans="1:9" ht="20.25">
      <c r="A551" s="593"/>
      <c r="B551" s="593"/>
      <c r="C551" s="593"/>
      <c r="D551" s="593"/>
      <c r="E551" s="593"/>
      <c r="F551" s="593"/>
      <c r="G551" s="593"/>
      <c r="H551" s="593"/>
      <c r="I551" s="593"/>
    </row>
    <row r="552" spans="1:9" ht="20.25">
      <c r="A552" s="593"/>
      <c r="B552" s="593"/>
      <c r="C552" s="593"/>
      <c r="D552" s="593"/>
      <c r="E552" s="593"/>
      <c r="F552" s="593"/>
      <c r="G552" s="593"/>
      <c r="H552" s="593"/>
      <c r="I552" s="593"/>
    </row>
    <row r="553" spans="1:9" ht="20.25">
      <c r="A553" s="593"/>
      <c r="B553" s="593"/>
      <c r="C553" s="593"/>
      <c r="D553" s="593"/>
      <c r="E553" s="593"/>
      <c r="F553" s="593"/>
      <c r="G553" s="593"/>
      <c r="H553" s="593"/>
      <c r="I553" s="593"/>
    </row>
    <row r="554" spans="1:9" ht="20.25">
      <c r="A554" s="593"/>
      <c r="B554" s="593"/>
      <c r="C554" s="593"/>
      <c r="D554" s="593"/>
      <c r="E554" s="593"/>
      <c r="F554" s="593"/>
      <c r="G554" s="593"/>
      <c r="H554" s="593"/>
      <c r="I554" s="593"/>
    </row>
    <row r="555" spans="1:9" ht="20.25">
      <c r="A555" s="593"/>
      <c r="B555" s="593"/>
      <c r="C555" s="593"/>
      <c r="D555" s="593"/>
      <c r="E555" s="593"/>
      <c r="F555" s="593"/>
      <c r="G555" s="593"/>
      <c r="H555" s="593"/>
      <c r="I555" s="593"/>
    </row>
    <row r="556" spans="1:9" ht="20.25">
      <c r="A556" s="593"/>
      <c r="B556" s="593"/>
      <c r="C556" s="593"/>
      <c r="D556" s="593"/>
      <c r="E556" s="593"/>
      <c r="F556" s="593"/>
      <c r="G556" s="593"/>
      <c r="H556" s="593"/>
      <c r="I556" s="593"/>
    </row>
    <row r="557" spans="1:9" ht="20.25">
      <c r="A557" s="593"/>
      <c r="B557" s="593"/>
      <c r="C557" s="593"/>
      <c r="D557" s="593"/>
      <c r="E557" s="593"/>
      <c r="F557" s="593"/>
      <c r="G557" s="593"/>
      <c r="H557" s="593"/>
      <c r="I557" s="593"/>
    </row>
    <row r="558" spans="1:9" ht="20.25">
      <c r="A558" s="593"/>
      <c r="B558" s="593"/>
      <c r="C558" s="593"/>
      <c r="D558" s="593"/>
      <c r="E558" s="593"/>
      <c r="F558" s="593"/>
      <c r="G558" s="593"/>
      <c r="H558" s="593"/>
      <c r="I558" s="593"/>
    </row>
    <row r="559" spans="1:9" ht="20.25">
      <c r="A559" s="593"/>
      <c r="B559" s="593"/>
      <c r="C559" s="593"/>
      <c r="D559" s="593"/>
      <c r="E559" s="593"/>
      <c r="F559" s="593"/>
      <c r="G559" s="593"/>
      <c r="H559" s="593"/>
      <c r="I559" s="593"/>
    </row>
    <row r="560" spans="1:9" ht="20.25">
      <c r="A560" s="593"/>
      <c r="B560" s="593"/>
      <c r="C560" s="593"/>
      <c r="D560" s="593"/>
      <c r="E560" s="593"/>
      <c r="F560" s="593"/>
      <c r="G560" s="593"/>
      <c r="H560" s="593"/>
      <c r="I560" s="593"/>
    </row>
    <row r="561" spans="1:9" ht="20.25">
      <c r="A561" s="593"/>
      <c r="B561" s="593"/>
      <c r="C561" s="593"/>
      <c r="D561" s="593"/>
      <c r="E561" s="593"/>
      <c r="F561" s="593"/>
      <c r="G561" s="593"/>
      <c r="H561" s="593"/>
      <c r="I561" s="593"/>
    </row>
    <row r="562" spans="1:9" ht="20.25">
      <c r="A562" s="593"/>
      <c r="B562" s="593"/>
      <c r="C562" s="593"/>
      <c r="D562" s="593"/>
      <c r="E562" s="593"/>
      <c r="F562" s="593"/>
      <c r="G562" s="593"/>
      <c r="H562" s="593"/>
      <c r="I562" s="593"/>
    </row>
    <row r="563" spans="1:9" ht="20.25">
      <c r="A563" s="593"/>
      <c r="B563" s="593"/>
      <c r="C563" s="593"/>
      <c r="D563" s="593"/>
      <c r="E563" s="593"/>
      <c r="F563" s="593"/>
      <c r="G563" s="593"/>
      <c r="H563" s="593"/>
      <c r="I563" s="593"/>
    </row>
    <row r="564" spans="1:9" ht="20.25">
      <c r="A564" s="593"/>
      <c r="B564" s="593"/>
      <c r="C564" s="593"/>
      <c r="D564" s="593"/>
      <c r="E564" s="593"/>
      <c r="F564" s="593"/>
      <c r="G564" s="593"/>
      <c r="H564" s="593"/>
      <c r="I564" s="593"/>
    </row>
    <row r="565" spans="1:9" ht="20.25">
      <c r="A565" s="593"/>
      <c r="B565" s="593"/>
      <c r="C565" s="593"/>
      <c r="D565" s="593"/>
      <c r="E565" s="593"/>
      <c r="F565" s="593"/>
      <c r="G565" s="593"/>
      <c r="H565" s="593"/>
      <c r="I565" s="593"/>
    </row>
    <row r="566" spans="1:9" ht="20.25">
      <c r="A566" s="593"/>
      <c r="B566" s="593"/>
      <c r="C566" s="593"/>
      <c r="D566" s="593"/>
      <c r="E566" s="593"/>
      <c r="F566" s="593"/>
      <c r="G566" s="593"/>
      <c r="H566" s="593"/>
      <c r="I566" s="593"/>
    </row>
    <row r="567" spans="1:9" ht="20.25">
      <c r="A567" s="593"/>
      <c r="B567" s="593"/>
      <c r="C567" s="593"/>
      <c r="D567" s="593"/>
      <c r="E567" s="593"/>
      <c r="F567" s="593"/>
      <c r="G567" s="593"/>
      <c r="H567" s="593"/>
      <c r="I567" s="593"/>
    </row>
    <row r="568" spans="1:9" ht="20.25">
      <c r="A568" s="593"/>
      <c r="B568" s="593"/>
      <c r="C568" s="593"/>
      <c r="D568" s="593"/>
      <c r="E568" s="593"/>
      <c r="F568" s="593"/>
      <c r="G568" s="593"/>
      <c r="H568" s="593"/>
      <c r="I568" s="593"/>
    </row>
    <row r="569" spans="1:9" ht="20.25">
      <c r="A569" s="593"/>
      <c r="B569" s="593"/>
      <c r="C569" s="593"/>
      <c r="D569" s="593"/>
      <c r="E569" s="593"/>
      <c r="F569" s="593"/>
      <c r="G569" s="593"/>
      <c r="H569" s="593"/>
      <c r="I569" s="593"/>
    </row>
    <row r="570" spans="1:9" ht="20.25">
      <c r="A570" s="593"/>
      <c r="B570" s="593"/>
      <c r="C570" s="593"/>
      <c r="D570" s="593"/>
      <c r="E570" s="593"/>
      <c r="F570" s="593"/>
      <c r="G570" s="593"/>
      <c r="H570" s="593"/>
      <c r="I570" s="593"/>
    </row>
    <row r="571" spans="1:9" ht="20.25">
      <c r="A571" s="593"/>
      <c r="B571" s="593"/>
      <c r="C571" s="593"/>
      <c r="D571" s="593"/>
      <c r="E571" s="593"/>
      <c r="F571" s="593"/>
      <c r="G571" s="593"/>
      <c r="H571" s="593"/>
      <c r="I571" s="593"/>
    </row>
    <row r="572" spans="1:9" ht="20.25">
      <c r="A572" s="593"/>
      <c r="B572" s="593"/>
      <c r="C572" s="593"/>
      <c r="D572" s="593"/>
      <c r="E572" s="593"/>
      <c r="F572" s="593"/>
      <c r="G572" s="593"/>
      <c r="H572" s="593"/>
      <c r="I572" s="593"/>
    </row>
    <row r="573" spans="1:9" ht="20.25">
      <c r="A573" s="593"/>
      <c r="B573" s="593"/>
      <c r="C573" s="593"/>
      <c r="D573" s="593"/>
      <c r="E573" s="593"/>
      <c r="F573" s="593"/>
      <c r="G573" s="593"/>
      <c r="H573" s="593"/>
      <c r="I573" s="593"/>
    </row>
    <row r="574" spans="1:9" ht="20.25">
      <c r="A574" s="593"/>
      <c r="B574" s="593"/>
      <c r="C574" s="593"/>
      <c r="D574" s="593"/>
      <c r="E574" s="593"/>
      <c r="F574" s="593"/>
      <c r="G574" s="593"/>
      <c r="H574" s="593"/>
      <c r="I574" s="593"/>
    </row>
    <row r="575" spans="1:9" ht="20.25">
      <c r="A575" s="593"/>
      <c r="B575" s="593"/>
      <c r="C575" s="593"/>
      <c r="D575" s="593"/>
      <c r="E575" s="593"/>
      <c r="F575" s="593"/>
      <c r="G575" s="593"/>
      <c r="H575" s="593"/>
      <c r="I575" s="593"/>
    </row>
    <row r="576" spans="1:9" ht="20.25">
      <c r="A576" s="593"/>
      <c r="B576" s="593"/>
      <c r="C576" s="593"/>
      <c r="D576" s="593"/>
      <c r="E576" s="593"/>
      <c r="F576" s="593"/>
      <c r="G576" s="593"/>
      <c r="H576" s="593"/>
      <c r="I576" s="593"/>
    </row>
    <row r="577" spans="1:9" ht="20.25">
      <c r="A577" s="593"/>
      <c r="B577" s="593"/>
      <c r="C577" s="593"/>
      <c r="D577" s="593"/>
      <c r="E577" s="593"/>
      <c r="F577" s="593"/>
      <c r="G577" s="593"/>
      <c r="H577" s="593"/>
      <c r="I577" s="593"/>
    </row>
    <row r="578" spans="1:9" ht="20.25">
      <c r="A578" s="593"/>
      <c r="B578" s="593"/>
      <c r="C578" s="593"/>
      <c r="D578" s="593"/>
      <c r="E578" s="593"/>
      <c r="F578" s="593"/>
      <c r="G578" s="593"/>
      <c r="H578" s="593"/>
      <c r="I578" s="593"/>
    </row>
    <row r="579" spans="1:9" ht="20.25">
      <c r="A579" s="593"/>
      <c r="B579" s="593"/>
      <c r="C579" s="593"/>
      <c r="D579" s="593"/>
      <c r="E579" s="593"/>
      <c r="F579" s="593"/>
      <c r="G579" s="593"/>
      <c r="H579" s="593"/>
      <c r="I579" s="593"/>
    </row>
    <row r="580" spans="1:9" ht="20.25">
      <c r="A580" s="593"/>
      <c r="B580" s="593"/>
      <c r="C580" s="593"/>
      <c r="D580" s="593"/>
      <c r="E580" s="593"/>
      <c r="F580" s="593"/>
      <c r="G580" s="593"/>
      <c r="H580" s="593"/>
      <c r="I580" s="593"/>
    </row>
    <row r="581" spans="1:9" ht="20.25">
      <c r="A581" s="593"/>
      <c r="B581" s="593"/>
      <c r="C581" s="593"/>
      <c r="D581" s="593"/>
      <c r="E581" s="593"/>
      <c r="F581" s="593"/>
      <c r="G581" s="593"/>
      <c r="H581" s="593"/>
      <c r="I581" s="593"/>
    </row>
    <row r="582" spans="1:9" ht="20.25">
      <c r="A582" s="593"/>
      <c r="B582" s="593"/>
      <c r="C582" s="593"/>
      <c r="D582" s="593"/>
      <c r="E582" s="593"/>
      <c r="F582" s="593"/>
      <c r="G582" s="593"/>
      <c r="H582" s="593"/>
      <c r="I582" s="593"/>
    </row>
    <row r="583" spans="1:9" ht="20.25">
      <c r="A583" s="593"/>
      <c r="B583" s="593"/>
      <c r="C583" s="593"/>
      <c r="D583" s="593"/>
      <c r="E583" s="593"/>
      <c r="F583" s="593"/>
      <c r="G583" s="593"/>
      <c r="H583" s="593"/>
      <c r="I583" s="593"/>
    </row>
    <row r="584" spans="1:9" ht="20.25">
      <c r="A584" s="593"/>
      <c r="B584" s="593"/>
      <c r="C584" s="593"/>
      <c r="D584" s="593"/>
      <c r="E584" s="593"/>
      <c r="F584" s="593"/>
      <c r="G584" s="593"/>
      <c r="H584" s="593"/>
      <c r="I584" s="593"/>
    </row>
    <row r="585" spans="1:9" ht="20.25">
      <c r="A585" s="593"/>
      <c r="B585" s="593"/>
      <c r="C585" s="593"/>
      <c r="D585" s="593"/>
      <c r="E585" s="593"/>
      <c r="F585" s="593"/>
      <c r="G585" s="593"/>
      <c r="H585" s="593"/>
      <c r="I585" s="593"/>
    </row>
    <row r="586" spans="1:9" ht="20.25">
      <c r="A586" s="593"/>
      <c r="B586" s="593"/>
      <c r="C586" s="593"/>
      <c r="D586" s="593"/>
      <c r="E586" s="593"/>
      <c r="F586" s="593"/>
      <c r="G586" s="593"/>
      <c r="H586" s="593"/>
      <c r="I586" s="593"/>
    </row>
    <row r="587" spans="1:9" ht="20.25">
      <c r="A587" s="593"/>
      <c r="B587" s="593"/>
      <c r="C587" s="593"/>
      <c r="D587" s="593"/>
      <c r="E587" s="593"/>
      <c r="F587" s="593"/>
      <c r="G587" s="593"/>
      <c r="H587" s="593"/>
      <c r="I587" s="593"/>
    </row>
    <row r="588" spans="1:9" ht="20.25">
      <c r="A588" s="593"/>
      <c r="B588" s="593"/>
      <c r="C588" s="593"/>
      <c r="D588" s="593"/>
      <c r="E588" s="593"/>
      <c r="F588" s="593"/>
      <c r="G588" s="593"/>
      <c r="H588" s="593"/>
      <c r="I588" s="593"/>
    </row>
    <row r="589" spans="1:9" ht="20.25">
      <c r="A589" s="593"/>
      <c r="B589" s="593"/>
      <c r="C589" s="593"/>
      <c r="D589" s="593"/>
      <c r="E589" s="593"/>
      <c r="F589" s="593"/>
      <c r="G589" s="593"/>
      <c r="H589" s="593"/>
      <c r="I589" s="593"/>
    </row>
    <row r="590" spans="1:9" ht="20.25">
      <c r="A590" s="593"/>
      <c r="B590" s="593"/>
      <c r="C590" s="593"/>
      <c r="D590" s="593"/>
      <c r="E590" s="593"/>
      <c r="F590" s="593"/>
      <c r="G590" s="593"/>
      <c r="H590" s="593"/>
      <c r="I590" s="593"/>
    </row>
    <row r="591" spans="1:9" ht="20.25">
      <c r="A591" s="593"/>
      <c r="B591" s="593"/>
      <c r="C591" s="593"/>
      <c r="D591" s="593"/>
      <c r="E591" s="593"/>
      <c r="F591" s="593"/>
      <c r="G591" s="593"/>
      <c r="H591" s="593"/>
      <c r="I591" s="593"/>
    </row>
    <row r="592" spans="1:9" ht="20.25">
      <c r="A592" s="593"/>
      <c r="B592" s="593"/>
      <c r="C592" s="593"/>
      <c r="D592" s="593"/>
      <c r="E592" s="593"/>
      <c r="F592" s="593"/>
      <c r="G592" s="593"/>
      <c r="H592" s="593"/>
      <c r="I592" s="593"/>
    </row>
    <row r="593" spans="1:9" ht="20.25">
      <c r="A593" s="593"/>
      <c r="B593" s="593"/>
      <c r="C593" s="593"/>
      <c r="D593" s="593"/>
      <c r="E593" s="593"/>
      <c r="F593" s="593"/>
      <c r="G593" s="593"/>
      <c r="H593" s="593"/>
      <c r="I593" s="593"/>
    </row>
    <row r="594" spans="1:9" ht="20.25">
      <c r="A594" s="593"/>
      <c r="B594" s="593"/>
      <c r="C594" s="593"/>
      <c r="D594" s="593"/>
      <c r="E594" s="593"/>
      <c r="F594" s="593"/>
      <c r="G594" s="593"/>
      <c r="H594" s="593"/>
      <c r="I594" s="593"/>
    </row>
    <row r="595" spans="1:9" ht="20.25">
      <c r="A595" s="593"/>
      <c r="B595" s="593"/>
      <c r="C595" s="593"/>
      <c r="D595" s="593"/>
      <c r="E595" s="593"/>
      <c r="F595" s="593"/>
      <c r="G595" s="593"/>
      <c r="H595" s="593"/>
      <c r="I595" s="593"/>
    </row>
    <row r="596" spans="1:9" ht="20.25">
      <c r="A596" s="593"/>
      <c r="B596" s="593"/>
      <c r="C596" s="593"/>
      <c r="D596" s="593"/>
      <c r="E596" s="593"/>
      <c r="F596" s="593"/>
      <c r="G596" s="593"/>
      <c r="H596" s="593"/>
      <c r="I596" s="593"/>
    </row>
    <row r="597" spans="1:9" ht="20.25">
      <c r="A597" s="593"/>
      <c r="B597" s="593"/>
      <c r="C597" s="593"/>
      <c r="D597" s="593"/>
      <c r="E597" s="593"/>
      <c r="F597" s="593"/>
      <c r="G597" s="593"/>
      <c r="H597" s="593"/>
      <c r="I597" s="593"/>
    </row>
    <row r="598" spans="1:9" ht="20.25">
      <c r="A598" s="593"/>
      <c r="B598" s="593"/>
      <c r="C598" s="593"/>
      <c r="D598" s="593"/>
      <c r="E598" s="593"/>
      <c r="F598" s="593"/>
      <c r="G598" s="593"/>
      <c r="H598" s="593"/>
      <c r="I598" s="593"/>
    </row>
    <row r="599" spans="1:9" ht="20.25">
      <c r="A599" s="593"/>
      <c r="B599" s="593"/>
      <c r="C599" s="593"/>
      <c r="D599" s="593"/>
      <c r="E599" s="593"/>
      <c r="F599" s="593"/>
      <c r="G599" s="593"/>
      <c r="H599" s="593"/>
      <c r="I599" s="593"/>
    </row>
    <row r="600" spans="1:9" ht="20.25">
      <c r="A600" s="593"/>
      <c r="B600" s="593"/>
      <c r="C600" s="593"/>
      <c r="D600" s="593"/>
      <c r="E600" s="593"/>
      <c r="F600" s="593"/>
      <c r="G600" s="593"/>
      <c r="H600" s="593"/>
      <c r="I600" s="593"/>
    </row>
    <row r="601" spans="1:9" ht="20.25">
      <c r="A601" s="593"/>
      <c r="B601" s="593"/>
      <c r="C601" s="593"/>
      <c r="D601" s="593"/>
      <c r="E601" s="593"/>
      <c r="F601" s="593"/>
      <c r="G601" s="593"/>
      <c r="H601" s="593"/>
      <c r="I601" s="593"/>
    </row>
    <row r="602" spans="1:9" ht="20.25">
      <c r="A602" s="593"/>
      <c r="B602" s="593"/>
      <c r="C602" s="593"/>
      <c r="D602" s="593"/>
      <c r="E602" s="593"/>
      <c r="F602" s="593"/>
      <c r="G602" s="593"/>
      <c r="H602" s="593"/>
      <c r="I602" s="593"/>
    </row>
    <row r="603" spans="1:9" ht="20.25">
      <c r="A603" s="593"/>
      <c r="B603" s="593"/>
      <c r="C603" s="593"/>
      <c r="D603" s="593"/>
      <c r="E603" s="593"/>
      <c r="F603" s="593"/>
      <c r="G603" s="593"/>
      <c r="H603" s="593"/>
      <c r="I603" s="593"/>
    </row>
    <row r="604" spans="1:9" ht="20.25">
      <c r="A604" s="593"/>
      <c r="B604" s="593"/>
      <c r="C604" s="593"/>
      <c r="D604" s="593"/>
      <c r="E604" s="593"/>
      <c r="F604" s="593"/>
      <c r="G604" s="593"/>
      <c r="H604" s="593"/>
      <c r="I604" s="593"/>
    </row>
    <row r="605" spans="1:9" ht="20.25">
      <c r="A605" s="593"/>
      <c r="B605" s="593"/>
      <c r="C605" s="593"/>
      <c r="D605" s="593"/>
      <c r="E605" s="593"/>
      <c r="F605" s="593"/>
      <c r="G605" s="593"/>
      <c r="H605" s="593"/>
      <c r="I605" s="593"/>
    </row>
    <row r="606" spans="1:9" ht="20.25">
      <c r="A606" s="593"/>
      <c r="B606" s="593"/>
      <c r="C606" s="593"/>
      <c r="D606" s="593"/>
      <c r="E606" s="593"/>
      <c r="F606" s="593"/>
      <c r="G606" s="593"/>
      <c r="H606" s="593"/>
      <c r="I606" s="593"/>
    </row>
    <row r="607" spans="1:9" ht="20.25">
      <c r="A607" s="593"/>
      <c r="B607" s="593"/>
      <c r="C607" s="593"/>
      <c r="D607" s="593"/>
      <c r="E607" s="593"/>
      <c r="F607" s="593"/>
      <c r="G607" s="593"/>
      <c r="H607" s="593"/>
      <c r="I607" s="593"/>
    </row>
    <row r="608" spans="1:9" ht="20.25">
      <c r="A608" s="593"/>
      <c r="B608" s="593"/>
      <c r="C608" s="593"/>
      <c r="D608" s="593"/>
      <c r="E608" s="593"/>
      <c r="F608" s="593"/>
      <c r="G608" s="593"/>
      <c r="H608" s="593"/>
      <c r="I608" s="593"/>
    </row>
    <row r="609" spans="1:9" ht="20.25">
      <c r="A609" s="593"/>
      <c r="B609" s="593"/>
      <c r="C609" s="593"/>
      <c r="D609" s="593"/>
      <c r="E609" s="593"/>
      <c r="F609" s="593"/>
      <c r="G609" s="593"/>
      <c r="H609" s="593"/>
      <c r="I609" s="593"/>
    </row>
    <row r="610" spans="1:9" ht="20.25">
      <c r="A610" s="593"/>
      <c r="B610" s="593"/>
      <c r="C610" s="593"/>
      <c r="D610" s="593"/>
      <c r="E610" s="593"/>
      <c r="F610" s="593"/>
      <c r="G610" s="593"/>
      <c r="H610" s="593"/>
      <c r="I610" s="593"/>
    </row>
    <row r="611" spans="1:9" ht="20.25">
      <c r="A611" s="593"/>
      <c r="B611" s="593"/>
      <c r="C611" s="593"/>
      <c r="D611" s="593"/>
      <c r="E611" s="593"/>
      <c r="F611" s="593"/>
      <c r="G611" s="593"/>
      <c r="H611" s="593"/>
      <c r="I611" s="593"/>
    </row>
    <row r="612" spans="1:9" ht="20.25">
      <c r="A612" s="593"/>
      <c r="B612" s="593"/>
      <c r="C612" s="593"/>
      <c r="D612" s="593"/>
      <c r="E612" s="593"/>
      <c r="F612" s="593"/>
      <c r="G612" s="593"/>
      <c r="H612" s="593"/>
      <c r="I612" s="593"/>
    </row>
    <row r="613" spans="1:9" ht="20.25">
      <c r="A613" s="593"/>
      <c r="B613" s="593"/>
      <c r="C613" s="593"/>
      <c r="D613" s="593"/>
      <c r="E613" s="593"/>
      <c r="F613" s="593"/>
      <c r="G613" s="593"/>
      <c r="H613" s="593"/>
      <c r="I613" s="593"/>
    </row>
    <row r="614" spans="1:9" ht="20.25">
      <c r="A614" s="593"/>
      <c r="B614" s="593"/>
      <c r="C614" s="593"/>
      <c r="D614" s="593"/>
      <c r="E614" s="593"/>
      <c r="F614" s="593"/>
      <c r="G614" s="593"/>
      <c r="H614" s="593"/>
      <c r="I614" s="593"/>
    </row>
    <row r="615" spans="1:9" ht="20.25">
      <c r="A615" s="593"/>
      <c r="B615" s="593"/>
      <c r="C615" s="593"/>
      <c r="D615" s="593"/>
      <c r="E615" s="593"/>
      <c r="F615" s="593"/>
      <c r="G615" s="593"/>
      <c r="H615" s="593"/>
      <c r="I615" s="593"/>
    </row>
    <row r="616" spans="1:9" ht="20.25">
      <c r="A616" s="593"/>
      <c r="B616" s="593"/>
      <c r="C616" s="593"/>
      <c r="D616" s="593"/>
      <c r="E616" s="593"/>
      <c r="F616" s="593"/>
      <c r="G616" s="593"/>
      <c r="H616" s="593"/>
      <c r="I616" s="593"/>
    </row>
    <row r="617" spans="1:9" ht="20.25">
      <c r="A617" s="593"/>
      <c r="B617" s="593"/>
      <c r="C617" s="593"/>
      <c r="D617" s="593"/>
      <c r="E617" s="593"/>
      <c r="F617" s="593"/>
      <c r="G617" s="593"/>
      <c r="H617" s="593"/>
      <c r="I617" s="593"/>
    </row>
    <row r="618" spans="1:9" ht="20.25">
      <c r="A618" s="593"/>
      <c r="B618" s="593"/>
      <c r="C618" s="593"/>
      <c r="D618" s="593"/>
      <c r="E618" s="593"/>
      <c r="F618" s="593"/>
      <c r="G618" s="593"/>
      <c r="H618" s="593"/>
      <c r="I618" s="593"/>
    </row>
    <row r="619" spans="1:9" ht="20.25">
      <c r="A619" s="593"/>
      <c r="B619" s="593"/>
      <c r="C619" s="593"/>
      <c r="D619" s="593"/>
      <c r="E619" s="593"/>
      <c r="F619" s="593"/>
      <c r="G619" s="593"/>
      <c r="H619" s="593"/>
      <c r="I619" s="593"/>
    </row>
    <row r="620" spans="1:9" ht="20.25">
      <c r="A620" s="593"/>
      <c r="B620" s="593"/>
      <c r="C620" s="593"/>
      <c r="D620" s="593"/>
      <c r="E620" s="593"/>
      <c r="F620" s="593"/>
      <c r="G620" s="593"/>
      <c r="H620" s="593"/>
      <c r="I620" s="593"/>
    </row>
    <row r="621" spans="1:9" ht="20.25">
      <c r="A621" s="593"/>
      <c r="B621" s="593"/>
      <c r="C621" s="593"/>
      <c r="D621" s="593"/>
      <c r="E621" s="593"/>
      <c r="F621" s="593"/>
      <c r="G621" s="593"/>
      <c r="H621" s="593"/>
      <c r="I621" s="593"/>
    </row>
    <row r="622" spans="1:9" ht="20.25">
      <c r="A622" s="593"/>
      <c r="B622" s="593"/>
      <c r="C622" s="593"/>
      <c r="D622" s="593"/>
      <c r="E622" s="593"/>
      <c r="F622" s="593"/>
      <c r="G622" s="593"/>
      <c r="H622" s="593"/>
      <c r="I622" s="593"/>
    </row>
    <row r="623" spans="1:9" ht="20.25">
      <c r="A623" s="593"/>
      <c r="B623" s="593"/>
      <c r="C623" s="593"/>
      <c r="D623" s="593"/>
      <c r="E623" s="593"/>
      <c r="F623" s="593"/>
      <c r="G623" s="593"/>
      <c r="H623" s="593"/>
      <c r="I623" s="593"/>
    </row>
    <row r="624" spans="1:9" ht="20.25">
      <c r="A624" s="593"/>
      <c r="B624" s="593"/>
      <c r="C624" s="593"/>
      <c r="D624" s="593"/>
      <c r="E624" s="593"/>
      <c r="F624" s="593"/>
      <c r="G624" s="593"/>
      <c r="H624" s="593"/>
      <c r="I624" s="593"/>
    </row>
    <row r="625" spans="1:9" ht="20.25">
      <c r="A625" s="593"/>
      <c r="B625" s="593"/>
      <c r="C625" s="593"/>
      <c r="D625" s="593"/>
      <c r="E625" s="593"/>
      <c r="F625" s="593"/>
      <c r="G625" s="593"/>
      <c r="H625" s="593"/>
      <c r="I625" s="593"/>
    </row>
    <row r="626" spans="1:9" ht="20.25">
      <c r="A626" s="593"/>
      <c r="B626" s="593"/>
      <c r="C626" s="593"/>
      <c r="D626" s="593"/>
      <c r="E626" s="593"/>
      <c r="F626" s="593"/>
      <c r="G626" s="593"/>
      <c r="H626" s="593"/>
      <c r="I626" s="593"/>
    </row>
    <row r="627" spans="1:9" ht="20.25">
      <c r="A627" s="593"/>
      <c r="B627" s="593"/>
      <c r="C627" s="593"/>
      <c r="D627" s="593"/>
      <c r="E627" s="593"/>
      <c r="F627" s="593"/>
      <c r="G627" s="593"/>
      <c r="H627" s="593"/>
      <c r="I627" s="593"/>
    </row>
    <row r="628" spans="1:9" ht="20.25">
      <c r="A628" s="593"/>
      <c r="B628" s="593"/>
      <c r="C628" s="593"/>
      <c r="D628" s="593"/>
      <c r="E628" s="593"/>
      <c r="F628" s="593"/>
      <c r="G628" s="593"/>
      <c r="H628" s="593"/>
      <c r="I628" s="593"/>
    </row>
    <row r="629" spans="1:9" ht="20.25">
      <c r="A629" s="593"/>
      <c r="B629" s="593"/>
      <c r="C629" s="593"/>
      <c r="D629" s="593"/>
      <c r="E629" s="593"/>
      <c r="F629" s="593"/>
      <c r="G629" s="593"/>
      <c r="H629" s="593"/>
      <c r="I629" s="593"/>
    </row>
    <row r="630" spans="1:9" ht="20.25">
      <c r="A630" s="593"/>
      <c r="B630" s="593"/>
      <c r="C630" s="593"/>
      <c r="D630" s="593"/>
      <c r="E630" s="593"/>
      <c r="F630" s="593"/>
      <c r="G630" s="593"/>
      <c r="H630" s="593"/>
      <c r="I630" s="593"/>
    </row>
    <row r="631" spans="1:9" ht="20.25">
      <c r="A631" s="593"/>
      <c r="B631" s="593"/>
      <c r="C631" s="593"/>
      <c r="D631" s="593"/>
      <c r="E631" s="593"/>
      <c r="F631" s="593"/>
      <c r="G631" s="593"/>
      <c r="H631" s="593"/>
      <c r="I631" s="593"/>
    </row>
    <row r="632" spans="1:9" ht="20.25">
      <c r="A632" s="593"/>
      <c r="B632" s="593"/>
      <c r="C632" s="593"/>
      <c r="D632" s="593"/>
      <c r="E632" s="593"/>
      <c r="F632" s="593"/>
      <c r="G632" s="593"/>
      <c r="H632" s="593"/>
      <c r="I632" s="593"/>
    </row>
    <row r="633" spans="1:9" ht="20.25">
      <c r="A633" s="593"/>
      <c r="B633" s="593"/>
      <c r="C633" s="593"/>
      <c r="D633" s="593"/>
      <c r="E633" s="593"/>
      <c r="F633" s="593"/>
      <c r="G633" s="593"/>
      <c r="H633" s="593"/>
      <c r="I633" s="593"/>
    </row>
    <row r="634" spans="1:9" ht="20.25">
      <c r="A634" s="593"/>
      <c r="B634" s="593"/>
      <c r="C634" s="593"/>
      <c r="D634" s="593"/>
      <c r="E634" s="593"/>
      <c r="F634" s="593"/>
      <c r="G634" s="593"/>
      <c r="H634" s="593"/>
      <c r="I634" s="593"/>
    </row>
    <row r="635" spans="1:9" ht="20.25">
      <c r="A635" s="593"/>
      <c r="B635" s="593"/>
      <c r="C635" s="593"/>
      <c r="D635" s="593"/>
      <c r="E635" s="593"/>
      <c r="F635" s="593"/>
      <c r="G635" s="593"/>
      <c r="H635" s="593"/>
      <c r="I635" s="593"/>
    </row>
    <row r="636" spans="1:9" ht="20.25">
      <c r="A636" s="593"/>
      <c r="B636" s="593"/>
      <c r="C636" s="593"/>
      <c r="D636" s="593"/>
      <c r="E636" s="593"/>
      <c r="F636" s="593"/>
      <c r="G636" s="593"/>
      <c r="H636" s="593"/>
      <c r="I636" s="593"/>
    </row>
    <row r="637" spans="1:9" ht="20.25">
      <c r="A637" s="593"/>
      <c r="B637" s="593"/>
      <c r="C637" s="593"/>
      <c r="D637" s="593"/>
      <c r="E637" s="593"/>
      <c r="F637" s="593"/>
      <c r="G637" s="593"/>
      <c r="H637" s="593"/>
      <c r="I637" s="593"/>
    </row>
    <row r="638" spans="1:9" ht="20.25">
      <c r="A638" s="593"/>
      <c r="B638" s="593"/>
      <c r="C638" s="593"/>
      <c r="D638" s="593"/>
      <c r="E638" s="593"/>
      <c r="F638" s="593"/>
      <c r="G638" s="593"/>
      <c r="H638" s="593"/>
      <c r="I638" s="593"/>
    </row>
    <row r="639" spans="1:9" ht="20.25">
      <c r="A639" s="593"/>
      <c r="B639" s="593"/>
      <c r="C639" s="593"/>
      <c r="D639" s="593"/>
      <c r="E639" s="593"/>
      <c r="F639" s="593"/>
      <c r="G639" s="593"/>
      <c r="H639" s="593"/>
      <c r="I639" s="593"/>
    </row>
    <row r="640" spans="1:9" ht="20.25">
      <c r="A640" s="593"/>
      <c r="B640" s="593"/>
      <c r="C640" s="593"/>
      <c r="D640" s="593"/>
      <c r="E640" s="593"/>
      <c r="F640" s="593"/>
      <c r="G640" s="593"/>
      <c r="H640" s="593"/>
      <c r="I640" s="593"/>
    </row>
    <row r="641" spans="1:9" ht="20.25">
      <c r="A641" s="593"/>
      <c r="B641" s="593"/>
      <c r="C641" s="593"/>
      <c r="D641" s="593"/>
      <c r="E641" s="593"/>
      <c r="F641" s="593"/>
      <c r="G641" s="593"/>
      <c r="H641" s="593"/>
      <c r="I641" s="593"/>
    </row>
    <row r="642" spans="1:9" ht="20.25">
      <c r="A642" s="593"/>
      <c r="B642" s="593"/>
      <c r="C642" s="593"/>
      <c r="D642" s="593"/>
      <c r="E642" s="593"/>
      <c r="F642" s="593"/>
      <c r="G642" s="593"/>
      <c r="H642" s="593"/>
      <c r="I642" s="593"/>
    </row>
    <row r="643" spans="1:9" ht="20.25">
      <c r="A643" s="593"/>
      <c r="B643" s="593"/>
      <c r="C643" s="593"/>
      <c r="D643" s="593"/>
      <c r="E643" s="593"/>
      <c r="F643" s="593"/>
      <c r="G643" s="593"/>
      <c r="H643" s="593"/>
      <c r="I643" s="593"/>
    </row>
    <row r="644" spans="1:9" ht="20.25">
      <c r="A644" s="593"/>
      <c r="B644" s="593"/>
      <c r="C644" s="593"/>
      <c r="D644" s="593"/>
      <c r="E644" s="593"/>
      <c r="F644" s="593"/>
      <c r="G644" s="593"/>
      <c r="H644" s="593"/>
      <c r="I644" s="593"/>
    </row>
    <row r="645" spans="1:9" ht="20.25">
      <c r="A645" s="593"/>
      <c r="B645" s="593"/>
      <c r="C645" s="593"/>
      <c r="D645" s="593"/>
      <c r="E645" s="593"/>
      <c r="F645" s="593"/>
      <c r="G645" s="593"/>
      <c r="H645" s="593"/>
      <c r="I645" s="593"/>
    </row>
    <row r="646" spans="1:9" ht="20.25">
      <c r="A646" s="593"/>
      <c r="B646" s="593"/>
      <c r="C646" s="593"/>
      <c r="D646" s="593"/>
      <c r="E646" s="593"/>
      <c r="F646" s="593"/>
      <c r="G646" s="593"/>
      <c r="H646" s="593"/>
      <c r="I646" s="593"/>
    </row>
    <row r="647" spans="1:9" ht="20.25">
      <c r="A647" s="593"/>
      <c r="B647" s="593"/>
      <c r="C647" s="593"/>
      <c r="D647" s="593"/>
      <c r="E647" s="593"/>
      <c r="F647" s="593"/>
      <c r="G647" s="593"/>
      <c r="H647" s="593"/>
      <c r="I647" s="593"/>
    </row>
    <row r="648" spans="1:9" ht="20.25">
      <c r="A648" s="593"/>
      <c r="B648" s="593"/>
      <c r="C648" s="593"/>
      <c r="D648" s="593"/>
      <c r="E648" s="593"/>
      <c r="F648" s="593"/>
      <c r="G648" s="593"/>
      <c r="H648" s="593"/>
      <c r="I648" s="593"/>
    </row>
    <row r="649" spans="1:9" ht="20.25">
      <c r="A649" s="593"/>
      <c r="B649" s="593"/>
      <c r="C649" s="593"/>
      <c r="D649" s="593"/>
      <c r="E649" s="593"/>
      <c r="F649" s="593"/>
      <c r="G649" s="593"/>
      <c r="H649" s="593"/>
      <c r="I649" s="593"/>
    </row>
    <row r="650" spans="1:9" ht="20.25">
      <c r="A650" s="593"/>
      <c r="B650" s="593"/>
      <c r="C650" s="593"/>
      <c r="D650" s="593"/>
      <c r="E650" s="593"/>
      <c r="F650" s="593"/>
      <c r="G650" s="593"/>
      <c r="H650" s="593"/>
      <c r="I650" s="593"/>
    </row>
    <row r="651" spans="1:9" ht="20.25">
      <c r="A651" s="593"/>
      <c r="B651" s="593"/>
      <c r="C651" s="593"/>
      <c r="D651" s="593"/>
      <c r="E651" s="593"/>
      <c r="F651" s="593"/>
      <c r="G651" s="593"/>
      <c r="H651" s="593"/>
      <c r="I651" s="593"/>
    </row>
    <row r="652" spans="1:9" ht="20.25">
      <c r="A652" s="593"/>
      <c r="B652" s="593"/>
      <c r="C652" s="593"/>
      <c r="D652" s="593"/>
      <c r="E652" s="593"/>
      <c r="F652" s="593"/>
      <c r="G652" s="593"/>
      <c r="H652" s="593"/>
      <c r="I652" s="593"/>
    </row>
    <row r="653" spans="1:9" ht="20.25">
      <c r="A653" s="593"/>
      <c r="B653" s="593"/>
      <c r="C653" s="593"/>
      <c r="D653" s="593"/>
      <c r="E653" s="593"/>
      <c r="F653" s="593"/>
      <c r="G653" s="593"/>
      <c r="H653" s="593"/>
      <c r="I653" s="593"/>
    </row>
    <row r="654" spans="1:9" ht="20.25">
      <c r="A654" s="593"/>
      <c r="B654" s="593"/>
      <c r="C654" s="593"/>
      <c r="D654" s="593"/>
      <c r="E654" s="593"/>
      <c r="F654" s="593"/>
      <c r="G654" s="593"/>
      <c r="H654" s="593"/>
      <c r="I654" s="593"/>
    </row>
    <row r="655" spans="1:9" ht="20.25">
      <c r="A655" s="593"/>
      <c r="B655" s="593"/>
      <c r="C655" s="593"/>
      <c r="D655" s="593"/>
      <c r="E655" s="593"/>
      <c r="F655" s="593"/>
      <c r="G655" s="593"/>
      <c r="H655" s="593"/>
      <c r="I655" s="593"/>
    </row>
    <row r="656" spans="1:9" ht="20.25">
      <c r="A656" s="593"/>
      <c r="B656" s="593"/>
      <c r="C656" s="593"/>
      <c r="D656" s="593"/>
      <c r="E656" s="593"/>
      <c r="F656" s="593"/>
      <c r="G656" s="593"/>
      <c r="H656" s="593"/>
      <c r="I656" s="593"/>
    </row>
    <row r="657" spans="1:9" ht="20.25">
      <c r="A657" s="593"/>
      <c r="B657" s="593"/>
      <c r="C657" s="593"/>
      <c r="D657" s="593"/>
      <c r="E657" s="593"/>
      <c r="F657" s="593"/>
      <c r="G657" s="593"/>
      <c r="H657" s="593"/>
      <c r="I657" s="593"/>
    </row>
    <row r="658" spans="1:9" ht="20.25">
      <c r="A658" s="593"/>
      <c r="B658" s="593"/>
      <c r="C658" s="593"/>
      <c r="D658" s="593"/>
      <c r="E658" s="593"/>
      <c r="F658" s="593"/>
      <c r="G658" s="593"/>
      <c r="H658" s="593"/>
      <c r="I658" s="593"/>
    </row>
    <row r="659" spans="1:9" ht="20.25">
      <c r="A659" s="593"/>
      <c r="B659" s="593"/>
      <c r="C659" s="593"/>
      <c r="D659" s="593"/>
      <c r="E659" s="593"/>
      <c r="F659" s="593"/>
      <c r="G659" s="593"/>
      <c r="H659" s="593"/>
      <c r="I659" s="593"/>
    </row>
    <row r="660" spans="1:9" ht="20.25">
      <c r="A660" s="593"/>
      <c r="B660" s="593"/>
      <c r="C660" s="593"/>
      <c r="D660" s="593"/>
      <c r="E660" s="593"/>
      <c r="F660" s="593"/>
      <c r="G660" s="593"/>
      <c r="H660" s="593"/>
      <c r="I660" s="593"/>
    </row>
    <row r="661" spans="1:9" ht="20.25">
      <c r="A661" s="593"/>
      <c r="B661" s="593"/>
      <c r="C661" s="593"/>
      <c r="D661" s="593"/>
      <c r="E661" s="593"/>
      <c r="F661" s="593"/>
      <c r="G661" s="593"/>
      <c r="H661" s="593"/>
      <c r="I661" s="593"/>
    </row>
    <row r="662" spans="1:9" ht="20.25">
      <c r="A662" s="593"/>
      <c r="B662" s="593"/>
      <c r="C662" s="593"/>
      <c r="D662" s="593"/>
      <c r="E662" s="593"/>
      <c r="F662" s="593"/>
      <c r="G662" s="593"/>
      <c r="H662" s="593"/>
      <c r="I662" s="593"/>
    </row>
    <row r="663" spans="1:9" ht="20.25">
      <c r="A663" s="593"/>
      <c r="B663" s="593"/>
      <c r="C663" s="593"/>
      <c r="D663" s="593"/>
      <c r="E663" s="593"/>
      <c r="F663" s="593"/>
      <c r="G663" s="593"/>
      <c r="H663" s="593"/>
      <c r="I663" s="593"/>
    </row>
    <row r="664" spans="1:9" ht="20.25">
      <c r="A664" s="593"/>
      <c r="B664" s="593"/>
      <c r="C664" s="593"/>
      <c r="D664" s="593"/>
      <c r="E664" s="593"/>
      <c r="F664" s="593"/>
      <c r="G664" s="593"/>
      <c r="H664" s="593"/>
      <c r="I664" s="593"/>
    </row>
    <row r="665" spans="1:9" ht="20.25">
      <c r="A665" s="593"/>
      <c r="B665" s="593"/>
      <c r="C665" s="593"/>
      <c r="D665" s="593"/>
      <c r="E665" s="593"/>
      <c r="F665" s="593"/>
      <c r="G665" s="593"/>
      <c r="H665" s="593"/>
      <c r="I665" s="593"/>
    </row>
    <row r="666" spans="1:9" ht="20.25">
      <c r="A666" s="593"/>
      <c r="B666" s="593"/>
      <c r="C666" s="593"/>
      <c r="D666" s="593"/>
      <c r="E666" s="593"/>
      <c r="F666" s="593"/>
      <c r="G666" s="593"/>
      <c r="H666" s="593"/>
      <c r="I666" s="593"/>
    </row>
    <row r="667" spans="1:9" ht="20.25">
      <c r="A667" s="593"/>
      <c r="B667" s="593"/>
      <c r="C667" s="593"/>
      <c r="D667" s="593"/>
      <c r="E667" s="593"/>
      <c r="F667" s="593"/>
      <c r="G667" s="593"/>
      <c r="H667" s="593"/>
      <c r="I667" s="593"/>
    </row>
    <row r="668" spans="1:9" ht="20.25">
      <c r="A668" s="593"/>
      <c r="B668" s="593"/>
      <c r="C668" s="593"/>
      <c r="D668" s="593"/>
      <c r="E668" s="593"/>
      <c r="F668" s="593"/>
      <c r="G668" s="593"/>
      <c r="H668" s="593"/>
      <c r="I668" s="593"/>
    </row>
    <row r="669" spans="1:9" ht="20.25">
      <c r="A669" s="593"/>
      <c r="B669" s="593"/>
      <c r="C669" s="593"/>
      <c r="D669" s="593"/>
      <c r="E669" s="593"/>
      <c r="F669" s="593"/>
      <c r="G669" s="593"/>
      <c r="H669" s="593"/>
      <c r="I669" s="593"/>
    </row>
    <row r="670" spans="1:9" ht="20.25">
      <c r="A670" s="593"/>
      <c r="B670" s="593"/>
      <c r="C670" s="593"/>
      <c r="D670" s="593"/>
      <c r="E670" s="593"/>
      <c r="F670" s="593"/>
      <c r="G670" s="593"/>
      <c r="H670" s="593"/>
      <c r="I670" s="593"/>
    </row>
    <row r="671" spans="1:9" ht="20.25">
      <c r="A671" s="593"/>
      <c r="B671" s="593"/>
      <c r="C671" s="593"/>
      <c r="D671" s="593"/>
      <c r="E671" s="593"/>
      <c r="F671" s="593"/>
      <c r="G671" s="593"/>
      <c r="H671" s="593"/>
      <c r="I671" s="593"/>
    </row>
    <row r="672" spans="1:9" ht="20.25">
      <c r="A672" s="593"/>
      <c r="B672" s="593"/>
      <c r="C672" s="593"/>
      <c r="D672" s="593"/>
      <c r="E672" s="593"/>
      <c r="F672" s="593"/>
      <c r="G672" s="593"/>
      <c r="H672" s="593"/>
      <c r="I672" s="593"/>
    </row>
    <row r="673" spans="1:9" ht="20.25">
      <c r="A673" s="593"/>
      <c r="B673" s="593"/>
      <c r="C673" s="593"/>
      <c r="D673" s="593"/>
      <c r="E673" s="593"/>
      <c r="F673" s="593"/>
      <c r="G673" s="593"/>
      <c r="H673" s="593"/>
      <c r="I673" s="593"/>
    </row>
    <row r="674" spans="1:9" ht="20.25">
      <c r="A674" s="593"/>
      <c r="B674" s="593"/>
      <c r="C674" s="593"/>
      <c r="D674" s="593"/>
      <c r="E674" s="593"/>
      <c r="F674" s="593"/>
      <c r="G674" s="593"/>
      <c r="H674" s="593"/>
      <c r="I674" s="593"/>
    </row>
    <row r="675" spans="1:9" ht="20.25">
      <c r="A675" s="593"/>
      <c r="B675" s="593"/>
      <c r="C675" s="593"/>
      <c r="D675" s="593"/>
      <c r="E675" s="593"/>
      <c r="F675" s="593"/>
      <c r="G675" s="593"/>
      <c r="H675" s="593"/>
      <c r="I675" s="593"/>
    </row>
    <row r="676" spans="1:9" ht="20.25">
      <c r="A676" s="593"/>
      <c r="B676" s="593"/>
      <c r="C676" s="593"/>
      <c r="D676" s="593"/>
      <c r="E676" s="593"/>
      <c r="F676" s="593"/>
      <c r="G676" s="593"/>
      <c r="H676" s="593"/>
      <c r="I676" s="593"/>
    </row>
    <row r="677" spans="1:9" ht="20.25">
      <c r="A677" s="593"/>
      <c r="B677" s="593"/>
      <c r="C677" s="593"/>
      <c r="D677" s="593"/>
      <c r="E677" s="593"/>
      <c r="F677" s="593"/>
      <c r="G677" s="593"/>
      <c r="H677" s="593"/>
      <c r="I677" s="593"/>
    </row>
    <row r="678" spans="1:9" ht="20.25">
      <c r="A678" s="593"/>
      <c r="B678" s="593"/>
      <c r="C678" s="593"/>
      <c r="D678" s="593"/>
      <c r="E678" s="593"/>
      <c r="F678" s="593"/>
      <c r="G678" s="593"/>
      <c r="H678" s="593"/>
      <c r="I678" s="593"/>
    </row>
    <row r="679" spans="1:9" ht="20.25">
      <c r="A679" s="593"/>
      <c r="B679" s="593"/>
      <c r="C679" s="593"/>
      <c r="D679" s="593"/>
      <c r="E679" s="593"/>
      <c r="F679" s="593"/>
      <c r="G679" s="593"/>
      <c r="H679" s="593"/>
      <c r="I679" s="593"/>
    </row>
    <row r="680" spans="1:9" ht="20.25">
      <c r="A680" s="593"/>
      <c r="B680" s="593"/>
      <c r="C680" s="593"/>
      <c r="D680" s="593"/>
      <c r="E680" s="593"/>
      <c r="F680" s="593"/>
      <c r="G680" s="593"/>
      <c r="H680" s="593"/>
      <c r="I680" s="593"/>
    </row>
    <row r="681" spans="1:9" ht="20.25">
      <c r="A681" s="593"/>
      <c r="B681" s="593"/>
      <c r="C681" s="593"/>
      <c r="D681" s="593"/>
      <c r="E681" s="593"/>
      <c r="F681" s="593"/>
      <c r="G681" s="593"/>
      <c r="H681" s="593"/>
      <c r="I681" s="593"/>
    </row>
    <row r="682" spans="1:9" ht="20.25">
      <c r="A682" s="593"/>
      <c r="B682" s="593"/>
      <c r="C682" s="593"/>
      <c r="D682" s="593"/>
      <c r="E682" s="593"/>
      <c r="F682" s="593"/>
      <c r="G682" s="593"/>
      <c r="H682" s="593"/>
      <c r="I682" s="593"/>
    </row>
    <row r="683" spans="1:9" ht="20.25">
      <c r="A683" s="593"/>
      <c r="B683" s="593"/>
      <c r="C683" s="593"/>
      <c r="D683" s="593"/>
      <c r="E683" s="593"/>
      <c r="F683" s="593"/>
      <c r="G683" s="593"/>
      <c r="H683" s="593"/>
      <c r="I683" s="593"/>
    </row>
    <row r="684" spans="1:9" ht="20.25">
      <c r="A684" s="593"/>
      <c r="B684" s="593"/>
      <c r="C684" s="593"/>
      <c r="D684" s="593"/>
      <c r="E684" s="593"/>
      <c r="F684" s="593"/>
      <c r="G684" s="593"/>
      <c r="H684" s="593"/>
      <c r="I684" s="593"/>
    </row>
    <row r="685" spans="1:9" ht="20.25">
      <c r="A685" s="593"/>
      <c r="B685" s="593"/>
      <c r="C685" s="593"/>
      <c r="D685" s="593"/>
      <c r="E685" s="593"/>
      <c r="F685" s="593"/>
      <c r="G685" s="593"/>
      <c r="H685" s="593"/>
      <c r="I685" s="593"/>
    </row>
    <row r="686" spans="1:9" ht="20.25">
      <c r="A686" s="593"/>
      <c r="B686" s="593"/>
      <c r="C686" s="593"/>
      <c r="D686" s="593"/>
      <c r="E686" s="593"/>
      <c r="F686" s="593"/>
      <c r="G686" s="593"/>
      <c r="H686" s="593"/>
      <c r="I686" s="593"/>
    </row>
    <row r="687" spans="1:9" ht="20.25">
      <c r="A687" s="593"/>
      <c r="B687" s="593"/>
      <c r="C687" s="593"/>
      <c r="D687" s="593"/>
      <c r="E687" s="593"/>
      <c r="F687" s="593"/>
      <c r="G687" s="593"/>
      <c r="H687" s="593"/>
      <c r="I687" s="593"/>
    </row>
    <row r="688" spans="1:9" ht="20.25">
      <c r="A688" s="593"/>
      <c r="B688" s="593"/>
      <c r="C688" s="593"/>
      <c r="D688" s="593"/>
      <c r="E688" s="593"/>
      <c r="F688" s="593"/>
      <c r="G688" s="593"/>
      <c r="H688" s="593"/>
      <c r="I688" s="593"/>
    </row>
    <row r="689" spans="1:9" ht="20.25">
      <c r="A689" s="593"/>
      <c r="B689" s="593"/>
      <c r="C689" s="593"/>
      <c r="D689" s="593"/>
      <c r="E689" s="593"/>
      <c r="F689" s="593"/>
      <c r="G689" s="593"/>
      <c r="H689" s="593"/>
      <c r="I689" s="593"/>
    </row>
    <row r="690" spans="1:9" ht="20.25">
      <c r="A690" s="593"/>
      <c r="B690" s="593"/>
      <c r="C690" s="593"/>
      <c r="D690" s="593"/>
      <c r="E690" s="593"/>
      <c r="F690" s="593"/>
      <c r="G690" s="593"/>
      <c r="H690" s="593"/>
      <c r="I690" s="593"/>
    </row>
    <row r="691" spans="1:9" ht="20.25">
      <c r="A691" s="593"/>
      <c r="B691" s="593"/>
      <c r="C691" s="593"/>
      <c r="D691" s="593"/>
      <c r="E691" s="593"/>
      <c r="F691" s="593"/>
      <c r="G691" s="593"/>
      <c r="H691" s="593"/>
      <c r="I691" s="593"/>
    </row>
    <row r="692" spans="1:9" ht="20.25">
      <c r="A692" s="593"/>
      <c r="B692" s="593"/>
      <c r="C692" s="593"/>
      <c r="D692" s="593"/>
      <c r="E692" s="593"/>
      <c r="F692" s="593"/>
      <c r="G692" s="593"/>
      <c r="H692" s="593"/>
      <c r="I692" s="593"/>
    </row>
    <row r="693" spans="1:9" ht="20.25">
      <c r="A693" s="593"/>
      <c r="B693" s="593"/>
      <c r="C693" s="593"/>
      <c r="D693" s="593"/>
      <c r="E693" s="593"/>
      <c r="F693" s="593"/>
      <c r="G693" s="593"/>
      <c r="H693" s="593"/>
      <c r="I693" s="593"/>
    </row>
    <row r="694" spans="1:9" ht="20.25">
      <c r="A694" s="593"/>
      <c r="B694" s="593"/>
      <c r="C694" s="593"/>
      <c r="D694" s="593"/>
      <c r="E694" s="593"/>
      <c r="F694" s="593"/>
      <c r="G694" s="593"/>
      <c r="H694" s="593"/>
      <c r="I694" s="593"/>
    </row>
    <row r="695" spans="1:9" ht="20.25">
      <c r="A695" s="593"/>
      <c r="B695" s="593"/>
      <c r="C695" s="593"/>
      <c r="D695" s="593"/>
      <c r="E695" s="593"/>
      <c r="F695" s="593"/>
      <c r="G695" s="593"/>
      <c r="H695" s="593"/>
      <c r="I695" s="593"/>
    </row>
    <row r="696" spans="1:9" ht="20.25">
      <c r="A696" s="593"/>
      <c r="B696" s="593"/>
      <c r="C696" s="593"/>
      <c r="D696" s="593"/>
      <c r="E696" s="593"/>
      <c r="F696" s="593"/>
      <c r="G696" s="593"/>
      <c r="H696" s="593"/>
      <c r="I696" s="593"/>
    </row>
    <row r="697" spans="1:9" ht="20.25">
      <c r="A697" s="593"/>
      <c r="B697" s="593"/>
      <c r="C697" s="593"/>
      <c r="D697" s="593"/>
      <c r="E697" s="593"/>
      <c r="F697" s="593"/>
      <c r="G697" s="593"/>
      <c r="H697" s="593"/>
      <c r="I697" s="593"/>
    </row>
    <row r="698" spans="1:9" ht="20.25">
      <c r="A698" s="593"/>
      <c r="B698" s="593"/>
      <c r="C698" s="593"/>
      <c r="D698" s="593"/>
      <c r="E698" s="593"/>
      <c r="F698" s="593"/>
      <c r="G698" s="593"/>
      <c r="H698" s="593"/>
      <c r="I698" s="593"/>
    </row>
    <row r="699" spans="1:9" ht="20.25">
      <c r="A699" s="593"/>
      <c r="B699" s="593"/>
      <c r="C699" s="593"/>
      <c r="D699" s="593"/>
      <c r="E699" s="593"/>
      <c r="F699" s="593"/>
      <c r="G699" s="593"/>
      <c r="H699" s="593"/>
      <c r="I699" s="593"/>
    </row>
    <row r="700" spans="1:9" ht="20.25">
      <c r="A700" s="593"/>
      <c r="B700" s="593"/>
      <c r="C700" s="593"/>
      <c r="D700" s="593"/>
      <c r="E700" s="593"/>
      <c r="F700" s="593"/>
      <c r="G700" s="593"/>
      <c r="H700" s="593"/>
      <c r="I700" s="593"/>
    </row>
    <row r="701" spans="1:9" ht="20.25">
      <c r="A701" s="593"/>
      <c r="B701" s="593"/>
      <c r="C701" s="593"/>
      <c r="D701" s="593"/>
      <c r="E701" s="593"/>
      <c r="F701" s="593"/>
      <c r="G701" s="593"/>
      <c r="H701" s="593"/>
      <c r="I701" s="593"/>
    </row>
    <row r="702" spans="1:9" ht="20.25">
      <c r="A702" s="593"/>
      <c r="B702" s="593"/>
      <c r="C702" s="593"/>
      <c r="D702" s="593"/>
      <c r="E702" s="593"/>
      <c r="F702" s="593"/>
      <c r="G702" s="593"/>
      <c r="H702" s="593"/>
      <c r="I702" s="593"/>
    </row>
    <row r="703" spans="1:9" ht="20.25">
      <c r="A703" s="593"/>
      <c r="B703" s="593"/>
      <c r="C703" s="593"/>
      <c r="D703" s="593"/>
      <c r="E703" s="593"/>
      <c r="F703" s="593"/>
      <c r="G703" s="593"/>
      <c r="H703" s="593"/>
      <c r="I703" s="593"/>
    </row>
    <row r="704" spans="1:9" ht="20.25">
      <c r="A704" s="593"/>
      <c r="B704" s="593"/>
      <c r="C704" s="593"/>
      <c r="D704" s="593"/>
      <c r="E704" s="593"/>
      <c r="F704" s="593"/>
      <c r="G704" s="593"/>
      <c r="H704" s="593"/>
      <c r="I704" s="593"/>
    </row>
    <row r="705" spans="1:9" ht="20.25">
      <c r="A705" s="593"/>
      <c r="B705" s="593"/>
      <c r="C705" s="593"/>
      <c r="D705" s="593"/>
      <c r="E705" s="593"/>
      <c r="F705" s="593"/>
      <c r="G705" s="593"/>
      <c r="H705" s="593"/>
      <c r="I705" s="593"/>
    </row>
    <row r="706" spans="1:9" ht="20.25">
      <c r="A706" s="593"/>
      <c r="B706" s="593"/>
      <c r="C706" s="593"/>
      <c r="D706" s="593"/>
      <c r="E706" s="593"/>
      <c r="F706" s="593"/>
      <c r="G706" s="593"/>
      <c r="H706" s="593"/>
      <c r="I706" s="593"/>
    </row>
    <row r="707" spans="1:9" ht="20.25">
      <c r="A707" s="593"/>
      <c r="B707" s="593"/>
      <c r="C707" s="593"/>
      <c r="D707" s="593"/>
      <c r="E707" s="593"/>
      <c r="F707" s="593"/>
      <c r="G707" s="593"/>
      <c r="H707" s="593"/>
      <c r="I707" s="593"/>
    </row>
    <row r="708" spans="1:9" ht="20.25">
      <c r="A708" s="593"/>
      <c r="B708" s="593"/>
      <c r="C708" s="593"/>
      <c r="D708" s="593"/>
      <c r="E708" s="593"/>
      <c r="F708" s="593"/>
      <c r="G708" s="593"/>
      <c r="H708" s="593"/>
      <c r="I708" s="593"/>
    </row>
    <row r="709" spans="1:9" ht="20.25">
      <c r="A709" s="593"/>
      <c r="B709" s="593"/>
      <c r="C709" s="593"/>
      <c r="D709" s="593"/>
      <c r="E709" s="593"/>
      <c r="F709" s="593"/>
      <c r="G709" s="593"/>
      <c r="H709" s="593"/>
      <c r="I709" s="593"/>
    </row>
    <row r="710" spans="1:9" ht="20.25">
      <c r="A710" s="593"/>
      <c r="B710" s="593"/>
      <c r="C710" s="593"/>
      <c r="D710" s="593"/>
      <c r="E710" s="593"/>
      <c r="F710" s="593"/>
      <c r="G710" s="593"/>
      <c r="H710" s="593"/>
      <c r="I710" s="593"/>
    </row>
    <row r="711" spans="1:9" ht="20.25">
      <c r="A711" s="593"/>
      <c r="B711" s="593"/>
      <c r="C711" s="593"/>
      <c r="D711" s="593"/>
      <c r="E711" s="593"/>
      <c r="F711" s="593"/>
      <c r="G711" s="593"/>
      <c r="H711" s="593"/>
      <c r="I711" s="593"/>
    </row>
    <row r="712" spans="1:9" ht="20.25">
      <c r="A712" s="593"/>
      <c r="B712" s="593"/>
      <c r="C712" s="593"/>
      <c r="D712" s="593"/>
      <c r="E712" s="593"/>
      <c r="F712" s="593"/>
      <c r="G712" s="593"/>
      <c r="H712" s="593"/>
      <c r="I712" s="593"/>
    </row>
    <row r="713" spans="1:9" ht="20.25">
      <c r="A713" s="593"/>
      <c r="B713" s="593"/>
      <c r="C713" s="593"/>
      <c r="D713" s="593"/>
      <c r="E713" s="593"/>
      <c r="F713" s="593"/>
      <c r="G713" s="593"/>
      <c r="H713" s="593"/>
      <c r="I713" s="593"/>
    </row>
    <row r="714" spans="1:9" ht="20.25">
      <c r="A714" s="593"/>
      <c r="B714" s="593"/>
      <c r="C714" s="593"/>
      <c r="D714" s="593"/>
      <c r="E714" s="593"/>
      <c r="F714" s="593"/>
      <c r="G714" s="593"/>
      <c r="H714" s="593"/>
      <c r="I714" s="593"/>
    </row>
    <row r="715" spans="1:9" ht="20.25">
      <c r="A715" s="593"/>
      <c r="B715" s="593"/>
      <c r="C715" s="593"/>
      <c r="D715" s="593"/>
      <c r="E715" s="593"/>
      <c r="F715" s="593"/>
      <c r="G715" s="593"/>
      <c r="H715" s="593"/>
      <c r="I715" s="593"/>
    </row>
    <row r="716" spans="1:9" ht="20.25">
      <c r="A716" s="593"/>
      <c r="B716" s="593"/>
      <c r="C716" s="593"/>
      <c r="D716" s="593"/>
      <c r="E716" s="593"/>
      <c r="F716" s="593"/>
      <c r="G716" s="593"/>
      <c r="H716" s="593"/>
      <c r="I716" s="593"/>
    </row>
    <row r="717" spans="1:9" ht="20.25">
      <c r="A717" s="593"/>
      <c r="B717" s="593"/>
      <c r="C717" s="593"/>
      <c r="D717" s="593"/>
      <c r="E717" s="593"/>
      <c r="F717" s="593"/>
      <c r="G717" s="593"/>
      <c r="H717" s="593"/>
      <c r="I717" s="593"/>
    </row>
    <row r="718" spans="1:9" ht="20.25">
      <c r="A718" s="593"/>
      <c r="B718" s="593"/>
      <c r="C718" s="593"/>
      <c r="D718" s="593"/>
      <c r="E718" s="593"/>
      <c r="F718" s="593"/>
      <c r="G718" s="593"/>
      <c r="H718" s="593"/>
      <c r="I718" s="593"/>
    </row>
    <row r="719" spans="1:9" ht="20.25">
      <c r="A719" s="593"/>
      <c r="B719" s="593"/>
      <c r="C719" s="593"/>
      <c r="D719" s="593"/>
      <c r="E719" s="593"/>
      <c r="F719" s="593"/>
      <c r="G719" s="593"/>
      <c r="H719" s="593"/>
      <c r="I719" s="593"/>
    </row>
    <row r="720" spans="1:9" ht="20.25">
      <c r="A720" s="593"/>
      <c r="B720" s="593"/>
      <c r="C720" s="593"/>
      <c r="D720" s="593"/>
      <c r="E720" s="593"/>
      <c r="F720" s="593"/>
      <c r="G720" s="593"/>
      <c r="H720" s="593"/>
      <c r="I720" s="593"/>
    </row>
    <row r="721" spans="1:9" ht="20.25">
      <c r="A721" s="593"/>
      <c r="B721" s="593"/>
      <c r="C721" s="593"/>
      <c r="D721" s="593"/>
      <c r="E721" s="593"/>
      <c r="F721" s="593"/>
      <c r="G721" s="593"/>
      <c r="H721" s="593"/>
      <c r="I721" s="593"/>
    </row>
    <row r="722" spans="1:9" ht="20.25">
      <c r="A722" s="593"/>
      <c r="B722" s="593"/>
      <c r="C722" s="593"/>
      <c r="D722" s="593"/>
      <c r="E722" s="593"/>
      <c r="F722" s="593"/>
      <c r="G722" s="593"/>
      <c r="H722" s="593"/>
      <c r="I722" s="593"/>
    </row>
    <row r="723" spans="1:9" ht="20.25">
      <c r="A723" s="593"/>
      <c r="B723" s="593"/>
      <c r="C723" s="593"/>
      <c r="D723" s="593"/>
      <c r="E723" s="593"/>
      <c r="F723" s="593"/>
      <c r="G723" s="593"/>
      <c r="H723" s="593"/>
      <c r="I723" s="593"/>
    </row>
    <row r="724" spans="1:9" ht="20.25">
      <c r="A724" s="593"/>
      <c r="B724" s="593"/>
      <c r="C724" s="593"/>
      <c r="D724" s="593"/>
      <c r="E724" s="593"/>
      <c r="F724" s="593"/>
      <c r="G724" s="593"/>
      <c r="H724" s="593"/>
      <c r="I724" s="593"/>
    </row>
    <row r="725" spans="1:9" ht="20.25">
      <c r="A725" s="593"/>
      <c r="B725" s="593"/>
      <c r="C725" s="593"/>
      <c r="D725" s="593"/>
      <c r="E725" s="593"/>
      <c r="F725" s="593"/>
      <c r="G725" s="593"/>
      <c r="H725" s="593"/>
      <c r="I725" s="593"/>
    </row>
    <row r="726" spans="1:9" ht="20.25">
      <c r="A726" s="593"/>
      <c r="B726" s="593"/>
      <c r="C726" s="593"/>
      <c r="D726" s="593"/>
      <c r="E726" s="593"/>
      <c r="F726" s="593"/>
      <c r="G726" s="593"/>
      <c r="H726" s="593"/>
      <c r="I726" s="593"/>
    </row>
    <row r="727" spans="1:9" ht="20.25">
      <c r="A727" s="593"/>
      <c r="B727" s="593"/>
      <c r="C727" s="593"/>
      <c r="D727" s="593"/>
      <c r="E727" s="593"/>
      <c r="F727" s="593"/>
      <c r="G727" s="593"/>
      <c r="H727" s="593"/>
      <c r="I727" s="593"/>
    </row>
    <row r="728" spans="1:9" ht="20.25">
      <c r="A728" s="593"/>
      <c r="B728" s="593"/>
      <c r="C728" s="593"/>
      <c r="D728" s="593"/>
      <c r="E728" s="593"/>
      <c r="F728" s="593"/>
      <c r="G728" s="593"/>
      <c r="H728" s="593"/>
      <c r="I728" s="593"/>
    </row>
    <row r="729" spans="1:9" ht="20.25">
      <c r="A729" s="593"/>
      <c r="B729" s="593"/>
      <c r="C729" s="593"/>
      <c r="D729" s="593"/>
      <c r="E729" s="593"/>
      <c r="F729" s="593"/>
      <c r="G729" s="593"/>
      <c r="H729" s="593"/>
      <c r="I729" s="593"/>
    </row>
    <row r="730" spans="1:9" ht="20.25">
      <c r="A730" s="593"/>
      <c r="B730" s="593"/>
      <c r="C730" s="593"/>
      <c r="D730" s="593"/>
      <c r="E730" s="593"/>
      <c r="F730" s="593"/>
      <c r="G730" s="593"/>
      <c r="H730" s="593"/>
      <c r="I730" s="593"/>
    </row>
    <row r="731" spans="1:9" ht="20.25">
      <c r="A731" s="593"/>
      <c r="B731" s="593"/>
      <c r="C731" s="593"/>
      <c r="D731" s="593"/>
      <c r="E731" s="593"/>
      <c r="F731" s="593"/>
      <c r="G731" s="593"/>
      <c r="H731" s="593"/>
      <c r="I731" s="593"/>
    </row>
    <row r="732" spans="1:9" ht="20.25">
      <c r="A732" s="593"/>
      <c r="B732" s="593"/>
      <c r="C732" s="593"/>
      <c r="D732" s="593"/>
      <c r="E732" s="593"/>
      <c r="F732" s="593"/>
      <c r="G732" s="593"/>
      <c r="H732" s="593"/>
      <c r="I732" s="593"/>
    </row>
    <row r="733" spans="1:9" ht="20.25">
      <c r="A733" s="593"/>
      <c r="B733" s="593"/>
      <c r="C733" s="593"/>
      <c r="D733" s="593"/>
      <c r="E733" s="593"/>
      <c r="F733" s="593"/>
      <c r="G733" s="593"/>
      <c r="H733" s="593"/>
      <c r="I733" s="593"/>
    </row>
    <row r="734" spans="1:9" ht="20.25">
      <c r="A734" s="593"/>
      <c r="B734" s="593"/>
      <c r="C734" s="593"/>
      <c r="D734" s="593"/>
      <c r="E734" s="593"/>
      <c r="F734" s="593"/>
      <c r="G734" s="593"/>
      <c r="H734" s="593"/>
      <c r="I734" s="593"/>
    </row>
    <row r="735" spans="1:9" ht="20.25">
      <c r="A735" s="593"/>
      <c r="B735" s="593"/>
      <c r="C735" s="593"/>
      <c r="D735" s="593"/>
      <c r="E735" s="593"/>
      <c r="F735" s="593"/>
      <c r="G735" s="593"/>
      <c r="H735" s="593"/>
      <c r="I735" s="593"/>
    </row>
    <row r="736" spans="1:9" ht="20.25">
      <c r="A736" s="593"/>
      <c r="B736" s="593"/>
      <c r="C736" s="593"/>
      <c r="D736" s="593"/>
      <c r="E736" s="593"/>
      <c r="F736" s="593"/>
      <c r="G736" s="593"/>
      <c r="H736" s="593"/>
      <c r="I736" s="593"/>
    </row>
    <row r="737" spans="1:9" ht="20.25">
      <c r="A737" s="593"/>
      <c r="B737" s="593"/>
      <c r="C737" s="593"/>
      <c r="D737" s="593"/>
      <c r="E737" s="593"/>
      <c r="F737" s="593"/>
      <c r="G737" s="593"/>
      <c r="H737" s="593"/>
      <c r="I737" s="593"/>
    </row>
    <row r="738" spans="1:9" ht="20.25">
      <c r="A738" s="593"/>
      <c r="B738" s="593"/>
      <c r="C738" s="593"/>
      <c r="D738" s="593"/>
      <c r="E738" s="593"/>
      <c r="F738" s="593"/>
      <c r="G738" s="593"/>
      <c r="H738" s="593"/>
      <c r="I738" s="593"/>
    </row>
    <row r="739" spans="1:9" ht="20.25">
      <c r="A739" s="593"/>
      <c r="B739" s="593"/>
      <c r="C739" s="593"/>
      <c r="D739" s="593"/>
      <c r="E739" s="593"/>
      <c r="F739" s="593"/>
      <c r="G739" s="593"/>
      <c r="H739" s="593"/>
      <c r="I739" s="593"/>
    </row>
    <row r="740" spans="1:9" ht="20.25">
      <c r="A740" s="593"/>
      <c r="B740" s="593"/>
      <c r="C740" s="593"/>
      <c r="D740" s="593"/>
      <c r="E740" s="593"/>
      <c r="F740" s="593"/>
      <c r="G740" s="593"/>
      <c r="H740" s="593"/>
      <c r="I740" s="593"/>
    </row>
    <row r="741" spans="1:9" ht="20.25">
      <c r="A741" s="593"/>
      <c r="B741" s="593"/>
      <c r="C741" s="593"/>
      <c r="D741" s="593"/>
      <c r="E741" s="593"/>
      <c r="F741" s="593"/>
      <c r="G741" s="593"/>
      <c r="H741" s="593"/>
      <c r="I741" s="593"/>
    </row>
    <row r="742" spans="1:9" ht="20.25">
      <c r="A742" s="593"/>
      <c r="B742" s="593"/>
      <c r="C742" s="593"/>
      <c r="D742" s="593"/>
      <c r="E742" s="593"/>
      <c r="F742" s="593"/>
      <c r="G742" s="593"/>
      <c r="H742" s="593"/>
      <c r="I742" s="593"/>
    </row>
    <row r="743" spans="1:9" ht="20.25">
      <c r="A743" s="593"/>
      <c r="B743" s="593"/>
      <c r="C743" s="593"/>
      <c r="D743" s="593"/>
      <c r="E743" s="593"/>
      <c r="F743" s="593"/>
      <c r="G743" s="593"/>
      <c r="H743" s="593"/>
      <c r="I743" s="593"/>
    </row>
    <row r="744" spans="1:9" ht="20.25">
      <c r="A744" s="593"/>
      <c r="B744" s="593"/>
      <c r="C744" s="593"/>
      <c r="D744" s="593"/>
      <c r="E744" s="593"/>
      <c r="F744" s="593"/>
      <c r="G744" s="593"/>
      <c r="H744" s="593"/>
      <c r="I744" s="593"/>
    </row>
    <row r="745" spans="1:9" ht="20.25">
      <c r="A745" s="593"/>
      <c r="B745" s="593"/>
      <c r="C745" s="593"/>
      <c r="D745" s="593"/>
      <c r="E745" s="593"/>
      <c r="F745" s="593"/>
      <c r="G745" s="593"/>
      <c r="H745" s="593"/>
      <c r="I745" s="593"/>
    </row>
    <row r="746" spans="1:9" ht="20.25">
      <c r="A746" s="593"/>
      <c r="B746" s="593"/>
      <c r="C746" s="593"/>
      <c r="D746" s="593"/>
      <c r="E746" s="593"/>
      <c r="F746" s="593"/>
      <c r="G746" s="593"/>
      <c r="H746" s="593"/>
      <c r="I746" s="593"/>
    </row>
    <row r="747" spans="1:9" ht="20.25">
      <c r="A747" s="593"/>
      <c r="B747" s="593"/>
      <c r="C747" s="593"/>
      <c r="D747" s="593"/>
      <c r="E747" s="593"/>
      <c r="F747" s="593"/>
      <c r="G747" s="593"/>
      <c r="H747" s="593"/>
      <c r="I747" s="593"/>
    </row>
    <row r="748" spans="1:9" ht="20.25">
      <c r="A748" s="593"/>
      <c r="B748" s="593"/>
      <c r="C748" s="593"/>
      <c r="D748" s="593"/>
      <c r="E748" s="593"/>
      <c r="F748" s="593"/>
      <c r="G748" s="593"/>
      <c r="H748" s="593"/>
      <c r="I748" s="593"/>
    </row>
    <row r="749" spans="1:9" ht="20.25">
      <c r="A749" s="593"/>
      <c r="B749" s="593"/>
      <c r="C749" s="593"/>
      <c r="D749" s="593"/>
      <c r="E749" s="593"/>
      <c r="F749" s="593"/>
      <c r="G749" s="593"/>
      <c r="H749" s="593"/>
      <c r="I749" s="593"/>
    </row>
    <row r="750" spans="1:9" ht="20.25">
      <c r="A750" s="593"/>
      <c r="B750" s="593"/>
      <c r="C750" s="593"/>
      <c r="D750" s="593"/>
      <c r="E750" s="593"/>
      <c r="F750" s="593"/>
      <c r="G750" s="593"/>
      <c r="H750" s="593"/>
      <c r="I750" s="593"/>
    </row>
    <row r="751" spans="1:9" ht="20.25">
      <c r="A751" s="593"/>
      <c r="B751" s="593"/>
      <c r="C751" s="593"/>
      <c r="D751" s="593"/>
      <c r="E751" s="593"/>
      <c r="F751" s="593"/>
      <c r="G751" s="593"/>
      <c r="H751" s="593"/>
      <c r="I751" s="593"/>
    </row>
    <row r="752" spans="1:9" ht="20.25">
      <c r="A752" s="593"/>
      <c r="B752" s="593"/>
      <c r="C752" s="593"/>
      <c r="D752" s="593"/>
      <c r="E752" s="593"/>
      <c r="F752" s="593"/>
      <c r="G752" s="593"/>
      <c r="H752" s="593"/>
      <c r="I752" s="593"/>
    </row>
    <row r="753" spans="1:9" ht="20.25">
      <c r="A753" s="593"/>
      <c r="B753" s="593"/>
      <c r="C753" s="593"/>
      <c r="D753" s="593"/>
      <c r="E753" s="593"/>
      <c r="F753" s="593"/>
      <c r="G753" s="593"/>
      <c r="H753" s="593"/>
      <c r="I753" s="593"/>
    </row>
    <row r="754" spans="1:9" ht="20.25">
      <c r="A754" s="593"/>
      <c r="B754" s="593"/>
      <c r="C754" s="593"/>
      <c r="D754" s="593"/>
      <c r="E754" s="593"/>
      <c r="F754" s="593"/>
      <c r="G754" s="593"/>
      <c r="H754" s="593"/>
      <c r="I754" s="593"/>
    </row>
    <row r="755" spans="1:9" ht="20.25">
      <c r="A755" s="593"/>
      <c r="B755" s="593"/>
      <c r="C755" s="593"/>
      <c r="D755" s="593"/>
      <c r="E755" s="593"/>
      <c r="F755" s="593"/>
      <c r="G755" s="593"/>
      <c r="H755" s="593"/>
      <c r="I755" s="593"/>
    </row>
    <row r="756" spans="1:9" ht="20.25">
      <c r="A756" s="593"/>
      <c r="B756" s="593"/>
      <c r="C756" s="593"/>
      <c r="D756" s="593"/>
      <c r="E756" s="593"/>
      <c r="F756" s="593"/>
      <c r="G756" s="593"/>
      <c r="H756" s="593"/>
      <c r="I756" s="593"/>
    </row>
    <row r="757" spans="1:9" ht="20.25">
      <c r="A757" s="593"/>
      <c r="B757" s="593"/>
      <c r="C757" s="593"/>
      <c r="D757" s="593"/>
      <c r="E757" s="593"/>
      <c r="F757" s="593"/>
      <c r="G757" s="593"/>
      <c r="H757" s="593"/>
      <c r="I757" s="593"/>
    </row>
    <row r="758" spans="1:9" ht="20.25">
      <c r="A758" s="593"/>
      <c r="B758" s="593"/>
      <c r="C758" s="593"/>
      <c r="D758" s="593"/>
      <c r="E758" s="593"/>
      <c r="F758" s="593"/>
      <c r="G758" s="593"/>
      <c r="H758" s="593"/>
      <c r="I758" s="593"/>
    </row>
    <row r="759" spans="1:9" ht="20.25">
      <c r="A759" s="593"/>
      <c r="B759" s="593"/>
      <c r="C759" s="593"/>
      <c r="D759" s="593"/>
      <c r="E759" s="593"/>
      <c r="F759" s="593"/>
      <c r="G759" s="593"/>
      <c r="H759" s="593"/>
      <c r="I759" s="593"/>
    </row>
    <row r="760" spans="1:9" ht="20.25">
      <c r="A760" s="593"/>
      <c r="B760" s="593"/>
      <c r="C760" s="593"/>
      <c r="D760" s="593"/>
      <c r="E760" s="593"/>
      <c r="F760" s="593"/>
      <c r="G760" s="593"/>
      <c r="H760" s="593"/>
      <c r="I760" s="593"/>
    </row>
    <row r="761" spans="1:9" ht="20.25">
      <c r="A761" s="593"/>
      <c r="B761" s="593"/>
      <c r="C761" s="593"/>
      <c r="D761" s="593"/>
      <c r="E761" s="593"/>
      <c r="F761" s="593"/>
      <c r="G761" s="593"/>
      <c r="H761" s="593"/>
      <c r="I761" s="593"/>
    </row>
    <row r="762" spans="1:9" ht="20.25">
      <c r="A762" s="593"/>
      <c r="B762" s="593"/>
      <c r="C762" s="593"/>
      <c r="D762" s="593"/>
      <c r="E762" s="593"/>
      <c r="F762" s="593"/>
      <c r="G762" s="593"/>
      <c r="H762" s="593"/>
      <c r="I762" s="593"/>
    </row>
    <row r="763" spans="1:9" ht="20.25">
      <c r="A763" s="593"/>
      <c r="B763" s="593"/>
      <c r="C763" s="593"/>
      <c r="D763" s="593"/>
      <c r="E763" s="593"/>
      <c r="F763" s="593"/>
      <c r="G763" s="593"/>
      <c r="H763" s="593"/>
      <c r="I763" s="593"/>
    </row>
    <row r="764" spans="1:9" ht="20.25">
      <c r="A764" s="593"/>
      <c r="B764" s="593"/>
      <c r="C764" s="593"/>
      <c r="D764" s="593"/>
      <c r="E764" s="593"/>
      <c r="F764" s="593"/>
      <c r="G764" s="593"/>
      <c r="H764" s="593"/>
      <c r="I764" s="593"/>
    </row>
    <row r="765" spans="1:9" ht="20.25">
      <c r="A765" s="593"/>
      <c r="B765" s="593"/>
      <c r="C765" s="593"/>
      <c r="D765" s="593"/>
      <c r="E765" s="593"/>
      <c r="F765" s="593"/>
      <c r="G765" s="593"/>
      <c r="H765" s="593"/>
      <c r="I765" s="593"/>
    </row>
    <row r="766" spans="1:9" ht="20.25">
      <c r="A766" s="593"/>
      <c r="B766" s="593"/>
      <c r="C766" s="593"/>
      <c r="D766" s="593"/>
      <c r="E766" s="593"/>
      <c r="F766" s="593"/>
      <c r="G766" s="593"/>
      <c r="H766" s="593"/>
      <c r="I766" s="593"/>
    </row>
    <row r="767" spans="1:9" ht="20.25">
      <c r="A767" s="593"/>
      <c r="B767" s="593"/>
      <c r="C767" s="593"/>
      <c r="D767" s="593"/>
      <c r="E767" s="593"/>
      <c r="F767" s="593"/>
      <c r="G767" s="593"/>
      <c r="H767" s="593"/>
      <c r="I767" s="593"/>
    </row>
    <row r="768" spans="1:9" ht="20.25">
      <c r="A768" s="593"/>
      <c r="B768" s="593"/>
      <c r="C768" s="593"/>
      <c r="D768" s="593"/>
      <c r="E768" s="593"/>
      <c r="F768" s="593"/>
      <c r="G768" s="593"/>
      <c r="H768" s="593"/>
      <c r="I768" s="593"/>
    </row>
    <row r="769" spans="1:9" ht="20.25">
      <c r="A769" s="593"/>
      <c r="B769" s="593"/>
      <c r="C769" s="593"/>
      <c r="D769" s="593"/>
      <c r="E769" s="593"/>
      <c r="F769" s="593"/>
      <c r="G769" s="593"/>
      <c r="H769" s="593"/>
      <c r="I769" s="593"/>
    </row>
    <row r="770" spans="1:9" ht="20.25">
      <c r="A770" s="593"/>
      <c r="B770" s="593"/>
      <c r="C770" s="593"/>
      <c r="D770" s="593"/>
      <c r="E770" s="593"/>
      <c r="F770" s="593"/>
      <c r="G770" s="593"/>
      <c r="H770" s="593"/>
      <c r="I770" s="593"/>
    </row>
    <row r="771" spans="1:9" ht="20.25">
      <c r="A771" s="593"/>
      <c r="B771" s="593"/>
      <c r="C771" s="593"/>
      <c r="D771" s="593"/>
      <c r="E771" s="593"/>
      <c r="F771" s="593"/>
      <c r="G771" s="593"/>
      <c r="H771" s="593"/>
      <c r="I771" s="593"/>
    </row>
    <row r="772" spans="1:9" ht="20.25">
      <c r="A772" s="593"/>
      <c r="B772" s="593"/>
      <c r="C772" s="593"/>
      <c r="D772" s="593"/>
      <c r="E772" s="593"/>
      <c r="F772" s="593"/>
      <c r="G772" s="593"/>
      <c r="H772" s="593"/>
      <c r="I772" s="593"/>
    </row>
    <row r="773" spans="1:9" ht="20.25">
      <c r="A773" s="593"/>
      <c r="B773" s="593"/>
      <c r="C773" s="593"/>
      <c r="D773" s="593"/>
      <c r="E773" s="593"/>
      <c r="F773" s="593"/>
      <c r="G773" s="593"/>
      <c r="H773" s="593"/>
      <c r="I773" s="593"/>
    </row>
    <row r="774" spans="1:9" ht="20.25">
      <c r="A774" s="593"/>
      <c r="B774" s="593"/>
      <c r="C774" s="593"/>
      <c r="D774" s="593"/>
      <c r="E774" s="593"/>
      <c r="F774" s="593"/>
      <c r="G774" s="593"/>
      <c r="H774" s="593"/>
      <c r="I774" s="593"/>
    </row>
    <row r="775" spans="1:9" ht="20.25">
      <c r="A775" s="593"/>
      <c r="B775" s="593"/>
      <c r="C775" s="593"/>
      <c r="D775" s="593"/>
      <c r="E775" s="593"/>
      <c r="F775" s="593"/>
      <c r="G775" s="593"/>
      <c r="H775" s="593"/>
      <c r="I775" s="593"/>
    </row>
    <row r="776" spans="1:9" ht="20.25">
      <c r="A776" s="593"/>
      <c r="B776" s="593"/>
      <c r="C776" s="593"/>
      <c r="D776" s="593"/>
      <c r="E776" s="593"/>
      <c r="F776" s="593"/>
      <c r="G776" s="593"/>
      <c r="H776" s="593"/>
      <c r="I776" s="593"/>
    </row>
    <row r="777" spans="1:9" ht="20.25">
      <c r="A777" s="593"/>
      <c r="B777" s="593"/>
      <c r="C777" s="593"/>
      <c r="D777" s="593"/>
      <c r="E777" s="593"/>
      <c r="F777" s="593"/>
      <c r="G777" s="593"/>
      <c r="H777" s="593"/>
      <c r="I777" s="593"/>
    </row>
    <row r="778" spans="1:9" ht="20.25">
      <c r="A778" s="593"/>
      <c r="B778" s="593"/>
      <c r="C778" s="593"/>
      <c r="D778" s="593"/>
      <c r="E778" s="593"/>
      <c r="F778" s="593"/>
      <c r="G778" s="593"/>
      <c r="H778" s="593"/>
      <c r="I778" s="593"/>
    </row>
    <row r="779" spans="1:9" ht="20.25">
      <c r="A779" s="593"/>
      <c r="B779" s="593"/>
      <c r="C779" s="593"/>
      <c r="D779" s="593"/>
      <c r="E779" s="593"/>
      <c r="F779" s="593"/>
      <c r="G779" s="593"/>
      <c r="H779" s="593"/>
      <c r="I779" s="593"/>
    </row>
    <row r="780" spans="1:9" ht="20.25">
      <c r="A780" s="593"/>
      <c r="B780" s="593"/>
      <c r="C780" s="593"/>
      <c r="D780" s="593"/>
      <c r="E780" s="593"/>
      <c r="F780" s="593"/>
      <c r="G780" s="593"/>
      <c r="H780" s="593"/>
      <c r="I780" s="593"/>
    </row>
    <row r="781" spans="1:9" ht="20.25">
      <c r="A781" s="593"/>
      <c r="B781" s="593"/>
      <c r="C781" s="593"/>
      <c r="D781" s="593"/>
      <c r="E781" s="593"/>
      <c r="F781" s="593"/>
      <c r="G781" s="593"/>
      <c r="H781" s="593"/>
      <c r="I781" s="593"/>
    </row>
    <row r="782" spans="1:9" ht="20.25">
      <c r="A782" s="593"/>
      <c r="B782" s="593"/>
      <c r="C782" s="593"/>
      <c r="D782" s="593"/>
      <c r="E782" s="593"/>
      <c r="F782" s="593"/>
      <c r="G782" s="593"/>
      <c r="H782" s="593"/>
      <c r="I782" s="593"/>
    </row>
    <row r="783" spans="1:9" ht="20.25">
      <c r="A783" s="593"/>
      <c r="B783" s="593"/>
      <c r="C783" s="593"/>
      <c r="D783" s="593"/>
      <c r="E783" s="593"/>
      <c r="F783" s="593"/>
      <c r="G783" s="593"/>
      <c r="H783" s="593"/>
      <c r="I783" s="593"/>
    </row>
    <row r="784" spans="1:9" ht="20.25">
      <c r="A784" s="593"/>
      <c r="B784" s="593"/>
      <c r="C784" s="593"/>
      <c r="D784" s="593"/>
      <c r="E784" s="593"/>
      <c r="F784" s="593"/>
      <c r="G784" s="593"/>
      <c r="H784" s="593"/>
      <c r="I784" s="593"/>
    </row>
    <row r="785" spans="1:9" ht="20.25">
      <c r="A785" s="593"/>
      <c r="B785" s="593"/>
      <c r="C785" s="593"/>
      <c r="D785" s="593"/>
      <c r="E785" s="593"/>
      <c r="F785" s="593"/>
      <c r="G785" s="593"/>
      <c r="H785" s="593"/>
      <c r="I785" s="593"/>
    </row>
    <row r="786" spans="1:9" ht="20.25">
      <c r="A786" s="593"/>
      <c r="B786" s="593"/>
      <c r="C786" s="593"/>
      <c r="D786" s="593"/>
      <c r="E786" s="593"/>
      <c r="F786" s="593"/>
      <c r="G786" s="593"/>
      <c r="H786" s="593"/>
      <c r="I786" s="593"/>
    </row>
    <row r="787" spans="1:9" ht="20.25">
      <c r="A787" s="593"/>
      <c r="B787" s="593"/>
      <c r="C787" s="593"/>
      <c r="D787" s="593"/>
      <c r="E787" s="593"/>
      <c r="F787" s="593"/>
      <c r="G787" s="593"/>
      <c r="H787" s="593"/>
      <c r="I787" s="593"/>
    </row>
    <row r="788" spans="1:9" ht="20.25">
      <c r="A788" s="593"/>
      <c r="B788" s="593"/>
      <c r="C788" s="593"/>
      <c r="D788" s="593"/>
      <c r="E788" s="593"/>
      <c r="F788" s="593"/>
      <c r="G788" s="593"/>
      <c r="H788" s="593"/>
      <c r="I788" s="593"/>
    </row>
    <row r="789" spans="1:9" ht="20.25">
      <c r="A789" s="593"/>
      <c r="B789" s="593"/>
      <c r="C789" s="593"/>
      <c r="D789" s="593"/>
      <c r="E789" s="593"/>
      <c r="F789" s="593"/>
      <c r="G789" s="593"/>
      <c r="H789" s="593"/>
      <c r="I789" s="593"/>
    </row>
    <row r="790" spans="1:9" ht="20.25">
      <c r="A790" s="593"/>
      <c r="B790" s="593"/>
      <c r="C790" s="593"/>
      <c r="D790" s="593"/>
      <c r="E790" s="593"/>
      <c r="F790" s="593"/>
      <c r="G790" s="593"/>
      <c r="H790" s="593"/>
      <c r="I790" s="593"/>
    </row>
    <row r="791" spans="1:9" ht="20.25">
      <c r="A791" s="593"/>
      <c r="B791" s="593"/>
      <c r="C791" s="593"/>
      <c r="D791" s="593"/>
      <c r="E791" s="593"/>
      <c r="F791" s="593"/>
      <c r="G791" s="593"/>
      <c r="H791" s="593"/>
      <c r="I791" s="593"/>
    </row>
    <row r="792" spans="1:9" ht="20.25">
      <c r="A792" s="593"/>
      <c r="B792" s="593"/>
      <c r="C792" s="593"/>
      <c r="D792" s="593"/>
      <c r="E792" s="593"/>
      <c r="F792" s="593"/>
      <c r="G792" s="593"/>
      <c r="H792" s="593"/>
      <c r="I792" s="593"/>
    </row>
    <row r="793" spans="1:9" ht="20.25">
      <c r="A793" s="593"/>
      <c r="B793" s="593"/>
      <c r="C793" s="593"/>
      <c r="D793" s="593"/>
      <c r="E793" s="593"/>
      <c r="F793" s="593"/>
      <c r="G793" s="593"/>
      <c r="H793" s="593"/>
      <c r="I793" s="593"/>
    </row>
    <row r="794" spans="1:9" ht="20.25">
      <c r="A794" s="593"/>
      <c r="B794" s="593"/>
      <c r="C794" s="593"/>
      <c r="D794" s="593"/>
      <c r="E794" s="593"/>
      <c r="F794" s="593"/>
      <c r="G794" s="593"/>
      <c r="H794" s="593"/>
      <c r="I794" s="593"/>
    </row>
    <row r="795" spans="1:9" ht="20.25">
      <c r="A795" s="593"/>
      <c r="B795" s="593"/>
      <c r="C795" s="593"/>
      <c r="D795" s="593"/>
      <c r="E795" s="593"/>
      <c r="F795" s="593"/>
      <c r="G795" s="593"/>
      <c r="H795" s="593"/>
      <c r="I795" s="593"/>
    </row>
    <row r="796" spans="1:9" ht="20.25">
      <c r="A796" s="593"/>
      <c r="B796" s="593"/>
      <c r="C796" s="593"/>
      <c r="D796" s="593"/>
      <c r="E796" s="593"/>
      <c r="F796" s="593"/>
      <c r="G796" s="593"/>
      <c r="H796" s="593"/>
      <c r="I796" s="593"/>
    </row>
    <row r="797" spans="1:9" ht="20.25">
      <c r="A797" s="593"/>
      <c r="B797" s="593"/>
      <c r="C797" s="593"/>
      <c r="D797" s="593"/>
      <c r="E797" s="593"/>
      <c r="F797" s="593"/>
      <c r="G797" s="593"/>
      <c r="H797" s="593"/>
      <c r="I797" s="593"/>
    </row>
    <row r="798" spans="1:9" ht="20.25">
      <c r="A798" s="593"/>
      <c r="B798" s="593"/>
      <c r="C798" s="593"/>
      <c r="D798" s="593"/>
      <c r="E798" s="593"/>
      <c r="F798" s="593"/>
      <c r="G798" s="593"/>
      <c r="H798" s="593"/>
      <c r="I798" s="593"/>
    </row>
    <row r="799" spans="1:9" ht="20.25">
      <c r="A799" s="593"/>
      <c r="B799" s="593"/>
      <c r="C799" s="593"/>
      <c r="D799" s="593"/>
      <c r="E799" s="593"/>
      <c r="F799" s="593"/>
      <c r="G799" s="593"/>
      <c r="H799" s="593"/>
      <c r="I799" s="593"/>
    </row>
    <row r="800" spans="1:9" ht="20.25">
      <c r="A800" s="593"/>
      <c r="B800" s="593"/>
      <c r="C800" s="593"/>
      <c r="D800" s="593"/>
      <c r="E800" s="593"/>
      <c r="F800" s="593"/>
      <c r="G800" s="593"/>
      <c r="H800" s="593"/>
      <c r="I800" s="593"/>
    </row>
    <row r="801" spans="1:9" ht="20.25">
      <c r="A801" s="593"/>
      <c r="B801" s="593"/>
      <c r="C801" s="593"/>
      <c r="D801" s="593"/>
      <c r="E801" s="593"/>
      <c r="F801" s="593"/>
      <c r="G801" s="593"/>
      <c r="H801" s="593"/>
      <c r="I801" s="593"/>
    </row>
    <row r="802" spans="1:9" ht="20.25">
      <c r="A802" s="593"/>
      <c r="B802" s="593"/>
      <c r="C802" s="593"/>
      <c r="D802" s="593"/>
      <c r="E802" s="593"/>
      <c r="F802" s="593"/>
      <c r="G802" s="593"/>
      <c r="H802" s="593"/>
      <c r="I802" s="593"/>
    </row>
    <row r="803" spans="1:9" ht="20.25">
      <c r="A803" s="593"/>
      <c r="B803" s="593"/>
      <c r="C803" s="593"/>
      <c r="D803" s="593"/>
      <c r="E803" s="593"/>
      <c r="F803" s="593"/>
      <c r="G803" s="593"/>
      <c r="H803" s="593"/>
      <c r="I803" s="593"/>
    </row>
    <row r="804" spans="1:9" ht="20.25">
      <c r="A804" s="593"/>
      <c r="B804" s="593"/>
      <c r="C804" s="593"/>
      <c r="D804" s="593"/>
      <c r="E804" s="593"/>
      <c r="F804" s="593"/>
      <c r="G804" s="593"/>
      <c r="H804" s="593"/>
      <c r="I804" s="593"/>
    </row>
    <row r="805" spans="1:9" ht="20.25">
      <c r="A805" s="593"/>
      <c r="B805" s="593"/>
      <c r="C805" s="593"/>
      <c r="D805" s="593"/>
      <c r="E805" s="593"/>
      <c r="F805" s="593"/>
      <c r="G805" s="593"/>
      <c r="H805" s="593"/>
      <c r="I805" s="593"/>
    </row>
    <row r="806" spans="1:9" ht="20.25">
      <c r="A806" s="593"/>
      <c r="B806" s="593"/>
      <c r="C806" s="593"/>
      <c r="D806" s="593"/>
      <c r="E806" s="593"/>
      <c r="F806" s="593"/>
      <c r="G806" s="593"/>
      <c r="H806" s="593"/>
      <c r="I806" s="593"/>
    </row>
    <row r="807" spans="1:9" ht="20.25">
      <c r="A807" s="593"/>
      <c r="B807" s="593"/>
      <c r="C807" s="593"/>
      <c r="D807" s="593"/>
      <c r="E807" s="593"/>
      <c r="F807" s="593"/>
      <c r="G807" s="593"/>
      <c r="H807" s="593"/>
      <c r="I807" s="593"/>
    </row>
    <row r="808" spans="1:9" ht="20.25">
      <c r="A808" s="593"/>
      <c r="B808" s="593"/>
      <c r="C808" s="593"/>
      <c r="D808" s="593"/>
      <c r="E808" s="593"/>
      <c r="F808" s="593"/>
      <c r="G808" s="593"/>
      <c r="H808" s="593"/>
      <c r="I808" s="593"/>
    </row>
    <row r="809" spans="1:9" ht="20.25">
      <c r="A809" s="593"/>
      <c r="B809" s="593"/>
      <c r="C809" s="593"/>
      <c r="D809" s="593"/>
      <c r="E809" s="593"/>
      <c r="F809" s="593"/>
      <c r="G809" s="593"/>
      <c r="H809" s="593"/>
      <c r="I809" s="593"/>
    </row>
    <row r="810" spans="1:9" ht="20.25">
      <c r="A810" s="593"/>
      <c r="B810" s="593"/>
      <c r="C810" s="593"/>
      <c r="D810" s="593"/>
      <c r="E810" s="593"/>
      <c r="F810" s="593"/>
      <c r="G810" s="593"/>
      <c r="H810" s="593"/>
      <c r="I810" s="593"/>
    </row>
    <row r="811" spans="1:9" ht="20.25">
      <c r="A811" s="593"/>
      <c r="B811" s="593"/>
      <c r="C811" s="593"/>
      <c r="D811" s="593"/>
      <c r="E811" s="593"/>
      <c r="F811" s="593"/>
      <c r="G811" s="593"/>
      <c r="H811" s="593"/>
      <c r="I811" s="593"/>
    </row>
    <row r="812" spans="1:9" ht="20.25">
      <c r="A812" s="593"/>
      <c r="B812" s="593"/>
      <c r="C812" s="593"/>
      <c r="D812" s="593"/>
      <c r="E812" s="593"/>
      <c r="F812" s="593"/>
      <c r="G812" s="593"/>
      <c r="H812" s="593"/>
      <c r="I812" s="593"/>
    </row>
    <row r="813" spans="1:9" ht="20.25">
      <c r="A813" s="593"/>
      <c r="B813" s="593"/>
      <c r="C813" s="593"/>
      <c r="D813" s="593"/>
      <c r="E813" s="593"/>
      <c r="F813" s="593"/>
      <c r="G813" s="593"/>
      <c r="H813" s="593"/>
      <c r="I813" s="593"/>
    </row>
    <row r="814" spans="1:9" ht="20.25">
      <c r="A814" s="593"/>
      <c r="B814" s="593"/>
      <c r="C814" s="593"/>
      <c r="D814" s="593"/>
      <c r="E814" s="593"/>
      <c r="F814" s="593"/>
      <c r="G814" s="593"/>
      <c r="H814" s="593"/>
      <c r="I814" s="593"/>
    </row>
    <row r="815" spans="1:9" ht="20.25">
      <c r="A815" s="593"/>
      <c r="B815" s="593"/>
      <c r="C815" s="593"/>
      <c r="D815" s="593"/>
      <c r="E815" s="593"/>
      <c r="F815" s="593"/>
      <c r="G815" s="593"/>
      <c r="H815" s="593"/>
      <c r="I815" s="593"/>
    </row>
    <row r="816" spans="1:9" ht="20.25">
      <c r="A816" s="593"/>
      <c r="B816" s="593"/>
      <c r="C816" s="593"/>
      <c r="D816" s="593"/>
      <c r="E816" s="593"/>
      <c r="F816" s="593"/>
      <c r="G816" s="593"/>
      <c r="H816" s="593"/>
      <c r="I816" s="593"/>
    </row>
    <row r="817" spans="1:9" ht="20.25">
      <c r="A817" s="593"/>
      <c r="B817" s="593"/>
      <c r="C817" s="593"/>
      <c r="D817" s="593"/>
      <c r="E817" s="593"/>
      <c r="F817" s="593"/>
      <c r="G817" s="593"/>
      <c r="H817" s="593"/>
      <c r="I817" s="593"/>
    </row>
    <row r="818" spans="1:9" ht="20.25">
      <c r="A818" s="593"/>
      <c r="B818" s="593"/>
      <c r="C818" s="593"/>
      <c r="D818" s="593"/>
      <c r="E818" s="593"/>
      <c r="F818" s="593"/>
      <c r="G818" s="593"/>
      <c r="H818" s="593"/>
      <c r="I818" s="593"/>
    </row>
    <row r="819" spans="1:9" ht="20.25">
      <c r="A819" s="593"/>
      <c r="B819" s="593"/>
      <c r="C819" s="593"/>
      <c r="D819" s="593"/>
      <c r="E819" s="593"/>
      <c r="F819" s="593"/>
      <c r="G819" s="593"/>
      <c r="H819" s="593"/>
      <c r="I819" s="593"/>
    </row>
    <row r="820" spans="1:9" ht="20.25">
      <c r="A820" s="593"/>
      <c r="B820" s="593"/>
      <c r="C820" s="593"/>
      <c r="D820" s="593"/>
      <c r="E820" s="593"/>
      <c r="F820" s="593"/>
      <c r="G820" s="593"/>
      <c r="H820" s="593"/>
      <c r="I820" s="593"/>
    </row>
    <row r="821" spans="1:9" ht="20.25">
      <c r="A821" s="593"/>
      <c r="B821" s="593"/>
      <c r="C821" s="593"/>
      <c r="D821" s="593"/>
      <c r="E821" s="593"/>
      <c r="F821" s="593"/>
      <c r="G821" s="593"/>
      <c r="H821" s="593"/>
      <c r="I821" s="593"/>
    </row>
    <row r="822" spans="1:9" ht="20.25">
      <c r="A822" s="593"/>
      <c r="B822" s="593"/>
      <c r="C822" s="593"/>
      <c r="D822" s="593"/>
      <c r="E822" s="593"/>
      <c r="F822" s="593"/>
      <c r="G822" s="593"/>
      <c r="H822" s="593"/>
      <c r="I822" s="593"/>
    </row>
    <row r="823" spans="1:9" ht="20.25">
      <c r="A823" s="593"/>
      <c r="B823" s="593"/>
      <c r="C823" s="593"/>
      <c r="D823" s="593"/>
      <c r="E823" s="593"/>
      <c r="F823" s="593"/>
      <c r="G823" s="593"/>
      <c r="H823" s="593"/>
      <c r="I823" s="593"/>
    </row>
    <row r="824" spans="1:9" ht="20.25">
      <c r="A824" s="593"/>
      <c r="B824" s="593"/>
      <c r="C824" s="593"/>
      <c r="D824" s="593"/>
      <c r="E824" s="593"/>
      <c r="F824" s="593"/>
      <c r="G824" s="593"/>
      <c r="H824" s="593"/>
      <c r="I824" s="593"/>
    </row>
    <row r="825" spans="1:9" ht="20.25">
      <c r="A825" s="593"/>
      <c r="B825" s="593"/>
      <c r="C825" s="593"/>
      <c r="D825" s="593"/>
      <c r="E825" s="593"/>
      <c r="F825" s="593"/>
      <c r="G825" s="593"/>
      <c r="H825" s="593"/>
      <c r="I825" s="593"/>
    </row>
    <row r="826" spans="1:9" ht="20.25">
      <c r="A826" s="593"/>
      <c r="B826" s="593"/>
      <c r="C826" s="593"/>
      <c r="D826" s="593"/>
      <c r="E826" s="593"/>
      <c r="F826" s="593"/>
      <c r="G826" s="593"/>
      <c r="H826" s="593"/>
      <c r="I826" s="593"/>
    </row>
    <row r="827" spans="1:9" ht="20.25">
      <c r="A827" s="593"/>
      <c r="B827" s="593"/>
      <c r="C827" s="593"/>
      <c r="D827" s="593"/>
      <c r="E827" s="593"/>
      <c r="F827" s="593"/>
      <c r="G827" s="593"/>
      <c r="H827" s="593"/>
      <c r="I827" s="593"/>
    </row>
    <row r="828" spans="1:9" ht="20.25">
      <c r="A828" s="593"/>
      <c r="B828" s="593"/>
      <c r="C828" s="593"/>
      <c r="D828" s="593"/>
      <c r="E828" s="593"/>
      <c r="F828" s="593"/>
      <c r="G828" s="593"/>
      <c r="H828" s="593"/>
      <c r="I828" s="593"/>
    </row>
    <row r="829" spans="1:9" ht="20.25">
      <c r="A829" s="593"/>
      <c r="B829" s="593"/>
      <c r="C829" s="593"/>
      <c r="D829" s="593"/>
      <c r="E829" s="593"/>
      <c r="F829" s="593"/>
      <c r="G829" s="593"/>
      <c r="H829" s="593"/>
      <c r="I829" s="593"/>
    </row>
    <row r="830" spans="1:9" ht="20.25">
      <c r="A830" s="593"/>
      <c r="B830" s="593"/>
      <c r="C830" s="593"/>
      <c r="D830" s="593"/>
      <c r="E830" s="593"/>
      <c r="F830" s="593"/>
      <c r="G830" s="593"/>
      <c r="H830" s="593"/>
      <c r="I830" s="593"/>
    </row>
    <row r="831" spans="1:9" ht="20.25">
      <c r="A831" s="593"/>
      <c r="B831" s="593"/>
      <c r="C831" s="593"/>
      <c r="D831" s="593"/>
      <c r="E831" s="593"/>
      <c r="F831" s="593"/>
      <c r="G831" s="593"/>
      <c r="H831" s="593"/>
      <c r="I831" s="593"/>
    </row>
    <row r="832" spans="1:9" ht="20.25">
      <c r="A832" s="593"/>
      <c r="B832" s="593"/>
      <c r="C832" s="593"/>
      <c r="D832" s="593"/>
      <c r="E832" s="593"/>
      <c r="F832" s="593"/>
      <c r="G832" s="593"/>
      <c r="H832" s="593"/>
      <c r="I832" s="593"/>
    </row>
    <row r="833" spans="1:9" ht="20.25">
      <c r="A833" s="593"/>
      <c r="B833" s="593"/>
      <c r="C833" s="593"/>
      <c r="D833" s="593"/>
      <c r="E833" s="593"/>
      <c r="F833" s="593"/>
      <c r="G833" s="593"/>
      <c r="H833" s="593"/>
      <c r="I833" s="593"/>
    </row>
    <row r="834" spans="1:9" ht="20.25">
      <c r="A834" s="593"/>
      <c r="B834" s="593"/>
      <c r="C834" s="593"/>
      <c r="D834" s="593"/>
      <c r="E834" s="593"/>
      <c r="F834" s="593"/>
      <c r="G834" s="593"/>
      <c r="H834" s="593"/>
      <c r="I834" s="593"/>
    </row>
    <row r="835" spans="1:9" ht="20.25">
      <c r="A835" s="593"/>
      <c r="B835" s="593"/>
      <c r="C835" s="593"/>
      <c r="D835" s="593"/>
      <c r="E835" s="593"/>
      <c r="F835" s="593"/>
      <c r="G835" s="593"/>
      <c r="H835" s="593"/>
      <c r="I835" s="593"/>
    </row>
    <row r="836" spans="1:9" ht="20.25">
      <c r="A836" s="593"/>
      <c r="B836" s="593"/>
      <c r="C836" s="593"/>
      <c r="D836" s="593"/>
      <c r="E836" s="593"/>
      <c r="F836" s="593"/>
      <c r="G836" s="593"/>
      <c r="H836" s="593"/>
      <c r="I836" s="593"/>
    </row>
    <row r="837" spans="1:9" ht="20.25">
      <c r="A837" s="593"/>
      <c r="B837" s="593"/>
      <c r="C837" s="593"/>
      <c r="D837" s="593"/>
      <c r="E837" s="593"/>
      <c r="F837" s="593"/>
      <c r="G837" s="593"/>
      <c r="H837" s="593"/>
      <c r="I837" s="593"/>
    </row>
    <row r="838" spans="1:9" ht="20.25">
      <c r="A838" s="593"/>
      <c r="B838" s="593"/>
      <c r="C838" s="593"/>
      <c r="D838" s="593"/>
      <c r="E838" s="593"/>
      <c r="F838" s="593"/>
      <c r="G838" s="593"/>
      <c r="H838" s="593"/>
      <c r="I838" s="593"/>
    </row>
    <row r="839" spans="1:9" ht="20.25">
      <c r="A839" s="593"/>
      <c r="B839" s="593"/>
      <c r="C839" s="593"/>
      <c r="D839" s="593"/>
      <c r="E839" s="593"/>
      <c r="F839" s="593"/>
      <c r="G839" s="593"/>
      <c r="H839" s="593"/>
      <c r="I839" s="593"/>
    </row>
    <row r="840" spans="1:9" ht="20.25">
      <c r="A840" s="593"/>
      <c r="B840" s="593"/>
      <c r="C840" s="593"/>
      <c r="D840" s="593"/>
      <c r="E840" s="593"/>
      <c r="F840" s="593"/>
      <c r="G840" s="593"/>
      <c r="H840" s="593"/>
      <c r="I840" s="593"/>
    </row>
    <row r="841" spans="1:9" ht="20.25">
      <c r="A841" s="593"/>
      <c r="B841" s="593"/>
      <c r="C841" s="593"/>
      <c r="D841" s="593"/>
      <c r="E841" s="593"/>
      <c r="F841" s="593"/>
      <c r="G841" s="593"/>
      <c r="H841" s="593"/>
      <c r="I841" s="593"/>
    </row>
    <row r="842" spans="1:9" ht="20.25">
      <c r="A842" s="593"/>
      <c r="B842" s="593"/>
      <c r="C842" s="593"/>
      <c r="D842" s="593"/>
      <c r="E842" s="593"/>
      <c r="F842" s="593"/>
      <c r="G842" s="593"/>
      <c r="H842" s="593"/>
      <c r="I842" s="593"/>
    </row>
    <row r="843" spans="1:9" ht="20.25">
      <c r="A843" s="593"/>
      <c r="B843" s="593"/>
      <c r="C843" s="593"/>
      <c r="D843" s="593"/>
      <c r="E843" s="593"/>
      <c r="F843" s="593"/>
      <c r="G843" s="593"/>
      <c r="H843" s="593"/>
      <c r="I843" s="593"/>
    </row>
    <row r="844" spans="1:9" ht="20.25">
      <c r="A844" s="593"/>
      <c r="B844" s="593"/>
      <c r="C844" s="593"/>
      <c r="D844" s="593"/>
      <c r="E844" s="593"/>
      <c r="F844" s="593"/>
      <c r="G844" s="593"/>
      <c r="H844" s="593"/>
      <c r="I844" s="593"/>
    </row>
    <row r="845" spans="1:9" ht="20.25">
      <c r="A845" s="593"/>
      <c r="B845" s="593"/>
      <c r="C845" s="593"/>
      <c r="D845" s="593"/>
      <c r="E845" s="593"/>
      <c r="F845" s="593"/>
      <c r="G845" s="593"/>
      <c r="H845" s="593"/>
      <c r="I845" s="593"/>
    </row>
    <row r="846" spans="1:9" ht="20.25">
      <c r="A846" s="593"/>
      <c r="B846" s="593"/>
      <c r="C846" s="593"/>
      <c r="D846" s="593"/>
      <c r="E846" s="593"/>
      <c r="F846" s="593"/>
      <c r="G846" s="593"/>
      <c r="H846" s="593"/>
      <c r="I846" s="593"/>
    </row>
    <row r="847" spans="1:9" ht="20.25">
      <c r="A847" s="593"/>
      <c r="B847" s="593"/>
      <c r="C847" s="593"/>
      <c r="D847" s="593"/>
      <c r="E847" s="593"/>
      <c r="F847" s="593"/>
      <c r="G847" s="593"/>
      <c r="H847" s="593"/>
      <c r="I847" s="593"/>
    </row>
    <row r="848" spans="1:9" ht="20.25">
      <c r="A848" s="593"/>
      <c r="B848" s="593"/>
      <c r="C848" s="593"/>
      <c r="D848" s="593"/>
      <c r="E848" s="593"/>
      <c r="F848" s="593"/>
      <c r="G848" s="593"/>
      <c r="H848" s="593"/>
      <c r="I848" s="593"/>
    </row>
    <row r="849" spans="1:9" ht="20.25">
      <c r="A849" s="593"/>
      <c r="B849" s="593"/>
      <c r="C849" s="593"/>
      <c r="D849" s="593"/>
      <c r="E849" s="593"/>
      <c r="F849" s="593"/>
      <c r="G849" s="593"/>
      <c r="H849" s="593"/>
      <c r="I849" s="593"/>
    </row>
    <row r="850" spans="1:9" ht="20.25">
      <c r="A850" s="593"/>
      <c r="B850" s="593"/>
      <c r="C850" s="593"/>
      <c r="D850" s="593"/>
      <c r="E850" s="593"/>
      <c r="F850" s="593"/>
      <c r="G850" s="593"/>
      <c r="H850" s="593"/>
      <c r="I850" s="593"/>
    </row>
    <row r="851" spans="1:9" ht="20.25">
      <c r="A851" s="593"/>
      <c r="B851" s="593"/>
      <c r="C851" s="593"/>
      <c r="D851" s="593"/>
      <c r="E851" s="593"/>
      <c r="F851" s="593"/>
      <c r="G851" s="593"/>
      <c r="H851" s="593"/>
      <c r="I851" s="593"/>
    </row>
    <row r="852" spans="1:9" ht="20.25">
      <c r="A852" s="593"/>
      <c r="B852" s="593"/>
      <c r="C852" s="593"/>
      <c r="D852" s="593"/>
      <c r="E852" s="593"/>
      <c r="F852" s="593"/>
      <c r="G852" s="593"/>
      <c r="H852" s="593"/>
      <c r="I852" s="593"/>
    </row>
    <row r="853" spans="1:9" ht="20.25">
      <c r="A853" s="593"/>
      <c r="B853" s="593"/>
      <c r="C853" s="593"/>
      <c r="D853" s="593"/>
      <c r="E853" s="593"/>
      <c r="F853" s="593"/>
      <c r="G853" s="593"/>
      <c r="H853" s="593"/>
      <c r="I853" s="593"/>
    </row>
    <row r="854" spans="1:9" ht="20.25">
      <c r="A854" s="593"/>
      <c r="B854" s="593"/>
      <c r="C854" s="593"/>
      <c r="D854" s="593"/>
      <c r="E854" s="593"/>
      <c r="F854" s="593"/>
      <c r="G854" s="593"/>
      <c r="H854" s="593"/>
      <c r="I854" s="593"/>
    </row>
    <row r="855" spans="1:9" ht="20.25">
      <c r="A855" s="593"/>
      <c r="B855" s="593"/>
      <c r="C855" s="593"/>
      <c r="D855" s="593"/>
      <c r="E855" s="593"/>
      <c r="F855" s="593"/>
      <c r="G855" s="593"/>
      <c r="H855" s="593"/>
      <c r="I855" s="593"/>
    </row>
    <row r="856" spans="1:9" ht="20.25">
      <c r="A856" s="593"/>
      <c r="B856" s="593"/>
      <c r="C856" s="593"/>
      <c r="D856" s="593"/>
      <c r="E856" s="593"/>
      <c r="F856" s="593"/>
      <c r="G856" s="593"/>
      <c r="H856" s="593"/>
      <c r="I856" s="593"/>
    </row>
    <row r="857" spans="1:9" ht="20.25">
      <c r="A857" s="593"/>
      <c r="B857" s="593"/>
      <c r="C857" s="593"/>
      <c r="D857" s="593"/>
      <c r="E857" s="593"/>
      <c r="F857" s="593"/>
      <c r="G857" s="593"/>
      <c r="H857" s="593"/>
      <c r="I857" s="593"/>
    </row>
    <row r="858" spans="1:9" ht="20.25">
      <c r="A858" s="593"/>
      <c r="B858" s="593"/>
      <c r="C858" s="593"/>
      <c r="D858" s="593"/>
      <c r="E858" s="593"/>
      <c r="F858" s="593"/>
      <c r="G858" s="593"/>
      <c r="H858" s="593"/>
      <c r="I858" s="593"/>
    </row>
    <row r="859" spans="1:9" ht="20.25">
      <c r="A859" s="593"/>
      <c r="B859" s="593"/>
      <c r="C859" s="593"/>
      <c r="D859" s="593"/>
      <c r="E859" s="593"/>
      <c r="F859" s="593"/>
      <c r="G859" s="593"/>
      <c r="H859" s="593"/>
      <c r="I859" s="593"/>
    </row>
    <row r="860" spans="1:9" ht="20.25">
      <c r="A860" s="593"/>
      <c r="B860" s="593"/>
      <c r="C860" s="593"/>
      <c r="D860" s="593"/>
      <c r="E860" s="593"/>
      <c r="F860" s="593"/>
      <c r="G860" s="593"/>
      <c r="H860" s="593"/>
      <c r="I860" s="593"/>
    </row>
    <row r="861" spans="1:9" ht="20.25">
      <c r="A861" s="593"/>
      <c r="B861" s="593"/>
      <c r="C861" s="593"/>
      <c r="D861" s="593"/>
      <c r="E861" s="593"/>
      <c r="F861" s="593"/>
      <c r="G861" s="593"/>
      <c r="H861" s="593"/>
      <c r="I861" s="593"/>
    </row>
    <row r="862" spans="1:9" ht="20.25">
      <c r="A862" s="593"/>
      <c r="B862" s="593"/>
      <c r="C862" s="593"/>
      <c r="D862" s="593"/>
      <c r="E862" s="593"/>
      <c r="F862" s="593"/>
      <c r="G862" s="593"/>
      <c r="H862" s="593"/>
      <c r="I862" s="593"/>
    </row>
    <row r="863" spans="1:9" ht="20.25">
      <c r="A863" s="593"/>
      <c r="B863" s="593"/>
      <c r="C863" s="593"/>
      <c r="D863" s="593"/>
      <c r="E863" s="593"/>
      <c r="F863" s="593"/>
      <c r="G863" s="593"/>
      <c r="H863" s="593"/>
      <c r="I863" s="593"/>
    </row>
    <row r="864" spans="1:9" ht="20.25">
      <c r="A864" s="593"/>
      <c r="B864" s="593"/>
      <c r="C864" s="593"/>
      <c r="D864" s="593"/>
      <c r="E864" s="593"/>
      <c r="F864" s="593"/>
      <c r="G864" s="593"/>
      <c r="H864" s="593"/>
      <c r="I864" s="593"/>
    </row>
    <row r="865" spans="1:9" ht="20.25">
      <c r="A865" s="593"/>
      <c r="B865" s="593"/>
      <c r="C865" s="593"/>
      <c r="D865" s="593"/>
      <c r="E865" s="593"/>
      <c r="F865" s="593"/>
      <c r="G865" s="593"/>
      <c r="H865" s="593"/>
      <c r="I865" s="593"/>
    </row>
    <row r="866" spans="1:9" ht="20.25">
      <c r="A866" s="593"/>
      <c r="B866" s="593"/>
      <c r="C866" s="593"/>
      <c r="D866" s="593"/>
      <c r="E866" s="593"/>
      <c r="F866" s="593"/>
      <c r="G866" s="593"/>
      <c r="H866" s="593"/>
      <c r="I866" s="593"/>
    </row>
    <row r="867" spans="1:9" ht="20.25">
      <c r="A867" s="593"/>
      <c r="B867" s="593"/>
      <c r="C867" s="593"/>
      <c r="D867" s="593"/>
      <c r="E867" s="593"/>
      <c r="F867" s="593"/>
      <c r="G867" s="593"/>
      <c r="H867" s="593"/>
      <c r="I867" s="593"/>
    </row>
    <row r="868" spans="1:9" ht="20.25">
      <c r="A868" s="593"/>
      <c r="B868" s="593"/>
      <c r="C868" s="593"/>
      <c r="D868" s="593"/>
      <c r="E868" s="593"/>
      <c r="F868" s="593"/>
      <c r="G868" s="593"/>
      <c r="H868" s="593"/>
      <c r="I868" s="593"/>
    </row>
    <row r="869" spans="1:9" ht="20.25">
      <c r="A869" s="593"/>
      <c r="B869" s="593"/>
      <c r="C869" s="593"/>
      <c r="D869" s="593"/>
      <c r="E869" s="593"/>
      <c r="F869" s="593"/>
      <c r="G869" s="593"/>
      <c r="H869" s="593"/>
      <c r="I869" s="593"/>
    </row>
    <row r="870" spans="1:9" ht="20.25">
      <c r="A870" s="593"/>
      <c r="B870" s="593"/>
      <c r="C870" s="593"/>
      <c r="D870" s="593"/>
      <c r="E870" s="593"/>
      <c r="F870" s="593"/>
      <c r="G870" s="593"/>
      <c r="H870" s="593"/>
      <c r="I870" s="593"/>
    </row>
    <row r="871" spans="1:9" ht="20.25">
      <c r="A871" s="593"/>
      <c r="B871" s="593"/>
      <c r="C871" s="593"/>
      <c r="D871" s="593"/>
      <c r="E871" s="593"/>
      <c r="F871" s="593"/>
      <c r="G871" s="593"/>
      <c r="H871" s="593"/>
      <c r="I871" s="593"/>
    </row>
    <row r="872" spans="1:9" ht="20.25">
      <c r="A872" s="593"/>
      <c r="B872" s="593"/>
      <c r="C872" s="593"/>
      <c r="D872" s="593"/>
      <c r="E872" s="593"/>
      <c r="F872" s="593"/>
      <c r="G872" s="593"/>
      <c r="H872" s="593"/>
      <c r="I872" s="593"/>
    </row>
    <row r="873" spans="1:9" ht="20.25">
      <c r="A873" s="593"/>
      <c r="B873" s="593"/>
      <c r="C873" s="593"/>
      <c r="D873" s="593"/>
      <c r="E873" s="593"/>
      <c r="F873" s="593"/>
      <c r="G873" s="593"/>
      <c r="H873" s="593"/>
      <c r="I873" s="593"/>
    </row>
    <row r="874" spans="1:9" ht="20.25">
      <c r="A874" s="593"/>
      <c r="B874" s="593"/>
      <c r="C874" s="593"/>
      <c r="D874" s="593"/>
      <c r="E874" s="593"/>
      <c r="F874" s="593"/>
      <c r="G874" s="593"/>
      <c r="H874" s="593"/>
      <c r="I874" s="593"/>
    </row>
    <row r="875" spans="1:9" ht="20.25">
      <c r="A875" s="593"/>
      <c r="B875" s="593"/>
      <c r="C875" s="593"/>
      <c r="D875" s="593"/>
      <c r="E875" s="593"/>
      <c r="F875" s="593"/>
      <c r="G875" s="593"/>
      <c r="H875" s="593"/>
      <c r="I875" s="593"/>
    </row>
    <row r="876" spans="1:9" ht="20.25">
      <c r="A876" s="593"/>
      <c r="B876" s="593"/>
      <c r="C876" s="593"/>
      <c r="D876" s="593"/>
      <c r="E876" s="593"/>
      <c r="F876" s="593"/>
      <c r="G876" s="593"/>
      <c r="H876" s="593"/>
      <c r="I876" s="593"/>
    </row>
    <row r="877" spans="1:9" ht="20.25">
      <c r="A877" s="593"/>
      <c r="B877" s="593"/>
      <c r="C877" s="593"/>
      <c r="D877" s="593"/>
      <c r="E877" s="593"/>
      <c r="F877" s="593"/>
      <c r="G877" s="593"/>
      <c r="H877" s="593"/>
      <c r="I877" s="593"/>
    </row>
    <row r="878" spans="1:9" ht="20.25">
      <c r="A878" s="593"/>
      <c r="B878" s="593"/>
      <c r="C878" s="593"/>
      <c r="D878" s="593"/>
      <c r="E878" s="593"/>
      <c r="F878" s="593"/>
      <c r="G878" s="593"/>
      <c r="H878" s="593"/>
      <c r="I878" s="593"/>
    </row>
    <row r="879" spans="1:9" ht="20.25">
      <c r="A879" s="593"/>
      <c r="B879" s="593"/>
      <c r="C879" s="593"/>
      <c r="D879" s="593"/>
      <c r="E879" s="593"/>
      <c r="F879" s="593"/>
      <c r="G879" s="593"/>
      <c r="H879" s="593"/>
      <c r="I879" s="593"/>
    </row>
    <row r="880" spans="1:9" ht="20.25">
      <c r="A880" s="593"/>
      <c r="B880" s="593"/>
      <c r="C880" s="593"/>
      <c r="D880" s="593"/>
      <c r="E880" s="593"/>
      <c r="F880" s="593"/>
      <c r="G880" s="593"/>
      <c r="H880" s="593"/>
      <c r="I880" s="593"/>
    </row>
    <row r="881" spans="1:9" ht="20.25">
      <c r="A881" s="593"/>
      <c r="B881" s="593"/>
      <c r="C881" s="593"/>
      <c r="D881" s="593"/>
      <c r="E881" s="593"/>
      <c r="F881" s="593"/>
      <c r="G881" s="593"/>
      <c r="H881" s="593"/>
      <c r="I881" s="593"/>
    </row>
    <row r="882" spans="1:9" ht="20.25">
      <c r="A882" s="593"/>
      <c r="B882" s="593"/>
      <c r="C882" s="593"/>
      <c r="D882" s="593"/>
      <c r="E882" s="593"/>
      <c r="F882" s="593"/>
      <c r="G882" s="593"/>
      <c r="H882" s="593"/>
      <c r="I882" s="593"/>
    </row>
    <row r="883" spans="1:9" ht="20.25">
      <c r="A883" s="593"/>
      <c r="B883" s="593"/>
      <c r="C883" s="593"/>
      <c r="D883" s="593"/>
      <c r="E883" s="593"/>
      <c r="F883" s="593"/>
      <c r="G883" s="593"/>
      <c r="H883" s="593"/>
      <c r="I883" s="593"/>
    </row>
    <row r="884" spans="1:9" ht="20.25">
      <c r="A884" s="593"/>
      <c r="B884" s="593"/>
      <c r="C884" s="593"/>
      <c r="D884" s="593"/>
      <c r="E884" s="593"/>
      <c r="F884" s="593"/>
      <c r="G884" s="593"/>
      <c r="H884" s="593"/>
      <c r="I884" s="593"/>
    </row>
    <row r="885" spans="1:9" ht="20.25">
      <c r="A885" s="593"/>
      <c r="B885" s="593"/>
      <c r="C885" s="593"/>
      <c r="D885" s="593"/>
      <c r="E885" s="593"/>
      <c r="F885" s="593"/>
      <c r="G885" s="593"/>
      <c r="H885" s="593"/>
      <c r="I885" s="593"/>
    </row>
    <row r="886" spans="1:9" ht="20.25">
      <c r="A886" s="593"/>
      <c r="B886" s="593"/>
      <c r="C886" s="593"/>
      <c r="D886" s="593"/>
      <c r="E886" s="593"/>
      <c r="F886" s="593"/>
      <c r="G886" s="593"/>
      <c r="H886" s="593"/>
      <c r="I886" s="593"/>
    </row>
    <row r="887" spans="1:9" ht="20.25">
      <c r="A887" s="593"/>
      <c r="B887" s="593"/>
      <c r="C887" s="593"/>
      <c r="D887" s="593"/>
      <c r="E887" s="593"/>
      <c r="F887" s="593"/>
      <c r="G887" s="593"/>
      <c r="H887" s="593"/>
      <c r="I887" s="593"/>
    </row>
    <row r="888" spans="1:9" ht="20.25">
      <c r="A888" s="593"/>
      <c r="B888" s="593"/>
      <c r="C888" s="593"/>
      <c r="D888" s="593"/>
      <c r="E888" s="593"/>
      <c r="F888" s="593"/>
      <c r="G888" s="593"/>
      <c r="H888" s="593"/>
      <c r="I888" s="593"/>
    </row>
    <row r="889" spans="1:9" ht="20.25">
      <c r="A889" s="593"/>
      <c r="B889" s="593"/>
      <c r="C889" s="593"/>
      <c r="D889" s="593"/>
      <c r="E889" s="593"/>
      <c r="F889" s="593"/>
      <c r="G889" s="593"/>
      <c r="H889" s="593"/>
      <c r="I889" s="593"/>
    </row>
    <row r="890" spans="1:9" ht="20.25">
      <c r="A890" s="593"/>
      <c r="B890" s="593"/>
      <c r="C890" s="593"/>
      <c r="D890" s="593"/>
      <c r="E890" s="593"/>
      <c r="F890" s="593"/>
      <c r="G890" s="593"/>
      <c r="H890" s="593"/>
      <c r="I890" s="593"/>
    </row>
    <row r="891" spans="1:9" ht="20.25">
      <c r="A891" s="593"/>
      <c r="B891" s="593"/>
      <c r="C891" s="593"/>
      <c r="D891" s="593"/>
      <c r="E891" s="593"/>
      <c r="F891" s="593"/>
      <c r="G891" s="593"/>
      <c r="H891" s="593"/>
      <c r="I891" s="593"/>
    </row>
    <row r="892" spans="1:9" ht="20.25">
      <c r="A892" s="593"/>
      <c r="B892" s="593"/>
      <c r="C892" s="593"/>
      <c r="D892" s="593"/>
      <c r="E892" s="593"/>
      <c r="F892" s="593"/>
      <c r="G892" s="593"/>
      <c r="H892" s="593"/>
      <c r="I892" s="593"/>
    </row>
    <row r="893" spans="1:9" ht="20.25">
      <c r="A893" s="593"/>
      <c r="B893" s="593"/>
      <c r="C893" s="593"/>
      <c r="D893" s="593"/>
      <c r="E893" s="593"/>
      <c r="F893" s="593"/>
      <c r="G893" s="593"/>
      <c r="H893" s="593"/>
      <c r="I893" s="593"/>
    </row>
    <row r="894" spans="1:9" ht="20.25">
      <c r="A894" s="593"/>
      <c r="B894" s="593"/>
      <c r="C894" s="593"/>
      <c r="D894" s="593"/>
      <c r="E894" s="593"/>
      <c r="F894" s="593"/>
      <c r="G894" s="593"/>
      <c r="H894" s="593"/>
      <c r="I894" s="593"/>
    </row>
    <row r="895" spans="1:9" ht="20.25">
      <c r="A895" s="593"/>
      <c r="B895" s="593"/>
      <c r="C895" s="593"/>
      <c r="D895" s="593"/>
      <c r="E895" s="593"/>
      <c r="F895" s="593"/>
      <c r="G895" s="593"/>
      <c r="H895" s="593"/>
      <c r="I895" s="593"/>
    </row>
    <row r="896" spans="1:9" ht="20.25">
      <c r="A896" s="593"/>
      <c r="B896" s="593"/>
      <c r="C896" s="593"/>
      <c r="D896" s="593"/>
      <c r="E896" s="593"/>
      <c r="F896" s="593"/>
      <c r="G896" s="593"/>
      <c r="H896" s="593"/>
      <c r="I896" s="593"/>
    </row>
    <row r="897" spans="1:9" ht="20.25">
      <c r="A897" s="593"/>
      <c r="B897" s="593"/>
      <c r="C897" s="593"/>
      <c r="D897" s="593"/>
      <c r="E897" s="593"/>
      <c r="F897" s="593"/>
      <c r="G897" s="593"/>
      <c r="H897" s="593"/>
      <c r="I897" s="593"/>
    </row>
    <row r="898" spans="1:9" ht="20.25">
      <c r="A898" s="593"/>
      <c r="B898" s="593"/>
      <c r="C898" s="593"/>
      <c r="D898" s="593"/>
      <c r="E898" s="593"/>
      <c r="F898" s="593"/>
      <c r="G898" s="593"/>
      <c r="H898" s="593"/>
      <c r="I898" s="593"/>
    </row>
    <row r="899" spans="1:9" ht="20.25">
      <c r="A899" s="593"/>
      <c r="B899" s="593"/>
      <c r="C899" s="593"/>
      <c r="D899" s="593"/>
      <c r="E899" s="593"/>
      <c r="F899" s="593"/>
      <c r="G899" s="593"/>
      <c r="H899" s="593"/>
      <c r="I899" s="593"/>
    </row>
    <row r="900" spans="1:9" ht="20.25">
      <c r="A900" s="593"/>
      <c r="B900" s="593"/>
      <c r="C900" s="593"/>
      <c r="D900" s="593"/>
      <c r="E900" s="593"/>
      <c r="F900" s="593"/>
      <c r="G900" s="593"/>
      <c r="H900" s="593"/>
      <c r="I900" s="593"/>
    </row>
    <row r="901" spans="1:9" ht="20.25">
      <c r="A901" s="593"/>
      <c r="B901" s="593"/>
      <c r="C901" s="593"/>
      <c r="D901" s="593"/>
      <c r="E901" s="593"/>
      <c r="F901" s="593"/>
      <c r="G901" s="593"/>
      <c r="H901" s="593"/>
      <c r="I901" s="593"/>
    </row>
    <row r="902" spans="1:9" ht="20.25">
      <c r="A902" s="593"/>
      <c r="B902" s="593"/>
      <c r="C902" s="593"/>
      <c r="D902" s="593"/>
      <c r="E902" s="593"/>
      <c r="F902" s="593"/>
      <c r="G902" s="593"/>
      <c r="H902" s="593"/>
      <c r="I902" s="593"/>
    </row>
    <row r="903" spans="1:9" ht="20.25">
      <c r="A903" s="593"/>
      <c r="B903" s="593"/>
      <c r="C903" s="593"/>
      <c r="D903" s="593"/>
      <c r="E903" s="593"/>
      <c r="F903" s="593"/>
      <c r="G903" s="593"/>
      <c r="H903" s="593"/>
      <c r="I903" s="593"/>
    </row>
    <row r="904" spans="1:9" ht="20.25">
      <c r="A904" s="593"/>
      <c r="B904" s="593"/>
      <c r="C904" s="593"/>
      <c r="D904" s="593"/>
      <c r="E904" s="593"/>
      <c r="F904" s="593"/>
      <c r="G904" s="593"/>
      <c r="H904" s="593"/>
      <c r="I904" s="593"/>
    </row>
    <row r="905" spans="1:9" ht="20.25">
      <c r="A905" s="593"/>
      <c r="B905" s="593"/>
      <c r="C905" s="593"/>
      <c r="D905" s="593"/>
      <c r="E905" s="593"/>
      <c r="F905" s="593"/>
      <c r="G905" s="593"/>
      <c r="H905" s="593"/>
      <c r="I905" s="593"/>
    </row>
    <row r="906" spans="1:9" ht="20.25">
      <c r="A906" s="593"/>
      <c r="B906" s="593"/>
      <c r="C906" s="593"/>
      <c r="D906" s="593"/>
      <c r="E906" s="593"/>
      <c r="F906" s="593"/>
      <c r="G906" s="593"/>
      <c r="H906" s="593"/>
      <c r="I906" s="593"/>
    </row>
    <row r="907" spans="1:9" ht="20.25">
      <c r="A907" s="593"/>
      <c r="B907" s="593"/>
      <c r="C907" s="593"/>
      <c r="D907" s="593"/>
      <c r="E907" s="593"/>
      <c r="F907" s="593"/>
      <c r="G907" s="593"/>
      <c r="H907" s="593"/>
      <c r="I907" s="593"/>
    </row>
    <row r="908" spans="1:9" ht="20.25">
      <c r="A908" s="593"/>
      <c r="B908" s="593"/>
      <c r="C908" s="593"/>
      <c r="D908" s="593"/>
      <c r="E908" s="593"/>
      <c r="F908" s="593"/>
      <c r="G908" s="593"/>
      <c r="H908" s="593"/>
      <c r="I908" s="593"/>
    </row>
    <row r="909" spans="1:9" ht="20.25">
      <c r="A909" s="593"/>
      <c r="B909" s="593"/>
      <c r="C909" s="593"/>
      <c r="D909" s="593"/>
      <c r="E909" s="593"/>
      <c r="F909" s="593"/>
      <c r="G909" s="593"/>
      <c r="H909" s="593"/>
      <c r="I909" s="593"/>
    </row>
    <row r="910" spans="1:9" ht="20.25">
      <c r="A910" s="593"/>
      <c r="B910" s="593"/>
      <c r="C910" s="593"/>
      <c r="D910" s="593"/>
      <c r="E910" s="593"/>
      <c r="F910" s="593"/>
      <c r="G910" s="593"/>
      <c r="H910" s="593"/>
      <c r="I910" s="593"/>
    </row>
    <row r="911" spans="1:9" ht="20.25">
      <c r="A911" s="593"/>
      <c r="B911" s="593"/>
      <c r="C911" s="593"/>
      <c r="D911" s="593"/>
      <c r="E911" s="593"/>
      <c r="F911" s="593"/>
      <c r="G911" s="593"/>
      <c r="H911" s="593"/>
      <c r="I911" s="593"/>
    </row>
    <row r="912" spans="1:9" ht="20.25">
      <c r="A912" s="593"/>
      <c r="B912" s="593"/>
      <c r="C912" s="593"/>
      <c r="D912" s="593"/>
      <c r="E912" s="593"/>
      <c r="F912" s="593"/>
      <c r="G912" s="593"/>
      <c r="H912" s="593"/>
      <c r="I912" s="593"/>
    </row>
    <row r="913" spans="1:9" ht="20.25">
      <c r="A913" s="593"/>
      <c r="B913" s="593"/>
      <c r="C913" s="593"/>
      <c r="D913" s="593"/>
      <c r="E913" s="593"/>
      <c r="F913" s="593"/>
      <c r="G913" s="593"/>
      <c r="H913" s="593"/>
      <c r="I913" s="593"/>
    </row>
    <row r="914" spans="1:9" ht="20.25">
      <c r="A914" s="593"/>
      <c r="B914" s="593"/>
      <c r="C914" s="593"/>
      <c r="D914" s="593"/>
      <c r="E914" s="593"/>
      <c r="F914" s="593"/>
      <c r="G914" s="593"/>
      <c r="H914" s="593"/>
      <c r="I914" s="593"/>
    </row>
    <row r="915" spans="1:9" ht="20.25">
      <c r="A915" s="593"/>
      <c r="B915" s="593"/>
      <c r="C915" s="593"/>
      <c r="D915" s="593"/>
      <c r="E915" s="593"/>
      <c r="F915" s="593"/>
      <c r="G915" s="593"/>
      <c r="H915" s="593"/>
      <c r="I915" s="593"/>
    </row>
    <row r="916" spans="1:9" ht="20.25">
      <c r="A916" s="593"/>
      <c r="B916" s="593"/>
      <c r="C916" s="593"/>
      <c r="D916" s="593"/>
      <c r="E916" s="593"/>
      <c r="F916" s="593"/>
      <c r="G916" s="593"/>
      <c r="H916" s="593"/>
      <c r="I916" s="593"/>
    </row>
    <row r="917" spans="1:9" ht="20.25">
      <c r="A917" s="593"/>
      <c r="B917" s="593"/>
      <c r="C917" s="593"/>
      <c r="D917" s="593"/>
      <c r="E917" s="593"/>
      <c r="F917" s="593"/>
      <c r="G917" s="593"/>
      <c r="H917" s="593"/>
      <c r="I917" s="593"/>
    </row>
    <row r="918" spans="1:9" ht="20.25">
      <c r="A918" s="593"/>
      <c r="B918" s="593"/>
      <c r="C918" s="593"/>
      <c r="D918" s="593"/>
      <c r="E918" s="593"/>
      <c r="F918" s="593"/>
      <c r="G918" s="593"/>
      <c r="H918" s="593"/>
      <c r="I918" s="593"/>
    </row>
    <row r="919" spans="1:9" ht="20.25">
      <c r="A919" s="593"/>
      <c r="B919" s="593"/>
      <c r="C919" s="593"/>
      <c r="D919" s="593"/>
      <c r="E919" s="593"/>
      <c r="F919" s="593"/>
      <c r="G919" s="593"/>
      <c r="H919" s="593"/>
      <c r="I919" s="593"/>
    </row>
    <row r="920" spans="1:9" ht="20.25">
      <c r="A920" s="593"/>
      <c r="B920" s="593"/>
      <c r="C920" s="593"/>
      <c r="D920" s="593"/>
      <c r="E920" s="593"/>
      <c r="F920" s="593"/>
      <c r="G920" s="593"/>
      <c r="H920" s="593"/>
      <c r="I920" s="593"/>
    </row>
    <row r="921" spans="1:9" ht="20.25">
      <c r="A921" s="593"/>
      <c r="B921" s="593"/>
      <c r="C921" s="593"/>
      <c r="D921" s="593"/>
      <c r="E921" s="593"/>
      <c r="F921" s="593"/>
      <c r="G921" s="593"/>
      <c r="H921" s="593"/>
      <c r="I921" s="593"/>
    </row>
    <row r="922" spans="1:9" ht="20.25">
      <c r="A922" s="593"/>
      <c r="B922" s="593"/>
      <c r="C922" s="593"/>
      <c r="D922" s="593"/>
      <c r="E922" s="593"/>
      <c r="F922" s="593"/>
      <c r="G922" s="593"/>
      <c r="H922" s="593"/>
      <c r="I922" s="593"/>
    </row>
    <row r="923" spans="1:9" ht="20.25">
      <c r="A923" s="593"/>
      <c r="B923" s="593"/>
      <c r="C923" s="593"/>
      <c r="D923" s="593"/>
      <c r="E923" s="593"/>
      <c r="F923" s="593"/>
      <c r="G923" s="593"/>
      <c r="H923" s="593"/>
      <c r="I923" s="593"/>
    </row>
    <row r="924" spans="1:9" ht="20.25">
      <c r="A924" s="593"/>
      <c r="B924" s="593"/>
      <c r="C924" s="593"/>
      <c r="D924" s="593"/>
      <c r="E924" s="593"/>
      <c r="F924" s="593"/>
      <c r="G924" s="593"/>
      <c r="H924" s="593"/>
      <c r="I924" s="593"/>
    </row>
    <row r="925" spans="1:9" ht="20.25">
      <c r="A925" s="593"/>
      <c r="B925" s="593"/>
      <c r="C925" s="593"/>
      <c r="D925" s="593"/>
      <c r="E925" s="593"/>
      <c r="F925" s="593"/>
      <c r="G925" s="593"/>
      <c r="H925" s="593"/>
      <c r="I925" s="593"/>
    </row>
    <row r="926" spans="1:9" ht="20.25">
      <c r="A926" s="593"/>
      <c r="B926" s="593"/>
      <c r="C926" s="593"/>
      <c r="D926" s="593"/>
      <c r="E926" s="593"/>
      <c r="F926" s="593"/>
      <c r="G926" s="593"/>
      <c r="H926" s="593"/>
      <c r="I926" s="593"/>
    </row>
    <row r="927" spans="1:9" ht="20.25">
      <c r="A927" s="593"/>
      <c r="B927" s="593"/>
      <c r="C927" s="593"/>
      <c r="D927" s="593"/>
      <c r="E927" s="593"/>
      <c r="F927" s="593"/>
      <c r="G927" s="593"/>
      <c r="H927" s="593"/>
      <c r="I927" s="593"/>
    </row>
    <row r="928" spans="1:9" ht="20.25">
      <c r="A928" s="593"/>
      <c r="B928" s="593"/>
      <c r="C928" s="593"/>
      <c r="D928" s="593"/>
      <c r="E928" s="593"/>
      <c r="F928" s="593"/>
      <c r="G928" s="593"/>
      <c r="H928" s="593"/>
      <c r="I928" s="593"/>
    </row>
    <row r="929" spans="1:9" ht="20.25">
      <c r="A929" s="593"/>
      <c r="B929" s="593"/>
      <c r="C929" s="593"/>
      <c r="D929" s="593"/>
      <c r="E929" s="593"/>
      <c r="F929" s="593"/>
      <c r="G929" s="593"/>
      <c r="H929" s="593"/>
      <c r="I929" s="593"/>
    </row>
    <row r="930" spans="1:9" ht="20.25">
      <c r="A930" s="593"/>
      <c r="B930" s="593"/>
      <c r="C930" s="593"/>
      <c r="D930" s="593"/>
      <c r="E930" s="593"/>
      <c r="F930" s="593"/>
      <c r="G930" s="593"/>
      <c r="H930" s="593"/>
      <c r="I930" s="593"/>
    </row>
    <row r="931" spans="1:9" ht="20.25">
      <c r="A931" s="593"/>
      <c r="B931" s="593"/>
      <c r="C931" s="593"/>
      <c r="D931" s="593"/>
      <c r="E931" s="593"/>
      <c r="F931" s="593"/>
      <c r="G931" s="593"/>
      <c r="H931" s="593"/>
      <c r="I931" s="593"/>
    </row>
    <row r="932" spans="1:9" ht="20.25">
      <c r="A932" s="593"/>
      <c r="B932" s="593"/>
      <c r="C932" s="593"/>
      <c r="D932" s="593"/>
      <c r="E932" s="593"/>
      <c r="F932" s="593"/>
      <c r="G932" s="593"/>
      <c r="H932" s="593"/>
      <c r="I932" s="593"/>
    </row>
    <row r="933" spans="1:9" ht="20.25">
      <c r="A933" s="593"/>
      <c r="B933" s="593"/>
      <c r="C933" s="593"/>
      <c r="D933" s="593"/>
      <c r="E933" s="593"/>
      <c r="F933" s="593"/>
      <c r="G933" s="593"/>
      <c r="H933" s="593"/>
      <c r="I933" s="593"/>
    </row>
    <row r="934" spans="1:9" ht="20.25">
      <c r="A934" s="593"/>
      <c r="B934" s="593"/>
      <c r="C934" s="593"/>
      <c r="D934" s="593"/>
      <c r="E934" s="593"/>
      <c r="F934" s="593"/>
      <c r="G934" s="593"/>
      <c r="H934" s="593"/>
      <c r="I934" s="593"/>
    </row>
    <row r="935" spans="1:9" ht="20.25">
      <c r="A935" s="593"/>
      <c r="B935" s="593"/>
      <c r="C935" s="593"/>
      <c r="D935" s="593"/>
      <c r="E935" s="593"/>
      <c r="F935" s="593"/>
      <c r="G935" s="593"/>
      <c r="H935" s="593"/>
      <c r="I935" s="593"/>
    </row>
    <row r="936" spans="1:9" ht="20.25">
      <c r="A936" s="593"/>
      <c r="B936" s="593"/>
      <c r="C936" s="593"/>
      <c r="D936" s="593"/>
      <c r="E936" s="593"/>
      <c r="F936" s="593"/>
      <c r="G936" s="593"/>
      <c r="H936" s="593"/>
      <c r="I936" s="593"/>
    </row>
    <row r="937" spans="1:9" ht="20.25">
      <c r="A937" s="593"/>
      <c r="B937" s="593"/>
      <c r="C937" s="593"/>
      <c r="D937" s="593"/>
      <c r="E937" s="593"/>
      <c r="F937" s="593"/>
      <c r="G937" s="593"/>
      <c r="H937" s="593"/>
      <c r="I937" s="593"/>
    </row>
    <row r="938" spans="1:9" ht="20.25">
      <c r="A938" s="593"/>
      <c r="B938" s="593"/>
      <c r="C938" s="593"/>
      <c r="D938" s="593"/>
      <c r="E938" s="593"/>
      <c r="F938" s="593"/>
      <c r="G938" s="593"/>
      <c r="H938" s="593"/>
      <c r="I938" s="593"/>
    </row>
    <row r="939" spans="1:9" ht="20.25">
      <c r="A939" s="593"/>
      <c r="B939" s="593"/>
      <c r="C939" s="593"/>
      <c r="D939" s="593"/>
      <c r="E939" s="593"/>
      <c r="F939" s="593"/>
      <c r="G939" s="593"/>
      <c r="H939" s="593"/>
      <c r="I939" s="593"/>
    </row>
    <row r="940" spans="1:9" ht="20.25">
      <c r="A940" s="593"/>
      <c r="B940" s="593"/>
      <c r="C940" s="593"/>
      <c r="D940" s="593"/>
      <c r="E940" s="593"/>
      <c r="F940" s="593"/>
      <c r="G940" s="593"/>
      <c r="H940" s="593"/>
      <c r="I940" s="593"/>
    </row>
    <row r="941" spans="1:9" ht="20.25">
      <c r="A941" s="593"/>
      <c r="B941" s="593"/>
      <c r="C941" s="593"/>
      <c r="D941" s="593"/>
      <c r="E941" s="593"/>
      <c r="F941" s="593"/>
      <c r="G941" s="593"/>
      <c r="H941" s="593"/>
      <c r="I941" s="593"/>
    </row>
    <row r="942" spans="1:9" ht="20.25">
      <c r="A942" s="593"/>
      <c r="B942" s="593"/>
      <c r="C942" s="593"/>
      <c r="D942" s="593"/>
      <c r="E942" s="593"/>
      <c r="F942" s="593"/>
      <c r="G942" s="593"/>
      <c r="H942" s="593"/>
      <c r="I942" s="593"/>
    </row>
    <row r="943" spans="1:9" ht="20.25">
      <c r="A943" s="593"/>
      <c r="B943" s="593"/>
      <c r="C943" s="593"/>
      <c r="D943" s="593"/>
      <c r="E943" s="593"/>
      <c r="F943" s="593"/>
      <c r="G943" s="593"/>
      <c r="H943" s="593"/>
      <c r="I943" s="593"/>
    </row>
    <row r="944" spans="1:9" ht="20.25">
      <c r="A944" s="593"/>
      <c r="B944" s="593"/>
      <c r="C944" s="593"/>
      <c r="D944" s="593"/>
      <c r="E944" s="593"/>
      <c r="F944" s="593"/>
      <c r="G944" s="593"/>
      <c r="H944" s="593"/>
      <c r="I944" s="593"/>
    </row>
    <row r="945" spans="1:9" ht="20.25">
      <c r="A945" s="593"/>
      <c r="B945" s="593"/>
      <c r="C945" s="593"/>
      <c r="D945" s="593"/>
      <c r="E945" s="593"/>
      <c r="F945" s="593"/>
      <c r="G945" s="593"/>
      <c r="H945" s="593"/>
      <c r="I945" s="593"/>
    </row>
    <row r="946" spans="1:9" ht="20.25">
      <c r="A946" s="593"/>
      <c r="B946" s="593"/>
      <c r="C946" s="593"/>
      <c r="D946" s="593"/>
      <c r="E946" s="593"/>
      <c r="F946" s="593"/>
      <c r="G946" s="593"/>
      <c r="H946" s="593"/>
      <c r="I946" s="593"/>
    </row>
    <row r="947" spans="1:9" ht="20.25">
      <c r="A947" s="593"/>
      <c r="B947" s="593"/>
      <c r="C947" s="593"/>
      <c r="D947" s="593"/>
      <c r="E947" s="593"/>
      <c r="F947" s="593"/>
      <c r="G947" s="593"/>
      <c r="H947" s="593"/>
      <c r="I947" s="593"/>
    </row>
    <row r="948" spans="1:9" ht="20.25">
      <c r="A948" s="593"/>
      <c r="B948" s="593"/>
      <c r="C948" s="593"/>
      <c r="D948" s="593"/>
      <c r="E948" s="593"/>
      <c r="F948" s="593"/>
      <c r="G948" s="593"/>
      <c r="H948" s="593"/>
      <c r="I948" s="593"/>
    </row>
    <row r="949" spans="1:9" ht="20.25">
      <c r="A949" s="593"/>
      <c r="B949" s="593"/>
      <c r="C949" s="593"/>
      <c r="D949" s="593"/>
      <c r="E949" s="593"/>
      <c r="F949" s="593"/>
      <c r="G949" s="593"/>
      <c r="H949" s="593"/>
      <c r="I949" s="593"/>
    </row>
    <row r="950" spans="1:9" ht="20.25">
      <c r="A950" s="593"/>
      <c r="B950" s="593"/>
      <c r="C950" s="593"/>
      <c r="D950" s="593"/>
      <c r="E950" s="593"/>
      <c r="F950" s="593"/>
      <c r="G950" s="593"/>
      <c r="H950" s="593"/>
      <c r="I950" s="593"/>
    </row>
    <row r="951" spans="1:9" ht="20.25">
      <c r="A951" s="593"/>
      <c r="B951" s="593"/>
      <c r="C951" s="593"/>
      <c r="D951" s="593"/>
      <c r="E951" s="593"/>
      <c r="F951" s="593"/>
      <c r="G951" s="593"/>
      <c r="H951" s="593"/>
      <c r="I951" s="593"/>
    </row>
  </sheetData>
  <mergeCells count="41">
    <mergeCell ref="F9:H9"/>
    <mergeCell ref="H2:I2"/>
    <mergeCell ref="A3:I3"/>
    <mergeCell ref="B4:D4"/>
    <mergeCell ref="F4:G4"/>
    <mergeCell ref="B5:D5"/>
    <mergeCell ref="F5:G5"/>
    <mergeCell ref="B6:D6"/>
    <mergeCell ref="F6:G6"/>
    <mergeCell ref="B7:D7"/>
    <mergeCell ref="F7:G7"/>
    <mergeCell ref="B8:G8"/>
    <mergeCell ref="F21:H21"/>
    <mergeCell ref="F10:H10"/>
    <mergeCell ref="F11:H11"/>
    <mergeCell ref="F12:H12"/>
    <mergeCell ref="F13:H13"/>
    <mergeCell ref="F14:H14"/>
    <mergeCell ref="F15:H15"/>
    <mergeCell ref="F16:H16"/>
    <mergeCell ref="F17:H17"/>
    <mergeCell ref="F18:H18"/>
    <mergeCell ref="F19:H19"/>
    <mergeCell ref="F20:H20"/>
    <mergeCell ref="F33:H33"/>
    <mergeCell ref="F22:H22"/>
    <mergeCell ref="F23:H23"/>
    <mergeCell ref="F24:H24"/>
    <mergeCell ref="F25:H25"/>
    <mergeCell ref="F26:H26"/>
    <mergeCell ref="F27:H27"/>
    <mergeCell ref="F28:H28"/>
    <mergeCell ref="F29:H29"/>
    <mergeCell ref="F30:H30"/>
    <mergeCell ref="F31:H31"/>
    <mergeCell ref="F32:H32"/>
    <mergeCell ref="A34:I35"/>
    <mergeCell ref="A36:I36"/>
    <mergeCell ref="B38:C38"/>
    <mergeCell ref="F38:G38"/>
    <mergeCell ref="B39:C39"/>
  </mergeCells>
  <phoneticPr fontId="76" type="noConversion"/>
  <printOptions horizontalCentered="1"/>
  <pageMargins left="0.59055118110236227" right="0.59055118110236227" top="0.59055118110236227" bottom="0.39370078740157483" header="0.51181102362204722" footer="0.51181102362204722"/>
  <pageSetup paperSize="9" scale="97" orientation="portrait" verticalDpi="180" r:id="rId1"/>
  <headerFooter alignWithMargins="0"/>
</worksheet>
</file>

<file path=xl/worksheets/sheet23.xml><?xml version="1.0" encoding="utf-8"?>
<worksheet xmlns="http://schemas.openxmlformats.org/spreadsheetml/2006/main" xmlns:r="http://schemas.openxmlformats.org/officeDocument/2006/relationships">
  <sheetPr>
    <tabColor rgb="FFFF0000"/>
  </sheetPr>
  <dimension ref="A1:K952"/>
  <sheetViews>
    <sheetView workbookViewId="0">
      <selection activeCell="F18" sqref="F18:H18"/>
    </sheetView>
  </sheetViews>
  <sheetFormatPr defaultRowHeight="14.25"/>
  <cols>
    <col min="1" max="1" width="9.75" style="297" customWidth="1"/>
    <col min="2" max="2" width="8.625" style="297" customWidth="1"/>
    <col min="3" max="3" width="3.5" style="297" customWidth="1"/>
    <col min="4" max="4" width="8.25" style="297" customWidth="1"/>
    <col min="5" max="5" width="11.625" style="297" customWidth="1"/>
    <col min="6" max="6" width="6" style="297" customWidth="1"/>
    <col min="7" max="7" width="5.625" style="297" customWidth="1"/>
    <col min="8" max="8" width="10.125" style="297" customWidth="1"/>
    <col min="9" max="9" width="13.375" style="297" customWidth="1"/>
    <col min="10" max="16384" width="9" style="297"/>
  </cols>
  <sheetData>
    <row r="1" spans="1:11">
      <c r="A1" s="296"/>
      <c r="B1" s="296"/>
      <c r="C1" s="296"/>
      <c r="D1" s="296"/>
      <c r="E1" s="296"/>
      <c r="F1" s="296"/>
    </row>
    <row r="2" spans="1:11">
      <c r="A2" s="301"/>
      <c r="B2" s="301"/>
      <c r="C2" s="301"/>
      <c r="D2" s="301"/>
      <c r="E2" s="296"/>
      <c r="F2" s="296"/>
      <c r="G2" s="1431" t="s">
        <v>1255</v>
      </c>
      <c r="H2" s="1431"/>
      <c r="I2" s="1431"/>
    </row>
    <row r="3" spans="1:11" ht="21">
      <c r="A3" s="1432" t="s">
        <v>1233</v>
      </c>
      <c r="B3" s="1433"/>
      <c r="C3" s="1433"/>
      <c r="D3" s="1433"/>
      <c r="E3" s="1433"/>
      <c r="F3" s="1433"/>
      <c r="G3" s="1433"/>
      <c r="H3" s="1433"/>
      <c r="I3" s="1433"/>
      <c r="K3" s="595" t="s">
        <v>1203</v>
      </c>
    </row>
    <row r="4" spans="1:11" ht="18" customHeight="1">
      <c r="A4" s="595" t="s">
        <v>1204</v>
      </c>
      <c r="B4" s="1266" t="s">
        <v>1234</v>
      </c>
      <c r="C4" s="1266"/>
      <c r="D4" s="1266"/>
      <c r="E4" s="543" t="s">
        <v>1206</v>
      </c>
      <c r="F4" s="1266" t="e">
        <f>#REF!</f>
        <v>#REF!</v>
      </c>
      <c r="G4" s="1266"/>
      <c r="H4" s="596" t="s">
        <v>1207</v>
      </c>
      <c r="I4" s="544" t="str">
        <f>SUM(F11:F36)&amp;"块"</f>
        <v>6块</v>
      </c>
    </row>
    <row r="5" spans="1:11" ht="18" customHeight="1">
      <c r="A5" s="297" t="s">
        <v>1208</v>
      </c>
      <c r="B5" s="1434" t="e">
        <f>#REF!</f>
        <v>#REF!</v>
      </c>
      <c r="C5" s="1434"/>
      <c r="D5" s="1434"/>
      <c r="E5" s="543" t="s">
        <v>1209</v>
      </c>
      <c r="F5" s="1435"/>
      <c r="G5" s="1435"/>
      <c r="H5" s="596" t="s">
        <v>1210</v>
      </c>
      <c r="I5" s="597"/>
    </row>
    <row r="6" spans="1:11" ht="18" customHeight="1">
      <c r="A6" s="598" t="s">
        <v>1211</v>
      </c>
      <c r="B6" s="1259" t="s">
        <v>1235</v>
      </c>
      <c r="C6" s="1259"/>
      <c r="D6" s="1259"/>
      <c r="E6" s="546" t="s">
        <v>1212</v>
      </c>
      <c r="F6" s="1259">
        <v>61732701</v>
      </c>
      <c r="G6" s="1259"/>
      <c r="H6" s="596" t="s">
        <v>1213</v>
      </c>
      <c r="I6" s="545">
        <v>61732702</v>
      </c>
    </row>
    <row r="7" spans="1:11" ht="18" customHeight="1">
      <c r="A7" s="599" t="s">
        <v>1214</v>
      </c>
      <c r="B7" s="1428"/>
      <c r="C7" s="1428"/>
      <c r="D7" s="1428"/>
      <c r="E7" s="546" t="s">
        <v>1215</v>
      </c>
      <c r="F7" s="1259">
        <v>80529723</v>
      </c>
      <c r="G7" s="1259"/>
      <c r="H7" s="596" t="s">
        <v>1216</v>
      </c>
      <c r="I7" s="547">
        <v>80529723</v>
      </c>
    </row>
    <row r="8" spans="1:11" ht="18" customHeight="1">
      <c r="A8" s="598" t="s">
        <v>1217</v>
      </c>
      <c r="B8" s="1260" t="s">
        <v>1236</v>
      </c>
      <c r="C8" s="1259"/>
      <c r="D8" s="1259"/>
      <c r="E8" s="1259"/>
      <c r="F8" s="1259"/>
      <c r="G8" s="1259"/>
      <c r="H8" s="599" t="s">
        <v>1219</v>
      </c>
      <c r="I8" s="545" t="s">
        <v>1220</v>
      </c>
    </row>
    <row r="9" spans="1:11" ht="15" customHeight="1">
      <c r="A9" s="598"/>
      <c r="B9" s="547"/>
      <c r="C9" s="547"/>
      <c r="D9" s="547"/>
      <c r="E9" s="547"/>
      <c r="F9" s="547"/>
      <c r="G9" s="547"/>
      <c r="H9" s="600"/>
      <c r="I9" s="600"/>
    </row>
    <row r="10" spans="1:11" ht="18" customHeight="1">
      <c r="A10" s="601" t="s">
        <v>777</v>
      </c>
      <c r="B10" s="601" t="s">
        <v>491</v>
      </c>
      <c r="C10" s="601" t="s">
        <v>1221</v>
      </c>
      <c r="D10" s="601" t="s">
        <v>778</v>
      </c>
      <c r="E10" s="601" t="s">
        <v>1237</v>
      </c>
      <c r="F10" s="601" t="s">
        <v>779</v>
      </c>
      <c r="G10" s="1430" t="s">
        <v>1222</v>
      </c>
      <c r="H10" s="1430"/>
      <c r="I10" s="601" t="s">
        <v>944</v>
      </c>
    </row>
    <row r="11" spans="1:11" ht="18" customHeight="1">
      <c r="A11" s="602"/>
      <c r="B11" s="603"/>
      <c r="C11" s="601" t="s">
        <v>1221</v>
      </c>
      <c r="D11" s="603"/>
      <c r="E11" s="601"/>
      <c r="F11" s="601"/>
      <c r="G11" s="1420"/>
      <c r="H11" s="1421"/>
      <c r="I11" s="601"/>
      <c r="J11" s="297">
        <f t="shared" ref="J11:J36" si="0">B11*D11*F11/1000000</f>
        <v>0</v>
      </c>
    </row>
    <row r="12" spans="1:11" ht="18" customHeight="1">
      <c r="A12" s="602"/>
      <c r="B12" s="603"/>
      <c r="C12" s="601" t="s">
        <v>1221</v>
      </c>
      <c r="D12" s="603"/>
      <c r="E12" s="601"/>
      <c r="F12" s="601"/>
      <c r="G12" s="1420"/>
      <c r="H12" s="1421"/>
      <c r="I12" s="601"/>
      <c r="J12" s="297">
        <f t="shared" si="0"/>
        <v>0</v>
      </c>
    </row>
    <row r="13" spans="1:11" ht="18" customHeight="1">
      <c r="A13" s="602"/>
      <c r="B13" s="603"/>
      <c r="C13" s="601" t="s">
        <v>1221</v>
      </c>
      <c r="D13" s="603"/>
      <c r="E13" s="601"/>
      <c r="F13" s="604"/>
      <c r="G13" s="1420"/>
      <c r="H13" s="1421"/>
      <c r="I13" s="601"/>
      <c r="J13" s="297">
        <f t="shared" si="0"/>
        <v>0</v>
      </c>
    </row>
    <row r="14" spans="1:11" ht="18" customHeight="1">
      <c r="A14" s="602"/>
      <c r="B14" s="603"/>
      <c r="C14" s="601" t="s">
        <v>1221</v>
      </c>
      <c r="D14" s="603"/>
      <c r="E14" s="601"/>
      <c r="F14" s="601"/>
      <c r="G14" s="1420"/>
      <c r="H14" s="1421"/>
      <c r="I14" s="601"/>
      <c r="J14" s="297">
        <f t="shared" si="0"/>
        <v>0</v>
      </c>
    </row>
    <row r="15" spans="1:11" ht="18" customHeight="1">
      <c r="A15" s="602"/>
      <c r="B15" s="603"/>
      <c r="C15" s="601" t="s">
        <v>1221</v>
      </c>
      <c r="D15" s="603"/>
      <c r="E15" s="601"/>
      <c r="F15" s="601"/>
      <c r="G15" s="1420"/>
      <c r="H15" s="1421"/>
      <c r="I15" s="601"/>
      <c r="J15" s="297">
        <f t="shared" si="0"/>
        <v>0</v>
      </c>
    </row>
    <row r="16" spans="1:11" ht="18" customHeight="1">
      <c r="A16" s="602"/>
      <c r="B16" s="603"/>
      <c r="C16" s="601" t="s">
        <v>1221</v>
      </c>
      <c r="D16" s="603"/>
      <c r="E16" s="601"/>
      <c r="F16" s="601"/>
      <c r="G16" s="1420"/>
      <c r="H16" s="1421"/>
      <c r="I16" s="605"/>
      <c r="J16" s="297">
        <f t="shared" si="0"/>
        <v>0</v>
      </c>
    </row>
    <row r="17" spans="1:10" ht="18" customHeight="1">
      <c r="A17" s="602"/>
      <c r="B17" s="603"/>
      <c r="C17" s="601" t="s">
        <v>1221</v>
      </c>
      <c r="D17" s="603"/>
      <c r="E17" s="601"/>
      <c r="F17" s="601"/>
      <c r="G17" s="1420"/>
      <c r="H17" s="1421"/>
      <c r="I17" s="605"/>
      <c r="J17" s="297">
        <f t="shared" si="0"/>
        <v>0</v>
      </c>
    </row>
    <row r="18" spans="1:10" ht="18" customHeight="1">
      <c r="A18" s="602"/>
      <c r="B18" s="603"/>
      <c r="C18" s="601" t="s">
        <v>1221</v>
      </c>
      <c r="D18" s="603"/>
      <c r="E18" s="601"/>
      <c r="F18" s="601"/>
      <c r="G18" s="1420"/>
      <c r="H18" s="1421"/>
      <c r="I18" s="605"/>
      <c r="J18" s="297">
        <f t="shared" si="0"/>
        <v>0</v>
      </c>
    </row>
    <row r="19" spans="1:10" ht="18" customHeight="1">
      <c r="A19" s="606"/>
      <c r="B19" s="603"/>
      <c r="C19" s="601" t="s">
        <v>1238</v>
      </c>
      <c r="D19" s="603"/>
      <c r="E19" s="601"/>
      <c r="F19" s="601"/>
      <c r="G19" s="1420"/>
      <c r="H19" s="1421"/>
      <c r="I19" s="605"/>
      <c r="J19" s="297">
        <f t="shared" si="0"/>
        <v>0</v>
      </c>
    </row>
    <row r="20" spans="1:10" ht="18" customHeight="1">
      <c r="A20" s="602"/>
      <c r="B20" s="603"/>
      <c r="C20" s="601" t="s">
        <v>1238</v>
      </c>
      <c r="D20" s="603"/>
      <c r="E20" s="601"/>
      <c r="F20" s="601"/>
      <c r="G20" s="1420"/>
      <c r="H20" s="1421"/>
      <c r="I20" s="605"/>
      <c r="J20" s="297">
        <f t="shared" si="0"/>
        <v>0</v>
      </c>
    </row>
    <row r="21" spans="1:10" ht="18" customHeight="1">
      <c r="A21" s="602"/>
      <c r="B21" s="603"/>
      <c r="C21" s="601" t="s">
        <v>1238</v>
      </c>
      <c r="D21" s="603"/>
      <c r="E21" s="601"/>
      <c r="F21" s="601"/>
      <c r="G21" s="1420"/>
      <c r="H21" s="1421"/>
      <c r="I21" s="605"/>
      <c r="J21" s="297">
        <f t="shared" si="0"/>
        <v>0</v>
      </c>
    </row>
    <row r="22" spans="1:10" ht="18" customHeight="1">
      <c r="A22" s="602"/>
      <c r="B22" s="603"/>
      <c r="C22" s="601" t="s">
        <v>1238</v>
      </c>
      <c r="D22" s="603"/>
      <c r="E22" s="601"/>
      <c r="F22" s="601"/>
      <c r="G22" s="1420"/>
      <c r="H22" s="1421"/>
      <c r="I22" s="605"/>
      <c r="J22" s="297">
        <f t="shared" si="0"/>
        <v>0</v>
      </c>
    </row>
    <row r="23" spans="1:10" ht="18" customHeight="1">
      <c r="A23" s="602"/>
      <c r="B23" s="603"/>
      <c r="C23" s="601" t="s">
        <v>1238</v>
      </c>
      <c r="D23" s="603"/>
      <c r="E23" s="601"/>
      <c r="F23" s="601"/>
      <c r="G23" s="1420"/>
      <c r="H23" s="1421"/>
      <c r="I23" s="605"/>
      <c r="J23" s="297">
        <f t="shared" si="0"/>
        <v>0</v>
      </c>
    </row>
    <row r="24" spans="1:10" ht="18" customHeight="1">
      <c r="A24" s="602"/>
      <c r="B24" s="601"/>
      <c r="C24" s="601" t="s">
        <v>1238</v>
      </c>
      <c r="D24" s="603"/>
      <c r="E24" s="601"/>
      <c r="F24" s="601"/>
      <c r="G24" s="1420"/>
      <c r="H24" s="1421"/>
      <c r="I24" s="366"/>
      <c r="J24" s="297">
        <f t="shared" si="0"/>
        <v>0</v>
      </c>
    </row>
    <row r="25" spans="1:10" ht="18" customHeight="1">
      <c r="A25" s="602"/>
      <c r="B25" s="601"/>
      <c r="C25" s="601" t="s">
        <v>1238</v>
      </c>
      <c r="D25" s="603"/>
      <c r="E25" s="605"/>
      <c r="F25" s="601"/>
      <c r="G25" s="1420"/>
      <c r="H25" s="1421"/>
      <c r="I25" s="366"/>
      <c r="J25" s="297">
        <f t="shared" si="0"/>
        <v>0</v>
      </c>
    </row>
    <row r="26" spans="1:10" ht="18" customHeight="1">
      <c r="A26" s="607"/>
      <c r="B26" s="601"/>
      <c r="C26" s="601" t="s">
        <v>1238</v>
      </c>
      <c r="D26" s="601"/>
      <c r="E26" s="608"/>
      <c r="F26" s="601"/>
      <c r="G26" s="1420"/>
      <c r="H26" s="1421"/>
      <c r="I26" s="366"/>
      <c r="J26" s="297">
        <f t="shared" si="0"/>
        <v>0</v>
      </c>
    </row>
    <row r="27" spans="1:10" ht="18" customHeight="1">
      <c r="A27" s="607"/>
      <c r="B27" s="601"/>
      <c r="C27" s="601" t="s">
        <v>1238</v>
      </c>
      <c r="D27" s="601"/>
      <c r="E27" s="608"/>
      <c r="F27" s="601"/>
      <c r="G27" s="1420"/>
      <c r="H27" s="1421"/>
      <c r="I27" s="366"/>
      <c r="J27" s="297">
        <f t="shared" si="0"/>
        <v>0</v>
      </c>
    </row>
    <row r="28" spans="1:10" ht="18" customHeight="1">
      <c r="A28" s="607"/>
      <c r="B28" s="601"/>
      <c r="C28" s="601" t="s">
        <v>1238</v>
      </c>
      <c r="D28" s="601"/>
      <c r="E28" s="608"/>
      <c r="F28" s="601"/>
      <c r="G28" s="1420"/>
      <c r="H28" s="1421"/>
      <c r="I28" s="366"/>
      <c r="J28" s="297">
        <f t="shared" si="0"/>
        <v>0</v>
      </c>
    </row>
    <row r="29" spans="1:10" ht="18" customHeight="1">
      <c r="A29" s="607"/>
      <c r="B29" s="601"/>
      <c r="C29" s="601" t="s">
        <v>1238</v>
      </c>
      <c r="D29" s="601"/>
      <c r="E29" s="608"/>
      <c r="F29" s="601"/>
      <c r="G29" s="1420"/>
      <c r="H29" s="1421"/>
      <c r="I29" s="366"/>
      <c r="J29" s="297">
        <f t="shared" si="0"/>
        <v>0</v>
      </c>
    </row>
    <row r="30" spans="1:10" ht="18" customHeight="1">
      <c r="A30" s="609" t="s">
        <v>1239</v>
      </c>
      <c r="B30" s="610">
        <v>50</v>
      </c>
      <c r="C30" s="610" t="s">
        <v>1238</v>
      </c>
      <c r="D30" s="610">
        <v>720</v>
      </c>
      <c r="E30" s="611"/>
      <c r="F30" s="610"/>
      <c r="G30" s="1422"/>
      <c r="H30" s="1423"/>
      <c r="I30" s="366"/>
      <c r="J30" s="297">
        <f t="shared" si="0"/>
        <v>0</v>
      </c>
    </row>
    <row r="31" spans="1:10" ht="18" customHeight="1">
      <c r="A31" s="609" t="s">
        <v>1240</v>
      </c>
      <c r="B31" s="610">
        <v>50</v>
      </c>
      <c r="C31" s="610" t="s">
        <v>1238</v>
      </c>
      <c r="D31" s="610">
        <v>100</v>
      </c>
      <c r="E31" s="612"/>
      <c r="F31" s="610"/>
      <c r="G31" s="1422"/>
      <c r="H31" s="1423"/>
      <c r="I31" s="605"/>
      <c r="J31" s="297">
        <f t="shared" si="0"/>
        <v>0</v>
      </c>
    </row>
    <row r="32" spans="1:10" ht="18" customHeight="1">
      <c r="A32" s="609" t="s">
        <v>1241</v>
      </c>
      <c r="B32" s="610">
        <v>2400</v>
      </c>
      <c r="C32" s="610" t="s">
        <v>1238</v>
      </c>
      <c r="D32" s="610"/>
      <c r="E32" s="612"/>
      <c r="F32" s="610"/>
      <c r="G32" s="1424" t="s">
        <v>1242</v>
      </c>
      <c r="H32" s="1423"/>
      <c r="I32" s="605"/>
      <c r="J32" s="297">
        <f>B32*D32*F32/1000000</f>
        <v>0</v>
      </c>
    </row>
    <row r="33" spans="1:10" ht="18" customHeight="1">
      <c r="A33" s="607" t="s">
        <v>1243</v>
      </c>
      <c r="B33" s="601">
        <v>2400</v>
      </c>
      <c r="C33" s="601" t="s">
        <v>1238</v>
      </c>
      <c r="D33" s="601">
        <v>88</v>
      </c>
      <c r="E33" s="608"/>
      <c r="F33" s="601"/>
      <c r="G33" s="1425"/>
      <c r="H33" s="1426"/>
      <c r="I33" s="605"/>
      <c r="J33" s="297">
        <f>B33*D33*F33/1000000</f>
        <v>0</v>
      </c>
    </row>
    <row r="34" spans="1:10" ht="18" customHeight="1">
      <c r="A34" s="613" t="s">
        <v>1244</v>
      </c>
      <c r="B34" s="614">
        <v>2400</v>
      </c>
      <c r="C34" s="614" t="s">
        <v>1238</v>
      </c>
      <c r="D34" s="614">
        <v>71</v>
      </c>
      <c r="E34" s="615"/>
      <c r="F34" s="614">
        <v>2</v>
      </c>
      <c r="G34" s="1427" t="s">
        <v>1245</v>
      </c>
      <c r="H34" s="1428"/>
      <c r="I34" s="1429"/>
      <c r="J34" s="297">
        <f>B34*D34*F34/1000000</f>
        <v>0.34079999999999999</v>
      </c>
    </row>
    <row r="35" spans="1:10" ht="22.5" customHeight="1">
      <c r="A35" s="616" t="s">
        <v>1246</v>
      </c>
      <c r="B35" s="614">
        <v>2400</v>
      </c>
      <c r="C35" s="614" t="s">
        <v>1238</v>
      </c>
      <c r="D35" s="614">
        <v>100</v>
      </c>
      <c r="E35" s="615"/>
      <c r="F35" s="614">
        <v>2</v>
      </c>
      <c r="G35" s="1427" t="s">
        <v>1247</v>
      </c>
      <c r="H35" s="1428"/>
      <c r="I35" s="1429"/>
      <c r="J35" s="297">
        <f t="shared" si="0"/>
        <v>0.48</v>
      </c>
    </row>
    <row r="36" spans="1:10" ht="18" customHeight="1">
      <c r="A36" s="613" t="s">
        <v>1248</v>
      </c>
      <c r="B36" s="614">
        <v>2400</v>
      </c>
      <c r="C36" s="614" t="s">
        <v>1238</v>
      </c>
      <c r="D36" s="614">
        <v>83</v>
      </c>
      <c r="E36" s="617"/>
      <c r="F36" s="614">
        <v>2</v>
      </c>
      <c r="G36" s="1427" t="s">
        <v>1249</v>
      </c>
      <c r="H36" s="1428"/>
      <c r="I36" s="1429"/>
      <c r="J36" s="297">
        <f t="shared" si="0"/>
        <v>0.39839999999999998</v>
      </c>
    </row>
    <row r="37" spans="1:10" ht="20.100000000000001" customHeight="1">
      <c r="A37" s="1286" t="s">
        <v>1250</v>
      </c>
      <c r="B37" s="1286"/>
      <c r="C37" s="1286"/>
      <c r="D37" s="1286"/>
      <c r="E37" s="1286"/>
      <c r="F37" s="1286"/>
      <c r="G37" s="1286"/>
      <c r="H37" s="1286"/>
      <c r="I37" s="1286"/>
    </row>
    <row r="38" spans="1:10" ht="20.100000000000001" hidden="1" customHeight="1">
      <c r="A38" s="337"/>
      <c r="B38" s="338"/>
      <c r="C38" s="335"/>
      <c r="D38" s="335"/>
      <c r="E38" s="335"/>
      <c r="F38" s="548"/>
      <c r="G38" s="340"/>
      <c r="H38" s="548"/>
      <c r="I38" s="333"/>
    </row>
    <row r="39" spans="1:10" s="335" customFormat="1" ht="20.100000000000001" customHeight="1">
      <c r="A39" s="332" t="s">
        <v>1251</v>
      </c>
      <c r="B39" s="1292" t="s">
        <v>1258</v>
      </c>
      <c r="C39" s="1292"/>
      <c r="D39" s="543"/>
      <c r="E39" s="342" t="s">
        <v>1252</v>
      </c>
      <c r="F39" s="1264"/>
      <c r="G39" s="1264"/>
      <c r="H39" s="543" t="s">
        <v>1253</v>
      </c>
      <c r="I39" s="333"/>
    </row>
    <row r="40" spans="1:10" ht="20.100000000000001" customHeight="1">
      <c r="A40" s="343"/>
      <c r="B40" s="1293"/>
      <c r="C40" s="1293"/>
      <c r="D40" s="344"/>
      <c r="E40" s="333"/>
      <c r="F40" s="344"/>
      <c r="G40" s="345"/>
      <c r="H40" s="344"/>
      <c r="I40" s="346"/>
    </row>
    <row r="41" spans="1:10" ht="20.100000000000001" customHeight="1">
      <c r="A41" s="343"/>
      <c r="B41" s="344"/>
      <c r="C41" s="548"/>
      <c r="D41" s="344"/>
      <c r="E41" s="333"/>
      <c r="F41" s="344"/>
      <c r="G41" s="345"/>
      <c r="H41" s="344"/>
      <c r="I41" s="346"/>
    </row>
    <row r="42" spans="1:10" ht="21.75" customHeight="1">
      <c r="A42" s="343"/>
      <c r="B42" s="344"/>
      <c r="C42" s="548"/>
      <c r="D42" s="344"/>
      <c r="E42" s="333"/>
      <c r="F42" s="344"/>
      <c r="G42" s="345"/>
      <c r="H42" s="344"/>
      <c r="I42" s="346"/>
    </row>
    <row r="43" spans="1:10" ht="21.75" customHeight="1">
      <c r="A43" s="343"/>
      <c r="B43" s="344"/>
      <c r="C43" s="548"/>
      <c r="D43" s="344"/>
      <c r="E43" s="333"/>
      <c r="F43" s="344"/>
      <c r="G43" s="345"/>
      <c r="H43" s="344"/>
      <c r="I43" s="346"/>
    </row>
    <row r="44" spans="1:10" ht="21.75" customHeight="1">
      <c r="A44" s="343"/>
      <c r="B44" s="344"/>
      <c r="C44" s="548"/>
      <c r="D44" s="344"/>
      <c r="E44" s="333"/>
      <c r="F44" s="344"/>
      <c r="G44" s="345"/>
      <c r="H44" s="344"/>
      <c r="I44" s="346"/>
    </row>
    <row r="45" spans="1:10" ht="21.75" customHeight="1">
      <c r="A45" s="343"/>
      <c r="B45" s="344"/>
      <c r="C45" s="548"/>
      <c r="D45" s="344"/>
      <c r="E45" s="333"/>
      <c r="F45" s="344"/>
      <c r="G45" s="345"/>
      <c r="H45" s="344"/>
      <c r="I45" s="346"/>
    </row>
    <row r="46" spans="1:10" ht="21.75" customHeight="1">
      <c r="A46" s="343"/>
      <c r="B46" s="344"/>
      <c r="C46" s="344"/>
      <c r="D46" s="344"/>
      <c r="E46" s="346"/>
      <c r="F46" s="344"/>
      <c r="G46" s="345"/>
      <c r="H46" s="344"/>
      <c r="I46" s="346"/>
    </row>
    <row r="47" spans="1:10" ht="20.25">
      <c r="A47" s="341"/>
      <c r="B47" s="618"/>
      <c r="C47" s="341"/>
      <c r="E47" s="341"/>
      <c r="F47" s="341"/>
      <c r="G47" s="341"/>
      <c r="H47" s="341"/>
      <c r="I47" s="341"/>
    </row>
    <row r="48" spans="1:10" ht="20.25">
      <c r="A48" s="341"/>
      <c r="B48" s="341"/>
      <c r="C48" s="341"/>
      <c r="D48" s="341"/>
      <c r="E48" s="341"/>
      <c r="F48" s="341"/>
      <c r="G48" s="341"/>
      <c r="H48" s="341"/>
      <c r="I48" s="341"/>
    </row>
    <row r="49" spans="1:9" ht="20.25">
      <c r="A49" s="341"/>
      <c r="B49" s="341"/>
      <c r="C49" s="341"/>
      <c r="D49" s="341"/>
      <c r="E49" s="341"/>
      <c r="F49" s="341"/>
      <c r="G49" s="341"/>
      <c r="H49" s="341"/>
      <c r="I49" s="341"/>
    </row>
    <row r="50" spans="1:9" ht="20.25">
      <c r="A50" s="341"/>
      <c r="B50" s="341"/>
      <c r="C50" s="341"/>
      <c r="D50" s="341"/>
      <c r="E50" s="341"/>
      <c r="F50" s="341"/>
      <c r="G50" s="341"/>
      <c r="H50" s="341"/>
      <c r="I50" s="341"/>
    </row>
    <row r="51" spans="1:9" ht="20.25">
      <c r="A51" s="341"/>
      <c r="B51" s="341"/>
      <c r="C51" s="341"/>
      <c r="D51" s="341"/>
      <c r="E51" s="341"/>
      <c r="F51" s="341"/>
      <c r="G51" s="341"/>
      <c r="H51" s="341"/>
      <c r="I51" s="341"/>
    </row>
    <row r="52" spans="1:9" ht="20.25">
      <c r="A52" s="341"/>
      <c r="B52" s="341"/>
      <c r="C52" s="341"/>
      <c r="D52" s="341"/>
      <c r="E52" s="341"/>
      <c r="F52" s="341"/>
      <c r="G52" s="341"/>
      <c r="H52" s="341"/>
      <c r="I52" s="341"/>
    </row>
    <row r="53" spans="1:9" ht="20.25">
      <c r="A53" s="341"/>
      <c r="B53" s="341"/>
      <c r="C53" s="341"/>
      <c r="D53" s="341"/>
      <c r="E53" s="341"/>
      <c r="F53" s="341"/>
      <c r="G53" s="341"/>
      <c r="H53" s="341"/>
      <c r="I53" s="341"/>
    </row>
    <row r="54" spans="1:9" ht="20.25">
      <c r="A54" s="341"/>
      <c r="B54" s="341"/>
      <c r="C54" s="341"/>
      <c r="D54" s="341"/>
      <c r="E54" s="341"/>
      <c r="F54" s="341"/>
      <c r="G54" s="341"/>
      <c r="H54" s="341"/>
      <c r="I54" s="341"/>
    </row>
    <row r="55" spans="1:9" ht="20.25">
      <c r="A55" s="341"/>
      <c r="B55" s="341"/>
      <c r="C55" s="341"/>
      <c r="D55" s="341"/>
      <c r="E55" s="341"/>
      <c r="F55" s="341"/>
      <c r="G55" s="341"/>
      <c r="H55" s="341"/>
      <c r="I55" s="341"/>
    </row>
    <row r="56" spans="1:9" ht="20.25">
      <c r="A56" s="341"/>
      <c r="B56" s="341"/>
      <c r="C56" s="341"/>
      <c r="D56" s="341"/>
      <c r="E56" s="341"/>
      <c r="F56" s="341"/>
      <c r="G56" s="341"/>
      <c r="H56" s="341"/>
      <c r="I56" s="341"/>
    </row>
    <row r="57" spans="1:9" ht="20.25">
      <c r="A57" s="341"/>
      <c r="B57" s="341"/>
      <c r="C57" s="341"/>
      <c r="D57" s="341"/>
      <c r="E57" s="341"/>
      <c r="F57" s="341"/>
      <c r="G57" s="341"/>
      <c r="H57" s="341"/>
      <c r="I57" s="341"/>
    </row>
    <row r="58" spans="1:9" ht="20.25">
      <c r="A58" s="341"/>
      <c r="B58" s="341"/>
      <c r="C58" s="341"/>
      <c r="D58" s="341"/>
      <c r="E58" s="341"/>
      <c r="F58" s="341"/>
      <c r="G58" s="341"/>
      <c r="H58" s="341"/>
      <c r="I58" s="341"/>
    </row>
    <row r="59" spans="1:9" ht="20.25">
      <c r="A59" s="341"/>
      <c r="B59" s="341"/>
      <c r="C59" s="341"/>
      <c r="D59" s="341"/>
      <c r="E59" s="341"/>
      <c r="F59" s="341"/>
      <c r="G59" s="341"/>
      <c r="H59" s="341"/>
      <c r="I59" s="341"/>
    </row>
    <row r="60" spans="1:9" ht="20.25">
      <c r="A60" s="341"/>
      <c r="B60" s="341"/>
      <c r="C60" s="341"/>
      <c r="D60" s="341"/>
      <c r="E60" s="341"/>
      <c r="F60" s="341"/>
      <c r="G60" s="341"/>
      <c r="H60" s="341"/>
      <c r="I60" s="341"/>
    </row>
    <row r="61" spans="1:9" ht="20.25">
      <c r="A61" s="341"/>
      <c r="B61" s="341"/>
      <c r="C61" s="341"/>
      <c r="D61" s="341"/>
      <c r="E61" s="341"/>
      <c r="F61" s="341"/>
      <c r="G61" s="341"/>
      <c r="H61" s="341"/>
      <c r="I61" s="341"/>
    </row>
    <row r="62" spans="1:9" ht="20.25">
      <c r="A62" s="341"/>
      <c r="B62" s="341"/>
      <c r="C62" s="341"/>
      <c r="D62" s="341"/>
      <c r="E62" s="341"/>
      <c r="F62" s="341"/>
      <c r="G62" s="341"/>
      <c r="H62" s="341"/>
      <c r="I62" s="341"/>
    </row>
    <row r="63" spans="1:9" ht="20.25">
      <c r="A63" s="341"/>
      <c r="B63" s="341"/>
      <c r="C63" s="341"/>
      <c r="D63" s="341"/>
      <c r="E63" s="341"/>
      <c r="F63" s="341"/>
      <c r="G63" s="341"/>
      <c r="H63" s="341"/>
      <c r="I63" s="341"/>
    </row>
    <row r="64" spans="1:9" ht="20.25">
      <c r="A64" s="341"/>
      <c r="B64" s="341"/>
      <c r="C64" s="341"/>
      <c r="D64" s="341"/>
      <c r="E64" s="341"/>
      <c r="F64" s="341"/>
      <c r="G64" s="341"/>
      <c r="H64" s="341"/>
      <c r="I64" s="341"/>
    </row>
    <row r="65" spans="1:9" ht="20.25">
      <c r="A65" s="341"/>
      <c r="B65" s="341"/>
      <c r="C65" s="341"/>
      <c r="D65" s="341"/>
      <c r="E65" s="341"/>
      <c r="F65" s="341"/>
      <c r="G65" s="341"/>
      <c r="H65" s="341"/>
      <c r="I65" s="341"/>
    </row>
    <row r="66" spans="1:9" ht="20.25">
      <c r="A66" s="341"/>
      <c r="B66" s="341"/>
      <c r="C66" s="341"/>
      <c r="D66" s="341"/>
      <c r="E66" s="341"/>
      <c r="F66" s="341"/>
      <c r="G66" s="341"/>
      <c r="H66" s="341"/>
      <c r="I66" s="341"/>
    </row>
    <row r="67" spans="1:9" ht="20.25">
      <c r="A67" s="341"/>
      <c r="B67" s="341"/>
      <c r="C67" s="341"/>
      <c r="D67" s="341"/>
      <c r="E67" s="341"/>
      <c r="F67" s="341"/>
      <c r="G67" s="341"/>
      <c r="H67" s="341"/>
      <c r="I67" s="341"/>
    </row>
    <row r="68" spans="1:9" ht="20.25">
      <c r="A68" s="341"/>
      <c r="B68" s="341"/>
      <c r="C68" s="341"/>
      <c r="D68" s="341"/>
      <c r="E68" s="341"/>
      <c r="F68" s="341"/>
      <c r="G68" s="341"/>
      <c r="H68" s="341"/>
      <c r="I68" s="341"/>
    </row>
    <row r="69" spans="1:9" ht="20.25">
      <c r="A69" s="341"/>
      <c r="B69" s="341"/>
      <c r="C69" s="341"/>
      <c r="D69" s="341"/>
      <c r="E69" s="341"/>
      <c r="F69" s="341"/>
      <c r="G69" s="341"/>
      <c r="H69" s="341"/>
      <c r="I69" s="341"/>
    </row>
    <row r="70" spans="1:9" ht="20.25">
      <c r="A70" s="341"/>
      <c r="B70" s="341"/>
      <c r="C70" s="341"/>
      <c r="D70" s="341"/>
      <c r="E70" s="341"/>
      <c r="F70" s="341"/>
      <c r="G70" s="341"/>
      <c r="H70" s="341"/>
      <c r="I70" s="341"/>
    </row>
    <row r="71" spans="1:9" ht="20.25">
      <c r="A71" s="341"/>
      <c r="B71" s="341"/>
      <c r="C71" s="341"/>
      <c r="D71" s="341"/>
      <c r="E71" s="341"/>
      <c r="F71" s="341"/>
      <c r="G71" s="341"/>
      <c r="H71" s="341"/>
      <c r="I71" s="341"/>
    </row>
    <row r="72" spans="1:9" ht="20.25">
      <c r="A72" s="341"/>
      <c r="B72" s="341"/>
      <c r="C72" s="341"/>
      <c r="D72" s="341"/>
      <c r="E72" s="341"/>
      <c r="F72" s="341"/>
      <c r="G72" s="341"/>
      <c r="H72" s="341"/>
      <c r="I72" s="341"/>
    </row>
    <row r="73" spans="1:9" ht="20.25">
      <c r="A73" s="341"/>
      <c r="B73" s="341"/>
      <c r="C73" s="341"/>
      <c r="D73" s="341"/>
      <c r="E73" s="341"/>
      <c r="F73" s="341"/>
      <c r="G73" s="341"/>
      <c r="H73" s="341"/>
      <c r="I73" s="341"/>
    </row>
    <row r="74" spans="1:9" ht="20.25">
      <c r="A74" s="341"/>
      <c r="B74" s="341"/>
      <c r="C74" s="341"/>
      <c r="D74" s="341"/>
      <c r="E74" s="341"/>
      <c r="F74" s="341"/>
      <c r="G74" s="341"/>
      <c r="H74" s="341"/>
      <c r="I74" s="341"/>
    </row>
    <row r="75" spans="1:9" ht="20.25">
      <c r="A75" s="341"/>
      <c r="B75" s="341"/>
      <c r="C75" s="341"/>
      <c r="D75" s="341"/>
      <c r="E75" s="341"/>
      <c r="F75" s="341"/>
      <c r="G75" s="341"/>
      <c r="H75" s="341"/>
      <c r="I75" s="341"/>
    </row>
    <row r="76" spans="1:9" ht="20.25">
      <c r="A76" s="341"/>
      <c r="B76" s="341"/>
      <c r="C76" s="341"/>
      <c r="D76" s="341"/>
      <c r="E76" s="341"/>
      <c r="F76" s="341"/>
      <c r="G76" s="341"/>
      <c r="H76" s="341"/>
      <c r="I76" s="341"/>
    </row>
    <row r="77" spans="1:9" ht="20.25">
      <c r="A77" s="341"/>
      <c r="B77" s="341"/>
      <c r="C77" s="341"/>
      <c r="D77" s="341"/>
      <c r="E77" s="341"/>
      <c r="F77" s="341"/>
      <c r="G77" s="341"/>
      <c r="H77" s="341"/>
      <c r="I77" s="341"/>
    </row>
    <row r="78" spans="1:9" ht="20.25">
      <c r="A78" s="341"/>
      <c r="B78" s="341"/>
      <c r="C78" s="341"/>
      <c r="D78" s="341"/>
      <c r="E78" s="341"/>
      <c r="F78" s="341"/>
      <c r="G78" s="341"/>
      <c r="H78" s="341"/>
      <c r="I78" s="341"/>
    </row>
    <row r="79" spans="1:9" ht="20.25">
      <c r="A79" s="341"/>
      <c r="B79" s="341"/>
      <c r="C79" s="341"/>
      <c r="D79" s="341"/>
      <c r="E79" s="341"/>
      <c r="F79" s="341"/>
      <c r="G79" s="341"/>
      <c r="H79" s="341"/>
      <c r="I79" s="341"/>
    </row>
    <row r="80" spans="1:9" ht="20.25">
      <c r="A80" s="341"/>
      <c r="B80" s="341"/>
      <c r="C80" s="341"/>
      <c r="D80" s="341"/>
      <c r="E80" s="341"/>
      <c r="F80" s="341"/>
      <c r="G80" s="341"/>
      <c r="H80" s="341"/>
      <c r="I80" s="341"/>
    </row>
    <row r="81" spans="1:9" ht="20.25">
      <c r="A81" s="341"/>
      <c r="B81" s="341"/>
      <c r="C81" s="341"/>
      <c r="D81" s="341"/>
      <c r="E81" s="341"/>
      <c r="F81" s="341"/>
      <c r="G81" s="341"/>
      <c r="H81" s="341"/>
      <c r="I81" s="341"/>
    </row>
    <row r="82" spans="1:9" ht="20.25">
      <c r="A82" s="341"/>
      <c r="B82" s="341"/>
      <c r="C82" s="341"/>
      <c r="D82" s="341"/>
      <c r="E82" s="341"/>
      <c r="F82" s="341"/>
      <c r="G82" s="341"/>
      <c r="H82" s="341"/>
      <c r="I82" s="341"/>
    </row>
    <row r="83" spans="1:9" ht="20.25">
      <c r="A83" s="341"/>
      <c r="B83" s="341"/>
      <c r="C83" s="341"/>
      <c r="D83" s="341"/>
      <c r="E83" s="341"/>
      <c r="F83" s="341"/>
      <c r="G83" s="341"/>
      <c r="H83" s="341"/>
      <c r="I83" s="341"/>
    </row>
    <row r="84" spans="1:9" ht="20.25">
      <c r="A84" s="341"/>
      <c r="B84" s="341"/>
      <c r="C84" s="341"/>
      <c r="D84" s="341"/>
      <c r="E84" s="341"/>
      <c r="F84" s="341"/>
      <c r="G84" s="341"/>
      <c r="H84" s="341"/>
      <c r="I84" s="341"/>
    </row>
    <row r="85" spans="1:9" ht="20.25">
      <c r="A85" s="341"/>
      <c r="B85" s="341"/>
      <c r="C85" s="341"/>
      <c r="D85" s="341"/>
      <c r="E85" s="341"/>
      <c r="F85" s="341"/>
      <c r="G85" s="341"/>
      <c r="H85" s="341"/>
      <c r="I85" s="341"/>
    </row>
    <row r="86" spans="1:9" ht="20.25">
      <c r="A86" s="341"/>
      <c r="B86" s="341"/>
      <c r="C86" s="341"/>
      <c r="D86" s="341"/>
      <c r="E86" s="341"/>
      <c r="F86" s="341"/>
      <c r="G86" s="341"/>
      <c r="H86" s="341"/>
      <c r="I86" s="341"/>
    </row>
    <row r="87" spans="1:9" ht="20.25">
      <c r="A87" s="341"/>
      <c r="B87" s="341"/>
      <c r="C87" s="341"/>
      <c r="D87" s="341"/>
      <c r="E87" s="341"/>
      <c r="F87" s="341"/>
      <c r="G87" s="341"/>
      <c r="H87" s="341"/>
      <c r="I87" s="341"/>
    </row>
    <row r="88" spans="1:9" ht="20.25">
      <c r="A88" s="341"/>
      <c r="B88" s="341"/>
      <c r="C88" s="341"/>
      <c r="D88" s="341"/>
      <c r="E88" s="341"/>
      <c r="F88" s="341"/>
      <c r="G88" s="341"/>
      <c r="H88" s="341"/>
      <c r="I88" s="341"/>
    </row>
    <row r="89" spans="1:9" ht="20.25">
      <c r="A89" s="341"/>
      <c r="B89" s="341"/>
      <c r="C89" s="341"/>
      <c r="D89" s="341"/>
      <c r="E89" s="341"/>
      <c r="F89" s="341"/>
      <c r="G89" s="341"/>
      <c r="H89" s="341"/>
      <c r="I89" s="341"/>
    </row>
    <row r="90" spans="1:9" ht="20.25">
      <c r="A90" s="341"/>
      <c r="B90" s="341"/>
      <c r="C90" s="341"/>
      <c r="D90" s="341"/>
      <c r="E90" s="341"/>
      <c r="F90" s="341"/>
      <c r="G90" s="341"/>
      <c r="H90" s="341"/>
      <c r="I90" s="341"/>
    </row>
    <row r="91" spans="1:9" ht="20.25">
      <c r="A91" s="341"/>
      <c r="B91" s="341"/>
      <c r="C91" s="341"/>
      <c r="D91" s="341"/>
      <c r="E91" s="341"/>
      <c r="F91" s="341"/>
      <c r="G91" s="341"/>
      <c r="H91" s="341"/>
      <c r="I91" s="341"/>
    </row>
    <row r="92" spans="1:9" ht="20.25">
      <c r="A92" s="341"/>
      <c r="B92" s="341"/>
      <c r="C92" s="341"/>
      <c r="D92" s="341"/>
      <c r="E92" s="341"/>
      <c r="F92" s="341"/>
      <c r="G92" s="341"/>
      <c r="H92" s="341"/>
      <c r="I92" s="341"/>
    </row>
    <row r="93" spans="1:9" ht="20.25">
      <c r="A93" s="341"/>
      <c r="B93" s="341"/>
      <c r="C93" s="341"/>
      <c r="D93" s="341"/>
      <c r="E93" s="341"/>
      <c r="F93" s="341"/>
      <c r="G93" s="341"/>
      <c r="H93" s="341"/>
      <c r="I93" s="341"/>
    </row>
    <row r="94" spans="1:9" ht="20.25">
      <c r="A94" s="341"/>
      <c r="B94" s="341"/>
      <c r="C94" s="341"/>
      <c r="D94" s="341"/>
      <c r="E94" s="341"/>
      <c r="F94" s="341"/>
      <c r="G94" s="341"/>
      <c r="H94" s="341"/>
      <c r="I94" s="341"/>
    </row>
    <row r="95" spans="1:9" ht="20.25">
      <c r="A95" s="341"/>
      <c r="B95" s="341"/>
      <c r="C95" s="341"/>
      <c r="D95" s="341"/>
      <c r="E95" s="341"/>
      <c r="F95" s="341"/>
      <c r="G95" s="341"/>
      <c r="H95" s="341"/>
      <c r="I95" s="341"/>
    </row>
    <row r="96" spans="1:9" ht="20.25">
      <c r="A96" s="341"/>
      <c r="B96" s="341"/>
      <c r="C96" s="341"/>
      <c r="D96" s="341"/>
      <c r="E96" s="341"/>
      <c r="F96" s="341"/>
      <c r="G96" s="341"/>
      <c r="H96" s="341"/>
      <c r="I96" s="341"/>
    </row>
    <row r="97" spans="1:9" ht="20.25">
      <c r="A97" s="341"/>
      <c r="B97" s="341"/>
      <c r="C97" s="341"/>
      <c r="D97" s="341"/>
      <c r="E97" s="341"/>
      <c r="F97" s="341"/>
      <c r="G97" s="341"/>
      <c r="H97" s="341"/>
      <c r="I97" s="341"/>
    </row>
    <row r="98" spans="1:9" ht="20.25">
      <c r="A98" s="341"/>
      <c r="B98" s="341"/>
      <c r="C98" s="341"/>
      <c r="D98" s="341"/>
      <c r="E98" s="341"/>
      <c r="F98" s="341"/>
      <c r="G98" s="341"/>
      <c r="H98" s="341"/>
      <c r="I98" s="341"/>
    </row>
    <row r="99" spans="1:9" ht="20.25">
      <c r="A99" s="341"/>
      <c r="B99" s="341"/>
      <c r="C99" s="341"/>
      <c r="D99" s="341"/>
      <c r="E99" s="341"/>
      <c r="F99" s="341"/>
      <c r="G99" s="341"/>
      <c r="H99" s="341"/>
      <c r="I99" s="341"/>
    </row>
    <row r="100" spans="1:9" ht="20.25">
      <c r="A100" s="341"/>
      <c r="B100" s="341"/>
      <c r="C100" s="341"/>
      <c r="D100" s="341"/>
      <c r="E100" s="341"/>
      <c r="F100" s="341"/>
      <c r="G100" s="341"/>
      <c r="H100" s="341"/>
      <c r="I100" s="341"/>
    </row>
    <row r="101" spans="1:9" ht="20.25">
      <c r="A101" s="341"/>
      <c r="B101" s="341"/>
      <c r="C101" s="341"/>
      <c r="D101" s="341"/>
      <c r="E101" s="341"/>
      <c r="F101" s="341"/>
      <c r="G101" s="341"/>
      <c r="H101" s="341"/>
      <c r="I101" s="341"/>
    </row>
    <row r="102" spans="1:9" ht="20.25">
      <c r="A102" s="341"/>
      <c r="B102" s="341"/>
      <c r="C102" s="341"/>
      <c r="D102" s="341"/>
      <c r="E102" s="341"/>
      <c r="F102" s="341"/>
      <c r="G102" s="341"/>
      <c r="H102" s="341"/>
      <c r="I102" s="341"/>
    </row>
    <row r="103" spans="1:9" ht="20.25">
      <c r="A103" s="341"/>
      <c r="B103" s="341"/>
      <c r="C103" s="341"/>
      <c r="D103" s="341"/>
      <c r="E103" s="341"/>
      <c r="F103" s="341"/>
      <c r="G103" s="341"/>
      <c r="H103" s="341"/>
      <c r="I103" s="341"/>
    </row>
    <row r="104" spans="1:9" ht="20.25">
      <c r="A104" s="341"/>
      <c r="B104" s="341"/>
      <c r="C104" s="341"/>
      <c r="D104" s="341"/>
      <c r="E104" s="341"/>
      <c r="F104" s="341"/>
      <c r="G104" s="341"/>
      <c r="H104" s="341"/>
      <c r="I104" s="341"/>
    </row>
    <row r="105" spans="1:9" ht="20.25">
      <c r="A105" s="341"/>
      <c r="B105" s="341"/>
      <c r="C105" s="341"/>
      <c r="D105" s="341"/>
      <c r="E105" s="341"/>
      <c r="F105" s="341"/>
      <c r="G105" s="341"/>
      <c r="H105" s="341"/>
      <c r="I105" s="341"/>
    </row>
    <row r="106" spans="1:9" ht="20.25">
      <c r="A106" s="341"/>
      <c r="B106" s="341"/>
      <c r="C106" s="341"/>
      <c r="D106" s="341"/>
      <c r="E106" s="341"/>
      <c r="F106" s="341"/>
      <c r="G106" s="341"/>
      <c r="H106" s="341"/>
      <c r="I106" s="341"/>
    </row>
    <row r="107" spans="1:9" ht="20.25">
      <c r="A107" s="341"/>
      <c r="B107" s="341"/>
      <c r="C107" s="341"/>
      <c r="D107" s="341"/>
      <c r="E107" s="341"/>
      <c r="F107" s="341"/>
      <c r="G107" s="341"/>
      <c r="H107" s="341"/>
      <c r="I107" s="341"/>
    </row>
    <row r="108" spans="1:9" ht="20.25">
      <c r="A108" s="341"/>
      <c r="B108" s="341"/>
      <c r="C108" s="341"/>
      <c r="D108" s="341"/>
      <c r="E108" s="341"/>
      <c r="F108" s="341"/>
      <c r="G108" s="341"/>
      <c r="H108" s="341"/>
      <c r="I108" s="341"/>
    </row>
    <row r="109" spans="1:9" ht="20.25">
      <c r="A109" s="341"/>
      <c r="B109" s="341"/>
      <c r="C109" s="341"/>
      <c r="D109" s="341"/>
      <c r="E109" s="341"/>
      <c r="F109" s="341"/>
      <c r="G109" s="341"/>
      <c r="H109" s="341"/>
      <c r="I109" s="341"/>
    </row>
    <row r="110" spans="1:9" ht="20.25">
      <c r="A110" s="341"/>
      <c r="B110" s="341"/>
      <c r="C110" s="341"/>
      <c r="D110" s="341"/>
      <c r="E110" s="341"/>
      <c r="F110" s="341"/>
      <c r="G110" s="341"/>
      <c r="H110" s="341"/>
      <c r="I110" s="341"/>
    </row>
    <row r="111" spans="1:9" ht="20.25">
      <c r="A111" s="341"/>
      <c r="B111" s="341"/>
      <c r="C111" s="341"/>
      <c r="D111" s="341"/>
      <c r="E111" s="341"/>
      <c r="F111" s="341"/>
      <c r="G111" s="341"/>
      <c r="H111" s="341"/>
      <c r="I111" s="341"/>
    </row>
    <row r="112" spans="1:9" ht="20.25">
      <c r="A112" s="341"/>
      <c r="B112" s="341"/>
      <c r="C112" s="341"/>
      <c r="D112" s="341"/>
      <c r="E112" s="341"/>
      <c r="F112" s="341"/>
      <c r="G112" s="341"/>
      <c r="H112" s="341"/>
      <c r="I112" s="341"/>
    </row>
    <row r="113" spans="1:9" ht="20.25">
      <c r="A113" s="341"/>
      <c r="B113" s="341"/>
      <c r="C113" s="341"/>
      <c r="D113" s="341"/>
      <c r="E113" s="341"/>
      <c r="F113" s="341"/>
      <c r="G113" s="341"/>
      <c r="H113" s="341"/>
      <c r="I113" s="341"/>
    </row>
    <row r="114" spans="1:9" ht="20.25">
      <c r="A114" s="341"/>
      <c r="B114" s="341"/>
      <c r="C114" s="341"/>
      <c r="D114" s="341"/>
      <c r="E114" s="341"/>
      <c r="F114" s="341"/>
      <c r="G114" s="341"/>
      <c r="H114" s="341"/>
      <c r="I114" s="341"/>
    </row>
    <row r="115" spans="1:9" ht="20.25">
      <c r="A115" s="341"/>
      <c r="B115" s="341"/>
      <c r="C115" s="341"/>
      <c r="D115" s="341"/>
      <c r="E115" s="341"/>
      <c r="F115" s="341"/>
      <c r="G115" s="341"/>
      <c r="H115" s="341"/>
      <c r="I115" s="341"/>
    </row>
    <row r="116" spans="1:9" ht="20.25">
      <c r="A116" s="341"/>
      <c r="B116" s="341"/>
      <c r="C116" s="341"/>
      <c r="D116" s="341"/>
      <c r="E116" s="341"/>
      <c r="F116" s="341"/>
      <c r="G116" s="341"/>
      <c r="H116" s="341"/>
      <c r="I116" s="341"/>
    </row>
    <row r="117" spans="1:9" ht="20.25">
      <c r="A117" s="341"/>
      <c r="B117" s="341"/>
      <c r="C117" s="341"/>
      <c r="D117" s="341"/>
      <c r="E117" s="341"/>
      <c r="F117" s="341"/>
      <c r="G117" s="341"/>
      <c r="H117" s="341"/>
      <c r="I117" s="341"/>
    </row>
    <row r="118" spans="1:9" ht="20.25">
      <c r="A118" s="341"/>
      <c r="B118" s="341"/>
      <c r="C118" s="341"/>
      <c r="D118" s="341"/>
      <c r="E118" s="341"/>
      <c r="F118" s="341"/>
      <c r="G118" s="341"/>
      <c r="H118" s="341"/>
      <c r="I118" s="341"/>
    </row>
    <row r="119" spans="1:9" ht="20.25">
      <c r="A119" s="341"/>
      <c r="B119" s="341"/>
      <c r="C119" s="341"/>
      <c r="D119" s="341"/>
      <c r="E119" s="341"/>
      <c r="F119" s="341"/>
      <c r="G119" s="341"/>
      <c r="H119" s="341"/>
      <c r="I119" s="341"/>
    </row>
    <row r="120" spans="1:9" ht="20.25">
      <c r="A120" s="341"/>
      <c r="B120" s="341"/>
      <c r="C120" s="341"/>
      <c r="D120" s="341"/>
      <c r="E120" s="341"/>
      <c r="F120" s="341"/>
      <c r="G120" s="341"/>
      <c r="H120" s="341"/>
      <c r="I120" s="341"/>
    </row>
    <row r="121" spans="1:9" ht="20.25">
      <c r="A121" s="341"/>
      <c r="B121" s="341"/>
      <c r="C121" s="341"/>
      <c r="D121" s="341"/>
      <c r="E121" s="341"/>
      <c r="F121" s="341"/>
      <c r="G121" s="341"/>
      <c r="H121" s="341"/>
      <c r="I121" s="341"/>
    </row>
    <row r="122" spans="1:9" ht="20.25">
      <c r="A122" s="341"/>
      <c r="B122" s="341"/>
      <c r="C122" s="341"/>
      <c r="D122" s="341"/>
      <c r="E122" s="341"/>
      <c r="F122" s="341"/>
      <c r="G122" s="341"/>
      <c r="H122" s="341"/>
      <c r="I122" s="341"/>
    </row>
    <row r="123" spans="1:9" ht="20.25">
      <c r="A123" s="341"/>
      <c r="B123" s="341"/>
      <c r="C123" s="341"/>
      <c r="D123" s="341"/>
      <c r="E123" s="341"/>
      <c r="F123" s="341"/>
      <c r="G123" s="341"/>
      <c r="H123" s="341"/>
      <c r="I123" s="341"/>
    </row>
    <row r="124" spans="1:9" ht="20.25">
      <c r="A124" s="341"/>
      <c r="B124" s="341"/>
      <c r="C124" s="341"/>
      <c r="D124" s="341"/>
      <c r="E124" s="341"/>
      <c r="F124" s="341"/>
      <c r="G124" s="341"/>
      <c r="H124" s="341"/>
      <c r="I124" s="341"/>
    </row>
    <row r="125" spans="1:9" ht="20.25">
      <c r="A125" s="341"/>
      <c r="B125" s="341"/>
      <c r="C125" s="341"/>
      <c r="D125" s="341"/>
      <c r="E125" s="341"/>
      <c r="F125" s="341"/>
      <c r="G125" s="341"/>
      <c r="H125" s="341"/>
      <c r="I125" s="341"/>
    </row>
    <row r="126" spans="1:9" ht="20.25">
      <c r="A126" s="341"/>
      <c r="B126" s="341"/>
      <c r="C126" s="341"/>
      <c r="D126" s="341"/>
      <c r="E126" s="341"/>
      <c r="F126" s="341"/>
      <c r="G126" s="341"/>
      <c r="H126" s="341"/>
      <c r="I126" s="341"/>
    </row>
    <row r="127" spans="1:9" ht="20.25">
      <c r="A127" s="341"/>
      <c r="B127" s="341"/>
      <c r="C127" s="341"/>
      <c r="D127" s="341"/>
      <c r="E127" s="341"/>
      <c r="F127" s="341"/>
      <c r="G127" s="341"/>
      <c r="H127" s="341"/>
      <c r="I127" s="341"/>
    </row>
    <row r="128" spans="1:9" ht="20.25">
      <c r="A128" s="341"/>
      <c r="B128" s="341"/>
      <c r="C128" s="341"/>
      <c r="D128" s="341"/>
      <c r="E128" s="341"/>
      <c r="F128" s="341"/>
      <c r="G128" s="341"/>
      <c r="H128" s="341"/>
      <c r="I128" s="341"/>
    </row>
    <row r="129" spans="1:9" ht="20.25">
      <c r="A129" s="341"/>
      <c r="B129" s="341"/>
      <c r="C129" s="341"/>
      <c r="D129" s="341"/>
      <c r="E129" s="341"/>
      <c r="F129" s="341"/>
      <c r="G129" s="341"/>
      <c r="H129" s="341"/>
      <c r="I129" s="341"/>
    </row>
    <row r="130" spans="1:9" ht="20.25">
      <c r="A130" s="341"/>
      <c r="B130" s="341"/>
      <c r="C130" s="341"/>
      <c r="D130" s="341"/>
      <c r="E130" s="341"/>
      <c r="F130" s="341"/>
      <c r="G130" s="341"/>
      <c r="H130" s="341"/>
      <c r="I130" s="341"/>
    </row>
    <row r="131" spans="1:9" ht="20.25">
      <c r="A131" s="341"/>
      <c r="B131" s="341"/>
      <c r="C131" s="341"/>
      <c r="D131" s="341"/>
      <c r="E131" s="341"/>
      <c r="F131" s="341"/>
      <c r="G131" s="341"/>
      <c r="H131" s="341"/>
      <c r="I131" s="341"/>
    </row>
    <row r="132" spans="1:9" ht="20.25">
      <c r="A132" s="341"/>
      <c r="B132" s="341"/>
      <c r="C132" s="341"/>
      <c r="D132" s="341"/>
      <c r="E132" s="341"/>
      <c r="F132" s="341"/>
      <c r="G132" s="341"/>
      <c r="H132" s="341"/>
      <c r="I132" s="341"/>
    </row>
    <row r="133" spans="1:9" ht="20.25">
      <c r="A133" s="341"/>
      <c r="B133" s="341"/>
      <c r="C133" s="341"/>
      <c r="D133" s="341"/>
      <c r="E133" s="341"/>
      <c r="F133" s="341"/>
      <c r="G133" s="341"/>
      <c r="H133" s="341"/>
      <c r="I133" s="341"/>
    </row>
    <row r="134" spans="1:9" ht="20.25">
      <c r="A134" s="341"/>
      <c r="B134" s="341"/>
      <c r="C134" s="341"/>
      <c r="D134" s="341"/>
      <c r="E134" s="341"/>
      <c r="F134" s="341"/>
      <c r="G134" s="341"/>
      <c r="H134" s="341"/>
      <c r="I134" s="341"/>
    </row>
    <row r="135" spans="1:9" ht="20.25">
      <c r="A135" s="341"/>
      <c r="B135" s="341"/>
      <c r="C135" s="341"/>
      <c r="D135" s="341"/>
      <c r="E135" s="341"/>
      <c r="F135" s="341"/>
      <c r="G135" s="341"/>
      <c r="H135" s="341"/>
      <c r="I135" s="341"/>
    </row>
    <row r="136" spans="1:9" ht="20.25">
      <c r="A136" s="341"/>
      <c r="B136" s="341"/>
      <c r="C136" s="341"/>
      <c r="D136" s="341"/>
      <c r="E136" s="341"/>
      <c r="F136" s="341"/>
      <c r="G136" s="341"/>
      <c r="H136" s="341"/>
      <c r="I136" s="341"/>
    </row>
    <row r="137" spans="1:9" ht="20.25">
      <c r="A137" s="341"/>
      <c r="B137" s="341"/>
      <c r="C137" s="341"/>
      <c r="D137" s="341"/>
      <c r="E137" s="341"/>
      <c r="F137" s="341"/>
      <c r="G137" s="341"/>
      <c r="H137" s="341"/>
      <c r="I137" s="341"/>
    </row>
    <row r="138" spans="1:9" ht="20.25">
      <c r="A138" s="341"/>
      <c r="B138" s="341"/>
      <c r="C138" s="341"/>
      <c r="D138" s="341"/>
      <c r="E138" s="341"/>
      <c r="F138" s="341"/>
      <c r="G138" s="341"/>
      <c r="H138" s="341"/>
      <c r="I138" s="341"/>
    </row>
    <row r="139" spans="1:9" ht="20.25">
      <c r="A139" s="341"/>
      <c r="B139" s="341"/>
      <c r="C139" s="341"/>
      <c r="D139" s="341"/>
      <c r="E139" s="341"/>
      <c r="F139" s="341"/>
      <c r="G139" s="341"/>
      <c r="H139" s="341"/>
      <c r="I139" s="341"/>
    </row>
    <row r="140" spans="1:9" ht="20.25">
      <c r="A140" s="341"/>
      <c r="B140" s="341"/>
      <c r="C140" s="341"/>
      <c r="D140" s="341"/>
      <c r="E140" s="341"/>
      <c r="F140" s="341"/>
      <c r="G140" s="341"/>
      <c r="H140" s="341"/>
      <c r="I140" s="341"/>
    </row>
    <row r="141" spans="1:9" ht="20.25">
      <c r="A141" s="341"/>
      <c r="B141" s="341"/>
      <c r="C141" s="341"/>
      <c r="D141" s="341"/>
      <c r="E141" s="341"/>
      <c r="F141" s="341"/>
      <c r="G141" s="341"/>
      <c r="H141" s="341"/>
      <c r="I141" s="341"/>
    </row>
    <row r="142" spans="1:9" ht="20.25">
      <c r="A142" s="341"/>
      <c r="B142" s="341"/>
      <c r="C142" s="341"/>
      <c r="D142" s="341"/>
      <c r="E142" s="341"/>
      <c r="F142" s="341"/>
      <c r="G142" s="341"/>
      <c r="H142" s="341"/>
      <c r="I142" s="341"/>
    </row>
    <row r="143" spans="1:9" ht="20.25">
      <c r="A143" s="341"/>
      <c r="B143" s="341"/>
      <c r="C143" s="341"/>
      <c r="D143" s="341"/>
      <c r="E143" s="341"/>
      <c r="F143" s="341"/>
      <c r="G143" s="341"/>
      <c r="H143" s="341"/>
      <c r="I143" s="341"/>
    </row>
    <row r="144" spans="1:9" ht="20.25">
      <c r="A144" s="341"/>
      <c r="B144" s="341"/>
      <c r="C144" s="341"/>
      <c r="D144" s="341"/>
      <c r="E144" s="341"/>
      <c r="F144" s="341"/>
      <c r="G144" s="341"/>
      <c r="H144" s="341"/>
      <c r="I144" s="341"/>
    </row>
    <row r="145" spans="1:9" ht="20.25">
      <c r="A145" s="341"/>
      <c r="B145" s="341"/>
      <c r="C145" s="341"/>
      <c r="D145" s="341"/>
      <c r="E145" s="341"/>
      <c r="F145" s="341"/>
      <c r="G145" s="341"/>
      <c r="H145" s="341"/>
      <c r="I145" s="341"/>
    </row>
    <row r="146" spans="1:9" ht="20.25">
      <c r="A146" s="341"/>
      <c r="B146" s="341"/>
      <c r="C146" s="341"/>
      <c r="D146" s="341"/>
      <c r="E146" s="341"/>
      <c r="F146" s="341"/>
      <c r="G146" s="341"/>
      <c r="H146" s="341"/>
      <c r="I146" s="341"/>
    </row>
    <row r="147" spans="1:9" ht="20.25">
      <c r="A147" s="341"/>
      <c r="B147" s="341"/>
      <c r="C147" s="341"/>
      <c r="D147" s="341"/>
      <c r="E147" s="341"/>
      <c r="F147" s="341"/>
      <c r="G147" s="341"/>
      <c r="H147" s="341"/>
      <c r="I147" s="341"/>
    </row>
    <row r="148" spans="1:9" ht="20.25">
      <c r="A148" s="341"/>
      <c r="B148" s="341"/>
      <c r="C148" s="341"/>
      <c r="D148" s="341"/>
      <c r="E148" s="341"/>
      <c r="F148" s="341"/>
      <c r="G148" s="341"/>
      <c r="H148" s="341"/>
      <c r="I148" s="341"/>
    </row>
    <row r="149" spans="1:9" ht="20.25">
      <c r="A149" s="341"/>
      <c r="B149" s="341"/>
      <c r="C149" s="341"/>
      <c r="D149" s="341"/>
      <c r="E149" s="341"/>
      <c r="F149" s="341"/>
      <c r="G149" s="341"/>
      <c r="H149" s="341"/>
      <c r="I149" s="341"/>
    </row>
    <row r="150" spans="1:9" ht="20.25">
      <c r="A150" s="341"/>
      <c r="B150" s="341"/>
      <c r="C150" s="341"/>
      <c r="D150" s="341"/>
      <c r="E150" s="341"/>
      <c r="F150" s="341"/>
      <c r="G150" s="341"/>
      <c r="H150" s="341"/>
      <c r="I150" s="341"/>
    </row>
    <row r="151" spans="1:9" ht="20.25">
      <c r="A151" s="341"/>
      <c r="B151" s="341"/>
      <c r="C151" s="341"/>
      <c r="D151" s="341"/>
      <c r="E151" s="341"/>
      <c r="F151" s="341"/>
      <c r="G151" s="341"/>
      <c r="H151" s="341"/>
      <c r="I151" s="341"/>
    </row>
    <row r="152" spans="1:9" ht="20.25">
      <c r="A152" s="341"/>
      <c r="B152" s="341"/>
      <c r="C152" s="341"/>
      <c r="D152" s="341"/>
      <c r="E152" s="341"/>
      <c r="F152" s="341"/>
      <c r="G152" s="341"/>
      <c r="H152" s="341"/>
      <c r="I152" s="341"/>
    </row>
    <row r="153" spans="1:9" ht="20.25">
      <c r="A153" s="341"/>
      <c r="B153" s="341"/>
      <c r="C153" s="341"/>
      <c r="D153" s="341"/>
      <c r="E153" s="341"/>
      <c r="F153" s="341"/>
      <c r="G153" s="341"/>
      <c r="H153" s="341"/>
      <c r="I153" s="341"/>
    </row>
    <row r="154" spans="1:9" ht="20.25">
      <c r="A154" s="341"/>
      <c r="B154" s="341"/>
      <c r="C154" s="341"/>
      <c r="D154" s="341"/>
      <c r="E154" s="341"/>
      <c r="F154" s="341"/>
      <c r="G154" s="341"/>
      <c r="H154" s="341"/>
      <c r="I154" s="341"/>
    </row>
    <row r="155" spans="1:9" ht="20.25">
      <c r="A155" s="341"/>
      <c r="B155" s="341"/>
      <c r="C155" s="341"/>
      <c r="D155" s="341"/>
      <c r="E155" s="341"/>
      <c r="F155" s="341"/>
      <c r="G155" s="341"/>
      <c r="H155" s="341"/>
      <c r="I155" s="341"/>
    </row>
    <row r="156" spans="1:9" ht="20.25">
      <c r="A156" s="341"/>
      <c r="B156" s="341"/>
      <c r="C156" s="341"/>
      <c r="D156" s="341"/>
      <c r="E156" s="341"/>
      <c r="F156" s="341"/>
      <c r="G156" s="341"/>
      <c r="H156" s="341"/>
      <c r="I156" s="341"/>
    </row>
    <row r="157" spans="1:9" ht="20.25">
      <c r="A157" s="341"/>
      <c r="B157" s="341"/>
      <c r="C157" s="341"/>
      <c r="D157" s="341"/>
      <c r="E157" s="341"/>
      <c r="F157" s="341"/>
      <c r="G157" s="341"/>
      <c r="H157" s="341"/>
      <c r="I157" s="341"/>
    </row>
    <row r="158" spans="1:9" ht="20.25">
      <c r="A158" s="341"/>
      <c r="B158" s="341"/>
      <c r="C158" s="341"/>
      <c r="D158" s="341"/>
      <c r="E158" s="341"/>
      <c r="F158" s="341"/>
      <c r="G158" s="341"/>
      <c r="H158" s="341"/>
      <c r="I158" s="341"/>
    </row>
    <row r="159" spans="1:9" ht="20.25">
      <c r="A159" s="341"/>
      <c r="B159" s="341"/>
      <c r="C159" s="341"/>
      <c r="D159" s="341"/>
      <c r="E159" s="341"/>
      <c r="F159" s="341"/>
      <c r="G159" s="341"/>
      <c r="H159" s="341"/>
      <c r="I159" s="341"/>
    </row>
    <row r="160" spans="1:9" ht="20.25">
      <c r="A160" s="341"/>
      <c r="B160" s="341"/>
      <c r="C160" s="341"/>
      <c r="D160" s="341"/>
      <c r="E160" s="341"/>
      <c r="F160" s="341"/>
      <c r="G160" s="341"/>
      <c r="H160" s="341"/>
      <c r="I160" s="341"/>
    </row>
    <row r="161" spans="1:9" ht="20.25">
      <c r="A161" s="341"/>
      <c r="B161" s="341"/>
      <c r="C161" s="341"/>
      <c r="D161" s="341"/>
      <c r="E161" s="341"/>
      <c r="F161" s="341"/>
      <c r="G161" s="341"/>
      <c r="H161" s="341"/>
      <c r="I161" s="341"/>
    </row>
    <row r="162" spans="1:9" ht="20.25">
      <c r="A162" s="341"/>
      <c r="B162" s="341"/>
      <c r="C162" s="341"/>
      <c r="D162" s="341"/>
      <c r="E162" s="341"/>
      <c r="F162" s="341"/>
      <c r="G162" s="341"/>
      <c r="H162" s="341"/>
      <c r="I162" s="341"/>
    </row>
    <row r="163" spans="1:9" ht="20.25">
      <c r="A163" s="341"/>
      <c r="B163" s="341"/>
      <c r="C163" s="341"/>
      <c r="D163" s="341"/>
      <c r="E163" s="341"/>
      <c r="F163" s="341"/>
      <c r="G163" s="341"/>
      <c r="H163" s="341"/>
      <c r="I163" s="341"/>
    </row>
    <row r="164" spans="1:9" ht="20.25">
      <c r="A164" s="341"/>
      <c r="B164" s="341"/>
      <c r="C164" s="341"/>
      <c r="D164" s="341"/>
      <c r="E164" s="341"/>
      <c r="F164" s="341"/>
      <c r="G164" s="341"/>
      <c r="H164" s="341"/>
      <c r="I164" s="341"/>
    </row>
    <row r="165" spans="1:9" ht="20.25">
      <c r="A165" s="341"/>
      <c r="B165" s="341"/>
      <c r="C165" s="341"/>
      <c r="D165" s="341"/>
      <c r="E165" s="341"/>
      <c r="F165" s="341"/>
      <c r="G165" s="341"/>
      <c r="H165" s="341"/>
      <c r="I165" s="341"/>
    </row>
    <row r="166" spans="1:9" ht="20.25">
      <c r="A166" s="341"/>
      <c r="B166" s="341"/>
      <c r="C166" s="341"/>
      <c r="D166" s="341"/>
      <c r="E166" s="341"/>
      <c r="F166" s="341"/>
      <c r="G166" s="341"/>
      <c r="H166" s="341"/>
      <c r="I166" s="341"/>
    </row>
    <row r="167" spans="1:9" ht="20.25">
      <c r="A167" s="341"/>
      <c r="B167" s="341"/>
      <c r="C167" s="341"/>
      <c r="D167" s="341"/>
      <c r="E167" s="341"/>
      <c r="F167" s="341"/>
      <c r="G167" s="341"/>
      <c r="H167" s="341"/>
      <c r="I167" s="341"/>
    </row>
    <row r="168" spans="1:9" ht="20.25">
      <c r="A168" s="341"/>
      <c r="B168" s="341"/>
      <c r="C168" s="341"/>
      <c r="D168" s="341"/>
      <c r="E168" s="341"/>
      <c r="F168" s="341"/>
      <c r="G168" s="341"/>
      <c r="H168" s="341"/>
      <c r="I168" s="341"/>
    </row>
    <row r="169" spans="1:9" ht="20.25">
      <c r="A169" s="341"/>
      <c r="B169" s="341"/>
      <c r="C169" s="341"/>
      <c r="D169" s="341"/>
      <c r="E169" s="341"/>
      <c r="F169" s="341"/>
      <c r="G169" s="341"/>
      <c r="H169" s="341"/>
      <c r="I169" s="341"/>
    </row>
    <row r="170" spans="1:9" ht="20.25">
      <c r="A170" s="341"/>
      <c r="B170" s="341"/>
      <c r="C170" s="341"/>
      <c r="D170" s="341"/>
      <c r="E170" s="341"/>
      <c r="F170" s="341"/>
      <c r="G170" s="341"/>
      <c r="H170" s="341"/>
      <c r="I170" s="341"/>
    </row>
    <row r="171" spans="1:9" ht="20.25">
      <c r="A171" s="341"/>
      <c r="B171" s="341"/>
      <c r="C171" s="341"/>
      <c r="D171" s="341"/>
      <c r="E171" s="341"/>
      <c r="F171" s="341"/>
      <c r="G171" s="341"/>
      <c r="H171" s="341"/>
      <c r="I171" s="341"/>
    </row>
    <row r="172" spans="1:9" ht="20.25">
      <c r="A172" s="341"/>
      <c r="B172" s="341"/>
      <c r="C172" s="341"/>
      <c r="D172" s="341"/>
      <c r="E172" s="341"/>
      <c r="F172" s="341"/>
      <c r="G172" s="341"/>
      <c r="H172" s="341"/>
      <c r="I172" s="341"/>
    </row>
    <row r="173" spans="1:9" ht="20.25">
      <c r="A173" s="341"/>
      <c r="B173" s="341"/>
      <c r="C173" s="341"/>
      <c r="D173" s="341"/>
      <c r="E173" s="341"/>
      <c r="F173" s="341"/>
      <c r="G173" s="341"/>
      <c r="H173" s="341"/>
      <c r="I173" s="341"/>
    </row>
    <row r="174" spans="1:9" ht="20.25">
      <c r="A174" s="341"/>
      <c r="B174" s="341"/>
      <c r="C174" s="341"/>
      <c r="D174" s="341"/>
      <c r="E174" s="341"/>
      <c r="F174" s="341"/>
      <c r="G174" s="341"/>
      <c r="H174" s="341"/>
      <c r="I174" s="341"/>
    </row>
    <row r="175" spans="1:9" ht="20.25">
      <c r="A175" s="341"/>
      <c r="B175" s="341"/>
      <c r="C175" s="341"/>
      <c r="D175" s="341"/>
      <c r="E175" s="341"/>
      <c r="F175" s="341"/>
      <c r="G175" s="341"/>
      <c r="H175" s="341"/>
      <c r="I175" s="341"/>
    </row>
    <row r="176" spans="1:9" ht="20.25">
      <c r="A176" s="341"/>
      <c r="B176" s="341"/>
      <c r="C176" s="341"/>
      <c r="D176" s="341"/>
      <c r="E176" s="341"/>
      <c r="F176" s="341"/>
      <c r="G176" s="341"/>
      <c r="H176" s="341"/>
      <c r="I176" s="341"/>
    </row>
    <row r="177" spans="1:9" ht="20.25">
      <c r="A177" s="341"/>
      <c r="B177" s="341"/>
      <c r="C177" s="341"/>
      <c r="D177" s="341"/>
      <c r="E177" s="341"/>
      <c r="F177" s="341"/>
      <c r="G177" s="341"/>
      <c r="H177" s="341"/>
      <c r="I177" s="341"/>
    </row>
    <row r="178" spans="1:9" ht="20.25">
      <c r="A178" s="341"/>
      <c r="B178" s="341"/>
      <c r="C178" s="341"/>
      <c r="D178" s="341"/>
      <c r="E178" s="341"/>
      <c r="F178" s="341"/>
      <c r="G178" s="341"/>
      <c r="H178" s="341"/>
      <c r="I178" s="341"/>
    </row>
    <row r="179" spans="1:9" ht="20.25">
      <c r="A179" s="341"/>
      <c r="B179" s="341"/>
      <c r="C179" s="341"/>
      <c r="D179" s="341"/>
      <c r="E179" s="341"/>
      <c r="F179" s="341"/>
      <c r="G179" s="341"/>
      <c r="H179" s="341"/>
      <c r="I179" s="341"/>
    </row>
    <row r="180" spans="1:9" ht="20.25">
      <c r="A180" s="341"/>
      <c r="B180" s="341"/>
      <c r="C180" s="341"/>
      <c r="D180" s="341"/>
      <c r="E180" s="341"/>
      <c r="F180" s="341"/>
      <c r="G180" s="341"/>
      <c r="H180" s="341"/>
      <c r="I180" s="341"/>
    </row>
    <row r="181" spans="1:9" ht="20.25">
      <c r="A181" s="341"/>
      <c r="B181" s="341"/>
      <c r="C181" s="341"/>
      <c r="D181" s="341"/>
      <c r="E181" s="341"/>
      <c r="F181" s="341"/>
      <c r="G181" s="341"/>
      <c r="H181" s="341"/>
      <c r="I181" s="341"/>
    </row>
    <row r="182" spans="1:9" ht="20.25">
      <c r="A182" s="341"/>
      <c r="B182" s="341"/>
      <c r="C182" s="341"/>
      <c r="D182" s="341"/>
      <c r="E182" s="341"/>
      <c r="F182" s="341"/>
      <c r="G182" s="341"/>
      <c r="H182" s="341"/>
      <c r="I182" s="341"/>
    </row>
    <row r="183" spans="1:9" ht="20.25">
      <c r="A183" s="341"/>
      <c r="B183" s="341"/>
      <c r="C183" s="341"/>
      <c r="D183" s="341"/>
      <c r="E183" s="341"/>
      <c r="F183" s="341"/>
      <c r="G183" s="341"/>
      <c r="H183" s="341"/>
      <c r="I183" s="341"/>
    </row>
    <row r="184" spans="1:9" ht="20.25">
      <c r="A184" s="341"/>
      <c r="B184" s="341"/>
      <c r="C184" s="341"/>
      <c r="D184" s="341"/>
      <c r="E184" s="341"/>
      <c r="F184" s="341"/>
      <c r="G184" s="341"/>
      <c r="H184" s="341"/>
      <c r="I184" s="341"/>
    </row>
    <row r="185" spans="1:9" ht="20.25">
      <c r="A185" s="341"/>
      <c r="B185" s="341"/>
      <c r="C185" s="341"/>
      <c r="D185" s="341"/>
      <c r="E185" s="341"/>
      <c r="F185" s="341"/>
      <c r="G185" s="341"/>
      <c r="H185" s="341"/>
      <c r="I185" s="341"/>
    </row>
    <row r="186" spans="1:9" ht="20.25">
      <c r="A186" s="341"/>
      <c r="B186" s="341"/>
      <c r="C186" s="341"/>
      <c r="D186" s="341"/>
      <c r="E186" s="341"/>
      <c r="F186" s="341"/>
      <c r="G186" s="341"/>
      <c r="H186" s="341"/>
      <c r="I186" s="341"/>
    </row>
    <row r="187" spans="1:9" ht="20.25">
      <c r="A187" s="341"/>
      <c r="B187" s="341"/>
      <c r="C187" s="341"/>
      <c r="D187" s="341"/>
      <c r="E187" s="341"/>
      <c r="F187" s="341"/>
      <c r="G187" s="341"/>
      <c r="H187" s="341"/>
      <c r="I187" s="341"/>
    </row>
    <row r="188" spans="1:9" ht="20.25">
      <c r="A188" s="341"/>
      <c r="B188" s="341"/>
      <c r="C188" s="341"/>
      <c r="D188" s="341"/>
      <c r="E188" s="341"/>
      <c r="F188" s="341"/>
      <c r="G188" s="341"/>
      <c r="H188" s="341"/>
      <c r="I188" s="341"/>
    </row>
    <row r="189" spans="1:9" ht="20.25">
      <c r="A189" s="341"/>
      <c r="B189" s="341"/>
      <c r="C189" s="341"/>
      <c r="D189" s="341"/>
      <c r="E189" s="341"/>
      <c r="F189" s="341"/>
      <c r="G189" s="341"/>
      <c r="H189" s="341"/>
      <c r="I189" s="341"/>
    </row>
    <row r="190" spans="1:9" ht="20.25">
      <c r="A190" s="341"/>
      <c r="B190" s="341"/>
      <c r="C190" s="341"/>
      <c r="D190" s="341"/>
      <c r="E190" s="341"/>
      <c r="F190" s="341"/>
      <c r="G190" s="341"/>
      <c r="H190" s="341"/>
      <c r="I190" s="341"/>
    </row>
    <row r="191" spans="1:9" ht="20.25">
      <c r="A191" s="341"/>
      <c r="B191" s="341"/>
      <c r="C191" s="341"/>
      <c r="D191" s="341"/>
      <c r="E191" s="341"/>
      <c r="F191" s="341"/>
      <c r="G191" s="341"/>
      <c r="H191" s="341"/>
      <c r="I191" s="341"/>
    </row>
    <row r="192" spans="1:9" ht="20.25">
      <c r="A192" s="341"/>
      <c r="B192" s="341"/>
      <c r="C192" s="341"/>
      <c r="D192" s="341"/>
      <c r="E192" s="341"/>
      <c r="F192" s="341"/>
      <c r="G192" s="341"/>
      <c r="H192" s="341"/>
      <c r="I192" s="341"/>
    </row>
    <row r="193" spans="1:9" ht="20.25">
      <c r="A193" s="341"/>
      <c r="B193" s="341"/>
      <c r="C193" s="341"/>
      <c r="D193" s="341"/>
      <c r="E193" s="341"/>
      <c r="F193" s="341"/>
      <c r="G193" s="341"/>
      <c r="H193" s="341"/>
      <c r="I193" s="341"/>
    </row>
    <row r="194" spans="1:9" ht="20.25">
      <c r="A194" s="341"/>
      <c r="B194" s="341"/>
      <c r="C194" s="341"/>
      <c r="D194" s="341"/>
      <c r="E194" s="341"/>
      <c r="F194" s="341"/>
      <c r="G194" s="341"/>
      <c r="H194" s="341"/>
      <c r="I194" s="341"/>
    </row>
    <row r="195" spans="1:9" ht="20.25">
      <c r="A195" s="341"/>
      <c r="B195" s="341"/>
      <c r="C195" s="341"/>
      <c r="D195" s="341"/>
      <c r="E195" s="341"/>
      <c r="F195" s="341"/>
      <c r="G195" s="341"/>
      <c r="H195" s="341"/>
      <c r="I195" s="341"/>
    </row>
    <row r="196" spans="1:9" ht="20.25">
      <c r="A196" s="341"/>
      <c r="B196" s="341"/>
      <c r="C196" s="341"/>
      <c r="D196" s="341"/>
      <c r="E196" s="341"/>
      <c r="F196" s="341"/>
      <c r="G196" s="341"/>
      <c r="H196" s="341"/>
      <c r="I196" s="341"/>
    </row>
    <row r="197" spans="1:9" ht="20.25">
      <c r="A197" s="341"/>
      <c r="B197" s="341"/>
      <c r="C197" s="341"/>
      <c r="D197" s="341"/>
      <c r="E197" s="341"/>
      <c r="F197" s="341"/>
      <c r="G197" s="341"/>
      <c r="H197" s="341"/>
      <c r="I197" s="341"/>
    </row>
    <row r="198" spans="1:9" ht="20.25">
      <c r="A198" s="341"/>
      <c r="B198" s="341"/>
      <c r="C198" s="341"/>
      <c r="D198" s="341"/>
      <c r="E198" s="341"/>
      <c r="F198" s="341"/>
      <c r="G198" s="341"/>
      <c r="H198" s="341"/>
      <c r="I198" s="341"/>
    </row>
    <row r="199" spans="1:9" ht="20.25">
      <c r="A199" s="341"/>
      <c r="B199" s="341"/>
      <c r="C199" s="341"/>
      <c r="D199" s="341"/>
      <c r="E199" s="341"/>
      <c r="F199" s="341"/>
      <c r="G199" s="341"/>
      <c r="H199" s="341"/>
      <c r="I199" s="341"/>
    </row>
    <row r="200" spans="1:9" ht="20.25">
      <c r="A200" s="341"/>
      <c r="B200" s="341"/>
      <c r="C200" s="341"/>
      <c r="D200" s="341"/>
      <c r="E200" s="341"/>
      <c r="F200" s="341"/>
      <c r="G200" s="341"/>
      <c r="H200" s="341"/>
      <c r="I200" s="341"/>
    </row>
    <row r="201" spans="1:9" ht="20.25">
      <c r="A201" s="341"/>
      <c r="B201" s="341"/>
      <c r="C201" s="341"/>
      <c r="D201" s="341"/>
      <c r="E201" s="341"/>
      <c r="F201" s="341"/>
      <c r="G201" s="341"/>
      <c r="H201" s="341"/>
      <c r="I201" s="341"/>
    </row>
    <row r="202" spans="1:9" ht="20.25">
      <c r="A202" s="341"/>
      <c r="B202" s="341"/>
      <c r="C202" s="341"/>
      <c r="D202" s="341"/>
      <c r="E202" s="341"/>
      <c r="F202" s="341"/>
      <c r="G202" s="341"/>
      <c r="H202" s="341"/>
      <c r="I202" s="341"/>
    </row>
    <row r="203" spans="1:9" ht="20.25">
      <c r="A203" s="341"/>
      <c r="B203" s="341"/>
      <c r="C203" s="341"/>
      <c r="D203" s="341"/>
      <c r="E203" s="341"/>
      <c r="F203" s="341"/>
      <c r="G203" s="341"/>
      <c r="H203" s="341"/>
      <c r="I203" s="341"/>
    </row>
    <row r="204" spans="1:9" ht="20.25">
      <c r="A204" s="341"/>
      <c r="B204" s="341"/>
      <c r="C204" s="341"/>
      <c r="D204" s="341"/>
      <c r="E204" s="341"/>
      <c r="F204" s="341"/>
      <c r="G204" s="341"/>
      <c r="H204" s="341"/>
      <c r="I204" s="341"/>
    </row>
    <row r="205" spans="1:9" ht="20.25">
      <c r="A205" s="341"/>
      <c r="B205" s="341"/>
      <c r="C205" s="341"/>
      <c r="D205" s="341"/>
      <c r="E205" s="341"/>
      <c r="F205" s="341"/>
      <c r="G205" s="341"/>
      <c r="H205" s="341"/>
      <c r="I205" s="341"/>
    </row>
    <row r="206" spans="1:9" ht="20.25">
      <c r="A206" s="341"/>
      <c r="B206" s="341"/>
      <c r="C206" s="341"/>
      <c r="D206" s="341"/>
      <c r="E206" s="341"/>
      <c r="F206" s="341"/>
      <c r="G206" s="341"/>
      <c r="H206" s="341"/>
      <c r="I206" s="341"/>
    </row>
    <row r="207" spans="1:9" ht="20.25">
      <c r="A207" s="341"/>
      <c r="B207" s="341"/>
      <c r="C207" s="341"/>
      <c r="D207" s="341"/>
      <c r="E207" s="341"/>
      <c r="F207" s="341"/>
      <c r="G207" s="341"/>
      <c r="H207" s="341"/>
      <c r="I207" s="341"/>
    </row>
    <row r="208" spans="1:9" ht="20.25">
      <c r="A208" s="341"/>
      <c r="B208" s="341"/>
      <c r="C208" s="341"/>
      <c r="D208" s="341"/>
      <c r="E208" s="341"/>
      <c r="F208" s="341"/>
      <c r="G208" s="341"/>
      <c r="H208" s="341"/>
      <c r="I208" s="341"/>
    </row>
    <row r="209" spans="1:9" ht="20.25">
      <c r="A209" s="341"/>
      <c r="B209" s="341"/>
      <c r="C209" s="341"/>
      <c r="D209" s="341"/>
      <c r="E209" s="341"/>
      <c r="F209" s="341"/>
      <c r="G209" s="341"/>
      <c r="H209" s="341"/>
      <c r="I209" s="341"/>
    </row>
    <row r="210" spans="1:9" ht="20.25">
      <c r="A210" s="341"/>
      <c r="B210" s="341"/>
      <c r="C210" s="341"/>
      <c r="D210" s="341"/>
      <c r="E210" s="341"/>
      <c r="F210" s="341"/>
      <c r="G210" s="341"/>
      <c r="H210" s="341"/>
      <c r="I210" s="341"/>
    </row>
    <row r="211" spans="1:9" ht="20.25">
      <c r="A211" s="341"/>
      <c r="B211" s="341"/>
      <c r="C211" s="341"/>
      <c r="D211" s="341"/>
      <c r="E211" s="341"/>
      <c r="F211" s="341"/>
      <c r="G211" s="341"/>
      <c r="H211" s="341"/>
      <c r="I211" s="341"/>
    </row>
    <row r="212" spans="1:9" ht="20.25">
      <c r="A212" s="341"/>
      <c r="B212" s="341"/>
      <c r="C212" s="341"/>
      <c r="D212" s="341"/>
      <c r="E212" s="341"/>
      <c r="F212" s="341"/>
      <c r="G212" s="341"/>
      <c r="H212" s="341"/>
      <c r="I212" s="341"/>
    </row>
    <row r="213" spans="1:9" ht="20.25">
      <c r="A213" s="341"/>
      <c r="B213" s="341"/>
      <c r="C213" s="341"/>
      <c r="D213" s="341"/>
      <c r="E213" s="341"/>
      <c r="F213" s="341"/>
      <c r="G213" s="341"/>
      <c r="H213" s="341"/>
      <c r="I213" s="341"/>
    </row>
    <row r="214" spans="1:9" ht="20.25">
      <c r="A214" s="341"/>
      <c r="B214" s="341"/>
      <c r="C214" s="341"/>
      <c r="D214" s="341"/>
      <c r="E214" s="341"/>
      <c r="F214" s="341"/>
      <c r="G214" s="341"/>
      <c r="H214" s="341"/>
      <c r="I214" s="341"/>
    </row>
    <row r="215" spans="1:9" ht="20.25">
      <c r="A215" s="341"/>
      <c r="B215" s="341"/>
      <c r="C215" s="341"/>
      <c r="D215" s="341"/>
      <c r="E215" s="341"/>
      <c r="F215" s="341"/>
      <c r="G215" s="341"/>
      <c r="H215" s="341"/>
      <c r="I215" s="341"/>
    </row>
    <row r="216" spans="1:9" ht="20.25">
      <c r="A216" s="341"/>
      <c r="B216" s="341"/>
      <c r="C216" s="341"/>
      <c r="D216" s="341"/>
      <c r="E216" s="341"/>
      <c r="F216" s="341"/>
      <c r="G216" s="341"/>
      <c r="H216" s="341"/>
      <c r="I216" s="341"/>
    </row>
    <row r="217" spans="1:9" ht="20.25">
      <c r="A217" s="341"/>
      <c r="B217" s="341"/>
      <c r="C217" s="341"/>
      <c r="D217" s="341"/>
      <c r="E217" s="341"/>
      <c r="F217" s="341"/>
      <c r="G217" s="341"/>
      <c r="H217" s="341"/>
      <c r="I217" s="341"/>
    </row>
    <row r="218" spans="1:9" ht="20.25">
      <c r="A218" s="341"/>
      <c r="B218" s="341"/>
      <c r="C218" s="341"/>
      <c r="D218" s="341"/>
      <c r="E218" s="341"/>
      <c r="F218" s="341"/>
      <c r="G218" s="341"/>
      <c r="H218" s="341"/>
      <c r="I218" s="341"/>
    </row>
    <row r="219" spans="1:9" ht="20.25">
      <c r="A219" s="341"/>
      <c r="B219" s="341"/>
      <c r="C219" s="341"/>
      <c r="D219" s="341"/>
      <c r="E219" s="341"/>
      <c r="F219" s="341"/>
      <c r="G219" s="341"/>
      <c r="H219" s="341"/>
      <c r="I219" s="341"/>
    </row>
    <row r="220" spans="1:9" ht="20.25">
      <c r="A220" s="341"/>
      <c r="B220" s="341"/>
      <c r="C220" s="341"/>
      <c r="D220" s="341"/>
      <c r="E220" s="341"/>
      <c r="F220" s="341"/>
      <c r="G220" s="341"/>
      <c r="H220" s="341"/>
      <c r="I220" s="341"/>
    </row>
    <row r="221" spans="1:9" ht="20.25">
      <c r="A221" s="341"/>
      <c r="B221" s="341"/>
      <c r="C221" s="341"/>
      <c r="D221" s="341"/>
      <c r="E221" s="341"/>
      <c r="F221" s="341"/>
      <c r="G221" s="341"/>
      <c r="H221" s="341"/>
      <c r="I221" s="341"/>
    </row>
    <row r="222" spans="1:9" ht="20.25">
      <c r="A222" s="341"/>
      <c r="B222" s="341"/>
      <c r="C222" s="341"/>
      <c r="D222" s="341"/>
      <c r="E222" s="341"/>
      <c r="F222" s="341"/>
      <c r="G222" s="341"/>
      <c r="H222" s="341"/>
      <c r="I222" s="341"/>
    </row>
    <row r="223" spans="1:9" ht="20.25">
      <c r="A223" s="341"/>
      <c r="B223" s="341"/>
      <c r="C223" s="341"/>
      <c r="D223" s="341"/>
      <c r="E223" s="341"/>
      <c r="F223" s="341"/>
      <c r="G223" s="341"/>
      <c r="H223" s="341"/>
      <c r="I223" s="341"/>
    </row>
    <row r="224" spans="1:9" ht="20.25">
      <c r="A224" s="341"/>
      <c r="B224" s="341"/>
      <c r="C224" s="341"/>
      <c r="D224" s="341"/>
      <c r="E224" s="341"/>
      <c r="F224" s="341"/>
      <c r="G224" s="341"/>
      <c r="H224" s="341"/>
      <c r="I224" s="341"/>
    </row>
    <row r="225" spans="1:9" ht="20.25">
      <c r="A225" s="341"/>
      <c r="B225" s="341"/>
      <c r="C225" s="341"/>
      <c r="D225" s="341"/>
      <c r="E225" s="341"/>
      <c r="F225" s="341"/>
      <c r="G225" s="341"/>
      <c r="H225" s="341"/>
      <c r="I225" s="341"/>
    </row>
    <row r="226" spans="1:9" ht="20.25">
      <c r="A226" s="341"/>
      <c r="B226" s="341"/>
      <c r="C226" s="341"/>
      <c r="D226" s="341"/>
      <c r="E226" s="341"/>
      <c r="F226" s="341"/>
      <c r="G226" s="341"/>
      <c r="H226" s="341"/>
      <c r="I226" s="341"/>
    </row>
    <row r="227" spans="1:9" ht="20.25">
      <c r="A227" s="341"/>
      <c r="B227" s="341"/>
      <c r="C227" s="341"/>
      <c r="D227" s="341"/>
      <c r="E227" s="341"/>
      <c r="F227" s="341"/>
      <c r="G227" s="341"/>
      <c r="H227" s="341"/>
      <c r="I227" s="341"/>
    </row>
    <row r="228" spans="1:9" ht="20.25">
      <c r="A228" s="341"/>
      <c r="B228" s="341"/>
      <c r="C228" s="341"/>
      <c r="D228" s="341"/>
      <c r="E228" s="341"/>
      <c r="F228" s="341"/>
      <c r="G228" s="341"/>
      <c r="H228" s="341"/>
      <c r="I228" s="341"/>
    </row>
    <row r="229" spans="1:9" ht="20.25">
      <c r="A229" s="341"/>
      <c r="B229" s="341"/>
      <c r="C229" s="341"/>
      <c r="D229" s="341"/>
      <c r="E229" s="341"/>
      <c r="F229" s="341"/>
      <c r="G229" s="341"/>
      <c r="H229" s="341"/>
      <c r="I229" s="341"/>
    </row>
    <row r="230" spans="1:9" ht="20.25">
      <c r="A230" s="341"/>
      <c r="B230" s="341"/>
      <c r="C230" s="341"/>
      <c r="D230" s="341"/>
      <c r="E230" s="341"/>
      <c r="F230" s="341"/>
      <c r="G230" s="341"/>
      <c r="H230" s="341"/>
      <c r="I230" s="341"/>
    </row>
    <row r="231" spans="1:9" ht="20.25">
      <c r="A231" s="341"/>
      <c r="B231" s="341"/>
      <c r="C231" s="341"/>
      <c r="D231" s="341"/>
      <c r="E231" s="341"/>
      <c r="F231" s="341"/>
      <c r="G231" s="341"/>
      <c r="H231" s="341"/>
      <c r="I231" s="341"/>
    </row>
    <row r="232" spans="1:9" ht="20.25">
      <c r="A232" s="341"/>
      <c r="B232" s="341"/>
      <c r="C232" s="341"/>
      <c r="D232" s="341"/>
      <c r="E232" s="341"/>
      <c r="F232" s="341"/>
      <c r="G232" s="341"/>
      <c r="H232" s="341"/>
      <c r="I232" s="341"/>
    </row>
    <row r="233" spans="1:9" ht="20.25">
      <c r="A233" s="341"/>
      <c r="B233" s="341"/>
      <c r="C233" s="341"/>
      <c r="D233" s="341"/>
      <c r="E233" s="341"/>
      <c r="F233" s="341"/>
      <c r="G233" s="341"/>
      <c r="H233" s="341"/>
      <c r="I233" s="341"/>
    </row>
    <row r="234" spans="1:9" ht="20.25">
      <c r="A234" s="341"/>
      <c r="B234" s="341"/>
      <c r="C234" s="341"/>
      <c r="D234" s="341"/>
      <c r="E234" s="341"/>
      <c r="F234" s="341"/>
      <c r="G234" s="341"/>
      <c r="H234" s="341"/>
      <c r="I234" s="341"/>
    </row>
    <row r="235" spans="1:9" ht="20.25">
      <c r="A235" s="341"/>
      <c r="B235" s="341"/>
      <c r="C235" s="341"/>
      <c r="D235" s="341"/>
      <c r="E235" s="341"/>
      <c r="F235" s="341"/>
      <c r="G235" s="341"/>
      <c r="H235" s="341"/>
      <c r="I235" s="341"/>
    </row>
    <row r="236" spans="1:9" ht="20.25">
      <c r="A236" s="341"/>
      <c r="B236" s="341"/>
      <c r="C236" s="341"/>
      <c r="D236" s="341"/>
      <c r="E236" s="341"/>
      <c r="F236" s="341"/>
      <c r="G236" s="341"/>
      <c r="H236" s="341"/>
      <c r="I236" s="341"/>
    </row>
    <row r="237" spans="1:9" ht="20.25">
      <c r="A237" s="341"/>
      <c r="B237" s="341"/>
      <c r="C237" s="341"/>
      <c r="D237" s="341"/>
      <c r="E237" s="341"/>
      <c r="F237" s="341"/>
      <c r="G237" s="341"/>
      <c r="H237" s="341"/>
      <c r="I237" s="341"/>
    </row>
    <row r="238" spans="1:9" ht="20.25">
      <c r="A238" s="341"/>
      <c r="B238" s="341"/>
      <c r="C238" s="341"/>
      <c r="D238" s="341"/>
      <c r="E238" s="341"/>
      <c r="F238" s="341"/>
      <c r="G238" s="341"/>
      <c r="H238" s="341"/>
      <c r="I238" s="341"/>
    </row>
    <row r="239" spans="1:9" ht="20.25">
      <c r="A239" s="341"/>
      <c r="B239" s="341"/>
      <c r="C239" s="341"/>
      <c r="D239" s="341"/>
      <c r="E239" s="341"/>
      <c r="F239" s="341"/>
      <c r="G239" s="341"/>
      <c r="H239" s="341"/>
      <c r="I239" s="341"/>
    </row>
    <row r="240" spans="1:9" ht="20.25">
      <c r="A240" s="341"/>
      <c r="B240" s="341"/>
      <c r="C240" s="341"/>
      <c r="D240" s="341"/>
      <c r="E240" s="341"/>
      <c r="F240" s="341"/>
      <c r="G240" s="341"/>
      <c r="H240" s="341"/>
      <c r="I240" s="341"/>
    </row>
    <row r="241" spans="1:9" ht="20.25">
      <c r="A241" s="341"/>
      <c r="B241" s="341"/>
      <c r="C241" s="341"/>
      <c r="D241" s="341"/>
      <c r="E241" s="341"/>
      <c r="F241" s="341"/>
      <c r="G241" s="341"/>
      <c r="H241" s="341"/>
      <c r="I241" s="341"/>
    </row>
    <row r="242" spans="1:9" ht="20.25">
      <c r="A242" s="341"/>
      <c r="B242" s="341"/>
      <c r="C242" s="341"/>
      <c r="D242" s="341"/>
      <c r="E242" s="341"/>
      <c r="F242" s="341"/>
      <c r="G242" s="341"/>
      <c r="H242" s="341"/>
      <c r="I242" s="341"/>
    </row>
    <row r="243" spans="1:9" ht="20.25">
      <c r="A243" s="341"/>
      <c r="B243" s="341"/>
      <c r="C243" s="341"/>
      <c r="D243" s="341"/>
      <c r="E243" s="341"/>
      <c r="F243" s="341"/>
      <c r="G243" s="341"/>
      <c r="H243" s="341"/>
      <c r="I243" s="341"/>
    </row>
    <row r="244" spans="1:9" ht="20.25">
      <c r="A244" s="341"/>
      <c r="B244" s="341"/>
      <c r="C244" s="341"/>
      <c r="D244" s="341"/>
      <c r="E244" s="341"/>
      <c r="F244" s="341"/>
      <c r="G244" s="341"/>
      <c r="H244" s="341"/>
      <c r="I244" s="341"/>
    </row>
    <row r="245" spans="1:9" ht="20.25">
      <c r="A245" s="341"/>
      <c r="B245" s="341"/>
      <c r="C245" s="341"/>
      <c r="D245" s="341"/>
      <c r="E245" s="341"/>
      <c r="F245" s="341"/>
      <c r="G245" s="341"/>
      <c r="H245" s="341"/>
      <c r="I245" s="341"/>
    </row>
    <row r="246" spans="1:9" ht="20.25">
      <c r="A246" s="341"/>
      <c r="B246" s="341"/>
      <c r="C246" s="341"/>
      <c r="D246" s="341"/>
      <c r="E246" s="341"/>
      <c r="F246" s="341"/>
      <c r="G246" s="341"/>
      <c r="H246" s="341"/>
      <c r="I246" s="341"/>
    </row>
    <row r="247" spans="1:9" ht="20.25">
      <c r="A247" s="341"/>
      <c r="B247" s="341"/>
      <c r="C247" s="341"/>
      <c r="D247" s="341"/>
      <c r="E247" s="341"/>
      <c r="F247" s="341"/>
      <c r="G247" s="341"/>
      <c r="H247" s="341"/>
      <c r="I247" s="341"/>
    </row>
    <row r="248" spans="1:9" ht="20.25">
      <c r="A248" s="341"/>
      <c r="B248" s="341"/>
      <c r="C248" s="341"/>
      <c r="D248" s="341"/>
      <c r="E248" s="341"/>
      <c r="F248" s="341"/>
      <c r="G248" s="341"/>
      <c r="H248" s="341"/>
      <c r="I248" s="341"/>
    </row>
    <row r="249" spans="1:9" ht="20.25">
      <c r="A249" s="341"/>
      <c r="B249" s="341"/>
      <c r="C249" s="341"/>
      <c r="D249" s="341"/>
      <c r="E249" s="341"/>
      <c r="F249" s="341"/>
      <c r="G249" s="341"/>
      <c r="H249" s="341"/>
      <c r="I249" s="341"/>
    </row>
    <row r="250" spans="1:9" ht="20.25">
      <c r="A250" s="341"/>
      <c r="B250" s="341"/>
      <c r="C250" s="341"/>
      <c r="D250" s="341"/>
      <c r="E250" s="341"/>
      <c r="F250" s="341"/>
      <c r="G250" s="341"/>
      <c r="H250" s="341"/>
      <c r="I250" s="341"/>
    </row>
    <row r="251" spans="1:9" ht="20.25">
      <c r="A251" s="341"/>
      <c r="B251" s="341"/>
      <c r="C251" s="341"/>
      <c r="D251" s="341"/>
      <c r="E251" s="341"/>
      <c r="F251" s="341"/>
      <c r="G251" s="341"/>
      <c r="H251" s="341"/>
      <c r="I251" s="341"/>
    </row>
    <row r="252" spans="1:9" ht="20.25">
      <c r="A252" s="341"/>
      <c r="B252" s="341"/>
      <c r="C252" s="341"/>
      <c r="D252" s="341"/>
      <c r="E252" s="341"/>
      <c r="F252" s="341"/>
      <c r="G252" s="341"/>
      <c r="H252" s="341"/>
      <c r="I252" s="341"/>
    </row>
    <row r="253" spans="1:9" ht="20.25">
      <c r="A253" s="341"/>
      <c r="B253" s="341"/>
      <c r="C253" s="341"/>
      <c r="D253" s="341"/>
      <c r="E253" s="341"/>
      <c r="F253" s="341"/>
      <c r="G253" s="341"/>
      <c r="H253" s="341"/>
      <c r="I253" s="341"/>
    </row>
    <row r="254" spans="1:9" ht="20.25">
      <c r="A254" s="341"/>
      <c r="B254" s="341"/>
      <c r="C254" s="341"/>
      <c r="D254" s="341"/>
      <c r="E254" s="341"/>
      <c r="F254" s="341"/>
      <c r="G254" s="341"/>
      <c r="H254" s="341"/>
      <c r="I254" s="341"/>
    </row>
    <row r="255" spans="1:9" ht="20.25">
      <c r="A255" s="341"/>
      <c r="B255" s="341"/>
      <c r="C255" s="341"/>
      <c r="D255" s="341"/>
      <c r="E255" s="341"/>
      <c r="F255" s="341"/>
      <c r="G255" s="341"/>
      <c r="H255" s="341"/>
      <c r="I255" s="341"/>
    </row>
    <row r="256" spans="1:9" ht="20.25">
      <c r="A256" s="341"/>
      <c r="B256" s="341"/>
      <c r="C256" s="341"/>
      <c r="D256" s="341"/>
      <c r="E256" s="341"/>
      <c r="F256" s="341"/>
      <c r="G256" s="341"/>
      <c r="H256" s="341"/>
      <c r="I256" s="341"/>
    </row>
    <row r="257" spans="1:9" ht="20.25">
      <c r="A257" s="341"/>
      <c r="B257" s="341"/>
      <c r="C257" s="341"/>
      <c r="D257" s="341"/>
      <c r="E257" s="341"/>
      <c r="F257" s="341"/>
      <c r="G257" s="341"/>
      <c r="H257" s="341"/>
      <c r="I257" s="341"/>
    </row>
    <row r="258" spans="1:9" ht="20.25">
      <c r="A258" s="341"/>
      <c r="B258" s="341"/>
      <c r="C258" s="341"/>
      <c r="D258" s="341"/>
      <c r="E258" s="341"/>
      <c r="F258" s="341"/>
      <c r="G258" s="341"/>
      <c r="H258" s="341"/>
      <c r="I258" s="341"/>
    </row>
    <row r="259" spans="1:9" ht="20.25">
      <c r="A259" s="341"/>
      <c r="B259" s="341"/>
      <c r="C259" s="341"/>
      <c r="D259" s="341"/>
      <c r="E259" s="341"/>
      <c r="F259" s="341"/>
      <c r="G259" s="341"/>
      <c r="H259" s="341"/>
      <c r="I259" s="341"/>
    </row>
    <row r="260" spans="1:9" ht="20.25">
      <c r="A260" s="341"/>
      <c r="B260" s="341"/>
      <c r="C260" s="341"/>
      <c r="D260" s="341"/>
      <c r="E260" s="341"/>
      <c r="F260" s="341"/>
      <c r="G260" s="341"/>
      <c r="H260" s="341"/>
      <c r="I260" s="341"/>
    </row>
    <row r="261" spans="1:9" ht="20.25">
      <c r="A261" s="341"/>
      <c r="B261" s="341"/>
      <c r="C261" s="341"/>
      <c r="D261" s="341"/>
      <c r="E261" s="341"/>
      <c r="F261" s="341"/>
      <c r="G261" s="341"/>
      <c r="H261" s="341"/>
      <c r="I261" s="341"/>
    </row>
    <row r="262" spans="1:9" ht="20.25">
      <c r="A262" s="341"/>
      <c r="B262" s="341"/>
      <c r="C262" s="341"/>
      <c r="D262" s="341"/>
      <c r="E262" s="341"/>
      <c r="F262" s="341"/>
      <c r="G262" s="341"/>
      <c r="H262" s="341"/>
      <c r="I262" s="341"/>
    </row>
    <row r="263" spans="1:9" ht="20.25">
      <c r="A263" s="341"/>
      <c r="B263" s="341"/>
      <c r="C263" s="341"/>
      <c r="D263" s="341"/>
      <c r="E263" s="341"/>
      <c r="F263" s="341"/>
      <c r="G263" s="341"/>
      <c r="H263" s="341"/>
      <c r="I263" s="341"/>
    </row>
    <row r="264" spans="1:9" ht="20.25">
      <c r="A264" s="341"/>
      <c r="B264" s="341"/>
      <c r="C264" s="341"/>
      <c r="D264" s="341"/>
      <c r="E264" s="341"/>
      <c r="F264" s="341"/>
      <c r="G264" s="341"/>
      <c r="H264" s="341"/>
      <c r="I264" s="341"/>
    </row>
    <row r="265" spans="1:9" ht="20.25">
      <c r="A265" s="341"/>
      <c r="B265" s="341"/>
      <c r="C265" s="341"/>
      <c r="D265" s="341"/>
      <c r="E265" s="341"/>
      <c r="F265" s="341"/>
      <c r="G265" s="341"/>
      <c r="H265" s="341"/>
      <c r="I265" s="341"/>
    </row>
    <row r="266" spans="1:9" ht="20.25">
      <c r="A266" s="341"/>
      <c r="B266" s="341"/>
      <c r="C266" s="341"/>
      <c r="D266" s="341"/>
      <c r="E266" s="341"/>
      <c r="F266" s="341"/>
      <c r="G266" s="341"/>
      <c r="H266" s="341"/>
      <c r="I266" s="341"/>
    </row>
    <row r="267" spans="1:9" ht="20.25">
      <c r="A267" s="341"/>
      <c r="B267" s="341"/>
      <c r="C267" s="341"/>
      <c r="D267" s="341"/>
      <c r="E267" s="341"/>
      <c r="F267" s="341"/>
      <c r="G267" s="341"/>
      <c r="H267" s="341"/>
      <c r="I267" s="341"/>
    </row>
    <row r="268" spans="1:9" ht="20.25">
      <c r="A268" s="341"/>
      <c r="B268" s="341"/>
      <c r="C268" s="341"/>
      <c r="D268" s="341"/>
      <c r="E268" s="341"/>
      <c r="F268" s="341"/>
      <c r="G268" s="341"/>
      <c r="H268" s="341"/>
      <c r="I268" s="341"/>
    </row>
    <row r="269" spans="1:9" ht="20.25">
      <c r="A269" s="341"/>
      <c r="B269" s="341"/>
      <c r="C269" s="341"/>
      <c r="D269" s="341"/>
      <c r="E269" s="341"/>
      <c r="F269" s="341"/>
      <c r="G269" s="341"/>
      <c r="H269" s="341"/>
      <c r="I269" s="341"/>
    </row>
    <row r="270" spans="1:9" ht="20.25">
      <c r="A270" s="341"/>
      <c r="B270" s="341"/>
      <c r="C270" s="341"/>
      <c r="D270" s="341"/>
      <c r="E270" s="341"/>
      <c r="F270" s="341"/>
      <c r="G270" s="341"/>
      <c r="H270" s="341"/>
      <c r="I270" s="341"/>
    </row>
    <row r="271" spans="1:9" ht="20.25">
      <c r="A271" s="341"/>
      <c r="B271" s="341"/>
      <c r="C271" s="341"/>
      <c r="D271" s="341"/>
      <c r="E271" s="341"/>
      <c r="F271" s="341"/>
      <c r="G271" s="341"/>
      <c r="H271" s="341"/>
      <c r="I271" s="341"/>
    </row>
    <row r="272" spans="1:9" ht="20.25">
      <c r="A272" s="341"/>
      <c r="B272" s="341"/>
      <c r="C272" s="341"/>
      <c r="D272" s="341"/>
      <c r="E272" s="341"/>
      <c r="F272" s="341"/>
      <c r="G272" s="341"/>
      <c r="H272" s="341"/>
      <c r="I272" s="341"/>
    </row>
    <row r="273" spans="1:9" ht="20.25">
      <c r="A273" s="341"/>
      <c r="B273" s="341"/>
      <c r="C273" s="341"/>
      <c r="D273" s="341"/>
      <c r="E273" s="341"/>
      <c r="F273" s="341"/>
      <c r="G273" s="341"/>
      <c r="H273" s="341"/>
      <c r="I273" s="341"/>
    </row>
    <row r="274" spans="1:9" ht="20.25">
      <c r="A274" s="341"/>
      <c r="B274" s="341"/>
      <c r="C274" s="341"/>
      <c r="D274" s="341"/>
      <c r="E274" s="341"/>
      <c r="F274" s="341"/>
      <c r="G274" s="341"/>
      <c r="H274" s="341"/>
      <c r="I274" s="341"/>
    </row>
    <row r="275" spans="1:9" ht="20.25">
      <c r="A275" s="341"/>
      <c r="B275" s="341"/>
      <c r="C275" s="341"/>
      <c r="D275" s="341"/>
      <c r="E275" s="341"/>
      <c r="F275" s="341"/>
      <c r="G275" s="341"/>
      <c r="H275" s="341"/>
      <c r="I275" s="341"/>
    </row>
    <row r="276" spans="1:9" ht="20.25">
      <c r="A276" s="341"/>
      <c r="B276" s="341"/>
      <c r="C276" s="341"/>
      <c r="D276" s="341"/>
      <c r="E276" s="341"/>
      <c r="F276" s="341"/>
      <c r="G276" s="341"/>
      <c r="H276" s="341"/>
      <c r="I276" s="341"/>
    </row>
    <row r="277" spans="1:9" ht="20.25">
      <c r="A277" s="341"/>
      <c r="B277" s="341"/>
      <c r="C277" s="341"/>
      <c r="D277" s="341"/>
      <c r="E277" s="341"/>
      <c r="F277" s="341"/>
      <c r="G277" s="341"/>
      <c r="H277" s="341"/>
      <c r="I277" s="341"/>
    </row>
    <row r="278" spans="1:9" ht="20.25">
      <c r="A278" s="341"/>
      <c r="B278" s="341"/>
      <c r="C278" s="341"/>
      <c r="D278" s="341"/>
      <c r="E278" s="341"/>
      <c r="F278" s="341"/>
      <c r="G278" s="341"/>
      <c r="H278" s="341"/>
      <c r="I278" s="341"/>
    </row>
    <row r="279" spans="1:9" ht="20.25">
      <c r="A279" s="341"/>
      <c r="B279" s="341"/>
      <c r="C279" s="341"/>
      <c r="D279" s="341"/>
      <c r="E279" s="341"/>
      <c r="F279" s="341"/>
      <c r="G279" s="341"/>
      <c r="H279" s="341"/>
      <c r="I279" s="341"/>
    </row>
    <row r="280" spans="1:9" ht="20.25">
      <c r="A280" s="341"/>
      <c r="B280" s="341"/>
      <c r="C280" s="341"/>
      <c r="D280" s="341"/>
      <c r="E280" s="341"/>
      <c r="F280" s="341"/>
      <c r="G280" s="341"/>
      <c r="H280" s="341"/>
      <c r="I280" s="341"/>
    </row>
    <row r="281" spans="1:9" ht="20.25">
      <c r="A281" s="341"/>
      <c r="B281" s="341"/>
      <c r="C281" s="341"/>
      <c r="D281" s="341"/>
      <c r="E281" s="341"/>
      <c r="F281" s="341"/>
      <c r="G281" s="341"/>
      <c r="H281" s="341"/>
      <c r="I281" s="341"/>
    </row>
    <row r="282" spans="1:9" ht="20.25">
      <c r="A282" s="341"/>
      <c r="B282" s="341"/>
      <c r="C282" s="341"/>
      <c r="D282" s="341"/>
      <c r="E282" s="341"/>
      <c r="F282" s="341"/>
      <c r="G282" s="341"/>
      <c r="H282" s="341"/>
      <c r="I282" s="341"/>
    </row>
    <row r="283" spans="1:9" ht="20.25">
      <c r="A283" s="341"/>
      <c r="B283" s="341"/>
      <c r="C283" s="341"/>
      <c r="D283" s="341"/>
      <c r="E283" s="341"/>
      <c r="F283" s="341"/>
      <c r="G283" s="341"/>
      <c r="H283" s="341"/>
      <c r="I283" s="341"/>
    </row>
    <row r="284" spans="1:9" ht="20.25">
      <c r="A284" s="341"/>
      <c r="B284" s="341"/>
      <c r="C284" s="341"/>
      <c r="D284" s="341"/>
      <c r="E284" s="341"/>
      <c r="F284" s="341"/>
      <c r="G284" s="341"/>
      <c r="H284" s="341"/>
      <c r="I284" s="341"/>
    </row>
    <row r="285" spans="1:9" ht="20.25">
      <c r="A285" s="341"/>
      <c r="B285" s="341"/>
      <c r="C285" s="341"/>
      <c r="D285" s="341"/>
      <c r="E285" s="341"/>
      <c r="F285" s="341"/>
      <c r="G285" s="341"/>
      <c r="H285" s="341"/>
      <c r="I285" s="341"/>
    </row>
    <row r="286" spans="1:9" ht="20.25">
      <c r="A286" s="341"/>
      <c r="B286" s="341"/>
      <c r="C286" s="341"/>
      <c r="D286" s="341"/>
      <c r="E286" s="341"/>
      <c r="F286" s="341"/>
      <c r="G286" s="341"/>
      <c r="H286" s="341"/>
      <c r="I286" s="341"/>
    </row>
    <row r="287" spans="1:9" ht="20.25">
      <c r="A287" s="341"/>
      <c r="B287" s="341"/>
      <c r="C287" s="341"/>
      <c r="D287" s="341"/>
      <c r="E287" s="341"/>
      <c r="F287" s="341"/>
      <c r="G287" s="341"/>
      <c r="H287" s="341"/>
      <c r="I287" s="341"/>
    </row>
    <row r="288" spans="1:9" ht="20.25">
      <c r="A288" s="341"/>
      <c r="B288" s="341"/>
      <c r="C288" s="341"/>
      <c r="D288" s="341"/>
      <c r="E288" s="341"/>
      <c r="F288" s="341"/>
      <c r="G288" s="341"/>
      <c r="H288" s="341"/>
      <c r="I288" s="341"/>
    </row>
    <row r="289" spans="1:9" ht="20.25">
      <c r="A289" s="341"/>
      <c r="B289" s="341"/>
      <c r="C289" s="341"/>
      <c r="D289" s="341"/>
      <c r="E289" s="341"/>
      <c r="F289" s="341"/>
      <c r="G289" s="341"/>
      <c r="H289" s="341"/>
      <c r="I289" s="341"/>
    </row>
    <row r="290" spans="1:9" ht="20.25">
      <c r="A290" s="341"/>
      <c r="B290" s="341"/>
      <c r="C290" s="341"/>
      <c r="D290" s="341"/>
      <c r="E290" s="341"/>
      <c r="F290" s="341"/>
      <c r="G290" s="341"/>
      <c r="H290" s="341"/>
      <c r="I290" s="341"/>
    </row>
    <row r="291" spans="1:9" ht="20.25">
      <c r="A291" s="341"/>
      <c r="B291" s="341"/>
      <c r="C291" s="341"/>
      <c r="D291" s="341"/>
      <c r="E291" s="341"/>
      <c r="F291" s="341"/>
      <c r="G291" s="341"/>
      <c r="H291" s="341"/>
      <c r="I291" s="341"/>
    </row>
    <row r="292" spans="1:9" ht="20.25">
      <c r="A292" s="341"/>
      <c r="B292" s="341"/>
      <c r="C292" s="341"/>
      <c r="D292" s="341"/>
      <c r="E292" s="341"/>
      <c r="F292" s="341"/>
      <c r="G292" s="341"/>
      <c r="H292" s="341"/>
      <c r="I292" s="341"/>
    </row>
    <row r="293" spans="1:9" ht="20.25">
      <c r="A293" s="341"/>
      <c r="B293" s="341"/>
      <c r="C293" s="341"/>
      <c r="D293" s="341"/>
      <c r="E293" s="341"/>
      <c r="F293" s="341"/>
      <c r="G293" s="341"/>
      <c r="H293" s="341"/>
      <c r="I293" s="341"/>
    </row>
    <row r="294" spans="1:9" ht="20.25">
      <c r="A294" s="341"/>
      <c r="B294" s="341"/>
      <c r="C294" s="341"/>
      <c r="D294" s="341"/>
      <c r="E294" s="341"/>
      <c r="F294" s="341"/>
      <c r="G294" s="341"/>
      <c r="H294" s="341"/>
      <c r="I294" s="341"/>
    </row>
    <row r="295" spans="1:9" ht="20.25">
      <c r="A295" s="341"/>
      <c r="B295" s="341"/>
      <c r="C295" s="341"/>
      <c r="D295" s="341"/>
      <c r="E295" s="341"/>
      <c r="F295" s="341"/>
      <c r="G295" s="341"/>
      <c r="H295" s="341"/>
      <c r="I295" s="341"/>
    </row>
    <row r="296" spans="1:9" ht="20.25">
      <c r="A296" s="341"/>
      <c r="B296" s="341"/>
      <c r="C296" s="341"/>
      <c r="D296" s="341"/>
      <c r="E296" s="341"/>
      <c r="F296" s="341"/>
      <c r="G296" s="341"/>
      <c r="H296" s="341"/>
      <c r="I296" s="341"/>
    </row>
    <row r="297" spans="1:9" ht="20.25">
      <c r="A297" s="341"/>
      <c r="B297" s="341"/>
      <c r="C297" s="341"/>
      <c r="D297" s="341"/>
      <c r="E297" s="341"/>
      <c r="F297" s="341"/>
      <c r="G297" s="341"/>
      <c r="H297" s="341"/>
      <c r="I297" s="341"/>
    </row>
    <row r="298" spans="1:9" ht="20.25">
      <c r="A298" s="341"/>
      <c r="B298" s="341"/>
      <c r="C298" s="341"/>
      <c r="D298" s="341"/>
      <c r="E298" s="341"/>
      <c r="F298" s="341"/>
      <c r="G298" s="341"/>
      <c r="H298" s="341"/>
      <c r="I298" s="341"/>
    </row>
    <row r="299" spans="1:9" ht="20.25">
      <c r="A299" s="341"/>
      <c r="B299" s="341"/>
      <c r="C299" s="341"/>
      <c r="D299" s="341"/>
      <c r="E299" s="341"/>
      <c r="F299" s="341"/>
      <c r="G299" s="341"/>
      <c r="H299" s="341"/>
      <c r="I299" s="341"/>
    </row>
    <row r="300" spans="1:9" ht="20.25">
      <c r="A300" s="341"/>
      <c r="B300" s="341"/>
      <c r="C300" s="341"/>
      <c r="D300" s="341"/>
      <c r="E300" s="341"/>
      <c r="F300" s="341"/>
      <c r="G300" s="341"/>
      <c r="H300" s="341"/>
      <c r="I300" s="341"/>
    </row>
    <row r="301" spans="1:9" ht="20.25">
      <c r="A301" s="341"/>
      <c r="B301" s="341"/>
      <c r="C301" s="341"/>
      <c r="D301" s="341"/>
      <c r="E301" s="341"/>
      <c r="F301" s="341"/>
      <c r="G301" s="341"/>
      <c r="H301" s="341"/>
      <c r="I301" s="341"/>
    </row>
    <row r="302" spans="1:9" ht="20.25">
      <c r="A302" s="341"/>
      <c r="B302" s="341"/>
      <c r="C302" s="341"/>
      <c r="D302" s="341"/>
      <c r="E302" s="341"/>
      <c r="F302" s="341"/>
      <c r="G302" s="341"/>
      <c r="H302" s="341"/>
      <c r="I302" s="341"/>
    </row>
    <row r="303" spans="1:9" ht="20.25">
      <c r="A303" s="341"/>
      <c r="B303" s="341"/>
      <c r="C303" s="341"/>
      <c r="D303" s="341"/>
      <c r="E303" s="341"/>
      <c r="F303" s="341"/>
      <c r="G303" s="341"/>
      <c r="H303" s="341"/>
      <c r="I303" s="341"/>
    </row>
    <row r="304" spans="1:9" ht="20.25">
      <c r="A304" s="341"/>
      <c r="B304" s="341"/>
      <c r="C304" s="341"/>
      <c r="D304" s="341"/>
      <c r="E304" s="341"/>
      <c r="F304" s="341"/>
      <c r="G304" s="341"/>
      <c r="H304" s="341"/>
      <c r="I304" s="341"/>
    </row>
    <row r="305" spans="1:9" ht="20.25">
      <c r="A305" s="341"/>
      <c r="B305" s="341"/>
      <c r="C305" s="341"/>
      <c r="D305" s="341"/>
      <c r="E305" s="341"/>
      <c r="F305" s="341"/>
      <c r="G305" s="341"/>
      <c r="H305" s="341"/>
      <c r="I305" s="341"/>
    </row>
    <row r="306" spans="1:9" ht="20.25">
      <c r="A306" s="341"/>
      <c r="B306" s="341"/>
      <c r="C306" s="341"/>
      <c r="D306" s="341"/>
      <c r="E306" s="341"/>
      <c r="F306" s="341"/>
      <c r="G306" s="341"/>
      <c r="H306" s="341"/>
      <c r="I306" s="341"/>
    </row>
    <row r="307" spans="1:9" ht="20.25">
      <c r="A307" s="341"/>
      <c r="B307" s="341"/>
      <c r="C307" s="341"/>
      <c r="D307" s="341"/>
      <c r="E307" s="341"/>
      <c r="F307" s="341"/>
      <c r="G307" s="341"/>
      <c r="H307" s="341"/>
      <c r="I307" s="341"/>
    </row>
    <row r="308" spans="1:9" ht="20.25">
      <c r="A308" s="341"/>
      <c r="B308" s="341"/>
      <c r="C308" s="341"/>
      <c r="D308" s="341"/>
      <c r="E308" s="341"/>
      <c r="F308" s="341"/>
      <c r="G308" s="341"/>
      <c r="H308" s="341"/>
      <c r="I308" s="341"/>
    </row>
    <row r="309" spans="1:9" ht="20.25">
      <c r="A309" s="341"/>
      <c r="B309" s="341"/>
      <c r="C309" s="341"/>
      <c r="D309" s="341"/>
      <c r="E309" s="341"/>
      <c r="F309" s="341"/>
      <c r="G309" s="341"/>
      <c r="H309" s="341"/>
      <c r="I309" s="341"/>
    </row>
    <row r="310" spans="1:9" ht="20.25">
      <c r="A310" s="341"/>
      <c r="B310" s="341"/>
      <c r="C310" s="341"/>
      <c r="D310" s="341"/>
      <c r="E310" s="341"/>
      <c r="F310" s="341"/>
      <c r="G310" s="341"/>
      <c r="H310" s="341"/>
      <c r="I310" s="341"/>
    </row>
    <row r="311" spans="1:9" ht="20.25">
      <c r="A311" s="341"/>
      <c r="B311" s="341"/>
      <c r="C311" s="341"/>
      <c r="D311" s="341"/>
      <c r="E311" s="341"/>
      <c r="F311" s="341"/>
      <c r="G311" s="341"/>
      <c r="H311" s="341"/>
      <c r="I311" s="341"/>
    </row>
    <row r="312" spans="1:9" ht="20.25">
      <c r="A312" s="341"/>
      <c r="B312" s="341"/>
      <c r="C312" s="341"/>
      <c r="D312" s="341"/>
      <c r="E312" s="341"/>
      <c r="F312" s="341"/>
      <c r="G312" s="341"/>
      <c r="H312" s="341"/>
      <c r="I312" s="341"/>
    </row>
    <row r="313" spans="1:9" ht="20.25">
      <c r="A313" s="341"/>
      <c r="B313" s="341"/>
      <c r="C313" s="341"/>
      <c r="D313" s="341"/>
      <c r="E313" s="341"/>
      <c r="F313" s="341"/>
      <c r="G313" s="341"/>
      <c r="H313" s="341"/>
      <c r="I313" s="341"/>
    </row>
    <row r="314" spans="1:9" ht="20.25">
      <c r="A314" s="341"/>
      <c r="B314" s="341"/>
      <c r="C314" s="341"/>
      <c r="D314" s="341"/>
      <c r="E314" s="341"/>
      <c r="F314" s="341"/>
      <c r="G314" s="341"/>
      <c r="H314" s="341"/>
      <c r="I314" s="341"/>
    </row>
    <row r="315" spans="1:9" ht="20.25">
      <c r="A315" s="341"/>
      <c r="B315" s="341"/>
      <c r="C315" s="341"/>
      <c r="D315" s="341"/>
      <c r="E315" s="341"/>
      <c r="F315" s="341"/>
      <c r="G315" s="341"/>
      <c r="H315" s="341"/>
      <c r="I315" s="341"/>
    </row>
    <row r="316" spans="1:9" ht="20.25">
      <c r="A316" s="341"/>
      <c r="B316" s="341"/>
      <c r="C316" s="341"/>
      <c r="D316" s="341"/>
      <c r="E316" s="341"/>
      <c r="F316" s="341"/>
      <c r="G316" s="341"/>
      <c r="H316" s="341"/>
      <c r="I316" s="341"/>
    </row>
    <row r="317" spans="1:9" ht="20.25">
      <c r="A317" s="341"/>
      <c r="B317" s="341"/>
      <c r="C317" s="341"/>
      <c r="D317" s="341"/>
      <c r="E317" s="341"/>
      <c r="F317" s="341"/>
      <c r="G317" s="341"/>
      <c r="H317" s="341"/>
      <c r="I317" s="341"/>
    </row>
    <row r="318" spans="1:9" ht="20.25">
      <c r="A318" s="341"/>
      <c r="B318" s="341"/>
      <c r="C318" s="341"/>
      <c r="D318" s="341"/>
      <c r="E318" s="341"/>
      <c r="F318" s="341"/>
      <c r="G318" s="341"/>
      <c r="H318" s="341"/>
      <c r="I318" s="341"/>
    </row>
    <row r="319" spans="1:9" ht="20.25">
      <c r="A319" s="341"/>
      <c r="B319" s="341"/>
      <c r="C319" s="341"/>
      <c r="D319" s="341"/>
      <c r="E319" s="341"/>
      <c r="F319" s="341"/>
      <c r="G319" s="341"/>
      <c r="H319" s="341"/>
      <c r="I319" s="341"/>
    </row>
    <row r="320" spans="1:9" ht="20.25">
      <c r="A320" s="341"/>
      <c r="B320" s="341"/>
      <c r="C320" s="341"/>
      <c r="D320" s="341"/>
      <c r="E320" s="341"/>
      <c r="F320" s="341"/>
      <c r="G320" s="341"/>
      <c r="H320" s="341"/>
      <c r="I320" s="341"/>
    </row>
    <row r="321" spans="1:9" ht="20.25">
      <c r="A321" s="341"/>
      <c r="B321" s="341"/>
      <c r="C321" s="341"/>
      <c r="D321" s="341"/>
      <c r="E321" s="341"/>
      <c r="F321" s="341"/>
      <c r="G321" s="341"/>
      <c r="H321" s="341"/>
      <c r="I321" s="341"/>
    </row>
    <row r="322" spans="1:9" ht="20.25">
      <c r="A322" s="341"/>
      <c r="B322" s="341"/>
      <c r="C322" s="341"/>
      <c r="D322" s="341"/>
      <c r="E322" s="341"/>
      <c r="F322" s="341"/>
      <c r="G322" s="341"/>
      <c r="H322" s="341"/>
      <c r="I322" s="341"/>
    </row>
    <row r="323" spans="1:9" ht="20.25">
      <c r="A323" s="341"/>
      <c r="B323" s="341"/>
      <c r="C323" s="341"/>
      <c r="D323" s="341"/>
      <c r="E323" s="341"/>
      <c r="F323" s="341"/>
      <c r="G323" s="341"/>
      <c r="H323" s="341"/>
      <c r="I323" s="341"/>
    </row>
    <row r="324" spans="1:9" ht="20.25">
      <c r="A324" s="341"/>
      <c r="B324" s="341"/>
      <c r="C324" s="341"/>
      <c r="D324" s="341"/>
      <c r="E324" s="341"/>
      <c r="F324" s="341"/>
      <c r="G324" s="341"/>
      <c r="H324" s="341"/>
      <c r="I324" s="341"/>
    </row>
    <row r="325" spans="1:9" ht="20.25">
      <c r="A325" s="341"/>
      <c r="B325" s="341"/>
      <c r="C325" s="341"/>
      <c r="D325" s="341"/>
      <c r="E325" s="341"/>
      <c r="F325" s="341"/>
      <c r="G325" s="341"/>
      <c r="H325" s="341"/>
      <c r="I325" s="341"/>
    </row>
    <row r="326" spans="1:9" ht="20.25">
      <c r="A326" s="341"/>
      <c r="B326" s="341"/>
      <c r="C326" s="341"/>
      <c r="D326" s="341"/>
      <c r="E326" s="341"/>
      <c r="F326" s="341"/>
      <c r="G326" s="341"/>
      <c r="H326" s="341"/>
      <c r="I326" s="341"/>
    </row>
    <row r="327" spans="1:9" ht="20.25">
      <c r="A327" s="341"/>
      <c r="B327" s="341"/>
      <c r="C327" s="341"/>
      <c r="D327" s="341"/>
      <c r="E327" s="341"/>
      <c r="F327" s="341"/>
      <c r="G327" s="341"/>
      <c r="H327" s="341"/>
      <c r="I327" s="341"/>
    </row>
    <row r="328" spans="1:9" ht="20.25">
      <c r="A328" s="341"/>
      <c r="B328" s="341"/>
      <c r="C328" s="341"/>
      <c r="D328" s="341"/>
      <c r="E328" s="341"/>
      <c r="F328" s="341"/>
      <c r="G328" s="341"/>
      <c r="H328" s="341"/>
      <c r="I328" s="341"/>
    </row>
    <row r="329" spans="1:9" ht="20.25">
      <c r="A329" s="341"/>
      <c r="B329" s="341"/>
      <c r="C329" s="341"/>
      <c r="D329" s="341"/>
      <c r="E329" s="341"/>
      <c r="F329" s="341"/>
      <c r="G329" s="341"/>
      <c r="H329" s="341"/>
      <c r="I329" s="341"/>
    </row>
    <row r="330" spans="1:9" ht="20.25">
      <c r="A330" s="341"/>
      <c r="B330" s="341"/>
      <c r="C330" s="341"/>
      <c r="D330" s="341"/>
      <c r="E330" s="341"/>
      <c r="F330" s="341"/>
      <c r="G330" s="341"/>
      <c r="H330" s="341"/>
      <c r="I330" s="341"/>
    </row>
    <row r="331" spans="1:9" ht="20.25">
      <c r="A331" s="341"/>
      <c r="B331" s="341"/>
      <c r="C331" s="341"/>
      <c r="D331" s="341"/>
      <c r="E331" s="341"/>
      <c r="F331" s="341"/>
      <c r="G331" s="341"/>
      <c r="H331" s="341"/>
      <c r="I331" s="341"/>
    </row>
    <row r="332" spans="1:9" ht="20.25">
      <c r="A332" s="341"/>
      <c r="B332" s="341"/>
      <c r="C332" s="341"/>
      <c r="D332" s="341"/>
      <c r="E332" s="341"/>
      <c r="F332" s="341"/>
      <c r="G332" s="341"/>
      <c r="H332" s="341"/>
      <c r="I332" s="341"/>
    </row>
    <row r="333" spans="1:9" ht="20.25">
      <c r="A333" s="341"/>
      <c r="B333" s="341"/>
      <c r="C333" s="341"/>
      <c r="D333" s="341"/>
      <c r="E333" s="341"/>
      <c r="F333" s="341"/>
      <c r="G333" s="341"/>
      <c r="H333" s="341"/>
      <c r="I333" s="341"/>
    </row>
    <row r="334" spans="1:9" ht="20.25">
      <c r="A334" s="341"/>
      <c r="B334" s="341"/>
      <c r="C334" s="341"/>
      <c r="D334" s="341"/>
      <c r="E334" s="341"/>
      <c r="F334" s="341"/>
      <c r="G334" s="341"/>
      <c r="H334" s="341"/>
      <c r="I334" s="341"/>
    </row>
    <row r="335" spans="1:9" ht="20.25">
      <c r="A335" s="341"/>
      <c r="B335" s="341"/>
      <c r="C335" s="341"/>
      <c r="D335" s="341"/>
      <c r="E335" s="341"/>
      <c r="F335" s="341"/>
      <c r="G335" s="341"/>
      <c r="H335" s="341"/>
      <c r="I335" s="341"/>
    </row>
    <row r="336" spans="1:9" ht="20.25">
      <c r="A336" s="341"/>
      <c r="B336" s="341"/>
      <c r="C336" s="341"/>
      <c r="D336" s="341"/>
      <c r="E336" s="341"/>
      <c r="F336" s="341"/>
      <c r="G336" s="341"/>
      <c r="H336" s="341"/>
      <c r="I336" s="341"/>
    </row>
    <row r="337" spans="1:9" ht="20.25">
      <c r="A337" s="341"/>
      <c r="B337" s="341"/>
      <c r="C337" s="341"/>
      <c r="D337" s="341"/>
      <c r="E337" s="341"/>
      <c r="F337" s="341"/>
      <c r="G337" s="341"/>
      <c r="H337" s="341"/>
      <c r="I337" s="341"/>
    </row>
    <row r="338" spans="1:9" ht="20.25">
      <c r="A338" s="341"/>
      <c r="B338" s="341"/>
      <c r="C338" s="341"/>
      <c r="D338" s="341"/>
      <c r="E338" s="341"/>
      <c r="F338" s="341"/>
      <c r="G338" s="341"/>
      <c r="H338" s="341"/>
      <c r="I338" s="341"/>
    </row>
    <row r="339" spans="1:9" ht="20.25">
      <c r="A339" s="341"/>
      <c r="B339" s="341"/>
      <c r="C339" s="341"/>
      <c r="D339" s="341"/>
      <c r="E339" s="341"/>
      <c r="F339" s="341"/>
      <c r="G339" s="341"/>
      <c r="H339" s="341"/>
      <c r="I339" s="341"/>
    </row>
    <row r="340" spans="1:9" ht="20.25">
      <c r="A340" s="341"/>
      <c r="B340" s="341"/>
      <c r="C340" s="341"/>
      <c r="D340" s="341"/>
      <c r="E340" s="341"/>
      <c r="F340" s="341"/>
      <c r="G340" s="341"/>
      <c r="H340" s="341"/>
      <c r="I340" s="341"/>
    </row>
    <row r="341" spans="1:9" ht="20.25">
      <c r="A341" s="341"/>
      <c r="B341" s="341"/>
      <c r="C341" s="341"/>
      <c r="D341" s="341"/>
      <c r="E341" s="341"/>
      <c r="F341" s="341"/>
      <c r="G341" s="341"/>
      <c r="H341" s="341"/>
      <c r="I341" s="341"/>
    </row>
    <row r="342" spans="1:9" ht="20.25">
      <c r="A342" s="341"/>
      <c r="B342" s="341"/>
      <c r="C342" s="341"/>
      <c r="D342" s="341"/>
      <c r="E342" s="341"/>
      <c r="F342" s="341"/>
      <c r="G342" s="341"/>
      <c r="H342" s="341"/>
      <c r="I342" s="341"/>
    </row>
    <row r="343" spans="1:9" ht="20.25">
      <c r="A343" s="341"/>
      <c r="B343" s="341"/>
      <c r="C343" s="341"/>
      <c r="D343" s="341"/>
      <c r="E343" s="341"/>
      <c r="F343" s="341"/>
      <c r="G343" s="341"/>
      <c r="H343" s="341"/>
      <c r="I343" s="341"/>
    </row>
    <row r="344" spans="1:9" ht="20.25">
      <c r="A344" s="341"/>
      <c r="B344" s="341"/>
      <c r="C344" s="341"/>
      <c r="D344" s="341"/>
      <c r="E344" s="341"/>
      <c r="F344" s="341"/>
      <c r="G344" s="341"/>
      <c r="H344" s="341"/>
      <c r="I344" s="341"/>
    </row>
    <row r="345" spans="1:9" ht="20.25">
      <c r="A345" s="341"/>
      <c r="B345" s="341"/>
      <c r="C345" s="341"/>
      <c r="D345" s="341"/>
      <c r="E345" s="341"/>
      <c r="F345" s="341"/>
      <c r="G345" s="341"/>
      <c r="H345" s="341"/>
      <c r="I345" s="341"/>
    </row>
    <row r="346" spans="1:9" ht="20.25">
      <c r="A346" s="341"/>
      <c r="B346" s="341"/>
      <c r="C346" s="341"/>
      <c r="D346" s="341"/>
      <c r="E346" s="341"/>
      <c r="F346" s="341"/>
      <c r="G346" s="341"/>
      <c r="H346" s="341"/>
      <c r="I346" s="341"/>
    </row>
    <row r="347" spans="1:9" ht="20.25">
      <c r="A347" s="341"/>
      <c r="B347" s="341"/>
      <c r="C347" s="341"/>
      <c r="D347" s="341"/>
      <c r="E347" s="341"/>
      <c r="F347" s="341"/>
      <c r="G347" s="341"/>
      <c r="H347" s="341"/>
      <c r="I347" s="341"/>
    </row>
    <row r="348" spans="1:9" ht="20.25">
      <c r="A348" s="341"/>
      <c r="B348" s="341"/>
      <c r="C348" s="341"/>
      <c r="D348" s="341"/>
      <c r="E348" s="341"/>
      <c r="F348" s="341"/>
      <c r="G348" s="341"/>
      <c r="H348" s="341"/>
      <c r="I348" s="341"/>
    </row>
    <row r="349" spans="1:9" ht="20.25">
      <c r="A349" s="341"/>
      <c r="B349" s="341"/>
      <c r="C349" s="341"/>
      <c r="D349" s="341"/>
      <c r="E349" s="341"/>
      <c r="F349" s="341"/>
      <c r="G349" s="341"/>
      <c r="H349" s="341"/>
      <c r="I349" s="341"/>
    </row>
    <row r="350" spans="1:9" ht="20.25">
      <c r="A350" s="341"/>
      <c r="B350" s="341"/>
      <c r="C350" s="341"/>
      <c r="D350" s="341"/>
      <c r="E350" s="341"/>
      <c r="F350" s="341"/>
      <c r="G350" s="341"/>
      <c r="H350" s="341"/>
      <c r="I350" s="341"/>
    </row>
    <row r="351" spans="1:9" ht="20.25">
      <c r="A351" s="341"/>
      <c r="B351" s="341"/>
      <c r="C351" s="341"/>
      <c r="D351" s="341"/>
      <c r="E351" s="341"/>
      <c r="F351" s="341"/>
      <c r="G351" s="341"/>
      <c r="H351" s="341"/>
      <c r="I351" s="341"/>
    </row>
    <row r="352" spans="1:9" ht="20.25">
      <c r="A352" s="341"/>
      <c r="B352" s="341"/>
      <c r="C352" s="341"/>
      <c r="D352" s="341"/>
      <c r="E352" s="341"/>
      <c r="F352" s="341"/>
      <c r="G352" s="341"/>
      <c r="H352" s="341"/>
      <c r="I352" s="341"/>
    </row>
    <row r="353" spans="1:9" ht="20.25">
      <c r="A353" s="341"/>
      <c r="B353" s="341"/>
      <c r="C353" s="341"/>
      <c r="D353" s="341"/>
      <c r="E353" s="341"/>
      <c r="F353" s="341"/>
      <c r="G353" s="341"/>
      <c r="H353" s="341"/>
      <c r="I353" s="341"/>
    </row>
    <row r="354" spans="1:9" ht="20.25">
      <c r="A354" s="341"/>
      <c r="B354" s="341"/>
      <c r="C354" s="341"/>
      <c r="D354" s="341"/>
      <c r="E354" s="341"/>
      <c r="F354" s="341"/>
      <c r="G354" s="341"/>
      <c r="H354" s="341"/>
      <c r="I354" s="341"/>
    </row>
    <row r="355" spans="1:9" ht="20.25">
      <c r="A355" s="341"/>
      <c r="B355" s="341"/>
      <c r="C355" s="341"/>
      <c r="D355" s="341"/>
      <c r="E355" s="341"/>
      <c r="F355" s="341"/>
      <c r="G355" s="341"/>
      <c r="H355" s="341"/>
      <c r="I355" s="341"/>
    </row>
    <row r="356" spans="1:9" ht="20.25">
      <c r="A356" s="341"/>
      <c r="B356" s="341"/>
      <c r="C356" s="341"/>
      <c r="D356" s="341"/>
      <c r="E356" s="341"/>
      <c r="F356" s="341"/>
      <c r="G356" s="341"/>
      <c r="H356" s="341"/>
      <c r="I356" s="341"/>
    </row>
    <row r="357" spans="1:9" ht="20.25">
      <c r="A357" s="341"/>
      <c r="B357" s="341"/>
      <c r="C357" s="341"/>
      <c r="D357" s="341"/>
      <c r="E357" s="341"/>
      <c r="F357" s="341"/>
      <c r="G357" s="341"/>
      <c r="H357" s="341"/>
      <c r="I357" s="341"/>
    </row>
    <row r="358" spans="1:9" ht="20.25">
      <c r="A358" s="341"/>
      <c r="B358" s="341"/>
      <c r="C358" s="341"/>
      <c r="D358" s="341"/>
      <c r="E358" s="341"/>
      <c r="F358" s="341"/>
      <c r="G358" s="341"/>
      <c r="H358" s="341"/>
      <c r="I358" s="341"/>
    </row>
    <row r="359" spans="1:9" ht="20.25">
      <c r="A359" s="341"/>
      <c r="B359" s="341"/>
      <c r="C359" s="341"/>
      <c r="D359" s="341"/>
      <c r="E359" s="341"/>
      <c r="F359" s="341"/>
      <c r="G359" s="341"/>
      <c r="H359" s="341"/>
      <c r="I359" s="341"/>
    </row>
    <row r="360" spans="1:9" ht="20.25">
      <c r="A360" s="341"/>
      <c r="B360" s="341"/>
      <c r="C360" s="341"/>
      <c r="D360" s="341"/>
      <c r="E360" s="341"/>
      <c r="F360" s="341"/>
      <c r="G360" s="341"/>
      <c r="H360" s="341"/>
      <c r="I360" s="341"/>
    </row>
    <row r="361" spans="1:9" ht="20.25">
      <c r="A361" s="341"/>
      <c r="B361" s="341"/>
      <c r="C361" s="341"/>
      <c r="D361" s="341"/>
      <c r="E361" s="341"/>
      <c r="F361" s="341"/>
      <c r="G361" s="341"/>
      <c r="H361" s="341"/>
      <c r="I361" s="341"/>
    </row>
    <row r="362" spans="1:9" ht="20.25">
      <c r="A362" s="341"/>
      <c r="B362" s="341"/>
      <c r="C362" s="341"/>
      <c r="D362" s="341"/>
      <c r="E362" s="341"/>
      <c r="F362" s="341"/>
      <c r="G362" s="341"/>
      <c r="H362" s="341"/>
      <c r="I362" s="341"/>
    </row>
    <row r="363" spans="1:9" ht="20.25">
      <c r="A363" s="341"/>
      <c r="B363" s="341"/>
      <c r="C363" s="341"/>
      <c r="D363" s="341"/>
      <c r="E363" s="341"/>
      <c r="F363" s="341"/>
      <c r="G363" s="341"/>
      <c r="H363" s="341"/>
      <c r="I363" s="341"/>
    </row>
    <row r="364" spans="1:9" ht="20.25">
      <c r="A364" s="341"/>
      <c r="B364" s="341"/>
      <c r="C364" s="341"/>
      <c r="D364" s="341"/>
      <c r="E364" s="341"/>
      <c r="F364" s="341"/>
      <c r="G364" s="341"/>
      <c r="H364" s="341"/>
      <c r="I364" s="341"/>
    </row>
    <row r="365" spans="1:9" ht="20.25">
      <c r="A365" s="341"/>
      <c r="B365" s="341"/>
      <c r="C365" s="341"/>
      <c r="D365" s="341"/>
      <c r="E365" s="341"/>
      <c r="F365" s="341"/>
      <c r="G365" s="341"/>
      <c r="H365" s="341"/>
      <c r="I365" s="341"/>
    </row>
    <row r="366" spans="1:9" ht="20.25">
      <c r="A366" s="341"/>
      <c r="B366" s="341"/>
      <c r="C366" s="341"/>
      <c r="D366" s="341"/>
      <c r="E366" s="341"/>
      <c r="F366" s="341"/>
      <c r="G366" s="341"/>
      <c r="H366" s="341"/>
      <c r="I366" s="341"/>
    </row>
    <row r="367" spans="1:9" ht="20.25">
      <c r="A367" s="341"/>
      <c r="B367" s="341"/>
      <c r="C367" s="341"/>
      <c r="D367" s="341"/>
      <c r="E367" s="341"/>
      <c r="F367" s="341"/>
      <c r="G367" s="341"/>
      <c r="H367" s="341"/>
      <c r="I367" s="341"/>
    </row>
    <row r="368" spans="1:9" ht="20.25">
      <c r="A368" s="341"/>
      <c r="B368" s="341"/>
      <c r="C368" s="341"/>
      <c r="D368" s="341"/>
      <c r="E368" s="341"/>
      <c r="F368" s="341"/>
      <c r="G368" s="341"/>
      <c r="H368" s="341"/>
      <c r="I368" s="341"/>
    </row>
    <row r="369" spans="1:9" ht="20.25">
      <c r="A369" s="341"/>
      <c r="B369" s="341"/>
      <c r="C369" s="341"/>
      <c r="D369" s="341"/>
      <c r="E369" s="341"/>
      <c r="F369" s="341"/>
      <c r="G369" s="341"/>
      <c r="H369" s="341"/>
      <c r="I369" s="341"/>
    </row>
    <row r="370" spans="1:9" ht="20.25">
      <c r="A370" s="341"/>
      <c r="B370" s="341"/>
      <c r="C370" s="341"/>
      <c r="D370" s="341"/>
      <c r="E370" s="341"/>
      <c r="F370" s="341"/>
      <c r="G370" s="341"/>
      <c r="H370" s="341"/>
      <c r="I370" s="341"/>
    </row>
    <row r="371" spans="1:9" ht="20.25">
      <c r="A371" s="341"/>
      <c r="B371" s="341"/>
      <c r="C371" s="341"/>
      <c r="D371" s="341"/>
      <c r="E371" s="341"/>
      <c r="F371" s="341"/>
      <c r="G371" s="341"/>
      <c r="H371" s="341"/>
      <c r="I371" s="341"/>
    </row>
    <row r="372" spans="1:9" ht="20.25">
      <c r="A372" s="341"/>
      <c r="B372" s="341"/>
      <c r="C372" s="341"/>
      <c r="D372" s="341"/>
      <c r="E372" s="341"/>
      <c r="F372" s="341"/>
      <c r="G372" s="341"/>
      <c r="H372" s="341"/>
      <c r="I372" s="341"/>
    </row>
    <row r="373" spans="1:9" ht="20.25">
      <c r="A373" s="341"/>
      <c r="B373" s="341"/>
      <c r="C373" s="341"/>
      <c r="D373" s="341"/>
      <c r="E373" s="341"/>
      <c r="F373" s="341"/>
      <c r="G373" s="341"/>
      <c r="H373" s="341"/>
      <c r="I373" s="341"/>
    </row>
    <row r="374" spans="1:9" ht="20.25">
      <c r="A374" s="341"/>
      <c r="B374" s="341"/>
      <c r="C374" s="341"/>
      <c r="D374" s="341"/>
      <c r="E374" s="341"/>
      <c r="F374" s="341"/>
      <c r="G374" s="341"/>
      <c r="H374" s="341"/>
      <c r="I374" s="341"/>
    </row>
    <row r="375" spans="1:9" ht="20.25">
      <c r="A375" s="341"/>
      <c r="B375" s="341"/>
      <c r="C375" s="341"/>
      <c r="D375" s="341"/>
      <c r="E375" s="341"/>
      <c r="F375" s="341"/>
      <c r="G375" s="341"/>
      <c r="H375" s="341"/>
      <c r="I375" s="341"/>
    </row>
    <row r="376" spans="1:9" ht="20.25">
      <c r="A376" s="341"/>
      <c r="B376" s="341"/>
      <c r="C376" s="341"/>
      <c r="D376" s="341"/>
      <c r="E376" s="341"/>
      <c r="F376" s="341"/>
      <c r="G376" s="341"/>
      <c r="H376" s="341"/>
      <c r="I376" s="341"/>
    </row>
    <row r="377" spans="1:9" ht="20.25">
      <c r="A377" s="341"/>
      <c r="B377" s="341"/>
      <c r="C377" s="341"/>
      <c r="D377" s="341"/>
      <c r="E377" s="341"/>
      <c r="F377" s="341"/>
      <c r="G377" s="341"/>
      <c r="H377" s="341"/>
      <c r="I377" s="341"/>
    </row>
    <row r="378" spans="1:9" ht="20.25">
      <c r="A378" s="341"/>
      <c r="B378" s="341"/>
      <c r="C378" s="341"/>
      <c r="D378" s="341"/>
      <c r="E378" s="341"/>
      <c r="F378" s="341"/>
      <c r="G378" s="341"/>
      <c r="H378" s="341"/>
      <c r="I378" s="341"/>
    </row>
    <row r="379" spans="1:9" ht="20.25">
      <c r="A379" s="341"/>
      <c r="B379" s="341"/>
      <c r="C379" s="341"/>
      <c r="D379" s="341"/>
      <c r="E379" s="341"/>
      <c r="F379" s="341"/>
      <c r="G379" s="341"/>
      <c r="H379" s="341"/>
      <c r="I379" s="341"/>
    </row>
    <row r="380" spans="1:9" ht="20.25">
      <c r="A380" s="341"/>
      <c r="B380" s="341"/>
      <c r="C380" s="341"/>
      <c r="D380" s="341"/>
      <c r="E380" s="341"/>
      <c r="F380" s="341"/>
      <c r="G380" s="341"/>
      <c r="H380" s="341"/>
      <c r="I380" s="341"/>
    </row>
    <row r="381" spans="1:9" ht="20.25">
      <c r="A381" s="341"/>
      <c r="B381" s="341"/>
      <c r="C381" s="341"/>
      <c r="D381" s="341"/>
      <c r="E381" s="341"/>
      <c r="F381" s="341"/>
      <c r="G381" s="341"/>
      <c r="H381" s="341"/>
      <c r="I381" s="341"/>
    </row>
    <row r="382" spans="1:9" ht="20.25">
      <c r="A382" s="341"/>
      <c r="B382" s="341"/>
      <c r="C382" s="341"/>
      <c r="D382" s="341"/>
      <c r="E382" s="341"/>
      <c r="F382" s="341"/>
      <c r="G382" s="341"/>
      <c r="H382" s="341"/>
      <c r="I382" s="341"/>
    </row>
    <row r="383" spans="1:9" ht="20.25">
      <c r="A383" s="341"/>
      <c r="B383" s="341"/>
      <c r="C383" s="341"/>
      <c r="D383" s="341"/>
      <c r="E383" s="341"/>
      <c r="F383" s="341"/>
      <c r="G383" s="341"/>
      <c r="H383" s="341"/>
      <c r="I383" s="341"/>
    </row>
    <row r="384" spans="1:9" ht="20.25">
      <c r="A384" s="341"/>
      <c r="B384" s="341"/>
      <c r="C384" s="341"/>
      <c r="D384" s="341"/>
      <c r="E384" s="341"/>
      <c r="F384" s="341"/>
      <c r="G384" s="341"/>
      <c r="H384" s="341"/>
      <c r="I384" s="341"/>
    </row>
    <row r="385" spans="1:9" ht="20.25">
      <c r="A385" s="341"/>
      <c r="B385" s="341"/>
      <c r="C385" s="341"/>
      <c r="D385" s="341"/>
      <c r="E385" s="341"/>
      <c r="F385" s="341"/>
      <c r="G385" s="341"/>
      <c r="H385" s="341"/>
      <c r="I385" s="341"/>
    </row>
    <row r="386" spans="1:9" ht="20.25">
      <c r="A386" s="341"/>
      <c r="B386" s="341"/>
      <c r="C386" s="341"/>
      <c r="D386" s="341"/>
      <c r="E386" s="341"/>
      <c r="F386" s="341"/>
      <c r="G386" s="341"/>
      <c r="H386" s="341"/>
      <c r="I386" s="341"/>
    </row>
    <row r="387" spans="1:9" ht="20.25">
      <c r="A387" s="341"/>
      <c r="B387" s="341"/>
      <c r="C387" s="341"/>
      <c r="D387" s="341"/>
      <c r="E387" s="341"/>
      <c r="F387" s="341"/>
      <c r="G387" s="341"/>
      <c r="H387" s="341"/>
      <c r="I387" s="341"/>
    </row>
    <row r="388" spans="1:9" ht="20.25">
      <c r="A388" s="341"/>
      <c r="B388" s="341"/>
      <c r="C388" s="341"/>
      <c r="D388" s="341"/>
      <c r="E388" s="341"/>
      <c r="F388" s="341"/>
      <c r="G388" s="341"/>
      <c r="H388" s="341"/>
      <c r="I388" s="341"/>
    </row>
    <row r="389" spans="1:9" ht="20.25">
      <c r="A389" s="341"/>
      <c r="B389" s="341"/>
      <c r="C389" s="341"/>
      <c r="D389" s="341"/>
      <c r="E389" s="341"/>
      <c r="F389" s="341"/>
      <c r="G389" s="341"/>
      <c r="H389" s="341"/>
      <c r="I389" s="341"/>
    </row>
    <row r="390" spans="1:9" ht="20.25">
      <c r="A390" s="341"/>
      <c r="B390" s="341"/>
      <c r="C390" s="341"/>
      <c r="D390" s="341"/>
      <c r="E390" s="341"/>
      <c r="F390" s="341"/>
      <c r="G390" s="341"/>
      <c r="H390" s="341"/>
      <c r="I390" s="341"/>
    </row>
    <row r="391" spans="1:9" ht="20.25">
      <c r="A391" s="341"/>
      <c r="B391" s="341"/>
      <c r="C391" s="341"/>
      <c r="D391" s="341"/>
      <c r="E391" s="341"/>
      <c r="F391" s="341"/>
      <c r="G391" s="341"/>
      <c r="H391" s="341"/>
      <c r="I391" s="341"/>
    </row>
    <row r="392" spans="1:9" ht="20.25">
      <c r="A392" s="341"/>
      <c r="B392" s="341"/>
      <c r="C392" s="341"/>
      <c r="D392" s="341"/>
      <c r="E392" s="341"/>
      <c r="F392" s="341"/>
      <c r="G392" s="341"/>
      <c r="H392" s="341"/>
      <c r="I392" s="341"/>
    </row>
    <row r="393" spans="1:9" ht="20.25">
      <c r="A393" s="341"/>
      <c r="B393" s="341"/>
      <c r="C393" s="341"/>
      <c r="D393" s="341"/>
      <c r="E393" s="341"/>
      <c r="F393" s="341"/>
      <c r="G393" s="341"/>
      <c r="H393" s="341"/>
      <c r="I393" s="341"/>
    </row>
    <row r="394" spans="1:9" ht="20.25">
      <c r="A394" s="341"/>
      <c r="B394" s="341"/>
      <c r="C394" s="341"/>
      <c r="D394" s="341"/>
      <c r="E394" s="341"/>
      <c r="F394" s="341"/>
      <c r="G394" s="341"/>
      <c r="H394" s="341"/>
      <c r="I394" s="341"/>
    </row>
    <row r="395" spans="1:9" ht="20.25">
      <c r="A395" s="341"/>
      <c r="B395" s="341"/>
      <c r="C395" s="341"/>
      <c r="D395" s="341"/>
      <c r="E395" s="341"/>
      <c r="F395" s="341"/>
      <c r="G395" s="341"/>
      <c r="H395" s="341"/>
      <c r="I395" s="341"/>
    </row>
    <row r="396" spans="1:9" ht="20.25">
      <c r="A396" s="341"/>
      <c r="B396" s="341"/>
      <c r="C396" s="341"/>
      <c r="D396" s="341"/>
      <c r="E396" s="341"/>
      <c r="F396" s="341"/>
      <c r="G396" s="341"/>
      <c r="H396" s="341"/>
      <c r="I396" s="341"/>
    </row>
    <row r="397" spans="1:9" ht="20.25">
      <c r="A397" s="341"/>
      <c r="B397" s="341"/>
      <c r="C397" s="341"/>
      <c r="D397" s="341"/>
      <c r="E397" s="341"/>
      <c r="F397" s="341"/>
      <c r="G397" s="341"/>
      <c r="H397" s="341"/>
      <c r="I397" s="341"/>
    </row>
    <row r="398" spans="1:9" ht="20.25">
      <c r="A398" s="341"/>
      <c r="B398" s="341"/>
      <c r="C398" s="341"/>
      <c r="D398" s="341"/>
      <c r="E398" s="341"/>
      <c r="F398" s="341"/>
      <c r="G398" s="341"/>
      <c r="H398" s="341"/>
      <c r="I398" s="341"/>
    </row>
    <row r="399" spans="1:9" ht="20.25">
      <c r="A399" s="341"/>
      <c r="B399" s="341"/>
      <c r="C399" s="341"/>
      <c r="D399" s="341"/>
      <c r="E399" s="341"/>
      <c r="F399" s="341"/>
      <c r="G399" s="341"/>
      <c r="H399" s="341"/>
      <c r="I399" s="341"/>
    </row>
    <row r="400" spans="1:9" ht="20.25">
      <c r="A400" s="341"/>
      <c r="B400" s="341"/>
      <c r="C400" s="341"/>
      <c r="D400" s="341"/>
      <c r="E400" s="341"/>
      <c r="F400" s="341"/>
      <c r="G400" s="341"/>
      <c r="H400" s="341"/>
      <c r="I400" s="341"/>
    </row>
    <row r="401" spans="1:9" ht="20.25">
      <c r="A401" s="341"/>
      <c r="B401" s="341"/>
      <c r="C401" s="341"/>
      <c r="D401" s="341"/>
      <c r="E401" s="341"/>
      <c r="F401" s="341"/>
      <c r="G401" s="341"/>
      <c r="H401" s="341"/>
      <c r="I401" s="341"/>
    </row>
    <row r="402" spans="1:9" ht="20.25">
      <c r="A402" s="341"/>
      <c r="B402" s="341"/>
      <c r="C402" s="341"/>
      <c r="D402" s="341"/>
      <c r="E402" s="341"/>
      <c r="F402" s="341"/>
      <c r="G402" s="341"/>
      <c r="H402" s="341"/>
      <c r="I402" s="341"/>
    </row>
    <row r="403" spans="1:9" ht="20.25">
      <c r="A403" s="341"/>
      <c r="B403" s="341"/>
      <c r="C403" s="341"/>
      <c r="D403" s="341"/>
      <c r="E403" s="341"/>
      <c r="F403" s="341"/>
      <c r="G403" s="341"/>
      <c r="H403" s="341"/>
      <c r="I403" s="341"/>
    </row>
    <row r="404" spans="1:9" ht="20.25">
      <c r="A404" s="341"/>
      <c r="B404" s="341"/>
      <c r="C404" s="341"/>
      <c r="D404" s="341"/>
      <c r="E404" s="341"/>
      <c r="F404" s="341"/>
      <c r="G404" s="341"/>
      <c r="H404" s="341"/>
      <c r="I404" s="341"/>
    </row>
    <row r="405" spans="1:9" ht="20.25">
      <c r="A405" s="341"/>
      <c r="B405" s="341"/>
      <c r="C405" s="341"/>
      <c r="D405" s="341"/>
      <c r="E405" s="341"/>
      <c r="F405" s="341"/>
      <c r="G405" s="341"/>
      <c r="H405" s="341"/>
      <c r="I405" s="341"/>
    </row>
    <row r="406" spans="1:9" ht="20.25">
      <c r="A406" s="341"/>
      <c r="B406" s="341"/>
      <c r="C406" s="341"/>
      <c r="D406" s="341"/>
      <c r="E406" s="341"/>
      <c r="F406" s="341"/>
      <c r="G406" s="341"/>
      <c r="H406" s="341"/>
      <c r="I406" s="341"/>
    </row>
    <row r="407" spans="1:9" ht="20.25">
      <c r="A407" s="341"/>
      <c r="B407" s="341"/>
      <c r="C407" s="341"/>
      <c r="D407" s="341"/>
      <c r="E407" s="341"/>
      <c r="F407" s="341"/>
      <c r="G407" s="341"/>
      <c r="H407" s="341"/>
      <c r="I407" s="341"/>
    </row>
    <row r="408" spans="1:9" ht="20.25">
      <c r="A408" s="341"/>
      <c r="B408" s="341"/>
      <c r="C408" s="341"/>
      <c r="D408" s="341"/>
      <c r="E408" s="341"/>
      <c r="F408" s="341"/>
      <c r="G408" s="341"/>
      <c r="H408" s="341"/>
      <c r="I408" s="341"/>
    </row>
    <row r="409" spans="1:9" ht="20.25">
      <c r="A409" s="341"/>
      <c r="B409" s="341"/>
      <c r="C409" s="341"/>
      <c r="D409" s="341"/>
      <c r="E409" s="341"/>
      <c r="F409" s="341"/>
      <c r="G409" s="341"/>
      <c r="H409" s="341"/>
      <c r="I409" s="341"/>
    </row>
    <row r="410" spans="1:9" ht="20.25">
      <c r="A410" s="341"/>
      <c r="B410" s="341"/>
      <c r="C410" s="341"/>
      <c r="D410" s="341"/>
      <c r="E410" s="341"/>
      <c r="F410" s="341"/>
      <c r="G410" s="341"/>
      <c r="H410" s="341"/>
      <c r="I410" s="341"/>
    </row>
    <row r="411" spans="1:9" ht="20.25">
      <c r="A411" s="341"/>
      <c r="B411" s="341"/>
      <c r="C411" s="341"/>
      <c r="D411" s="341"/>
      <c r="E411" s="341"/>
      <c r="F411" s="341"/>
      <c r="G411" s="341"/>
      <c r="H411" s="341"/>
      <c r="I411" s="341"/>
    </row>
    <row r="412" spans="1:9" ht="20.25">
      <c r="A412" s="341"/>
      <c r="B412" s="341"/>
      <c r="C412" s="341"/>
      <c r="D412" s="341"/>
      <c r="E412" s="341"/>
      <c r="F412" s="341"/>
      <c r="G412" s="341"/>
      <c r="H412" s="341"/>
      <c r="I412" s="341"/>
    </row>
    <row r="413" spans="1:9" ht="20.25">
      <c r="A413" s="341"/>
      <c r="B413" s="341"/>
      <c r="C413" s="341"/>
      <c r="D413" s="341"/>
      <c r="E413" s="341"/>
      <c r="F413" s="341"/>
      <c r="G413" s="341"/>
      <c r="H413" s="341"/>
      <c r="I413" s="341"/>
    </row>
    <row r="414" spans="1:9" ht="20.25">
      <c r="A414" s="341"/>
      <c r="B414" s="341"/>
      <c r="C414" s="341"/>
      <c r="D414" s="341"/>
      <c r="E414" s="341"/>
      <c r="F414" s="341"/>
      <c r="G414" s="341"/>
      <c r="H414" s="341"/>
      <c r="I414" s="341"/>
    </row>
    <row r="415" spans="1:9" ht="20.25">
      <c r="A415" s="341"/>
      <c r="B415" s="341"/>
      <c r="C415" s="341"/>
      <c r="D415" s="341"/>
      <c r="E415" s="341"/>
      <c r="F415" s="341"/>
      <c r="G415" s="341"/>
      <c r="H415" s="341"/>
      <c r="I415" s="341"/>
    </row>
    <row r="416" spans="1:9" ht="20.25">
      <c r="A416" s="341"/>
      <c r="B416" s="341"/>
      <c r="C416" s="341"/>
      <c r="D416" s="341"/>
      <c r="E416" s="341"/>
      <c r="F416" s="341"/>
      <c r="G416" s="341"/>
      <c r="H416" s="341"/>
      <c r="I416" s="341"/>
    </row>
    <row r="417" spans="1:9" ht="20.25">
      <c r="A417" s="341"/>
      <c r="B417" s="341"/>
      <c r="C417" s="341"/>
      <c r="D417" s="341"/>
      <c r="E417" s="341"/>
      <c r="F417" s="341"/>
      <c r="G417" s="341"/>
      <c r="H417" s="341"/>
      <c r="I417" s="341"/>
    </row>
    <row r="418" spans="1:9" ht="20.25">
      <c r="A418" s="341"/>
      <c r="B418" s="341"/>
      <c r="C418" s="341"/>
      <c r="D418" s="341"/>
      <c r="E418" s="341"/>
      <c r="F418" s="341"/>
      <c r="G418" s="341"/>
      <c r="H418" s="341"/>
      <c r="I418" s="341"/>
    </row>
    <row r="419" spans="1:9" ht="20.25">
      <c r="A419" s="341"/>
      <c r="B419" s="341"/>
      <c r="C419" s="341"/>
      <c r="D419" s="341"/>
      <c r="E419" s="341"/>
      <c r="F419" s="341"/>
      <c r="G419" s="341"/>
      <c r="H419" s="341"/>
      <c r="I419" s="341"/>
    </row>
    <row r="420" spans="1:9" ht="20.25">
      <c r="A420" s="341"/>
      <c r="B420" s="341"/>
      <c r="C420" s="341"/>
      <c r="D420" s="341"/>
      <c r="E420" s="341"/>
      <c r="F420" s="341"/>
      <c r="G420" s="341"/>
      <c r="H420" s="341"/>
      <c r="I420" s="341"/>
    </row>
    <row r="421" spans="1:9" ht="20.25">
      <c r="A421" s="341"/>
      <c r="B421" s="341"/>
      <c r="C421" s="341"/>
      <c r="D421" s="341"/>
      <c r="E421" s="341"/>
      <c r="F421" s="341"/>
      <c r="G421" s="341"/>
      <c r="H421" s="341"/>
      <c r="I421" s="341"/>
    </row>
    <row r="422" spans="1:9" ht="20.25">
      <c r="A422" s="341"/>
      <c r="B422" s="341"/>
      <c r="C422" s="341"/>
      <c r="D422" s="341"/>
      <c r="E422" s="341"/>
      <c r="F422" s="341"/>
      <c r="G422" s="341"/>
      <c r="H422" s="341"/>
      <c r="I422" s="341"/>
    </row>
    <row r="423" spans="1:9" ht="20.25">
      <c r="A423" s="341"/>
      <c r="B423" s="341"/>
      <c r="C423" s="341"/>
      <c r="D423" s="341"/>
      <c r="E423" s="341"/>
      <c r="F423" s="341"/>
      <c r="G423" s="341"/>
      <c r="H423" s="341"/>
      <c r="I423" s="341"/>
    </row>
    <row r="424" spans="1:9" ht="20.25">
      <c r="A424" s="341"/>
      <c r="B424" s="341"/>
      <c r="C424" s="341"/>
      <c r="D424" s="341"/>
      <c r="E424" s="341"/>
      <c r="F424" s="341"/>
      <c r="G424" s="341"/>
      <c r="H424" s="341"/>
      <c r="I424" s="341"/>
    </row>
    <row r="425" spans="1:9" ht="20.25">
      <c r="A425" s="341"/>
      <c r="B425" s="341"/>
      <c r="C425" s="341"/>
      <c r="D425" s="341"/>
      <c r="E425" s="341"/>
      <c r="F425" s="341"/>
      <c r="G425" s="341"/>
      <c r="H425" s="341"/>
      <c r="I425" s="341"/>
    </row>
    <row r="426" spans="1:9" ht="20.25">
      <c r="A426" s="341"/>
      <c r="B426" s="341"/>
      <c r="C426" s="341"/>
      <c r="D426" s="341"/>
      <c r="E426" s="341"/>
      <c r="F426" s="341"/>
      <c r="G426" s="341"/>
      <c r="H426" s="341"/>
      <c r="I426" s="341"/>
    </row>
    <row r="427" spans="1:9" ht="20.25">
      <c r="A427" s="341"/>
      <c r="B427" s="341"/>
      <c r="C427" s="341"/>
      <c r="D427" s="341"/>
      <c r="E427" s="341"/>
      <c r="F427" s="341"/>
      <c r="G427" s="341"/>
      <c r="H427" s="341"/>
      <c r="I427" s="341"/>
    </row>
    <row r="428" spans="1:9" ht="20.25">
      <c r="A428" s="341"/>
      <c r="B428" s="341"/>
      <c r="C428" s="341"/>
      <c r="D428" s="341"/>
      <c r="E428" s="341"/>
      <c r="F428" s="341"/>
      <c r="G428" s="341"/>
      <c r="H428" s="341"/>
      <c r="I428" s="341"/>
    </row>
    <row r="429" spans="1:9" ht="20.25">
      <c r="A429" s="341"/>
      <c r="B429" s="341"/>
      <c r="C429" s="341"/>
      <c r="D429" s="341"/>
      <c r="E429" s="341"/>
      <c r="F429" s="341"/>
      <c r="G429" s="341"/>
      <c r="H429" s="341"/>
      <c r="I429" s="341"/>
    </row>
    <row r="430" spans="1:9" ht="20.25">
      <c r="A430" s="341"/>
      <c r="B430" s="341"/>
      <c r="C430" s="341"/>
      <c r="D430" s="341"/>
      <c r="E430" s="341"/>
      <c r="F430" s="341"/>
      <c r="G430" s="341"/>
      <c r="H430" s="341"/>
      <c r="I430" s="341"/>
    </row>
    <row r="431" spans="1:9" ht="20.25">
      <c r="A431" s="341"/>
      <c r="B431" s="341"/>
      <c r="C431" s="341"/>
      <c r="D431" s="341"/>
      <c r="E431" s="341"/>
      <c r="F431" s="341"/>
      <c r="G431" s="341"/>
      <c r="H431" s="341"/>
      <c r="I431" s="341"/>
    </row>
    <row r="432" spans="1:9" ht="20.25">
      <c r="A432" s="341"/>
      <c r="B432" s="341"/>
      <c r="C432" s="341"/>
      <c r="D432" s="341"/>
      <c r="E432" s="341"/>
      <c r="F432" s="341"/>
      <c r="G432" s="341"/>
      <c r="H432" s="341"/>
      <c r="I432" s="341"/>
    </row>
    <row r="433" spans="1:9" ht="20.25">
      <c r="A433" s="341"/>
      <c r="B433" s="341"/>
      <c r="C433" s="341"/>
      <c r="D433" s="341"/>
      <c r="E433" s="341"/>
      <c r="F433" s="341"/>
      <c r="G433" s="341"/>
      <c r="H433" s="341"/>
      <c r="I433" s="341"/>
    </row>
    <row r="434" spans="1:9" ht="20.25">
      <c r="A434" s="341"/>
      <c r="B434" s="341"/>
      <c r="C434" s="341"/>
      <c r="D434" s="341"/>
      <c r="E434" s="341"/>
      <c r="F434" s="341"/>
      <c r="G434" s="341"/>
      <c r="H434" s="341"/>
      <c r="I434" s="341"/>
    </row>
    <row r="435" spans="1:9" ht="20.25">
      <c r="A435" s="341"/>
      <c r="B435" s="341"/>
      <c r="C435" s="341"/>
      <c r="D435" s="341"/>
      <c r="E435" s="341"/>
      <c r="F435" s="341"/>
      <c r="G435" s="341"/>
      <c r="H435" s="341"/>
      <c r="I435" s="341"/>
    </row>
    <row r="436" spans="1:9" ht="20.25">
      <c r="A436" s="341"/>
      <c r="B436" s="341"/>
      <c r="C436" s="341"/>
      <c r="D436" s="341"/>
      <c r="E436" s="341"/>
      <c r="F436" s="341"/>
      <c r="G436" s="341"/>
      <c r="H436" s="341"/>
      <c r="I436" s="341"/>
    </row>
    <row r="437" spans="1:9" ht="20.25">
      <c r="A437" s="341"/>
      <c r="B437" s="341"/>
      <c r="C437" s="341"/>
      <c r="D437" s="341"/>
      <c r="E437" s="341"/>
      <c r="F437" s="341"/>
      <c r="G437" s="341"/>
      <c r="H437" s="341"/>
      <c r="I437" s="341"/>
    </row>
    <row r="438" spans="1:9" ht="20.25">
      <c r="A438" s="341"/>
      <c r="B438" s="341"/>
      <c r="C438" s="341"/>
      <c r="D438" s="341"/>
      <c r="E438" s="341"/>
      <c r="F438" s="341"/>
      <c r="G438" s="341"/>
      <c r="H438" s="341"/>
      <c r="I438" s="341"/>
    </row>
    <row r="439" spans="1:9" ht="20.25">
      <c r="A439" s="341"/>
      <c r="B439" s="341"/>
      <c r="C439" s="341"/>
      <c r="D439" s="341"/>
      <c r="E439" s="341"/>
      <c r="F439" s="341"/>
      <c r="G439" s="341"/>
      <c r="H439" s="341"/>
      <c r="I439" s="341"/>
    </row>
    <row r="440" spans="1:9" ht="20.25">
      <c r="A440" s="341"/>
      <c r="B440" s="341"/>
      <c r="C440" s="341"/>
      <c r="D440" s="341"/>
      <c r="E440" s="341"/>
      <c r="F440" s="341"/>
      <c r="G440" s="341"/>
      <c r="H440" s="341"/>
      <c r="I440" s="341"/>
    </row>
    <row r="441" spans="1:9" ht="20.25">
      <c r="A441" s="341"/>
      <c r="B441" s="341"/>
      <c r="C441" s="341"/>
      <c r="D441" s="341"/>
      <c r="E441" s="341"/>
      <c r="F441" s="341"/>
      <c r="G441" s="341"/>
      <c r="H441" s="341"/>
      <c r="I441" s="341"/>
    </row>
    <row r="442" spans="1:9" ht="20.25">
      <c r="A442" s="341"/>
      <c r="B442" s="341"/>
      <c r="C442" s="341"/>
      <c r="D442" s="341"/>
      <c r="E442" s="341"/>
      <c r="F442" s="341"/>
      <c r="G442" s="341"/>
      <c r="H442" s="341"/>
      <c r="I442" s="341"/>
    </row>
    <row r="443" spans="1:9" ht="20.25">
      <c r="A443" s="341"/>
      <c r="B443" s="341"/>
      <c r="C443" s="341"/>
      <c r="D443" s="341"/>
      <c r="E443" s="341"/>
      <c r="F443" s="341"/>
      <c r="G443" s="341"/>
      <c r="H443" s="341"/>
      <c r="I443" s="341"/>
    </row>
    <row r="444" spans="1:9" ht="20.25">
      <c r="A444" s="341"/>
      <c r="B444" s="341"/>
      <c r="C444" s="341"/>
      <c r="D444" s="341"/>
      <c r="E444" s="341"/>
      <c r="F444" s="341"/>
      <c r="G444" s="341"/>
      <c r="H444" s="341"/>
      <c r="I444" s="341"/>
    </row>
    <row r="445" spans="1:9" ht="20.25">
      <c r="A445" s="341"/>
      <c r="B445" s="341"/>
      <c r="C445" s="341"/>
      <c r="D445" s="341"/>
      <c r="E445" s="341"/>
      <c r="F445" s="341"/>
      <c r="G445" s="341"/>
      <c r="H445" s="341"/>
      <c r="I445" s="341"/>
    </row>
    <row r="446" spans="1:9" ht="20.25">
      <c r="A446" s="341"/>
      <c r="B446" s="341"/>
      <c r="C446" s="341"/>
      <c r="D446" s="341"/>
      <c r="E446" s="341"/>
      <c r="F446" s="341"/>
      <c r="G446" s="341"/>
      <c r="H446" s="341"/>
      <c r="I446" s="341"/>
    </row>
    <row r="447" spans="1:9" ht="20.25">
      <c r="A447" s="341"/>
      <c r="B447" s="341"/>
      <c r="C447" s="341"/>
      <c r="D447" s="341"/>
      <c r="E447" s="341"/>
      <c r="F447" s="341"/>
      <c r="G447" s="341"/>
      <c r="H447" s="341"/>
      <c r="I447" s="341"/>
    </row>
    <row r="448" spans="1:9" ht="20.25">
      <c r="A448" s="341"/>
      <c r="B448" s="341"/>
      <c r="C448" s="341"/>
      <c r="D448" s="341"/>
      <c r="E448" s="341"/>
      <c r="F448" s="341"/>
      <c r="G448" s="341"/>
      <c r="H448" s="341"/>
      <c r="I448" s="341"/>
    </row>
    <row r="449" spans="1:9" ht="20.25">
      <c r="A449" s="341"/>
      <c r="B449" s="341"/>
      <c r="C449" s="341"/>
      <c r="D449" s="341"/>
      <c r="E449" s="341"/>
      <c r="F449" s="341"/>
      <c r="G449" s="341"/>
      <c r="H449" s="341"/>
      <c r="I449" s="341"/>
    </row>
    <row r="450" spans="1:9" ht="20.25">
      <c r="A450" s="341"/>
      <c r="B450" s="341"/>
      <c r="C450" s="341"/>
      <c r="D450" s="341"/>
      <c r="E450" s="341"/>
      <c r="F450" s="341"/>
      <c r="G450" s="341"/>
      <c r="H450" s="341"/>
      <c r="I450" s="341"/>
    </row>
    <row r="451" spans="1:9" ht="20.25">
      <c r="A451" s="341"/>
      <c r="B451" s="341"/>
      <c r="C451" s="341"/>
      <c r="D451" s="341"/>
      <c r="E451" s="341"/>
      <c r="F451" s="341"/>
      <c r="G451" s="341"/>
      <c r="H451" s="341"/>
      <c r="I451" s="341"/>
    </row>
    <row r="452" spans="1:9" ht="20.25">
      <c r="A452" s="341"/>
      <c r="B452" s="341"/>
      <c r="C452" s="341"/>
      <c r="D452" s="341"/>
      <c r="E452" s="341"/>
      <c r="F452" s="341"/>
      <c r="G452" s="341"/>
      <c r="H452" s="341"/>
      <c r="I452" s="341"/>
    </row>
    <row r="453" spans="1:9" ht="20.25">
      <c r="A453" s="341"/>
      <c r="B453" s="341"/>
      <c r="C453" s="341"/>
      <c r="D453" s="341"/>
      <c r="E453" s="341"/>
      <c r="F453" s="341"/>
      <c r="G453" s="341"/>
      <c r="H453" s="341"/>
      <c r="I453" s="341"/>
    </row>
    <row r="454" spans="1:9" ht="20.25">
      <c r="A454" s="341"/>
      <c r="B454" s="341"/>
      <c r="C454" s="341"/>
      <c r="D454" s="341"/>
      <c r="E454" s="341"/>
      <c r="F454" s="341"/>
      <c r="G454" s="341"/>
      <c r="H454" s="341"/>
      <c r="I454" s="341"/>
    </row>
    <row r="455" spans="1:9" ht="20.25">
      <c r="A455" s="341"/>
      <c r="B455" s="341"/>
      <c r="C455" s="341"/>
      <c r="D455" s="341"/>
      <c r="E455" s="341"/>
      <c r="F455" s="341"/>
      <c r="G455" s="341"/>
      <c r="H455" s="341"/>
      <c r="I455" s="341"/>
    </row>
    <row r="456" spans="1:9" ht="20.25">
      <c r="A456" s="341"/>
      <c r="B456" s="341"/>
      <c r="C456" s="341"/>
      <c r="D456" s="341"/>
      <c r="E456" s="341"/>
      <c r="F456" s="341"/>
      <c r="G456" s="341"/>
      <c r="H456" s="341"/>
      <c r="I456" s="341"/>
    </row>
    <row r="457" spans="1:9" ht="20.25">
      <c r="A457" s="341"/>
      <c r="B457" s="341"/>
      <c r="C457" s="341"/>
      <c r="D457" s="341"/>
      <c r="E457" s="341"/>
      <c r="F457" s="341"/>
      <c r="G457" s="341"/>
      <c r="H457" s="341"/>
      <c r="I457" s="341"/>
    </row>
    <row r="458" spans="1:9" ht="20.25">
      <c r="A458" s="341"/>
      <c r="B458" s="341"/>
      <c r="C458" s="341"/>
      <c r="D458" s="341"/>
      <c r="E458" s="341"/>
      <c r="F458" s="341"/>
      <c r="G458" s="341"/>
      <c r="H458" s="341"/>
      <c r="I458" s="341"/>
    </row>
    <row r="459" spans="1:9" ht="20.25">
      <c r="A459" s="341"/>
      <c r="B459" s="341"/>
      <c r="C459" s="341"/>
      <c r="D459" s="341"/>
      <c r="E459" s="341"/>
      <c r="F459" s="341"/>
      <c r="G459" s="341"/>
      <c r="H459" s="341"/>
      <c r="I459" s="341"/>
    </row>
    <row r="460" spans="1:9" ht="20.25">
      <c r="A460" s="341"/>
      <c r="B460" s="341"/>
      <c r="C460" s="341"/>
      <c r="D460" s="341"/>
      <c r="E460" s="341"/>
      <c r="F460" s="341"/>
      <c r="G460" s="341"/>
      <c r="H460" s="341"/>
      <c r="I460" s="341"/>
    </row>
    <row r="461" spans="1:9" ht="20.25">
      <c r="A461" s="341"/>
      <c r="B461" s="341"/>
      <c r="C461" s="341"/>
      <c r="D461" s="341"/>
      <c r="E461" s="341"/>
      <c r="F461" s="341"/>
      <c r="G461" s="341"/>
      <c r="H461" s="341"/>
      <c r="I461" s="341"/>
    </row>
    <row r="462" spans="1:9" ht="20.25">
      <c r="A462" s="341"/>
      <c r="B462" s="341"/>
      <c r="C462" s="341"/>
      <c r="D462" s="341"/>
      <c r="E462" s="341"/>
      <c r="F462" s="341"/>
      <c r="G462" s="341"/>
      <c r="H462" s="341"/>
      <c r="I462" s="341"/>
    </row>
    <row r="463" spans="1:9" ht="20.25">
      <c r="A463" s="341"/>
      <c r="B463" s="341"/>
      <c r="C463" s="341"/>
      <c r="D463" s="341"/>
      <c r="E463" s="341"/>
      <c r="F463" s="341"/>
      <c r="G463" s="341"/>
      <c r="H463" s="341"/>
      <c r="I463" s="341"/>
    </row>
    <row r="464" spans="1:9" ht="20.25">
      <c r="A464" s="341"/>
      <c r="B464" s="341"/>
      <c r="C464" s="341"/>
      <c r="D464" s="341"/>
      <c r="E464" s="341"/>
      <c r="F464" s="341"/>
      <c r="G464" s="341"/>
      <c r="H464" s="341"/>
      <c r="I464" s="341"/>
    </row>
    <row r="465" spans="1:9" ht="20.25">
      <c r="A465" s="341"/>
      <c r="B465" s="341"/>
      <c r="C465" s="341"/>
      <c r="D465" s="341"/>
      <c r="E465" s="341"/>
      <c r="F465" s="341"/>
      <c r="G465" s="341"/>
      <c r="H465" s="341"/>
      <c r="I465" s="341"/>
    </row>
    <row r="466" spans="1:9" ht="20.25">
      <c r="A466" s="341"/>
      <c r="B466" s="341"/>
      <c r="C466" s="341"/>
      <c r="D466" s="341"/>
      <c r="E466" s="341"/>
      <c r="F466" s="341"/>
      <c r="G466" s="341"/>
      <c r="H466" s="341"/>
      <c r="I466" s="341"/>
    </row>
    <row r="467" spans="1:9" ht="20.25">
      <c r="A467" s="341"/>
      <c r="B467" s="341"/>
      <c r="C467" s="341"/>
      <c r="D467" s="341"/>
      <c r="E467" s="341"/>
      <c r="F467" s="341"/>
      <c r="G467" s="341"/>
      <c r="H467" s="341"/>
      <c r="I467" s="341"/>
    </row>
    <row r="468" spans="1:9" ht="20.25">
      <c r="A468" s="341"/>
      <c r="B468" s="341"/>
      <c r="C468" s="341"/>
      <c r="D468" s="341"/>
      <c r="E468" s="341"/>
      <c r="F468" s="341"/>
      <c r="G468" s="341"/>
      <c r="H468" s="341"/>
      <c r="I468" s="341"/>
    </row>
    <row r="469" spans="1:9" ht="20.25">
      <c r="A469" s="341"/>
      <c r="B469" s="341"/>
      <c r="C469" s="341"/>
      <c r="D469" s="341"/>
      <c r="E469" s="341"/>
      <c r="F469" s="341"/>
      <c r="G469" s="341"/>
      <c r="H469" s="341"/>
      <c r="I469" s="341"/>
    </row>
    <row r="470" spans="1:9" ht="20.25">
      <c r="A470" s="341"/>
      <c r="B470" s="341"/>
      <c r="C470" s="341"/>
      <c r="D470" s="341"/>
      <c r="E470" s="341"/>
      <c r="F470" s="341"/>
      <c r="G470" s="341"/>
      <c r="H470" s="341"/>
      <c r="I470" s="341"/>
    </row>
    <row r="471" spans="1:9" ht="20.25">
      <c r="A471" s="341"/>
      <c r="B471" s="341"/>
      <c r="C471" s="341"/>
      <c r="D471" s="341"/>
      <c r="E471" s="341"/>
      <c r="F471" s="341"/>
      <c r="G471" s="341"/>
      <c r="H471" s="341"/>
      <c r="I471" s="341"/>
    </row>
    <row r="472" spans="1:9" ht="20.25">
      <c r="A472" s="341"/>
      <c r="B472" s="341"/>
      <c r="C472" s="341"/>
      <c r="D472" s="341"/>
      <c r="E472" s="341"/>
      <c r="F472" s="341"/>
      <c r="G472" s="341"/>
      <c r="H472" s="341"/>
      <c r="I472" s="341"/>
    </row>
    <row r="473" spans="1:9" ht="20.25">
      <c r="A473" s="341"/>
      <c r="B473" s="341"/>
      <c r="C473" s="341"/>
      <c r="D473" s="341"/>
      <c r="E473" s="341"/>
      <c r="F473" s="341"/>
      <c r="G473" s="341"/>
      <c r="H473" s="341"/>
      <c r="I473" s="341"/>
    </row>
    <row r="474" spans="1:9" ht="20.25">
      <c r="A474" s="341"/>
      <c r="B474" s="341"/>
      <c r="C474" s="341"/>
      <c r="D474" s="341"/>
      <c r="E474" s="341"/>
      <c r="F474" s="341"/>
      <c r="G474" s="341"/>
      <c r="H474" s="341"/>
      <c r="I474" s="341"/>
    </row>
    <row r="475" spans="1:9" ht="20.25">
      <c r="A475" s="341"/>
      <c r="B475" s="341"/>
      <c r="C475" s="341"/>
      <c r="D475" s="341"/>
      <c r="E475" s="341"/>
      <c r="F475" s="341"/>
      <c r="G475" s="341"/>
      <c r="H475" s="341"/>
      <c r="I475" s="341"/>
    </row>
    <row r="476" spans="1:9" ht="20.25">
      <c r="A476" s="341"/>
      <c r="B476" s="341"/>
      <c r="C476" s="341"/>
      <c r="D476" s="341"/>
      <c r="E476" s="341"/>
      <c r="F476" s="341"/>
      <c r="G476" s="341"/>
      <c r="H476" s="341"/>
      <c r="I476" s="341"/>
    </row>
    <row r="477" spans="1:9" ht="20.25">
      <c r="A477" s="341"/>
      <c r="B477" s="341"/>
      <c r="C477" s="341"/>
      <c r="D477" s="341"/>
      <c r="E477" s="341"/>
      <c r="F477" s="341"/>
      <c r="G477" s="341"/>
      <c r="H477" s="341"/>
      <c r="I477" s="341"/>
    </row>
    <row r="478" spans="1:9" ht="20.25">
      <c r="A478" s="341"/>
      <c r="B478" s="341"/>
      <c r="C478" s="341"/>
      <c r="D478" s="341"/>
      <c r="E478" s="341"/>
      <c r="F478" s="341"/>
      <c r="G478" s="341"/>
      <c r="H478" s="341"/>
      <c r="I478" s="341"/>
    </row>
    <row r="479" spans="1:9" ht="20.25">
      <c r="A479" s="341"/>
      <c r="B479" s="341"/>
      <c r="C479" s="341"/>
      <c r="D479" s="341"/>
      <c r="E479" s="341"/>
      <c r="F479" s="341"/>
      <c r="G479" s="341"/>
      <c r="H479" s="341"/>
      <c r="I479" s="341"/>
    </row>
    <row r="480" spans="1:9" ht="20.25">
      <c r="A480" s="341"/>
      <c r="B480" s="341"/>
      <c r="C480" s="341"/>
      <c r="D480" s="341"/>
      <c r="E480" s="341"/>
      <c r="F480" s="341"/>
      <c r="G480" s="341"/>
      <c r="H480" s="341"/>
      <c r="I480" s="341"/>
    </row>
    <row r="481" spans="1:9" ht="20.25">
      <c r="A481" s="341"/>
      <c r="B481" s="341"/>
      <c r="C481" s="341"/>
      <c r="D481" s="341"/>
      <c r="E481" s="341"/>
      <c r="F481" s="341"/>
      <c r="G481" s="341"/>
      <c r="H481" s="341"/>
      <c r="I481" s="341"/>
    </row>
    <row r="482" spans="1:9" ht="20.25">
      <c r="A482" s="341"/>
      <c r="B482" s="341"/>
      <c r="C482" s="341"/>
      <c r="D482" s="341"/>
      <c r="E482" s="341"/>
      <c r="F482" s="341"/>
      <c r="G482" s="341"/>
      <c r="H482" s="341"/>
      <c r="I482" s="341"/>
    </row>
    <row r="483" spans="1:9" ht="20.25">
      <c r="A483" s="341"/>
      <c r="B483" s="341"/>
      <c r="C483" s="341"/>
      <c r="D483" s="341"/>
      <c r="E483" s="341"/>
      <c r="F483" s="341"/>
      <c r="G483" s="341"/>
      <c r="H483" s="341"/>
      <c r="I483" s="341"/>
    </row>
    <row r="484" spans="1:9" ht="20.25">
      <c r="A484" s="341"/>
      <c r="B484" s="341"/>
      <c r="C484" s="341"/>
      <c r="D484" s="341"/>
      <c r="E484" s="341"/>
      <c r="F484" s="341"/>
      <c r="G484" s="341"/>
      <c r="H484" s="341"/>
      <c r="I484" s="341"/>
    </row>
    <row r="485" spans="1:9" ht="20.25">
      <c r="A485" s="341"/>
      <c r="B485" s="341"/>
      <c r="C485" s="341"/>
      <c r="D485" s="341"/>
      <c r="E485" s="341"/>
      <c r="F485" s="341"/>
      <c r="G485" s="341"/>
      <c r="H485" s="341"/>
      <c r="I485" s="341"/>
    </row>
    <row r="486" spans="1:9" ht="20.25">
      <c r="A486" s="341"/>
      <c r="B486" s="341"/>
      <c r="C486" s="341"/>
      <c r="D486" s="341"/>
      <c r="E486" s="341"/>
      <c r="F486" s="341"/>
      <c r="G486" s="341"/>
      <c r="H486" s="341"/>
      <c r="I486" s="341"/>
    </row>
    <row r="487" spans="1:9" ht="20.25">
      <c r="A487" s="341"/>
      <c r="B487" s="341"/>
      <c r="C487" s="341"/>
      <c r="D487" s="341"/>
      <c r="E487" s="341"/>
      <c r="F487" s="341"/>
      <c r="G487" s="341"/>
      <c r="H487" s="341"/>
      <c r="I487" s="341"/>
    </row>
    <row r="488" spans="1:9" ht="20.25">
      <c r="A488" s="341"/>
      <c r="B488" s="341"/>
      <c r="C488" s="341"/>
      <c r="D488" s="341"/>
      <c r="E488" s="341"/>
      <c r="F488" s="341"/>
      <c r="G488" s="341"/>
      <c r="H488" s="341"/>
      <c r="I488" s="341"/>
    </row>
    <row r="489" spans="1:9" ht="20.25">
      <c r="A489" s="341"/>
      <c r="B489" s="341"/>
      <c r="C489" s="341"/>
      <c r="D489" s="341"/>
      <c r="E489" s="341"/>
      <c r="F489" s="341"/>
      <c r="G489" s="341"/>
      <c r="H489" s="341"/>
      <c r="I489" s="341"/>
    </row>
    <row r="490" spans="1:9" ht="20.25">
      <c r="A490" s="341"/>
      <c r="B490" s="341"/>
      <c r="C490" s="341"/>
      <c r="D490" s="341"/>
      <c r="E490" s="341"/>
      <c r="F490" s="341"/>
      <c r="G490" s="341"/>
      <c r="H490" s="341"/>
      <c r="I490" s="341"/>
    </row>
    <row r="491" spans="1:9" ht="20.25">
      <c r="A491" s="341"/>
      <c r="B491" s="341"/>
      <c r="C491" s="341"/>
      <c r="D491" s="341"/>
      <c r="E491" s="341"/>
      <c r="F491" s="341"/>
      <c r="G491" s="341"/>
      <c r="H491" s="341"/>
      <c r="I491" s="341"/>
    </row>
    <row r="492" spans="1:9" ht="20.25">
      <c r="A492" s="341"/>
      <c r="B492" s="341"/>
      <c r="C492" s="341"/>
      <c r="D492" s="341"/>
      <c r="E492" s="341"/>
      <c r="F492" s="341"/>
      <c r="G492" s="341"/>
      <c r="H492" s="341"/>
      <c r="I492" s="341"/>
    </row>
    <row r="493" spans="1:9" ht="20.25">
      <c r="A493" s="341"/>
      <c r="B493" s="341"/>
      <c r="C493" s="341"/>
      <c r="D493" s="341"/>
      <c r="E493" s="341"/>
      <c r="F493" s="341"/>
      <c r="G493" s="341"/>
      <c r="H493" s="341"/>
      <c r="I493" s="341"/>
    </row>
    <row r="494" spans="1:9" ht="20.25">
      <c r="A494" s="341"/>
      <c r="B494" s="341"/>
      <c r="C494" s="341"/>
      <c r="D494" s="341"/>
      <c r="E494" s="341"/>
      <c r="F494" s="341"/>
      <c r="G494" s="341"/>
      <c r="H494" s="341"/>
      <c r="I494" s="341"/>
    </row>
    <row r="495" spans="1:9" ht="20.25">
      <c r="A495" s="341"/>
      <c r="B495" s="341"/>
      <c r="C495" s="341"/>
      <c r="D495" s="341"/>
      <c r="E495" s="341"/>
      <c r="F495" s="341"/>
      <c r="G495" s="341"/>
      <c r="H495" s="341"/>
      <c r="I495" s="341"/>
    </row>
    <row r="496" spans="1:9" ht="20.25">
      <c r="A496" s="341"/>
      <c r="B496" s="341"/>
      <c r="C496" s="341"/>
      <c r="D496" s="341"/>
      <c r="E496" s="341"/>
      <c r="F496" s="341"/>
      <c r="G496" s="341"/>
      <c r="H496" s="341"/>
      <c r="I496" s="341"/>
    </row>
    <row r="497" spans="1:9" ht="20.25">
      <c r="A497" s="341"/>
      <c r="B497" s="341"/>
      <c r="C497" s="341"/>
      <c r="D497" s="341"/>
      <c r="E497" s="341"/>
      <c r="F497" s="341"/>
      <c r="G497" s="341"/>
      <c r="H497" s="341"/>
      <c r="I497" s="341"/>
    </row>
    <row r="498" spans="1:9" ht="20.25">
      <c r="A498" s="341"/>
      <c r="B498" s="341"/>
      <c r="C498" s="341"/>
      <c r="D498" s="341"/>
      <c r="E498" s="341"/>
      <c r="F498" s="341"/>
      <c r="G498" s="341"/>
      <c r="H498" s="341"/>
      <c r="I498" s="341"/>
    </row>
    <row r="499" spans="1:9" ht="20.25">
      <c r="A499" s="341"/>
      <c r="B499" s="341"/>
      <c r="C499" s="341"/>
      <c r="D499" s="341"/>
      <c r="E499" s="341"/>
      <c r="F499" s="341"/>
      <c r="G499" s="341"/>
      <c r="H499" s="341"/>
      <c r="I499" s="341"/>
    </row>
    <row r="500" spans="1:9" ht="20.25">
      <c r="A500" s="341"/>
      <c r="B500" s="341"/>
      <c r="C500" s="341"/>
      <c r="D500" s="341"/>
      <c r="E500" s="341"/>
      <c r="F500" s="341"/>
      <c r="G500" s="341"/>
      <c r="H500" s="341"/>
      <c r="I500" s="341"/>
    </row>
    <row r="501" spans="1:9" ht="20.25">
      <c r="A501" s="341"/>
      <c r="B501" s="341"/>
      <c r="C501" s="341"/>
      <c r="D501" s="341"/>
      <c r="E501" s="341"/>
      <c r="F501" s="341"/>
      <c r="G501" s="341"/>
      <c r="H501" s="341"/>
      <c r="I501" s="341"/>
    </row>
    <row r="502" spans="1:9" ht="20.25">
      <c r="A502" s="341"/>
      <c r="B502" s="341"/>
      <c r="C502" s="341"/>
      <c r="D502" s="341"/>
      <c r="E502" s="341"/>
      <c r="F502" s="341"/>
      <c r="G502" s="341"/>
      <c r="H502" s="341"/>
      <c r="I502" s="341"/>
    </row>
    <row r="503" spans="1:9" ht="20.25">
      <c r="A503" s="341"/>
      <c r="B503" s="341"/>
      <c r="C503" s="341"/>
      <c r="D503" s="341"/>
      <c r="E503" s="341"/>
      <c r="F503" s="341"/>
      <c r="G503" s="341"/>
      <c r="H503" s="341"/>
      <c r="I503" s="341"/>
    </row>
    <row r="504" spans="1:9" ht="20.25">
      <c r="A504" s="341"/>
      <c r="B504" s="341"/>
      <c r="C504" s="341"/>
      <c r="D504" s="341"/>
      <c r="E504" s="341"/>
      <c r="F504" s="341"/>
      <c r="G504" s="341"/>
      <c r="H504" s="341"/>
      <c r="I504" s="341"/>
    </row>
    <row r="505" spans="1:9" ht="20.25">
      <c r="A505" s="341"/>
      <c r="B505" s="341"/>
      <c r="C505" s="341"/>
      <c r="D505" s="341"/>
      <c r="E505" s="341"/>
      <c r="F505" s="341"/>
      <c r="G505" s="341"/>
      <c r="H505" s="341"/>
      <c r="I505" s="341"/>
    </row>
    <row r="506" spans="1:9" ht="20.25">
      <c r="A506" s="341"/>
      <c r="B506" s="341"/>
      <c r="C506" s="341"/>
      <c r="D506" s="341"/>
      <c r="E506" s="341"/>
      <c r="F506" s="341"/>
      <c r="G506" s="341"/>
      <c r="H506" s="341"/>
      <c r="I506" s="341"/>
    </row>
    <row r="507" spans="1:9" ht="20.25">
      <c r="A507" s="341"/>
      <c r="B507" s="341"/>
      <c r="C507" s="341"/>
      <c r="D507" s="341"/>
      <c r="E507" s="341"/>
      <c r="F507" s="341"/>
      <c r="G507" s="341"/>
      <c r="H507" s="341"/>
      <c r="I507" s="341"/>
    </row>
    <row r="508" spans="1:9" ht="20.25">
      <c r="A508" s="341"/>
      <c r="B508" s="341"/>
      <c r="C508" s="341"/>
      <c r="D508" s="341"/>
      <c r="E508" s="341"/>
      <c r="F508" s="341"/>
      <c r="G508" s="341"/>
      <c r="H508" s="341"/>
      <c r="I508" s="341"/>
    </row>
    <row r="509" spans="1:9" ht="20.25">
      <c r="A509" s="341"/>
      <c r="B509" s="341"/>
      <c r="C509" s="341"/>
      <c r="D509" s="341"/>
      <c r="E509" s="341"/>
      <c r="F509" s="341"/>
      <c r="G509" s="341"/>
      <c r="H509" s="341"/>
      <c r="I509" s="341"/>
    </row>
    <row r="510" spans="1:9" ht="20.25">
      <c r="A510" s="341"/>
      <c r="B510" s="341"/>
      <c r="C510" s="341"/>
      <c r="D510" s="341"/>
      <c r="E510" s="341"/>
      <c r="F510" s="341"/>
      <c r="G510" s="341"/>
      <c r="H510" s="341"/>
      <c r="I510" s="341"/>
    </row>
    <row r="511" spans="1:9" ht="20.25">
      <c r="A511" s="341"/>
      <c r="B511" s="341"/>
      <c r="C511" s="341"/>
      <c r="D511" s="341"/>
      <c r="E511" s="341"/>
      <c r="F511" s="341"/>
      <c r="G511" s="341"/>
      <c r="H511" s="341"/>
      <c r="I511" s="341"/>
    </row>
    <row r="512" spans="1:9" ht="20.25">
      <c r="A512" s="341"/>
      <c r="B512" s="341"/>
      <c r="C512" s="341"/>
      <c r="D512" s="341"/>
      <c r="E512" s="341"/>
      <c r="F512" s="341"/>
      <c r="G512" s="341"/>
      <c r="H512" s="341"/>
      <c r="I512" s="341"/>
    </row>
    <row r="513" spans="1:9" ht="20.25">
      <c r="A513" s="341"/>
      <c r="B513" s="341"/>
      <c r="C513" s="341"/>
      <c r="D513" s="341"/>
      <c r="E513" s="341"/>
      <c r="F513" s="341"/>
      <c r="G513" s="341"/>
      <c r="H513" s="341"/>
      <c r="I513" s="341"/>
    </row>
    <row r="514" spans="1:9" ht="20.25">
      <c r="A514" s="341"/>
      <c r="B514" s="341"/>
      <c r="C514" s="341"/>
      <c r="D514" s="341"/>
      <c r="E514" s="341"/>
      <c r="F514" s="341"/>
      <c r="G514" s="341"/>
      <c r="H514" s="341"/>
      <c r="I514" s="341"/>
    </row>
    <row r="515" spans="1:9" ht="20.25">
      <c r="A515" s="341"/>
      <c r="B515" s="341"/>
      <c r="C515" s="341"/>
      <c r="D515" s="341"/>
      <c r="E515" s="341"/>
      <c r="F515" s="341"/>
      <c r="G515" s="341"/>
      <c r="H515" s="341"/>
      <c r="I515" s="341"/>
    </row>
    <row r="516" spans="1:9" ht="20.25">
      <c r="A516" s="341"/>
      <c r="B516" s="341"/>
      <c r="C516" s="341"/>
      <c r="D516" s="341"/>
      <c r="E516" s="341"/>
      <c r="F516" s="341"/>
      <c r="G516" s="341"/>
      <c r="H516" s="341"/>
      <c r="I516" s="341"/>
    </row>
    <row r="517" spans="1:9" ht="20.25">
      <c r="A517" s="341"/>
      <c r="B517" s="341"/>
      <c r="C517" s="341"/>
      <c r="D517" s="341"/>
      <c r="E517" s="341"/>
      <c r="F517" s="341"/>
      <c r="G517" s="341"/>
      <c r="H517" s="341"/>
      <c r="I517" s="341"/>
    </row>
    <row r="518" spans="1:9" ht="20.25">
      <c r="A518" s="341"/>
      <c r="B518" s="341"/>
      <c r="C518" s="341"/>
      <c r="D518" s="341"/>
      <c r="E518" s="341"/>
      <c r="F518" s="341"/>
      <c r="G518" s="341"/>
      <c r="H518" s="341"/>
      <c r="I518" s="341"/>
    </row>
    <row r="519" spans="1:9" ht="20.25">
      <c r="A519" s="341"/>
      <c r="B519" s="341"/>
      <c r="C519" s="341"/>
      <c r="D519" s="341"/>
      <c r="E519" s="341"/>
      <c r="F519" s="341"/>
      <c r="G519" s="341"/>
      <c r="H519" s="341"/>
      <c r="I519" s="341"/>
    </row>
    <row r="520" spans="1:9" ht="20.25">
      <c r="A520" s="341"/>
      <c r="B520" s="341"/>
      <c r="C520" s="341"/>
      <c r="D520" s="341"/>
      <c r="E520" s="341"/>
      <c r="F520" s="341"/>
      <c r="G520" s="341"/>
      <c r="H520" s="341"/>
      <c r="I520" s="341"/>
    </row>
    <row r="521" spans="1:9" ht="20.25">
      <c r="A521" s="341"/>
      <c r="B521" s="341"/>
      <c r="C521" s="341"/>
      <c r="D521" s="341"/>
      <c r="E521" s="341"/>
      <c r="F521" s="341"/>
      <c r="G521" s="341"/>
      <c r="H521" s="341"/>
      <c r="I521" s="341"/>
    </row>
    <row r="522" spans="1:9" ht="20.25">
      <c r="A522" s="341"/>
      <c r="B522" s="341"/>
      <c r="C522" s="341"/>
      <c r="D522" s="341"/>
      <c r="E522" s="341"/>
      <c r="F522" s="341"/>
      <c r="G522" s="341"/>
      <c r="H522" s="341"/>
      <c r="I522" s="341"/>
    </row>
    <row r="523" spans="1:9" ht="20.25">
      <c r="A523" s="341"/>
      <c r="B523" s="341"/>
      <c r="C523" s="341"/>
      <c r="D523" s="341"/>
      <c r="E523" s="341"/>
      <c r="F523" s="341"/>
      <c r="G523" s="341"/>
      <c r="H523" s="341"/>
      <c r="I523" s="341"/>
    </row>
    <row r="524" spans="1:9" ht="20.25">
      <c r="A524" s="341"/>
      <c r="B524" s="341"/>
      <c r="C524" s="341"/>
      <c r="D524" s="341"/>
      <c r="E524" s="341"/>
      <c r="F524" s="341"/>
      <c r="G524" s="341"/>
      <c r="H524" s="341"/>
      <c r="I524" s="341"/>
    </row>
    <row r="525" spans="1:9" ht="20.25">
      <c r="A525" s="341"/>
      <c r="B525" s="341"/>
      <c r="C525" s="341"/>
      <c r="D525" s="341"/>
      <c r="E525" s="341"/>
      <c r="F525" s="341"/>
      <c r="G525" s="341"/>
      <c r="H525" s="341"/>
      <c r="I525" s="341"/>
    </row>
    <row r="526" spans="1:9" ht="20.25">
      <c r="A526" s="341"/>
      <c r="B526" s="341"/>
      <c r="C526" s="341"/>
      <c r="D526" s="341"/>
      <c r="E526" s="341"/>
      <c r="F526" s="341"/>
      <c r="G526" s="341"/>
      <c r="H526" s="341"/>
      <c r="I526" s="341"/>
    </row>
    <row r="527" spans="1:9" ht="20.25">
      <c r="A527" s="341"/>
      <c r="B527" s="341"/>
      <c r="C527" s="341"/>
      <c r="D527" s="341"/>
      <c r="E527" s="341"/>
      <c r="F527" s="341"/>
      <c r="G527" s="341"/>
      <c r="H527" s="341"/>
      <c r="I527" s="341"/>
    </row>
    <row r="528" spans="1:9" ht="20.25">
      <c r="A528" s="341"/>
      <c r="B528" s="341"/>
      <c r="C528" s="341"/>
      <c r="D528" s="341"/>
      <c r="E528" s="341"/>
      <c r="F528" s="341"/>
      <c r="G528" s="341"/>
      <c r="H528" s="341"/>
      <c r="I528" s="341"/>
    </row>
    <row r="529" spans="1:9" ht="20.25">
      <c r="A529" s="341"/>
      <c r="B529" s="341"/>
      <c r="C529" s="341"/>
      <c r="D529" s="341"/>
      <c r="E529" s="341"/>
      <c r="F529" s="341"/>
      <c r="G529" s="341"/>
      <c r="H529" s="341"/>
      <c r="I529" s="341"/>
    </row>
    <row r="530" spans="1:9" ht="20.25">
      <c r="A530" s="341"/>
      <c r="B530" s="341"/>
      <c r="C530" s="341"/>
      <c r="D530" s="341"/>
      <c r="E530" s="341"/>
      <c r="F530" s="341"/>
      <c r="G530" s="341"/>
      <c r="H530" s="341"/>
      <c r="I530" s="341"/>
    </row>
    <row r="531" spans="1:9" ht="20.25">
      <c r="A531" s="341"/>
      <c r="B531" s="341"/>
      <c r="C531" s="341"/>
      <c r="D531" s="341"/>
      <c r="E531" s="341"/>
      <c r="F531" s="341"/>
      <c r="G531" s="341"/>
      <c r="H531" s="341"/>
      <c r="I531" s="341"/>
    </row>
    <row r="532" spans="1:9" ht="20.25">
      <c r="A532" s="341"/>
      <c r="B532" s="341"/>
      <c r="C532" s="341"/>
      <c r="D532" s="341"/>
      <c r="E532" s="341"/>
      <c r="F532" s="341"/>
      <c r="G532" s="341"/>
      <c r="H532" s="341"/>
      <c r="I532" s="341"/>
    </row>
    <row r="533" spans="1:9" ht="20.25">
      <c r="A533" s="341"/>
      <c r="B533" s="341"/>
      <c r="C533" s="341"/>
      <c r="D533" s="341"/>
      <c r="E533" s="341"/>
      <c r="F533" s="341"/>
      <c r="G533" s="341"/>
      <c r="H533" s="341"/>
      <c r="I533" s="341"/>
    </row>
    <row r="534" spans="1:9" ht="20.25">
      <c r="A534" s="341"/>
      <c r="B534" s="341"/>
      <c r="C534" s="341"/>
      <c r="D534" s="341"/>
      <c r="E534" s="341"/>
      <c r="F534" s="341"/>
      <c r="G534" s="341"/>
      <c r="H534" s="341"/>
      <c r="I534" s="341"/>
    </row>
    <row r="535" spans="1:9" ht="20.25">
      <c r="A535" s="341"/>
      <c r="B535" s="341"/>
      <c r="C535" s="341"/>
      <c r="D535" s="341"/>
      <c r="E535" s="341"/>
      <c r="F535" s="341"/>
      <c r="G535" s="341"/>
      <c r="H535" s="341"/>
      <c r="I535" s="341"/>
    </row>
    <row r="536" spans="1:9" ht="20.25">
      <c r="A536" s="341"/>
      <c r="B536" s="341"/>
      <c r="C536" s="341"/>
      <c r="D536" s="341"/>
      <c r="E536" s="341"/>
      <c r="F536" s="341"/>
      <c r="G536" s="341"/>
      <c r="H536" s="341"/>
      <c r="I536" s="341"/>
    </row>
    <row r="537" spans="1:9" ht="20.25">
      <c r="A537" s="341"/>
      <c r="B537" s="341"/>
      <c r="C537" s="341"/>
      <c r="D537" s="341"/>
      <c r="E537" s="341"/>
      <c r="F537" s="341"/>
      <c r="G537" s="341"/>
      <c r="H537" s="341"/>
      <c r="I537" s="341"/>
    </row>
    <row r="538" spans="1:9" ht="20.25">
      <c r="A538" s="341"/>
      <c r="B538" s="341"/>
      <c r="C538" s="341"/>
      <c r="D538" s="341"/>
      <c r="E538" s="341"/>
      <c r="F538" s="341"/>
      <c r="G538" s="341"/>
      <c r="H538" s="341"/>
      <c r="I538" s="341"/>
    </row>
    <row r="539" spans="1:9" ht="20.25">
      <c r="A539" s="341"/>
      <c r="B539" s="341"/>
      <c r="C539" s="341"/>
      <c r="D539" s="341"/>
      <c r="E539" s="341"/>
      <c r="F539" s="341"/>
      <c r="G539" s="341"/>
      <c r="H539" s="341"/>
      <c r="I539" s="341"/>
    </row>
    <row r="540" spans="1:9" ht="20.25">
      <c r="A540" s="341"/>
      <c r="B540" s="341"/>
      <c r="C540" s="341"/>
      <c r="D540" s="341"/>
      <c r="E540" s="341"/>
      <c r="F540" s="341"/>
      <c r="G540" s="341"/>
      <c r="H540" s="341"/>
      <c r="I540" s="341"/>
    </row>
    <row r="541" spans="1:9" ht="20.25">
      <c r="A541" s="341"/>
      <c r="B541" s="341"/>
      <c r="C541" s="341"/>
      <c r="D541" s="341"/>
      <c r="E541" s="341"/>
      <c r="F541" s="341"/>
      <c r="G541" s="341"/>
      <c r="H541" s="341"/>
      <c r="I541" s="341"/>
    </row>
    <row r="542" spans="1:9" ht="20.25">
      <c r="A542" s="341"/>
      <c r="B542" s="341"/>
      <c r="C542" s="341"/>
      <c r="D542" s="341"/>
      <c r="E542" s="341"/>
      <c r="F542" s="341"/>
      <c r="G542" s="341"/>
      <c r="H542" s="341"/>
      <c r="I542" s="341"/>
    </row>
    <row r="543" spans="1:9" ht="20.25">
      <c r="A543" s="341"/>
      <c r="B543" s="341"/>
      <c r="C543" s="341"/>
      <c r="D543" s="341"/>
      <c r="E543" s="341"/>
      <c r="F543" s="341"/>
      <c r="G543" s="341"/>
      <c r="H543" s="341"/>
      <c r="I543" s="341"/>
    </row>
    <row r="544" spans="1:9" ht="20.25">
      <c r="A544" s="341"/>
      <c r="B544" s="341"/>
      <c r="C544" s="341"/>
      <c r="D544" s="341"/>
      <c r="E544" s="341"/>
      <c r="F544" s="341"/>
      <c r="G544" s="341"/>
      <c r="H544" s="341"/>
      <c r="I544" s="341"/>
    </row>
    <row r="545" spans="1:9" ht="20.25">
      <c r="A545" s="341"/>
      <c r="B545" s="341"/>
      <c r="C545" s="341"/>
      <c r="D545" s="341"/>
      <c r="E545" s="341"/>
      <c r="F545" s="341"/>
      <c r="G545" s="341"/>
      <c r="H545" s="341"/>
      <c r="I545" s="341"/>
    </row>
    <row r="546" spans="1:9" ht="20.25">
      <c r="A546" s="341"/>
      <c r="B546" s="341"/>
      <c r="C546" s="341"/>
      <c r="D546" s="341"/>
      <c r="E546" s="341"/>
      <c r="F546" s="341"/>
      <c r="G546" s="341"/>
      <c r="H546" s="341"/>
      <c r="I546" s="341"/>
    </row>
    <row r="547" spans="1:9" ht="20.25">
      <c r="A547" s="341"/>
      <c r="B547" s="341"/>
      <c r="C547" s="341"/>
      <c r="D547" s="341"/>
      <c r="E547" s="341"/>
      <c r="F547" s="341"/>
      <c r="G547" s="341"/>
      <c r="H547" s="341"/>
      <c r="I547" s="341"/>
    </row>
    <row r="548" spans="1:9" ht="20.25">
      <c r="A548" s="341"/>
      <c r="B548" s="341"/>
      <c r="C548" s="341"/>
      <c r="D548" s="341"/>
      <c r="E548" s="341"/>
      <c r="F548" s="341"/>
      <c r="G548" s="341"/>
      <c r="H548" s="341"/>
      <c r="I548" s="341"/>
    </row>
    <row r="549" spans="1:9" ht="20.25">
      <c r="A549" s="341"/>
      <c r="B549" s="341"/>
      <c r="C549" s="341"/>
      <c r="D549" s="341"/>
      <c r="E549" s="341"/>
      <c r="F549" s="341"/>
      <c r="G549" s="341"/>
      <c r="H549" s="341"/>
      <c r="I549" s="341"/>
    </row>
    <row r="550" spans="1:9" ht="20.25">
      <c r="A550" s="341"/>
      <c r="B550" s="341"/>
      <c r="C550" s="341"/>
      <c r="D550" s="341"/>
      <c r="E550" s="341"/>
      <c r="F550" s="341"/>
      <c r="G550" s="341"/>
      <c r="H550" s="341"/>
      <c r="I550" s="341"/>
    </row>
    <row r="551" spans="1:9" ht="20.25">
      <c r="A551" s="341"/>
      <c r="B551" s="341"/>
      <c r="C551" s="341"/>
      <c r="D551" s="341"/>
      <c r="E551" s="341"/>
      <c r="F551" s="341"/>
      <c r="G551" s="341"/>
      <c r="H551" s="341"/>
      <c r="I551" s="341"/>
    </row>
    <row r="552" spans="1:9" ht="20.25">
      <c r="A552" s="341"/>
      <c r="B552" s="341"/>
      <c r="C552" s="341"/>
      <c r="D552" s="341"/>
      <c r="E552" s="341"/>
      <c r="F552" s="341"/>
      <c r="G552" s="341"/>
      <c r="H552" s="341"/>
      <c r="I552" s="341"/>
    </row>
    <row r="553" spans="1:9" ht="20.25">
      <c r="A553" s="341"/>
      <c r="B553" s="341"/>
      <c r="C553" s="341"/>
      <c r="D553" s="341"/>
      <c r="E553" s="341"/>
      <c r="F553" s="341"/>
      <c r="G553" s="341"/>
      <c r="H553" s="341"/>
      <c r="I553" s="341"/>
    </row>
    <row r="554" spans="1:9" ht="20.25">
      <c r="A554" s="341"/>
      <c r="B554" s="341"/>
      <c r="C554" s="341"/>
      <c r="D554" s="341"/>
      <c r="E554" s="341"/>
      <c r="F554" s="341"/>
      <c r="G554" s="341"/>
      <c r="H554" s="341"/>
      <c r="I554" s="341"/>
    </row>
    <row r="555" spans="1:9" ht="20.25">
      <c r="A555" s="341"/>
      <c r="B555" s="341"/>
      <c r="C555" s="341"/>
      <c r="D555" s="341"/>
      <c r="E555" s="341"/>
      <c r="F555" s="341"/>
      <c r="G555" s="341"/>
      <c r="H555" s="341"/>
      <c r="I555" s="341"/>
    </row>
    <row r="556" spans="1:9" ht="20.25">
      <c r="A556" s="341"/>
      <c r="B556" s="341"/>
      <c r="C556" s="341"/>
      <c r="D556" s="341"/>
      <c r="E556" s="341"/>
      <c r="F556" s="341"/>
      <c r="G556" s="341"/>
      <c r="H556" s="341"/>
      <c r="I556" s="341"/>
    </row>
    <row r="557" spans="1:9" ht="20.25">
      <c r="A557" s="341"/>
      <c r="B557" s="341"/>
      <c r="C557" s="341"/>
      <c r="D557" s="341"/>
      <c r="E557" s="341"/>
      <c r="F557" s="341"/>
      <c r="G557" s="341"/>
      <c r="H557" s="341"/>
      <c r="I557" s="341"/>
    </row>
    <row r="558" spans="1:9" ht="20.25">
      <c r="A558" s="341"/>
      <c r="B558" s="341"/>
      <c r="C558" s="341"/>
      <c r="D558" s="341"/>
      <c r="E558" s="341"/>
      <c r="F558" s="341"/>
      <c r="G558" s="341"/>
      <c r="H558" s="341"/>
      <c r="I558" s="341"/>
    </row>
    <row r="559" spans="1:9" ht="20.25">
      <c r="A559" s="341"/>
      <c r="B559" s="341"/>
      <c r="C559" s="341"/>
      <c r="D559" s="341"/>
      <c r="E559" s="341"/>
      <c r="F559" s="341"/>
      <c r="G559" s="341"/>
      <c r="H559" s="341"/>
      <c r="I559" s="341"/>
    </row>
    <row r="560" spans="1:9" ht="20.25">
      <c r="A560" s="341"/>
      <c r="B560" s="341"/>
      <c r="C560" s="341"/>
      <c r="D560" s="341"/>
      <c r="E560" s="341"/>
      <c r="F560" s="341"/>
      <c r="G560" s="341"/>
      <c r="H560" s="341"/>
      <c r="I560" s="341"/>
    </row>
    <row r="561" spans="1:9" ht="20.25">
      <c r="A561" s="341"/>
      <c r="B561" s="341"/>
      <c r="C561" s="341"/>
      <c r="D561" s="341"/>
      <c r="E561" s="341"/>
      <c r="F561" s="341"/>
      <c r="G561" s="341"/>
      <c r="H561" s="341"/>
      <c r="I561" s="341"/>
    </row>
    <row r="562" spans="1:9" ht="20.25">
      <c r="A562" s="341"/>
      <c r="B562" s="341"/>
      <c r="C562" s="341"/>
      <c r="D562" s="341"/>
      <c r="E562" s="341"/>
      <c r="F562" s="341"/>
      <c r="G562" s="341"/>
      <c r="H562" s="341"/>
      <c r="I562" s="341"/>
    </row>
    <row r="563" spans="1:9" ht="20.25">
      <c r="A563" s="341"/>
      <c r="B563" s="341"/>
      <c r="C563" s="341"/>
      <c r="D563" s="341"/>
      <c r="E563" s="341"/>
      <c r="F563" s="341"/>
      <c r="G563" s="341"/>
      <c r="H563" s="341"/>
      <c r="I563" s="341"/>
    </row>
    <row r="564" spans="1:9" ht="20.25">
      <c r="A564" s="341"/>
      <c r="B564" s="341"/>
      <c r="C564" s="341"/>
      <c r="D564" s="341"/>
      <c r="E564" s="341"/>
      <c r="F564" s="341"/>
      <c r="G564" s="341"/>
      <c r="H564" s="341"/>
      <c r="I564" s="341"/>
    </row>
    <row r="565" spans="1:9" ht="20.25">
      <c r="A565" s="341"/>
      <c r="B565" s="341"/>
      <c r="C565" s="341"/>
      <c r="D565" s="341"/>
      <c r="E565" s="341"/>
      <c r="F565" s="341"/>
      <c r="G565" s="341"/>
      <c r="H565" s="341"/>
      <c r="I565" s="341"/>
    </row>
    <row r="566" spans="1:9" ht="20.25">
      <c r="A566" s="341"/>
      <c r="B566" s="341"/>
      <c r="C566" s="341"/>
      <c r="D566" s="341"/>
      <c r="E566" s="341"/>
      <c r="F566" s="341"/>
      <c r="G566" s="341"/>
      <c r="H566" s="341"/>
      <c r="I566" s="341"/>
    </row>
    <row r="567" spans="1:9" ht="20.25">
      <c r="A567" s="341"/>
      <c r="B567" s="341"/>
      <c r="C567" s="341"/>
      <c r="D567" s="341"/>
      <c r="E567" s="341"/>
      <c r="F567" s="341"/>
      <c r="G567" s="341"/>
      <c r="H567" s="341"/>
      <c r="I567" s="341"/>
    </row>
    <row r="568" spans="1:9" ht="20.25">
      <c r="A568" s="341"/>
      <c r="B568" s="341"/>
      <c r="C568" s="341"/>
      <c r="D568" s="341"/>
      <c r="E568" s="341"/>
      <c r="F568" s="341"/>
      <c r="G568" s="341"/>
      <c r="H568" s="341"/>
      <c r="I568" s="341"/>
    </row>
    <row r="569" spans="1:9" ht="20.25">
      <c r="A569" s="341"/>
      <c r="B569" s="341"/>
      <c r="C569" s="341"/>
      <c r="D569" s="341"/>
      <c r="E569" s="341"/>
      <c r="F569" s="341"/>
      <c r="G569" s="341"/>
      <c r="H569" s="341"/>
      <c r="I569" s="341"/>
    </row>
    <row r="570" spans="1:9" ht="20.25">
      <c r="A570" s="341"/>
      <c r="B570" s="341"/>
      <c r="C570" s="341"/>
      <c r="D570" s="341"/>
      <c r="E570" s="341"/>
      <c r="F570" s="341"/>
      <c r="G570" s="341"/>
      <c r="H570" s="341"/>
      <c r="I570" s="341"/>
    </row>
    <row r="571" spans="1:9" ht="20.25">
      <c r="A571" s="341"/>
      <c r="B571" s="341"/>
      <c r="C571" s="341"/>
      <c r="D571" s="341"/>
      <c r="E571" s="341"/>
      <c r="F571" s="341"/>
      <c r="G571" s="341"/>
      <c r="H571" s="341"/>
      <c r="I571" s="341"/>
    </row>
    <row r="572" spans="1:9" ht="20.25">
      <c r="A572" s="341"/>
      <c r="B572" s="341"/>
      <c r="C572" s="341"/>
      <c r="D572" s="341"/>
      <c r="E572" s="341"/>
      <c r="F572" s="341"/>
      <c r="G572" s="341"/>
      <c r="H572" s="341"/>
      <c r="I572" s="341"/>
    </row>
    <row r="573" spans="1:9" ht="20.25">
      <c r="A573" s="341"/>
      <c r="B573" s="341"/>
      <c r="C573" s="341"/>
      <c r="D573" s="341"/>
      <c r="E573" s="341"/>
      <c r="F573" s="341"/>
      <c r="G573" s="341"/>
      <c r="H573" s="341"/>
      <c r="I573" s="341"/>
    </row>
    <row r="574" spans="1:9" ht="20.25">
      <c r="A574" s="341"/>
      <c r="B574" s="341"/>
      <c r="C574" s="341"/>
      <c r="D574" s="341"/>
      <c r="E574" s="341"/>
      <c r="F574" s="341"/>
      <c r="G574" s="341"/>
      <c r="H574" s="341"/>
      <c r="I574" s="341"/>
    </row>
    <row r="575" spans="1:9" ht="20.25">
      <c r="A575" s="341"/>
      <c r="B575" s="341"/>
      <c r="C575" s="341"/>
      <c r="D575" s="341"/>
      <c r="E575" s="341"/>
      <c r="F575" s="341"/>
      <c r="G575" s="341"/>
      <c r="H575" s="341"/>
      <c r="I575" s="341"/>
    </row>
    <row r="576" spans="1:9" ht="20.25">
      <c r="A576" s="341"/>
      <c r="B576" s="341"/>
      <c r="C576" s="341"/>
      <c r="D576" s="341"/>
      <c r="E576" s="341"/>
      <c r="F576" s="341"/>
      <c r="G576" s="341"/>
      <c r="H576" s="341"/>
      <c r="I576" s="341"/>
    </row>
    <row r="577" spans="1:9" ht="20.25">
      <c r="A577" s="341"/>
      <c r="B577" s="341"/>
      <c r="C577" s="341"/>
      <c r="D577" s="341"/>
      <c r="E577" s="341"/>
      <c r="F577" s="341"/>
      <c r="G577" s="341"/>
      <c r="H577" s="341"/>
      <c r="I577" s="341"/>
    </row>
    <row r="578" spans="1:9" ht="20.25">
      <c r="A578" s="341"/>
      <c r="B578" s="341"/>
      <c r="C578" s="341"/>
      <c r="D578" s="341"/>
      <c r="E578" s="341"/>
      <c r="F578" s="341"/>
      <c r="G578" s="341"/>
      <c r="H578" s="341"/>
      <c r="I578" s="341"/>
    </row>
    <row r="579" spans="1:9" ht="20.25">
      <c r="A579" s="341"/>
      <c r="B579" s="341"/>
      <c r="C579" s="341"/>
      <c r="D579" s="341"/>
      <c r="E579" s="341"/>
      <c r="F579" s="341"/>
      <c r="G579" s="341"/>
      <c r="H579" s="341"/>
      <c r="I579" s="341"/>
    </row>
    <row r="580" spans="1:9" ht="20.25">
      <c r="A580" s="341"/>
      <c r="B580" s="341"/>
      <c r="C580" s="341"/>
      <c r="D580" s="341"/>
      <c r="E580" s="341"/>
      <c r="F580" s="341"/>
      <c r="G580" s="341"/>
      <c r="H580" s="341"/>
      <c r="I580" s="341"/>
    </row>
    <row r="581" spans="1:9" ht="20.25">
      <c r="A581" s="341"/>
      <c r="B581" s="341"/>
      <c r="C581" s="341"/>
      <c r="D581" s="341"/>
      <c r="E581" s="341"/>
      <c r="F581" s="341"/>
      <c r="G581" s="341"/>
      <c r="H581" s="341"/>
      <c r="I581" s="341"/>
    </row>
    <row r="582" spans="1:9" ht="20.25">
      <c r="A582" s="341"/>
      <c r="B582" s="341"/>
      <c r="C582" s="341"/>
      <c r="D582" s="341"/>
      <c r="E582" s="341"/>
      <c r="F582" s="341"/>
      <c r="G582" s="341"/>
      <c r="H582" s="341"/>
      <c r="I582" s="341"/>
    </row>
    <row r="583" spans="1:9" ht="20.25">
      <c r="A583" s="341"/>
      <c r="B583" s="341"/>
      <c r="C583" s="341"/>
      <c r="D583" s="341"/>
      <c r="E583" s="341"/>
      <c r="F583" s="341"/>
      <c r="G583" s="341"/>
      <c r="H583" s="341"/>
      <c r="I583" s="341"/>
    </row>
    <row r="584" spans="1:9" ht="20.25">
      <c r="A584" s="341"/>
      <c r="B584" s="341"/>
      <c r="C584" s="341"/>
      <c r="D584" s="341"/>
      <c r="E584" s="341"/>
      <c r="F584" s="341"/>
      <c r="G584" s="341"/>
      <c r="H584" s="341"/>
      <c r="I584" s="341"/>
    </row>
    <row r="585" spans="1:9" ht="20.25">
      <c r="A585" s="341"/>
      <c r="B585" s="341"/>
      <c r="C585" s="341"/>
      <c r="D585" s="341"/>
      <c r="E585" s="341"/>
      <c r="F585" s="341"/>
      <c r="G585" s="341"/>
      <c r="H585" s="341"/>
      <c r="I585" s="341"/>
    </row>
    <row r="586" spans="1:9" ht="20.25">
      <c r="A586" s="341"/>
      <c r="B586" s="341"/>
      <c r="C586" s="341"/>
      <c r="D586" s="341"/>
      <c r="E586" s="341"/>
      <c r="F586" s="341"/>
      <c r="G586" s="341"/>
      <c r="H586" s="341"/>
      <c r="I586" s="341"/>
    </row>
    <row r="587" spans="1:9" ht="20.25">
      <c r="A587" s="341"/>
      <c r="B587" s="341"/>
      <c r="C587" s="341"/>
      <c r="D587" s="341"/>
      <c r="E587" s="341"/>
      <c r="F587" s="341"/>
      <c r="G587" s="341"/>
      <c r="H587" s="341"/>
      <c r="I587" s="341"/>
    </row>
    <row r="588" spans="1:9" ht="20.25">
      <c r="A588" s="341"/>
      <c r="B588" s="341"/>
      <c r="C588" s="341"/>
      <c r="D588" s="341"/>
      <c r="E588" s="341"/>
      <c r="F588" s="341"/>
      <c r="G588" s="341"/>
      <c r="H588" s="341"/>
      <c r="I588" s="341"/>
    </row>
    <row r="589" spans="1:9" ht="20.25">
      <c r="A589" s="341"/>
      <c r="B589" s="341"/>
      <c r="C589" s="341"/>
      <c r="D589" s="341"/>
      <c r="E589" s="341"/>
      <c r="F589" s="341"/>
      <c r="G589" s="341"/>
      <c r="H589" s="341"/>
      <c r="I589" s="341"/>
    </row>
    <row r="590" spans="1:9" ht="20.25">
      <c r="A590" s="341"/>
      <c r="B590" s="341"/>
      <c r="C590" s="341"/>
      <c r="D590" s="341"/>
      <c r="E590" s="341"/>
      <c r="F590" s="341"/>
      <c r="G590" s="341"/>
      <c r="H590" s="341"/>
      <c r="I590" s="341"/>
    </row>
    <row r="591" spans="1:9" ht="20.25">
      <c r="A591" s="341"/>
      <c r="B591" s="341"/>
      <c r="C591" s="341"/>
      <c r="D591" s="341"/>
      <c r="E591" s="341"/>
      <c r="F591" s="341"/>
      <c r="G591" s="341"/>
      <c r="H591" s="341"/>
      <c r="I591" s="341"/>
    </row>
    <row r="592" spans="1:9" ht="20.25">
      <c r="A592" s="341"/>
      <c r="B592" s="341"/>
      <c r="C592" s="341"/>
      <c r="D592" s="341"/>
      <c r="E592" s="341"/>
      <c r="F592" s="341"/>
      <c r="G592" s="341"/>
      <c r="H592" s="341"/>
      <c r="I592" s="341"/>
    </row>
    <row r="593" spans="1:9" ht="20.25">
      <c r="A593" s="341"/>
      <c r="B593" s="341"/>
      <c r="C593" s="341"/>
      <c r="D593" s="341"/>
      <c r="E593" s="341"/>
      <c r="F593" s="341"/>
      <c r="G593" s="341"/>
      <c r="H593" s="341"/>
      <c r="I593" s="341"/>
    </row>
    <row r="594" spans="1:9" ht="20.25">
      <c r="A594" s="341"/>
      <c r="B594" s="341"/>
      <c r="C594" s="341"/>
      <c r="D594" s="341"/>
      <c r="E594" s="341"/>
      <c r="F594" s="341"/>
      <c r="G594" s="341"/>
      <c r="H594" s="341"/>
      <c r="I594" s="341"/>
    </row>
    <row r="595" spans="1:9" ht="20.25">
      <c r="A595" s="341"/>
      <c r="B595" s="341"/>
      <c r="C595" s="341"/>
      <c r="D595" s="341"/>
      <c r="E595" s="341"/>
      <c r="F595" s="341"/>
      <c r="G595" s="341"/>
      <c r="H595" s="341"/>
      <c r="I595" s="341"/>
    </row>
    <row r="596" spans="1:9" ht="20.25">
      <c r="A596" s="341"/>
      <c r="B596" s="341"/>
      <c r="C596" s="341"/>
      <c r="D596" s="341"/>
      <c r="E596" s="341"/>
      <c r="F596" s="341"/>
      <c r="G596" s="341"/>
      <c r="H596" s="341"/>
      <c r="I596" s="341"/>
    </row>
    <row r="597" spans="1:9" ht="20.25">
      <c r="A597" s="341"/>
      <c r="B597" s="341"/>
      <c r="C597" s="341"/>
      <c r="D597" s="341"/>
      <c r="E597" s="341"/>
      <c r="F597" s="341"/>
      <c r="G597" s="341"/>
      <c r="H597" s="341"/>
      <c r="I597" s="341"/>
    </row>
    <row r="598" spans="1:9" ht="20.25">
      <c r="A598" s="341"/>
      <c r="B598" s="341"/>
      <c r="C598" s="341"/>
      <c r="D598" s="341"/>
      <c r="E598" s="341"/>
      <c r="F598" s="341"/>
      <c r="G598" s="341"/>
      <c r="H598" s="341"/>
      <c r="I598" s="341"/>
    </row>
    <row r="599" spans="1:9" ht="20.25">
      <c r="A599" s="341"/>
      <c r="B599" s="341"/>
      <c r="C599" s="341"/>
      <c r="D599" s="341"/>
      <c r="E599" s="341"/>
      <c r="F599" s="341"/>
      <c r="G599" s="341"/>
      <c r="H599" s="341"/>
      <c r="I599" s="341"/>
    </row>
    <row r="600" spans="1:9" ht="20.25">
      <c r="A600" s="341"/>
      <c r="B600" s="341"/>
      <c r="C600" s="341"/>
      <c r="D600" s="341"/>
      <c r="E600" s="341"/>
      <c r="F600" s="341"/>
      <c r="G600" s="341"/>
      <c r="H600" s="341"/>
      <c r="I600" s="341"/>
    </row>
    <row r="601" spans="1:9" ht="20.25">
      <c r="A601" s="341"/>
      <c r="B601" s="341"/>
      <c r="C601" s="341"/>
      <c r="D601" s="341"/>
      <c r="E601" s="341"/>
      <c r="F601" s="341"/>
      <c r="G601" s="341"/>
      <c r="H601" s="341"/>
      <c r="I601" s="341"/>
    </row>
    <row r="602" spans="1:9" ht="20.25">
      <c r="A602" s="341"/>
      <c r="B602" s="341"/>
      <c r="C602" s="341"/>
      <c r="D602" s="341"/>
      <c r="E602" s="341"/>
      <c r="F602" s="341"/>
      <c r="G602" s="341"/>
      <c r="H602" s="341"/>
      <c r="I602" s="341"/>
    </row>
    <row r="603" spans="1:9" ht="20.25">
      <c r="A603" s="341"/>
      <c r="B603" s="341"/>
      <c r="C603" s="341"/>
      <c r="D603" s="341"/>
      <c r="E603" s="341"/>
      <c r="F603" s="341"/>
      <c r="G603" s="341"/>
      <c r="H603" s="341"/>
      <c r="I603" s="341"/>
    </row>
    <row r="604" spans="1:9" ht="20.25">
      <c r="A604" s="341"/>
      <c r="B604" s="341"/>
      <c r="C604" s="341"/>
      <c r="D604" s="341"/>
      <c r="E604" s="341"/>
      <c r="F604" s="341"/>
      <c r="G604" s="341"/>
      <c r="H604" s="341"/>
      <c r="I604" s="341"/>
    </row>
    <row r="605" spans="1:9" ht="20.25">
      <c r="A605" s="341"/>
      <c r="B605" s="341"/>
      <c r="C605" s="341"/>
      <c r="D605" s="341"/>
      <c r="E605" s="341"/>
      <c r="F605" s="341"/>
      <c r="G605" s="341"/>
      <c r="H605" s="341"/>
      <c r="I605" s="341"/>
    </row>
    <row r="606" spans="1:9" ht="20.25">
      <c r="A606" s="341"/>
      <c r="B606" s="341"/>
      <c r="C606" s="341"/>
      <c r="D606" s="341"/>
      <c r="E606" s="341"/>
      <c r="F606" s="341"/>
      <c r="G606" s="341"/>
      <c r="H606" s="341"/>
      <c r="I606" s="341"/>
    </row>
    <row r="607" spans="1:9" ht="20.25">
      <c r="A607" s="341"/>
      <c r="B607" s="341"/>
      <c r="C607" s="341"/>
      <c r="D607" s="341"/>
      <c r="E607" s="341"/>
      <c r="F607" s="341"/>
      <c r="G607" s="341"/>
      <c r="H607" s="341"/>
      <c r="I607" s="341"/>
    </row>
    <row r="608" spans="1:9" ht="20.25">
      <c r="A608" s="341"/>
      <c r="B608" s="341"/>
      <c r="C608" s="341"/>
      <c r="D608" s="341"/>
      <c r="E608" s="341"/>
      <c r="F608" s="341"/>
      <c r="G608" s="341"/>
      <c r="H608" s="341"/>
      <c r="I608" s="341"/>
    </row>
    <row r="609" spans="1:9" ht="20.25">
      <c r="A609" s="341"/>
      <c r="B609" s="341"/>
      <c r="C609" s="341"/>
      <c r="D609" s="341"/>
      <c r="E609" s="341"/>
      <c r="F609" s="341"/>
      <c r="G609" s="341"/>
      <c r="H609" s="341"/>
      <c r="I609" s="341"/>
    </row>
    <row r="610" spans="1:9" ht="20.25">
      <c r="A610" s="341"/>
      <c r="B610" s="341"/>
      <c r="C610" s="341"/>
      <c r="D610" s="341"/>
      <c r="E610" s="341"/>
      <c r="F610" s="341"/>
      <c r="G610" s="341"/>
      <c r="H610" s="341"/>
      <c r="I610" s="341"/>
    </row>
    <row r="611" spans="1:9" ht="20.25">
      <c r="A611" s="341"/>
      <c r="B611" s="341"/>
      <c r="C611" s="341"/>
      <c r="D611" s="341"/>
      <c r="E611" s="341"/>
      <c r="F611" s="341"/>
      <c r="G611" s="341"/>
      <c r="H611" s="341"/>
      <c r="I611" s="341"/>
    </row>
    <row r="612" spans="1:9" ht="20.25">
      <c r="A612" s="341"/>
      <c r="B612" s="341"/>
      <c r="C612" s="341"/>
      <c r="D612" s="341"/>
      <c r="E612" s="341"/>
      <c r="F612" s="341"/>
      <c r="G612" s="341"/>
      <c r="H612" s="341"/>
      <c r="I612" s="341"/>
    </row>
    <row r="613" spans="1:9" ht="20.25">
      <c r="A613" s="341"/>
      <c r="B613" s="341"/>
      <c r="C613" s="341"/>
      <c r="D613" s="341"/>
      <c r="E613" s="341"/>
      <c r="F613" s="341"/>
      <c r="G613" s="341"/>
      <c r="H613" s="341"/>
      <c r="I613" s="341"/>
    </row>
    <row r="614" spans="1:9" ht="20.25">
      <c r="A614" s="341"/>
      <c r="B614" s="341"/>
      <c r="C614" s="341"/>
      <c r="D614" s="341"/>
      <c r="E614" s="341"/>
      <c r="F614" s="341"/>
      <c r="G614" s="341"/>
      <c r="H614" s="341"/>
      <c r="I614" s="341"/>
    </row>
    <row r="615" spans="1:9" ht="20.25">
      <c r="A615" s="341"/>
      <c r="B615" s="341"/>
      <c r="C615" s="341"/>
      <c r="D615" s="341"/>
      <c r="E615" s="341"/>
      <c r="F615" s="341"/>
      <c r="G615" s="341"/>
      <c r="H615" s="341"/>
      <c r="I615" s="341"/>
    </row>
    <row r="616" spans="1:9" ht="20.25">
      <c r="A616" s="341"/>
      <c r="B616" s="341"/>
      <c r="C616" s="341"/>
      <c r="D616" s="341"/>
      <c r="E616" s="341"/>
      <c r="F616" s="341"/>
      <c r="G616" s="341"/>
      <c r="H616" s="341"/>
      <c r="I616" s="341"/>
    </row>
    <row r="617" spans="1:9" ht="20.25">
      <c r="A617" s="341"/>
      <c r="B617" s="341"/>
      <c r="C617" s="341"/>
      <c r="D617" s="341"/>
      <c r="E617" s="341"/>
      <c r="F617" s="341"/>
      <c r="G617" s="341"/>
      <c r="H617" s="341"/>
      <c r="I617" s="341"/>
    </row>
    <row r="618" spans="1:9" ht="20.25">
      <c r="A618" s="341"/>
      <c r="B618" s="341"/>
      <c r="C618" s="341"/>
      <c r="D618" s="341"/>
      <c r="E618" s="341"/>
      <c r="F618" s="341"/>
      <c r="G618" s="341"/>
      <c r="H618" s="341"/>
      <c r="I618" s="341"/>
    </row>
    <row r="619" spans="1:9" ht="20.25">
      <c r="A619" s="341"/>
      <c r="B619" s="341"/>
      <c r="C619" s="341"/>
      <c r="D619" s="341"/>
      <c r="E619" s="341"/>
      <c r="F619" s="341"/>
      <c r="G619" s="341"/>
      <c r="H619" s="341"/>
      <c r="I619" s="341"/>
    </row>
    <row r="620" spans="1:9" ht="20.25">
      <c r="A620" s="341"/>
      <c r="B620" s="341"/>
      <c r="C620" s="341"/>
      <c r="D620" s="341"/>
      <c r="E620" s="341"/>
      <c r="F620" s="341"/>
      <c r="G620" s="341"/>
      <c r="H620" s="341"/>
      <c r="I620" s="341"/>
    </row>
    <row r="621" spans="1:9" ht="20.25">
      <c r="A621" s="341"/>
      <c r="B621" s="341"/>
      <c r="C621" s="341"/>
      <c r="D621" s="341"/>
      <c r="E621" s="341"/>
      <c r="F621" s="341"/>
      <c r="G621" s="341"/>
      <c r="H621" s="341"/>
      <c r="I621" s="341"/>
    </row>
    <row r="622" spans="1:9" ht="20.25">
      <c r="A622" s="341"/>
      <c r="B622" s="341"/>
      <c r="C622" s="341"/>
      <c r="D622" s="341"/>
      <c r="E622" s="341"/>
      <c r="F622" s="341"/>
      <c r="G622" s="341"/>
      <c r="H622" s="341"/>
      <c r="I622" s="341"/>
    </row>
    <row r="623" spans="1:9" ht="20.25">
      <c r="A623" s="341"/>
      <c r="B623" s="341"/>
      <c r="C623" s="341"/>
      <c r="D623" s="341"/>
      <c r="E623" s="341"/>
      <c r="F623" s="341"/>
      <c r="G623" s="341"/>
      <c r="H623" s="341"/>
      <c r="I623" s="341"/>
    </row>
    <row r="624" spans="1:9" ht="20.25">
      <c r="A624" s="341"/>
      <c r="B624" s="341"/>
      <c r="C624" s="341"/>
      <c r="D624" s="341"/>
      <c r="E624" s="341"/>
      <c r="F624" s="341"/>
      <c r="G624" s="341"/>
      <c r="H624" s="341"/>
      <c r="I624" s="341"/>
    </row>
    <row r="625" spans="1:9" ht="20.25">
      <c r="A625" s="341"/>
      <c r="B625" s="341"/>
      <c r="C625" s="341"/>
      <c r="D625" s="341"/>
      <c r="E625" s="341"/>
      <c r="F625" s="341"/>
      <c r="G625" s="341"/>
      <c r="H625" s="341"/>
      <c r="I625" s="341"/>
    </row>
    <row r="626" spans="1:9" ht="20.25">
      <c r="A626" s="341"/>
      <c r="B626" s="341"/>
      <c r="C626" s="341"/>
      <c r="D626" s="341"/>
      <c r="E626" s="341"/>
      <c r="F626" s="341"/>
      <c r="G626" s="341"/>
      <c r="H626" s="341"/>
      <c r="I626" s="341"/>
    </row>
    <row r="627" spans="1:9" ht="20.25">
      <c r="A627" s="341"/>
      <c r="B627" s="341"/>
      <c r="C627" s="341"/>
      <c r="D627" s="341"/>
      <c r="E627" s="341"/>
      <c r="F627" s="341"/>
      <c r="G627" s="341"/>
      <c r="H627" s="341"/>
      <c r="I627" s="341"/>
    </row>
    <row r="628" spans="1:9" ht="20.25">
      <c r="A628" s="341"/>
      <c r="B628" s="341"/>
      <c r="C628" s="341"/>
      <c r="D628" s="341"/>
      <c r="E628" s="341"/>
      <c r="F628" s="341"/>
      <c r="G628" s="341"/>
      <c r="H628" s="341"/>
      <c r="I628" s="341"/>
    </row>
    <row r="629" spans="1:9" ht="20.25">
      <c r="A629" s="341"/>
      <c r="B629" s="341"/>
      <c r="C629" s="341"/>
      <c r="D629" s="341"/>
      <c r="E629" s="341"/>
      <c r="F629" s="341"/>
      <c r="G629" s="341"/>
      <c r="H629" s="341"/>
      <c r="I629" s="341"/>
    </row>
    <row r="630" spans="1:9" ht="20.25">
      <c r="A630" s="341"/>
      <c r="B630" s="341"/>
      <c r="C630" s="341"/>
      <c r="D630" s="341"/>
      <c r="E630" s="341"/>
      <c r="F630" s="341"/>
      <c r="G630" s="341"/>
      <c r="H630" s="341"/>
      <c r="I630" s="341"/>
    </row>
    <row r="631" spans="1:9" ht="20.25">
      <c r="A631" s="341"/>
      <c r="B631" s="341"/>
      <c r="C631" s="341"/>
      <c r="D631" s="341"/>
      <c r="E631" s="341"/>
      <c r="F631" s="341"/>
      <c r="G631" s="341"/>
      <c r="H631" s="341"/>
      <c r="I631" s="341"/>
    </row>
    <row r="632" spans="1:9" ht="20.25">
      <c r="A632" s="341"/>
      <c r="B632" s="341"/>
      <c r="C632" s="341"/>
      <c r="D632" s="341"/>
      <c r="E632" s="341"/>
      <c r="F632" s="341"/>
      <c r="G632" s="341"/>
      <c r="H632" s="341"/>
      <c r="I632" s="341"/>
    </row>
    <row r="633" spans="1:9" ht="20.25">
      <c r="A633" s="341"/>
      <c r="B633" s="341"/>
      <c r="C633" s="341"/>
      <c r="D633" s="341"/>
      <c r="E633" s="341"/>
      <c r="F633" s="341"/>
      <c r="G633" s="341"/>
      <c r="H633" s="341"/>
      <c r="I633" s="341"/>
    </row>
    <row r="634" spans="1:9" ht="20.25">
      <c r="A634" s="341"/>
      <c r="B634" s="341"/>
      <c r="C634" s="341"/>
      <c r="D634" s="341"/>
      <c r="E634" s="341"/>
      <c r="F634" s="341"/>
      <c r="G634" s="341"/>
      <c r="H634" s="341"/>
      <c r="I634" s="341"/>
    </row>
    <row r="635" spans="1:9" ht="20.25">
      <c r="A635" s="341"/>
      <c r="B635" s="341"/>
      <c r="C635" s="341"/>
      <c r="D635" s="341"/>
      <c r="E635" s="341"/>
      <c r="F635" s="341"/>
      <c r="G635" s="341"/>
      <c r="H635" s="341"/>
      <c r="I635" s="341"/>
    </row>
    <row r="636" spans="1:9" ht="20.25">
      <c r="A636" s="341"/>
      <c r="B636" s="341"/>
      <c r="C636" s="341"/>
      <c r="D636" s="341"/>
      <c r="E636" s="341"/>
      <c r="F636" s="341"/>
      <c r="G636" s="341"/>
      <c r="H636" s="341"/>
      <c r="I636" s="341"/>
    </row>
    <row r="637" spans="1:9" ht="20.25">
      <c r="A637" s="341"/>
      <c r="B637" s="341"/>
      <c r="C637" s="341"/>
      <c r="D637" s="341"/>
      <c r="E637" s="341"/>
      <c r="F637" s="341"/>
      <c r="G637" s="341"/>
      <c r="H637" s="341"/>
      <c r="I637" s="341"/>
    </row>
    <row r="638" spans="1:9" ht="20.25">
      <c r="A638" s="341"/>
      <c r="B638" s="341"/>
      <c r="C638" s="341"/>
      <c r="D638" s="341"/>
      <c r="E638" s="341"/>
      <c r="F638" s="341"/>
      <c r="G638" s="341"/>
      <c r="H638" s="341"/>
      <c r="I638" s="341"/>
    </row>
    <row r="639" spans="1:9" ht="20.25">
      <c r="A639" s="341"/>
      <c r="B639" s="341"/>
      <c r="C639" s="341"/>
      <c r="D639" s="341"/>
      <c r="E639" s="341"/>
      <c r="F639" s="341"/>
      <c r="G639" s="341"/>
      <c r="H639" s="341"/>
      <c r="I639" s="341"/>
    </row>
    <row r="640" spans="1:9" ht="20.25">
      <c r="A640" s="341"/>
      <c r="B640" s="341"/>
      <c r="C640" s="341"/>
      <c r="D640" s="341"/>
      <c r="E640" s="341"/>
      <c r="F640" s="341"/>
      <c r="G640" s="341"/>
      <c r="H640" s="341"/>
      <c r="I640" s="341"/>
    </row>
    <row r="641" spans="1:9" ht="20.25">
      <c r="A641" s="341"/>
      <c r="B641" s="341"/>
      <c r="C641" s="341"/>
      <c r="D641" s="341"/>
      <c r="E641" s="341"/>
      <c r="F641" s="341"/>
      <c r="G641" s="341"/>
      <c r="H641" s="341"/>
      <c r="I641" s="341"/>
    </row>
    <row r="642" spans="1:9" ht="20.25">
      <c r="A642" s="341"/>
      <c r="B642" s="341"/>
      <c r="C642" s="341"/>
      <c r="D642" s="341"/>
      <c r="E642" s="341"/>
      <c r="F642" s="341"/>
      <c r="G642" s="341"/>
      <c r="H642" s="341"/>
      <c r="I642" s="341"/>
    </row>
    <row r="643" spans="1:9" ht="20.25">
      <c r="A643" s="341"/>
      <c r="B643" s="341"/>
      <c r="C643" s="341"/>
      <c r="D643" s="341"/>
      <c r="E643" s="341"/>
      <c r="F643" s="341"/>
      <c r="G643" s="341"/>
      <c r="H643" s="341"/>
      <c r="I643" s="341"/>
    </row>
    <row r="644" spans="1:9" ht="20.25">
      <c r="A644" s="341"/>
      <c r="B644" s="341"/>
      <c r="C644" s="341"/>
      <c r="D644" s="341"/>
      <c r="E644" s="341"/>
      <c r="F644" s="341"/>
      <c r="G644" s="341"/>
      <c r="H644" s="341"/>
      <c r="I644" s="341"/>
    </row>
    <row r="645" spans="1:9" ht="20.25">
      <c r="A645" s="341"/>
      <c r="B645" s="341"/>
      <c r="C645" s="341"/>
      <c r="D645" s="341"/>
      <c r="E645" s="341"/>
      <c r="F645" s="341"/>
      <c r="G645" s="341"/>
      <c r="H645" s="341"/>
      <c r="I645" s="341"/>
    </row>
    <row r="646" spans="1:9" ht="20.25">
      <c r="A646" s="341"/>
      <c r="B646" s="341"/>
      <c r="C646" s="341"/>
      <c r="D646" s="341"/>
      <c r="E646" s="341"/>
      <c r="F646" s="341"/>
      <c r="G646" s="341"/>
      <c r="H646" s="341"/>
      <c r="I646" s="341"/>
    </row>
    <row r="647" spans="1:9" ht="20.25">
      <c r="A647" s="341"/>
      <c r="B647" s="341"/>
      <c r="C647" s="341"/>
      <c r="D647" s="341"/>
      <c r="E647" s="341"/>
      <c r="F647" s="341"/>
      <c r="G647" s="341"/>
      <c r="H647" s="341"/>
      <c r="I647" s="341"/>
    </row>
    <row r="648" spans="1:9" ht="20.25">
      <c r="A648" s="341"/>
      <c r="B648" s="341"/>
      <c r="C648" s="341"/>
      <c r="D648" s="341"/>
      <c r="E648" s="341"/>
      <c r="F648" s="341"/>
      <c r="G648" s="341"/>
      <c r="H648" s="341"/>
      <c r="I648" s="341"/>
    </row>
    <row r="649" spans="1:9" ht="20.25">
      <c r="A649" s="341"/>
      <c r="B649" s="341"/>
      <c r="C649" s="341"/>
      <c r="D649" s="341"/>
      <c r="E649" s="341"/>
      <c r="F649" s="341"/>
      <c r="G649" s="341"/>
      <c r="H649" s="341"/>
      <c r="I649" s="341"/>
    </row>
    <row r="650" spans="1:9" ht="20.25">
      <c r="A650" s="341"/>
      <c r="B650" s="341"/>
      <c r="C650" s="341"/>
      <c r="D650" s="341"/>
      <c r="E650" s="341"/>
      <c r="F650" s="341"/>
      <c r="G650" s="341"/>
      <c r="H650" s="341"/>
      <c r="I650" s="341"/>
    </row>
    <row r="651" spans="1:9" ht="20.25">
      <c r="A651" s="341"/>
      <c r="B651" s="341"/>
      <c r="C651" s="341"/>
      <c r="D651" s="341"/>
      <c r="E651" s="341"/>
      <c r="F651" s="341"/>
      <c r="G651" s="341"/>
      <c r="H651" s="341"/>
      <c r="I651" s="341"/>
    </row>
    <row r="652" spans="1:9" ht="20.25">
      <c r="A652" s="341"/>
      <c r="B652" s="341"/>
      <c r="C652" s="341"/>
      <c r="D652" s="341"/>
      <c r="E652" s="341"/>
      <c r="F652" s="341"/>
      <c r="G652" s="341"/>
      <c r="H652" s="341"/>
      <c r="I652" s="341"/>
    </row>
    <row r="653" spans="1:9" ht="20.25">
      <c r="A653" s="341"/>
      <c r="B653" s="341"/>
      <c r="C653" s="341"/>
      <c r="D653" s="341"/>
      <c r="E653" s="341"/>
      <c r="F653" s="341"/>
      <c r="G653" s="341"/>
      <c r="H653" s="341"/>
      <c r="I653" s="341"/>
    </row>
    <row r="654" spans="1:9" ht="20.25">
      <c r="A654" s="341"/>
      <c r="B654" s="341"/>
      <c r="C654" s="341"/>
      <c r="D654" s="341"/>
      <c r="E654" s="341"/>
      <c r="F654" s="341"/>
      <c r="G654" s="341"/>
      <c r="H654" s="341"/>
      <c r="I654" s="341"/>
    </row>
    <row r="655" spans="1:9" ht="20.25">
      <c r="A655" s="341"/>
      <c r="B655" s="341"/>
      <c r="C655" s="341"/>
      <c r="D655" s="341"/>
      <c r="E655" s="341"/>
      <c r="F655" s="341"/>
      <c r="G655" s="341"/>
      <c r="H655" s="341"/>
      <c r="I655" s="341"/>
    </row>
    <row r="656" spans="1:9" ht="20.25">
      <c r="A656" s="341"/>
      <c r="B656" s="341"/>
      <c r="C656" s="341"/>
      <c r="D656" s="341"/>
      <c r="E656" s="341"/>
      <c r="F656" s="341"/>
      <c r="G656" s="341"/>
      <c r="H656" s="341"/>
      <c r="I656" s="341"/>
    </row>
    <row r="657" spans="1:9" ht="20.25">
      <c r="A657" s="341"/>
      <c r="B657" s="341"/>
      <c r="C657" s="341"/>
      <c r="D657" s="341"/>
      <c r="E657" s="341"/>
      <c r="F657" s="341"/>
      <c r="G657" s="341"/>
      <c r="H657" s="341"/>
      <c r="I657" s="341"/>
    </row>
    <row r="658" spans="1:9" ht="20.25">
      <c r="A658" s="341"/>
      <c r="B658" s="341"/>
      <c r="C658" s="341"/>
      <c r="D658" s="341"/>
      <c r="E658" s="341"/>
      <c r="F658" s="341"/>
      <c r="G658" s="341"/>
      <c r="H658" s="341"/>
      <c r="I658" s="341"/>
    </row>
    <row r="659" spans="1:9" ht="20.25">
      <c r="A659" s="341"/>
      <c r="B659" s="341"/>
      <c r="C659" s="341"/>
      <c r="D659" s="341"/>
      <c r="E659" s="341"/>
      <c r="F659" s="341"/>
      <c r="G659" s="341"/>
      <c r="H659" s="341"/>
      <c r="I659" s="341"/>
    </row>
    <row r="660" spans="1:9" ht="20.25">
      <c r="A660" s="341"/>
      <c r="B660" s="341"/>
      <c r="C660" s="341"/>
      <c r="D660" s="341"/>
      <c r="E660" s="341"/>
      <c r="F660" s="341"/>
      <c r="G660" s="341"/>
      <c r="H660" s="341"/>
      <c r="I660" s="341"/>
    </row>
    <row r="661" spans="1:9" ht="20.25">
      <c r="A661" s="341"/>
      <c r="B661" s="341"/>
      <c r="C661" s="341"/>
      <c r="D661" s="341"/>
      <c r="E661" s="341"/>
      <c r="F661" s="341"/>
      <c r="G661" s="341"/>
      <c r="H661" s="341"/>
      <c r="I661" s="341"/>
    </row>
    <row r="662" spans="1:9" ht="20.25">
      <c r="A662" s="341"/>
      <c r="B662" s="341"/>
      <c r="C662" s="341"/>
      <c r="D662" s="341"/>
      <c r="E662" s="341"/>
      <c r="F662" s="341"/>
      <c r="G662" s="341"/>
      <c r="H662" s="341"/>
      <c r="I662" s="341"/>
    </row>
    <row r="663" spans="1:9" ht="20.25">
      <c r="A663" s="341"/>
      <c r="B663" s="341"/>
      <c r="C663" s="341"/>
      <c r="D663" s="341"/>
      <c r="E663" s="341"/>
      <c r="F663" s="341"/>
      <c r="G663" s="341"/>
      <c r="H663" s="341"/>
      <c r="I663" s="341"/>
    </row>
    <row r="664" spans="1:9" ht="20.25">
      <c r="A664" s="341"/>
      <c r="B664" s="341"/>
      <c r="C664" s="341"/>
      <c r="D664" s="341"/>
      <c r="E664" s="341"/>
      <c r="F664" s="341"/>
      <c r="G664" s="341"/>
      <c r="H664" s="341"/>
      <c r="I664" s="341"/>
    </row>
    <row r="665" spans="1:9" ht="20.25">
      <c r="A665" s="341"/>
      <c r="B665" s="341"/>
      <c r="C665" s="341"/>
      <c r="D665" s="341"/>
      <c r="E665" s="341"/>
      <c r="F665" s="341"/>
      <c r="G665" s="341"/>
      <c r="H665" s="341"/>
      <c r="I665" s="341"/>
    </row>
    <row r="666" spans="1:9" ht="20.25">
      <c r="A666" s="341"/>
      <c r="B666" s="341"/>
      <c r="C666" s="341"/>
      <c r="D666" s="341"/>
      <c r="E666" s="341"/>
      <c r="F666" s="341"/>
      <c r="G666" s="341"/>
      <c r="H666" s="341"/>
      <c r="I666" s="341"/>
    </row>
    <row r="667" spans="1:9" ht="20.25">
      <c r="A667" s="341"/>
      <c r="B667" s="341"/>
      <c r="C667" s="341"/>
      <c r="D667" s="341"/>
      <c r="E667" s="341"/>
      <c r="F667" s="341"/>
      <c r="G667" s="341"/>
      <c r="H667" s="341"/>
      <c r="I667" s="341"/>
    </row>
    <row r="668" spans="1:9" ht="20.25">
      <c r="A668" s="341"/>
      <c r="B668" s="341"/>
      <c r="C668" s="341"/>
      <c r="D668" s="341"/>
      <c r="E668" s="341"/>
      <c r="F668" s="341"/>
      <c r="G668" s="341"/>
      <c r="H668" s="341"/>
      <c r="I668" s="341"/>
    </row>
    <row r="669" spans="1:9" ht="20.25">
      <c r="A669" s="341"/>
      <c r="B669" s="341"/>
      <c r="C669" s="341"/>
      <c r="D669" s="341"/>
      <c r="E669" s="341"/>
      <c r="F669" s="341"/>
      <c r="G669" s="341"/>
      <c r="H669" s="341"/>
      <c r="I669" s="341"/>
    </row>
    <row r="670" spans="1:9" ht="20.25">
      <c r="A670" s="341"/>
      <c r="B670" s="341"/>
      <c r="C670" s="341"/>
      <c r="D670" s="341"/>
      <c r="E670" s="341"/>
      <c r="F670" s="341"/>
      <c r="G670" s="341"/>
      <c r="H670" s="341"/>
      <c r="I670" s="341"/>
    </row>
    <row r="671" spans="1:9" ht="20.25">
      <c r="A671" s="341"/>
      <c r="B671" s="341"/>
      <c r="C671" s="341"/>
      <c r="D671" s="341"/>
      <c r="E671" s="341"/>
      <c r="F671" s="341"/>
      <c r="G671" s="341"/>
      <c r="H671" s="341"/>
      <c r="I671" s="341"/>
    </row>
    <row r="672" spans="1:9" ht="20.25">
      <c r="A672" s="341"/>
      <c r="B672" s="341"/>
      <c r="C672" s="341"/>
      <c r="D672" s="341"/>
      <c r="E672" s="341"/>
      <c r="F672" s="341"/>
      <c r="G672" s="341"/>
      <c r="H672" s="341"/>
      <c r="I672" s="341"/>
    </row>
    <row r="673" spans="1:9" ht="20.25">
      <c r="A673" s="341"/>
      <c r="B673" s="341"/>
      <c r="C673" s="341"/>
      <c r="D673" s="341"/>
      <c r="E673" s="341"/>
      <c r="F673" s="341"/>
      <c r="G673" s="341"/>
      <c r="H673" s="341"/>
      <c r="I673" s="341"/>
    </row>
    <row r="674" spans="1:9" ht="20.25">
      <c r="A674" s="341"/>
      <c r="B674" s="341"/>
      <c r="C674" s="341"/>
      <c r="D674" s="341"/>
      <c r="E674" s="341"/>
      <c r="F674" s="341"/>
      <c r="G674" s="341"/>
      <c r="H674" s="341"/>
      <c r="I674" s="341"/>
    </row>
    <row r="675" spans="1:9" ht="20.25">
      <c r="A675" s="341"/>
      <c r="B675" s="341"/>
      <c r="C675" s="341"/>
      <c r="D675" s="341"/>
      <c r="E675" s="341"/>
      <c r="F675" s="341"/>
      <c r="G675" s="341"/>
      <c r="H675" s="341"/>
      <c r="I675" s="341"/>
    </row>
    <row r="676" spans="1:9" ht="20.25">
      <c r="A676" s="341"/>
      <c r="B676" s="341"/>
      <c r="C676" s="341"/>
      <c r="D676" s="341"/>
      <c r="E676" s="341"/>
      <c r="F676" s="341"/>
      <c r="G676" s="341"/>
      <c r="H676" s="341"/>
      <c r="I676" s="341"/>
    </row>
    <row r="677" spans="1:9" ht="20.25">
      <c r="A677" s="341"/>
      <c r="B677" s="341"/>
      <c r="C677" s="341"/>
      <c r="D677" s="341"/>
      <c r="E677" s="341"/>
      <c r="F677" s="341"/>
      <c r="G677" s="341"/>
      <c r="H677" s="341"/>
      <c r="I677" s="341"/>
    </row>
    <row r="678" spans="1:9" ht="20.25">
      <c r="A678" s="341"/>
      <c r="B678" s="341"/>
      <c r="C678" s="341"/>
      <c r="D678" s="341"/>
      <c r="E678" s="341"/>
      <c r="F678" s="341"/>
      <c r="G678" s="341"/>
      <c r="H678" s="341"/>
      <c r="I678" s="341"/>
    </row>
    <row r="679" spans="1:9" ht="20.25">
      <c r="A679" s="341"/>
      <c r="B679" s="341"/>
      <c r="C679" s="341"/>
      <c r="D679" s="341"/>
      <c r="E679" s="341"/>
      <c r="F679" s="341"/>
      <c r="G679" s="341"/>
      <c r="H679" s="341"/>
      <c r="I679" s="341"/>
    </row>
    <row r="680" spans="1:9" ht="20.25">
      <c r="A680" s="341"/>
      <c r="B680" s="341"/>
      <c r="C680" s="341"/>
      <c r="D680" s="341"/>
      <c r="E680" s="341"/>
      <c r="F680" s="341"/>
      <c r="G680" s="341"/>
      <c r="H680" s="341"/>
      <c r="I680" s="341"/>
    </row>
    <row r="681" spans="1:9" ht="20.25">
      <c r="A681" s="341"/>
      <c r="B681" s="341"/>
      <c r="C681" s="341"/>
      <c r="D681" s="341"/>
      <c r="E681" s="341"/>
      <c r="F681" s="341"/>
      <c r="G681" s="341"/>
      <c r="H681" s="341"/>
      <c r="I681" s="341"/>
    </row>
    <row r="682" spans="1:9" ht="20.25">
      <c r="A682" s="341"/>
      <c r="B682" s="341"/>
      <c r="C682" s="341"/>
      <c r="D682" s="341"/>
      <c r="E682" s="341"/>
      <c r="F682" s="341"/>
      <c r="G682" s="341"/>
      <c r="H682" s="341"/>
      <c r="I682" s="341"/>
    </row>
    <row r="683" spans="1:9" ht="20.25">
      <c r="A683" s="341"/>
      <c r="B683" s="341"/>
      <c r="C683" s="341"/>
      <c r="D683" s="341"/>
      <c r="E683" s="341"/>
      <c r="F683" s="341"/>
      <c r="G683" s="341"/>
      <c r="H683" s="341"/>
      <c r="I683" s="341"/>
    </row>
    <row r="684" spans="1:9" ht="20.25">
      <c r="A684" s="341"/>
      <c r="B684" s="341"/>
      <c r="C684" s="341"/>
      <c r="D684" s="341"/>
      <c r="E684" s="341"/>
      <c r="F684" s="341"/>
      <c r="G684" s="341"/>
      <c r="H684" s="341"/>
      <c r="I684" s="341"/>
    </row>
    <row r="685" spans="1:9" ht="20.25">
      <c r="A685" s="341"/>
      <c r="B685" s="341"/>
      <c r="C685" s="341"/>
      <c r="D685" s="341"/>
      <c r="E685" s="341"/>
      <c r="F685" s="341"/>
      <c r="G685" s="341"/>
      <c r="H685" s="341"/>
      <c r="I685" s="341"/>
    </row>
    <row r="686" spans="1:9" ht="20.25">
      <c r="A686" s="341"/>
      <c r="B686" s="341"/>
      <c r="C686" s="341"/>
      <c r="D686" s="341"/>
      <c r="E686" s="341"/>
      <c r="F686" s="341"/>
      <c r="G686" s="341"/>
      <c r="H686" s="341"/>
      <c r="I686" s="341"/>
    </row>
    <row r="687" spans="1:9" ht="20.25">
      <c r="A687" s="341"/>
      <c r="B687" s="341"/>
      <c r="C687" s="341"/>
      <c r="D687" s="341"/>
      <c r="E687" s="341"/>
      <c r="F687" s="341"/>
      <c r="G687" s="341"/>
      <c r="H687" s="341"/>
      <c r="I687" s="341"/>
    </row>
    <row r="688" spans="1:9" ht="20.25">
      <c r="A688" s="341"/>
      <c r="B688" s="341"/>
      <c r="C688" s="341"/>
      <c r="D688" s="341"/>
      <c r="E688" s="341"/>
      <c r="F688" s="341"/>
      <c r="G688" s="341"/>
      <c r="H688" s="341"/>
      <c r="I688" s="341"/>
    </row>
    <row r="689" spans="1:9" ht="20.25">
      <c r="A689" s="341"/>
      <c r="B689" s="341"/>
      <c r="C689" s="341"/>
      <c r="D689" s="341"/>
      <c r="E689" s="341"/>
      <c r="F689" s="341"/>
      <c r="G689" s="341"/>
      <c r="H689" s="341"/>
      <c r="I689" s="341"/>
    </row>
    <row r="690" spans="1:9" ht="20.25">
      <c r="A690" s="341"/>
      <c r="B690" s="341"/>
      <c r="C690" s="341"/>
      <c r="D690" s="341"/>
      <c r="E690" s="341"/>
      <c r="F690" s="341"/>
      <c r="G690" s="341"/>
      <c r="H690" s="341"/>
      <c r="I690" s="341"/>
    </row>
    <row r="691" spans="1:9" ht="20.25">
      <c r="A691" s="341"/>
      <c r="B691" s="341"/>
      <c r="C691" s="341"/>
      <c r="D691" s="341"/>
      <c r="E691" s="341"/>
      <c r="F691" s="341"/>
      <c r="G691" s="341"/>
      <c r="H691" s="341"/>
      <c r="I691" s="341"/>
    </row>
    <row r="692" spans="1:9" ht="20.25">
      <c r="A692" s="341"/>
      <c r="B692" s="341"/>
      <c r="C692" s="341"/>
      <c r="D692" s="341"/>
      <c r="E692" s="341"/>
      <c r="F692" s="341"/>
      <c r="G692" s="341"/>
      <c r="H692" s="341"/>
      <c r="I692" s="341"/>
    </row>
    <row r="693" spans="1:9" ht="20.25">
      <c r="A693" s="341"/>
      <c r="B693" s="341"/>
      <c r="C693" s="341"/>
      <c r="D693" s="341"/>
      <c r="E693" s="341"/>
      <c r="F693" s="341"/>
      <c r="G693" s="341"/>
      <c r="H693" s="341"/>
      <c r="I693" s="341"/>
    </row>
    <row r="694" spans="1:9" ht="20.25">
      <c r="A694" s="341"/>
      <c r="B694" s="341"/>
      <c r="C694" s="341"/>
      <c r="D694" s="341"/>
      <c r="E694" s="341"/>
      <c r="F694" s="341"/>
      <c r="G694" s="341"/>
      <c r="H694" s="341"/>
      <c r="I694" s="341"/>
    </row>
    <row r="695" spans="1:9" ht="20.25">
      <c r="A695" s="341"/>
      <c r="B695" s="341"/>
      <c r="C695" s="341"/>
      <c r="D695" s="341"/>
      <c r="E695" s="341"/>
      <c r="F695" s="341"/>
      <c r="G695" s="341"/>
      <c r="H695" s="341"/>
      <c r="I695" s="341"/>
    </row>
    <row r="696" spans="1:9" ht="20.25">
      <c r="A696" s="341"/>
      <c r="B696" s="341"/>
      <c r="C696" s="341"/>
      <c r="D696" s="341"/>
      <c r="E696" s="341"/>
      <c r="F696" s="341"/>
      <c r="G696" s="341"/>
      <c r="H696" s="341"/>
      <c r="I696" s="341"/>
    </row>
    <row r="697" spans="1:9" ht="20.25">
      <c r="A697" s="341"/>
      <c r="B697" s="341"/>
      <c r="C697" s="341"/>
      <c r="D697" s="341"/>
      <c r="E697" s="341"/>
      <c r="F697" s="341"/>
      <c r="G697" s="341"/>
      <c r="H697" s="341"/>
      <c r="I697" s="341"/>
    </row>
    <row r="698" spans="1:9" ht="20.25">
      <c r="A698" s="341"/>
      <c r="B698" s="341"/>
      <c r="C698" s="341"/>
      <c r="D698" s="341"/>
      <c r="E698" s="341"/>
      <c r="F698" s="341"/>
      <c r="G698" s="341"/>
      <c r="H698" s="341"/>
      <c r="I698" s="341"/>
    </row>
    <row r="699" spans="1:9" ht="20.25">
      <c r="A699" s="341"/>
      <c r="B699" s="341"/>
      <c r="C699" s="341"/>
      <c r="D699" s="341"/>
      <c r="E699" s="341"/>
      <c r="F699" s="341"/>
      <c r="G699" s="341"/>
      <c r="H699" s="341"/>
      <c r="I699" s="341"/>
    </row>
    <row r="700" spans="1:9" ht="20.25">
      <c r="A700" s="341"/>
      <c r="B700" s="341"/>
      <c r="C700" s="341"/>
      <c r="D700" s="341"/>
      <c r="E700" s="341"/>
      <c r="F700" s="341"/>
      <c r="G700" s="341"/>
      <c r="H700" s="341"/>
      <c r="I700" s="341"/>
    </row>
    <row r="701" spans="1:9" ht="20.25">
      <c r="A701" s="341"/>
      <c r="B701" s="341"/>
      <c r="C701" s="341"/>
      <c r="D701" s="341"/>
      <c r="E701" s="341"/>
      <c r="F701" s="341"/>
      <c r="G701" s="341"/>
      <c r="H701" s="341"/>
      <c r="I701" s="341"/>
    </row>
    <row r="702" spans="1:9" ht="20.25">
      <c r="A702" s="341"/>
      <c r="B702" s="341"/>
      <c r="C702" s="341"/>
      <c r="D702" s="341"/>
      <c r="E702" s="341"/>
      <c r="F702" s="341"/>
      <c r="G702" s="341"/>
      <c r="H702" s="341"/>
      <c r="I702" s="341"/>
    </row>
    <row r="703" spans="1:9" ht="20.25">
      <c r="A703" s="341"/>
      <c r="B703" s="341"/>
      <c r="C703" s="341"/>
      <c r="D703" s="341"/>
      <c r="E703" s="341"/>
      <c r="F703" s="341"/>
      <c r="G703" s="341"/>
      <c r="H703" s="341"/>
      <c r="I703" s="341"/>
    </row>
    <row r="704" spans="1:9" ht="20.25">
      <c r="A704" s="341"/>
      <c r="B704" s="341"/>
      <c r="C704" s="341"/>
      <c r="D704" s="341"/>
      <c r="E704" s="341"/>
      <c r="F704" s="341"/>
      <c r="G704" s="341"/>
      <c r="H704" s="341"/>
      <c r="I704" s="341"/>
    </row>
    <row r="705" spans="1:9" ht="20.25">
      <c r="A705" s="341"/>
      <c r="B705" s="341"/>
      <c r="C705" s="341"/>
      <c r="D705" s="341"/>
      <c r="E705" s="341"/>
      <c r="F705" s="341"/>
      <c r="G705" s="341"/>
      <c r="H705" s="341"/>
      <c r="I705" s="341"/>
    </row>
    <row r="706" spans="1:9" ht="20.25">
      <c r="A706" s="341"/>
      <c r="B706" s="341"/>
      <c r="C706" s="341"/>
      <c r="D706" s="341"/>
      <c r="E706" s="341"/>
      <c r="F706" s="341"/>
      <c r="G706" s="341"/>
      <c r="H706" s="341"/>
      <c r="I706" s="341"/>
    </row>
    <row r="707" spans="1:9" ht="20.25">
      <c r="A707" s="341"/>
      <c r="B707" s="341"/>
      <c r="C707" s="341"/>
      <c r="D707" s="341"/>
      <c r="E707" s="341"/>
      <c r="F707" s="341"/>
      <c r="G707" s="341"/>
      <c r="H707" s="341"/>
      <c r="I707" s="341"/>
    </row>
    <row r="708" spans="1:9" ht="20.25">
      <c r="A708" s="341"/>
      <c r="B708" s="341"/>
      <c r="C708" s="341"/>
      <c r="D708" s="341"/>
      <c r="E708" s="341"/>
      <c r="F708" s="341"/>
      <c r="G708" s="341"/>
      <c r="H708" s="341"/>
      <c r="I708" s="341"/>
    </row>
    <row r="709" spans="1:9" ht="20.25">
      <c r="A709" s="341"/>
      <c r="B709" s="341"/>
      <c r="C709" s="341"/>
      <c r="D709" s="341"/>
      <c r="E709" s="341"/>
      <c r="F709" s="341"/>
      <c r="G709" s="341"/>
      <c r="H709" s="341"/>
      <c r="I709" s="341"/>
    </row>
    <row r="710" spans="1:9" ht="20.25">
      <c r="A710" s="341"/>
      <c r="B710" s="341"/>
      <c r="C710" s="341"/>
      <c r="D710" s="341"/>
      <c r="E710" s="341"/>
      <c r="F710" s="341"/>
      <c r="G710" s="341"/>
      <c r="H710" s="341"/>
      <c r="I710" s="341"/>
    </row>
    <row r="711" spans="1:9" ht="20.25">
      <c r="A711" s="341"/>
      <c r="B711" s="341"/>
      <c r="C711" s="341"/>
      <c r="D711" s="341"/>
      <c r="E711" s="341"/>
      <c r="F711" s="341"/>
      <c r="G711" s="341"/>
      <c r="H711" s="341"/>
      <c r="I711" s="341"/>
    </row>
    <row r="712" spans="1:9" ht="20.25">
      <c r="A712" s="341"/>
      <c r="B712" s="341"/>
      <c r="C712" s="341"/>
      <c r="D712" s="341"/>
      <c r="E712" s="341"/>
      <c r="F712" s="341"/>
      <c r="G712" s="341"/>
      <c r="H712" s="341"/>
      <c r="I712" s="341"/>
    </row>
    <row r="713" spans="1:9" ht="20.25">
      <c r="A713" s="341"/>
      <c r="B713" s="341"/>
      <c r="C713" s="341"/>
      <c r="D713" s="341"/>
      <c r="E713" s="341"/>
      <c r="F713" s="341"/>
      <c r="G713" s="341"/>
      <c r="H713" s="341"/>
      <c r="I713" s="341"/>
    </row>
    <row r="714" spans="1:9" ht="20.25">
      <c r="A714" s="341"/>
      <c r="B714" s="341"/>
      <c r="C714" s="341"/>
      <c r="D714" s="341"/>
      <c r="E714" s="341"/>
      <c r="F714" s="341"/>
      <c r="G714" s="341"/>
      <c r="H714" s="341"/>
      <c r="I714" s="341"/>
    </row>
    <row r="715" spans="1:9" ht="20.25">
      <c r="A715" s="341"/>
      <c r="B715" s="341"/>
      <c r="C715" s="341"/>
      <c r="D715" s="341"/>
      <c r="E715" s="341"/>
      <c r="F715" s="341"/>
      <c r="G715" s="341"/>
      <c r="H715" s="341"/>
      <c r="I715" s="341"/>
    </row>
    <row r="716" spans="1:9" ht="20.25">
      <c r="A716" s="341"/>
      <c r="B716" s="341"/>
      <c r="C716" s="341"/>
      <c r="D716" s="341"/>
      <c r="E716" s="341"/>
      <c r="F716" s="341"/>
      <c r="G716" s="341"/>
      <c r="H716" s="341"/>
      <c r="I716" s="341"/>
    </row>
    <row r="717" spans="1:9" ht="20.25">
      <c r="A717" s="341"/>
      <c r="B717" s="341"/>
      <c r="C717" s="341"/>
      <c r="D717" s="341"/>
      <c r="E717" s="341"/>
      <c r="F717" s="341"/>
      <c r="G717" s="341"/>
      <c r="H717" s="341"/>
      <c r="I717" s="341"/>
    </row>
    <row r="718" spans="1:9" ht="20.25">
      <c r="A718" s="341"/>
      <c r="B718" s="341"/>
      <c r="C718" s="341"/>
      <c r="D718" s="341"/>
      <c r="E718" s="341"/>
      <c r="F718" s="341"/>
      <c r="G718" s="341"/>
      <c r="H718" s="341"/>
      <c r="I718" s="341"/>
    </row>
    <row r="719" spans="1:9" ht="20.25">
      <c r="A719" s="341"/>
      <c r="B719" s="341"/>
      <c r="C719" s="341"/>
      <c r="D719" s="341"/>
      <c r="E719" s="341"/>
      <c r="F719" s="341"/>
      <c r="G719" s="341"/>
      <c r="H719" s="341"/>
      <c r="I719" s="341"/>
    </row>
    <row r="720" spans="1:9" ht="20.25">
      <c r="A720" s="341"/>
      <c r="B720" s="341"/>
      <c r="C720" s="341"/>
      <c r="D720" s="341"/>
      <c r="E720" s="341"/>
      <c r="F720" s="341"/>
      <c r="G720" s="341"/>
      <c r="H720" s="341"/>
      <c r="I720" s="341"/>
    </row>
    <row r="721" spans="1:9" ht="20.25">
      <c r="A721" s="341"/>
      <c r="B721" s="341"/>
      <c r="C721" s="341"/>
      <c r="D721" s="341"/>
      <c r="E721" s="341"/>
      <c r="F721" s="341"/>
      <c r="G721" s="341"/>
      <c r="H721" s="341"/>
      <c r="I721" s="341"/>
    </row>
    <row r="722" spans="1:9" ht="20.25">
      <c r="A722" s="341"/>
      <c r="B722" s="341"/>
      <c r="C722" s="341"/>
      <c r="D722" s="341"/>
      <c r="E722" s="341"/>
      <c r="F722" s="341"/>
      <c r="G722" s="341"/>
      <c r="H722" s="341"/>
      <c r="I722" s="341"/>
    </row>
    <row r="723" spans="1:9" ht="20.25">
      <c r="A723" s="341"/>
      <c r="B723" s="341"/>
      <c r="C723" s="341"/>
      <c r="D723" s="341"/>
      <c r="E723" s="341"/>
      <c r="F723" s="341"/>
      <c r="G723" s="341"/>
      <c r="H723" s="341"/>
      <c r="I723" s="341"/>
    </row>
    <row r="724" spans="1:9" ht="20.25">
      <c r="A724" s="341"/>
      <c r="B724" s="341"/>
      <c r="C724" s="341"/>
      <c r="D724" s="341"/>
      <c r="E724" s="341"/>
      <c r="F724" s="341"/>
      <c r="G724" s="341"/>
      <c r="H724" s="341"/>
      <c r="I724" s="341"/>
    </row>
    <row r="725" spans="1:9" ht="20.25">
      <c r="A725" s="341"/>
      <c r="B725" s="341"/>
      <c r="C725" s="341"/>
      <c r="D725" s="341"/>
      <c r="E725" s="341"/>
      <c r="F725" s="341"/>
      <c r="G725" s="341"/>
      <c r="H725" s="341"/>
      <c r="I725" s="341"/>
    </row>
    <row r="726" spans="1:9" ht="20.25">
      <c r="A726" s="341"/>
      <c r="B726" s="341"/>
      <c r="C726" s="341"/>
      <c r="D726" s="341"/>
      <c r="E726" s="341"/>
      <c r="F726" s="341"/>
      <c r="G726" s="341"/>
      <c r="H726" s="341"/>
      <c r="I726" s="341"/>
    </row>
    <row r="727" spans="1:9" ht="20.25">
      <c r="A727" s="341"/>
      <c r="B727" s="341"/>
      <c r="C727" s="341"/>
      <c r="D727" s="341"/>
      <c r="E727" s="341"/>
      <c r="F727" s="341"/>
      <c r="G727" s="341"/>
      <c r="H727" s="341"/>
      <c r="I727" s="341"/>
    </row>
    <row r="728" spans="1:9" ht="20.25">
      <c r="A728" s="341"/>
      <c r="B728" s="341"/>
      <c r="C728" s="341"/>
      <c r="D728" s="341"/>
      <c r="E728" s="341"/>
      <c r="F728" s="341"/>
      <c r="G728" s="341"/>
      <c r="H728" s="341"/>
      <c r="I728" s="341"/>
    </row>
    <row r="729" spans="1:9" ht="20.25">
      <c r="A729" s="341"/>
      <c r="B729" s="341"/>
      <c r="C729" s="341"/>
      <c r="D729" s="341"/>
      <c r="E729" s="341"/>
      <c r="F729" s="341"/>
      <c r="G729" s="341"/>
      <c r="H729" s="341"/>
      <c r="I729" s="341"/>
    </row>
    <row r="730" spans="1:9" ht="20.25">
      <c r="A730" s="341"/>
      <c r="B730" s="341"/>
      <c r="C730" s="341"/>
      <c r="D730" s="341"/>
      <c r="E730" s="341"/>
      <c r="F730" s="341"/>
      <c r="G730" s="341"/>
      <c r="H730" s="341"/>
      <c r="I730" s="341"/>
    </row>
    <row r="731" spans="1:9" ht="20.25">
      <c r="A731" s="341"/>
      <c r="B731" s="341"/>
      <c r="C731" s="341"/>
      <c r="D731" s="341"/>
      <c r="E731" s="341"/>
      <c r="F731" s="341"/>
      <c r="G731" s="341"/>
      <c r="H731" s="341"/>
      <c r="I731" s="341"/>
    </row>
    <row r="732" spans="1:9" ht="20.25">
      <c r="A732" s="341"/>
      <c r="B732" s="341"/>
      <c r="C732" s="341"/>
      <c r="D732" s="341"/>
      <c r="E732" s="341"/>
      <c r="F732" s="341"/>
      <c r="G732" s="341"/>
      <c r="H732" s="341"/>
      <c r="I732" s="341"/>
    </row>
    <row r="733" spans="1:9" ht="20.25">
      <c r="A733" s="341"/>
      <c r="B733" s="341"/>
      <c r="C733" s="341"/>
      <c r="D733" s="341"/>
      <c r="E733" s="341"/>
      <c r="F733" s="341"/>
      <c r="G733" s="341"/>
      <c r="H733" s="341"/>
      <c r="I733" s="341"/>
    </row>
    <row r="734" spans="1:9" ht="20.25">
      <c r="A734" s="341"/>
      <c r="B734" s="341"/>
      <c r="C734" s="341"/>
      <c r="D734" s="341"/>
      <c r="E734" s="341"/>
      <c r="F734" s="341"/>
      <c r="G734" s="341"/>
      <c r="H734" s="341"/>
      <c r="I734" s="341"/>
    </row>
    <row r="735" spans="1:9" ht="20.25">
      <c r="A735" s="341"/>
      <c r="B735" s="341"/>
      <c r="C735" s="341"/>
      <c r="D735" s="341"/>
      <c r="E735" s="341"/>
      <c r="F735" s="341"/>
      <c r="G735" s="341"/>
      <c r="H735" s="341"/>
      <c r="I735" s="341"/>
    </row>
    <row r="736" spans="1:9" ht="20.25">
      <c r="A736" s="341"/>
      <c r="B736" s="341"/>
      <c r="C736" s="341"/>
      <c r="D736" s="341"/>
      <c r="E736" s="341"/>
      <c r="F736" s="341"/>
      <c r="G736" s="341"/>
      <c r="H736" s="341"/>
      <c r="I736" s="341"/>
    </row>
    <row r="737" spans="1:9" ht="20.25">
      <c r="A737" s="341"/>
      <c r="B737" s="341"/>
      <c r="C737" s="341"/>
      <c r="D737" s="341"/>
      <c r="E737" s="341"/>
      <c r="F737" s="341"/>
      <c r="G737" s="341"/>
      <c r="H737" s="341"/>
      <c r="I737" s="341"/>
    </row>
    <row r="738" spans="1:9" ht="20.25">
      <c r="A738" s="341"/>
      <c r="B738" s="341"/>
      <c r="C738" s="341"/>
      <c r="D738" s="341"/>
      <c r="E738" s="341"/>
      <c r="F738" s="341"/>
      <c r="G738" s="341"/>
      <c r="H738" s="341"/>
      <c r="I738" s="341"/>
    </row>
    <row r="739" spans="1:9" ht="20.25">
      <c r="A739" s="341"/>
      <c r="B739" s="341"/>
      <c r="C739" s="341"/>
      <c r="D739" s="341"/>
      <c r="E739" s="341"/>
      <c r="F739" s="341"/>
      <c r="G739" s="341"/>
      <c r="H739" s="341"/>
      <c r="I739" s="341"/>
    </row>
    <row r="740" spans="1:9" ht="20.25">
      <c r="A740" s="341"/>
      <c r="B740" s="341"/>
      <c r="C740" s="341"/>
      <c r="D740" s="341"/>
      <c r="E740" s="341"/>
      <c r="F740" s="341"/>
      <c r="G740" s="341"/>
      <c r="H740" s="341"/>
      <c r="I740" s="341"/>
    </row>
    <row r="741" spans="1:9" ht="20.25">
      <c r="A741" s="341"/>
      <c r="B741" s="341"/>
      <c r="C741" s="341"/>
      <c r="D741" s="341"/>
      <c r="E741" s="341"/>
      <c r="F741" s="341"/>
      <c r="G741" s="341"/>
      <c r="H741" s="341"/>
      <c r="I741" s="341"/>
    </row>
    <row r="742" spans="1:9" ht="20.25">
      <c r="A742" s="341"/>
      <c r="B742" s="341"/>
      <c r="C742" s="341"/>
      <c r="D742" s="341"/>
      <c r="E742" s="341"/>
      <c r="F742" s="341"/>
      <c r="G742" s="341"/>
      <c r="H742" s="341"/>
      <c r="I742" s="341"/>
    </row>
    <row r="743" spans="1:9" ht="20.25">
      <c r="A743" s="341"/>
      <c r="B743" s="341"/>
      <c r="C743" s="341"/>
      <c r="D743" s="341"/>
      <c r="E743" s="341"/>
      <c r="F743" s="341"/>
      <c r="G743" s="341"/>
      <c r="H743" s="341"/>
      <c r="I743" s="341"/>
    </row>
    <row r="744" spans="1:9" ht="20.25">
      <c r="A744" s="341"/>
      <c r="B744" s="341"/>
      <c r="C744" s="341"/>
      <c r="D744" s="341"/>
      <c r="E744" s="341"/>
      <c r="F744" s="341"/>
      <c r="G744" s="341"/>
      <c r="H744" s="341"/>
      <c r="I744" s="341"/>
    </row>
    <row r="745" spans="1:9" ht="20.25">
      <c r="A745" s="341"/>
      <c r="B745" s="341"/>
      <c r="C745" s="341"/>
      <c r="D745" s="341"/>
      <c r="E745" s="341"/>
      <c r="F745" s="341"/>
      <c r="G745" s="341"/>
      <c r="H745" s="341"/>
      <c r="I745" s="341"/>
    </row>
    <row r="746" spans="1:9" ht="20.25">
      <c r="A746" s="341"/>
      <c r="B746" s="341"/>
      <c r="C746" s="341"/>
      <c r="D746" s="341"/>
      <c r="E746" s="341"/>
      <c r="F746" s="341"/>
      <c r="G746" s="341"/>
      <c r="H746" s="341"/>
      <c r="I746" s="341"/>
    </row>
    <row r="747" spans="1:9" ht="20.25">
      <c r="A747" s="341"/>
      <c r="B747" s="341"/>
      <c r="C747" s="341"/>
      <c r="D747" s="341"/>
      <c r="E747" s="341"/>
      <c r="F747" s="341"/>
      <c r="G747" s="341"/>
      <c r="H747" s="341"/>
      <c r="I747" s="341"/>
    </row>
    <row r="748" spans="1:9" ht="20.25">
      <c r="A748" s="341"/>
      <c r="B748" s="341"/>
      <c r="C748" s="341"/>
      <c r="D748" s="341"/>
      <c r="E748" s="341"/>
      <c r="F748" s="341"/>
      <c r="G748" s="341"/>
      <c r="H748" s="341"/>
      <c r="I748" s="341"/>
    </row>
    <row r="749" spans="1:9" ht="20.25">
      <c r="A749" s="341"/>
      <c r="B749" s="341"/>
      <c r="C749" s="341"/>
      <c r="D749" s="341"/>
      <c r="E749" s="341"/>
      <c r="F749" s="341"/>
      <c r="G749" s="341"/>
      <c r="H749" s="341"/>
      <c r="I749" s="341"/>
    </row>
    <row r="750" spans="1:9" ht="20.25">
      <c r="A750" s="341"/>
      <c r="B750" s="341"/>
      <c r="C750" s="341"/>
      <c r="D750" s="341"/>
      <c r="E750" s="341"/>
      <c r="F750" s="341"/>
      <c r="G750" s="341"/>
      <c r="H750" s="341"/>
      <c r="I750" s="341"/>
    </row>
    <row r="751" spans="1:9" ht="20.25">
      <c r="A751" s="341"/>
      <c r="B751" s="341"/>
      <c r="C751" s="341"/>
      <c r="D751" s="341"/>
      <c r="E751" s="341"/>
      <c r="F751" s="341"/>
      <c r="G751" s="341"/>
      <c r="H751" s="341"/>
      <c r="I751" s="341"/>
    </row>
    <row r="752" spans="1:9" ht="20.25">
      <c r="A752" s="341"/>
      <c r="B752" s="341"/>
      <c r="C752" s="341"/>
      <c r="D752" s="341"/>
      <c r="E752" s="341"/>
      <c r="F752" s="341"/>
      <c r="G752" s="341"/>
      <c r="H752" s="341"/>
      <c r="I752" s="341"/>
    </row>
    <row r="753" spans="1:9" ht="20.25">
      <c r="A753" s="341"/>
      <c r="B753" s="341"/>
      <c r="C753" s="341"/>
      <c r="D753" s="341"/>
      <c r="E753" s="341"/>
      <c r="F753" s="341"/>
      <c r="G753" s="341"/>
      <c r="H753" s="341"/>
      <c r="I753" s="341"/>
    </row>
    <row r="754" spans="1:9" ht="20.25">
      <c r="A754" s="341"/>
      <c r="B754" s="341"/>
      <c r="C754" s="341"/>
      <c r="D754" s="341"/>
      <c r="E754" s="341"/>
      <c r="F754" s="341"/>
      <c r="G754" s="341"/>
      <c r="H754" s="341"/>
      <c r="I754" s="341"/>
    </row>
    <row r="755" spans="1:9" ht="20.25">
      <c r="A755" s="341"/>
      <c r="B755" s="341"/>
      <c r="C755" s="341"/>
      <c r="D755" s="341"/>
      <c r="E755" s="341"/>
      <c r="F755" s="341"/>
      <c r="G755" s="341"/>
      <c r="H755" s="341"/>
      <c r="I755" s="341"/>
    </row>
    <row r="756" spans="1:9" ht="20.25">
      <c r="A756" s="341"/>
      <c r="B756" s="341"/>
      <c r="C756" s="341"/>
      <c r="D756" s="341"/>
      <c r="E756" s="341"/>
      <c r="F756" s="341"/>
      <c r="G756" s="341"/>
      <c r="H756" s="341"/>
      <c r="I756" s="341"/>
    </row>
    <row r="757" spans="1:9" ht="20.25">
      <c r="A757" s="341"/>
      <c r="B757" s="341"/>
      <c r="C757" s="341"/>
      <c r="D757" s="341"/>
      <c r="E757" s="341"/>
      <c r="F757" s="341"/>
      <c r="G757" s="341"/>
      <c r="H757" s="341"/>
      <c r="I757" s="341"/>
    </row>
    <row r="758" spans="1:9" ht="20.25">
      <c r="A758" s="341"/>
      <c r="B758" s="341"/>
      <c r="C758" s="341"/>
      <c r="D758" s="341"/>
      <c r="E758" s="341"/>
      <c r="F758" s="341"/>
      <c r="G758" s="341"/>
      <c r="H758" s="341"/>
      <c r="I758" s="341"/>
    </row>
    <row r="759" spans="1:9" ht="20.25">
      <c r="A759" s="341"/>
      <c r="B759" s="341"/>
      <c r="C759" s="341"/>
      <c r="D759" s="341"/>
      <c r="E759" s="341"/>
      <c r="F759" s="341"/>
      <c r="G759" s="341"/>
      <c r="H759" s="341"/>
      <c r="I759" s="341"/>
    </row>
    <row r="760" spans="1:9" ht="20.25">
      <c r="A760" s="341"/>
      <c r="B760" s="341"/>
      <c r="C760" s="341"/>
      <c r="D760" s="341"/>
      <c r="E760" s="341"/>
      <c r="F760" s="341"/>
      <c r="G760" s="341"/>
      <c r="H760" s="341"/>
      <c r="I760" s="341"/>
    </row>
    <row r="761" spans="1:9" ht="20.25">
      <c r="A761" s="341"/>
      <c r="B761" s="341"/>
      <c r="C761" s="341"/>
      <c r="D761" s="341"/>
      <c r="E761" s="341"/>
      <c r="F761" s="341"/>
      <c r="G761" s="341"/>
      <c r="H761" s="341"/>
      <c r="I761" s="341"/>
    </row>
    <row r="762" spans="1:9" ht="20.25">
      <c r="A762" s="341"/>
      <c r="B762" s="341"/>
      <c r="C762" s="341"/>
      <c r="D762" s="341"/>
      <c r="E762" s="341"/>
      <c r="F762" s="341"/>
      <c r="G762" s="341"/>
      <c r="H762" s="341"/>
      <c r="I762" s="341"/>
    </row>
    <row r="763" spans="1:9" ht="20.25">
      <c r="A763" s="341"/>
      <c r="B763" s="341"/>
      <c r="C763" s="341"/>
      <c r="D763" s="341"/>
      <c r="E763" s="341"/>
      <c r="F763" s="341"/>
      <c r="G763" s="341"/>
      <c r="H763" s="341"/>
      <c r="I763" s="341"/>
    </row>
    <row r="764" spans="1:9" ht="20.25">
      <c r="A764" s="341"/>
      <c r="B764" s="341"/>
      <c r="C764" s="341"/>
      <c r="D764" s="341"/>
      <c r="E764" s="341"/>
      <c r="F764" s="341"/>
      <c r="G764" s="341"/>
      <c r="H764" s="341"/>
      <c r="I764" s="341"/>
    </row>
    <row r="765" spans="1:9" ht="20.25">
      <c r="A765" s="341"/>
      <c r="B765" s="341"/>
      <c r="C765" s="341"/>
      <c r="D765" s="341"/>
      <c r="E765" s="341"/>
      <c r="F765" s="341"/>
      <c r="G765" s="341"/>
      <c r="H765" s="341"/>
      <c r="I765" s="341"/>
    </row>
    <row r="766" spans="1:9" ht="20.25">
      <c r="A766" s="341"/>
      <c r="B766" s="341"/>
      <c r="C766" s="341"/>
      <c r="D766" s="341"/>
      <c r="E766" s="341"/>
      <c r="F766" s="341"/>
      <c r="G766" s="341"/>
      <c r="H766" s="341"/>
      <c r="I766" s="341"/>
    </row>
    <row r="767" spans="1:9" ht="20.25">
      <c r="A767" s="341"/>
      <c r="B767" s="341"/>
      <c r="C767" s="341"/>
      <c r="D767" s="341"/>
      <c r="E767" s="341"/>
      <c r="F767" s="341"/>
      <c r="G767" s="341"/>
      <c r="H767" s="341"/>
      <c r="I767" s="341"/>
    </row>
    <row r="768" spans="1:9" ht="20.25">
      <c r="A768" s="341"/>
      <c r="B768" s="341"/>
      <c r="C768" s="341"/>
      <c r="D768" s="341"/>
      <c r="E768" s="341"/>
      <c r="F768" s="341"/>
      <c r="G768" s="341"/>
      <c r="H768" s="341"/>
      <c r="I768" s="341"/>
    </row>
    <row r="769" spans="1:9" ht="20.25">
      <c r="A769" s="341"/>
      <c r="B769" s="341"/>
      <c r="C769" s="341"/>
      <c r="D769" s="341"/>
      <c r="E769" s="341"/>
      <c r="F769" s="341"/>
      <c r="G769" s="341"/>
      <c r="H769" s="341"/>
      <c r="I769" s="341"/>
    </row>
    <row r="770" spans="1:9" ht="20.25">
      <c r="A770" s="341"/>
      <c r="B770" s="341"/>
      <c r="C770" s="341"/>
      <c r="D770" s="341"/>
      <c r="E770" s="341"/>
      <c r="F770" s="341"/>
      <c r="G770" s="341"/>
      <c r="H770" s="341"/>
      <c r="I770" s="341"/>
    </row>
    <row r="771" spans="1:9" ht="20.25">
      <c r="A771" s="341"/>
      <c r="B771" s="341"/>
      <c r="C771" s="341"/>
      <c r="D771" s="341"/>
      <c r="E771" s="341"/>
      <c r="F771" s="341"/>
      <c r="G771" s="341"/>
      <c r="H771" s="341"/>
      <c r="I771" s="341"/>
    </row>
    <row r="772" spans="1:9" ht="20.25">
      <c r="A772" s="341"/>
      <c r="B772" s="341"/>
      <c r="C772" s="341"/>
      <c r="D772" s="341"/>
      <c r="E772" s="341"/>
      <c r="F772" s="341"/>
      <c r="G772" s="341"/>
      <c r="H772" s="341"/>
      <c r="I772" s="341"/>
    </row>
    <row r="773" spans="1:9" ht="20.25">
      <c r="A773" s="341"/>
      <c r="B773" s="341"/>
      <c r="C773" s="341"/>
      <c r="D773" s="341"/>
      <c r="E773" s="341"/>
      <c r="F773" s="341"/>
      <c r="G773" s="341"/>
      <c r="H773" s="341"/>
      <c r="I773" s="341"/>
    </row>
    <row r="774" spans="1:9" ht="20.25">
      <c r="A774" s="341"/>
      <c r="B774" s="341"/>
      <c r="C774" s="341"/>
      <c r="D774" s="341"/>
      <c r="E774" s="341"/>
      <c r="F774" s="341"/>
      <c r="G774" s="341"/>
      <c r="H774" s="341"/>
      <c r="I774" s="341"/>
    </row>
    <row r="775" spans="1:9" ht="20.25">
      <c r="A775" s="341"/>
      <c r="B775" s="341"/>
      <c r="C775" s="341"/>
      <c r="D775" s="341"/>
      <c r="E775" s="341"/>
      <c r="F775" s="341"/>
      <c r="G775" s="341"/>
      <c r="H775" s="341"/>
      <c r="I775" s="341"/>
    </row>
    <row r="776" spans="1:9" ht="20.25">
      <c r="A776" s="341"/>
      <c r="B776" s="341"/>
      <c r="C776" s="341"/>
      <c r="D776" s="341"/>
      <c r="E776" s="341"/>
      <c r="F776" s="341"/>
      <c r="G776" s="341"/>
      <c r="H776" s="341"/>
      <c r="I776" s="341"/>
    </row>
    <row r="777" spans="1:9" ht="20.25">
      <c r="A777" s="341"/>
      <c r="B777" s="341"/>
      <c r="C777" s="341"/>
      <c r="D777" s="341"/>
      <c r="E777" s="341"/>
      <c r="F777" s="341"/>
      <c r="G777" s="341"/>
      <c r="H777" s="341"/>
      <c r="I777" s="341"/>
    </row>
    <row r="778" spans="1:9" ht="20.25">
      <c r="A778" s="341"/>
      <c r="B778" s="341"/>
      <c r="C778" s="341"/>
      <c r="D778" s="341"/>
      <c r="E778" s="341"/>
      <c r="F778" s="341"/>
      <c r="G778" s="341"/>
      <c r="H778" s="341"/>
      <c r="I778" s="341"/>
    </row>
    <row r="779" spans="1:9" ht="20.25">
      <c r="A779" s="341"/>
      <c r="B779" s="341"/>
      <c r="C779" s="341"/>
      <c r="D779" s="341"/>
      <c r="E779" s="341"/>
      <c r="F779" s="341"/>
      <c r="G779" s="341"/>
      <c r="H779" s="341"/>
      <c r="I779" s="341"/>
    </row>
    <row r="780" spans="1:9" ht="20.25">
      <c r="A780" s="341"/>
      <c r="B780" s="341"/>
      <c r="C780" s="341"/>
      <c r="D780" s="341"/>
      <c r="E780" s="341"/>
      <c r="F780" s="341"/>
      <c r="G780" s="341"/>
      <c r="H780" s="341"/>
      <c r="I780" s="341"/>
    </row>
    <row r="781" spans="1:9" ht="20.25">
      <c r="A781" s="341"/>
      <c r="B781" s="341"/>
      <c r="C781" s="341"/>
      <c r="D781" s="341"/>
      <c r="E781" s="341"/>
      <c r="F781" s="341"/>
      <c r="G781" s="341"/>
      <c r="H781" s="341"/>
      <c r="I781" s="341"/>
    </row>
    <row r="782" spans="1:9" ht="20.25">
      <c r="A782" s="341"/>
      <c r="B782" s="341"/>
      <c r="C782" s="341"/>
      <c r="D782" s="341"/>
      <c r="E782" s="341"/>
      <c r="F782" s="341"/>
      <c r="G782" s="341"/>
      <c r="H782" s="341"/>
      <c r="I782" s="341"/>
    </row>
    <row r="783" spans="1:9" ht="20.25">
      <c r="A783" s="341"/>
      <c r="B783" s="341"/>
      <c r="C783" s="341"/>
      <c r="D783" s="341"/>
      <c r="E783" s="341"/>
      <c r="F783" s="341"/>
      <c r="G783" s="341"/>
      <c r="H783" s="341"/>
      <c r="I783" s="341"/>
    </row>
    <row r="784" spans="1:9" ht="20.25">
      <c r="A784" s="341"/>
      <c r="B784" s="341"/>
      <c r="C784" s="341"/>
      <c r="D784" s="341"/>
      <c r="E784" s="341"/>
      <c r="F784" s="341"/>
      <c r="G784" s="341"/>
      <c r="H784" s="341"/>
      <c r="I784" s="341"/>
    </row>
    <row r="785" spans="1:9" ht="20.25">
      <c r="A785" s="341"/>
      <c r="B785" s="341"/>
      <c r="C785" s="341"/>
      <c r="D785" s="341"/>
      <c r="E785" s="341"/>
      <c r="F785" s="341"/>
      <c r="G785" s="341"/>
      <c r="H785" s="341"/>
      <c r="I785" s="341"/>
    </row>
    <row r="786" spans="1:9" ht="20.25">
      <c r="A786" s="341"/>
      <c r="B786" s="341"/>
      <c r="C786" s="341"/>
      <c r="D786" s="341"/>
      <c r="E786" s="341"/>
      <c r="F786" s="341"/>
      <c r="G786" s="341"/>
      <c r="H786" s="341"/>
      <c r="I786" s="341"/>
    </row>
    <row r="787" spans="1:9" ht="20.25">
      <c r="A787" s="341"/>
      <c r="B787" s="341"/>
      <c r="C787" s="341"/>
      <c r="D787" s="341"/>
      <c r="E787" s="341"/>
      <c r="F787" s="341"/>
      <c r="G787" s="341"/>
      <c r="H787" s="341"/>
      <c r="I787" s="341"/>
    </row>
    <row r="788" spans="1:9" ht="20.25">
      <c r="A788" s="341"/>
      <c r="B788" s="341"/>
      <c r="C788" s="341"/>
      <c r="D788" s="341"/>
      <c r="E788" s="341"/>
      <c r="F788" s="341"/>
      <c r="G788" s="341"/>
      <c r="H788" s="341"/>
      <c r="I788" s="341"/>
    </row>
    <row r="789" spans="1:9" ht="20.25">
      <c r="A789" s="341"/>
      <c r="B789" s="341"/>
      <c r="C789" s="341"/>
      <c r="D789" s="341"/>
      <c r="E789" s="341"/>
      <c r="F789" s="341"/>
      <c r="G789" s="341"/>
      <c r="H789" s="341"/>
      <c r="I789" s="341"/>
    </row>
    <row r="790" spans="1:9" ht="20.25">
      <c r="A790" s="341"/>
      <c r="B790" s="341"/>
      <c r="C790" s="341"/>
      <c r="D790" s="341"/>
      <c r="E790" s="341"/>
      <c r="F790" s="341"/>
      <c r="G790" s="341"/>
      <c r="H790" s="341"/>
      <c r="I790" s="341"/>
    </row>
    <row r="791" spans="1:9" ht="20.25">
      <c r="A791" s="341"/>
      <c r="B791" s="341"/>
      <c r="C791" s="341"/>
      <c r="D791" s="341"/>
      <c r="E791" s="341"/>
      <c r="F791" s="341"/>
      <c r="G791" s="341"/>
      <c r="H791" s="341"/>
      <c r="I791" s="341"/>
    </row>
    <row r="792" spans="1:9" ht="20.25">
      <c r="A792" s="341"/>
      <c r="B792" s="341"/>
      <c r="C792" s="341"/>
      <c r="D792" s="341"/>
      <c r="E792" s="341"/>
      <c r="F792" s="341"/>
      <c r="G792" s="341"/>
      <c r="H792" s="341"/>
      <c r="I792" s="341"/>
    </row>
    <row r="793" spans="1:9" ht="20.25">
      <c r="A793" s="341"/>
      <c r="B793" s="341"/>
      <c r="C793" s="341"/>
      <c r="D793" s="341"/>
      <c r="E793" s="341"/>
      <c r="F793" s="341"/>
      <c r="G793" s="341"/>
      <c r="H793" s="341"/>
      <c r="I793" s="341"/>
    </row>
    <row r="794" spans="1:9" ht="20.25">
      <c r="A794" s="341"/>
      <c r="B794" s="341"/>
      <c r="C794" s="341"/>
      <c r="D794" s="341"/>
      <c r="E794" s="341"/>
      <c r="F794" s="341"/>
      <c r="G794" s="341"/>
      <c r="H794" s="341"/>
      <c r="I794" s="341"/>
    </row>
    <row r="795" spans="1:9" ht="20.25">
      <c r="A795" s="341"/>
      <c r="B795" s="341"/>
      <c r="C795" s="341"/>
      <c r="D795" s="341"/>
      <c r="E795" s="341"/>
      <c r="F795" s="341"/>
      <c r="G795" s="341"/>
      <c r="H795" s="341"/>
      <c r="I795" s="341"/>
    </row>
    <row r="796" spans="1:9" ht="20.25">
      <c r="A796" s="341"/>
      <c r="B796" s="341"/>
      <c r="C796" s="341"/>
      <c r="D796" s="341"/>
      <c r="E796" s="341"/>
      <c r="F796" s="341"/>
      <c r="G796" s="341"/>
      <c r="H796" s="341"/>
      <c r="I796" s="341"/>
    </row>
    <row r="797" spans="1:9" ht="20.25">
      <c r="A797" s="341"/>
      <c r="B797" s="341"/>
      <c r="C797" s="341"/>
      <c r="D797" s="341"/>
      <c r="E797" s="341"/>
      <c r="F797" s="341"/>
      <c r="G797" s="341"/>
      <c r="H797" s="341"/>
      <c r="I797" s="341"/>
    </row>
    <row r="798" spans="1:9" ht="20.25">
      <c r="A798" s="341"/>
      <c r="B798" s="341"/>
      <c r="C798" s="341"/>
      <c r="D798" s="341"/>
      <c r="E798" s="341"/>
      <c r="F798" s="341"/>
      <c r="G798" s="341"/>
      <c r="H798" s="341"/>
      <c r="I798" s="341"/>
    </row>
    <row r="799" spans="1:9" ht="20.25">
      <c r="A799" s="341"/>
      <c r="B799" s="341"/>
      <c r="C799" s="341"/>
      <c r="D799" s="341"/>
      <c r="E799" s="341"/>
      <c r="F799" s="341"/>
      <c r="G799" s="341"/>
      <c r="H799" s="341"/>
      <c r="I799" s="341"/>
    </row>
    <row r="800" spans="1:9" ht="20.25">
      <c r="A800" s="341"/>
      <c r="B800" s="341"/>
      <c r="C800" s="341"/>
      <c r="D800" s="341"/>
      <c r="E800" s="341"/>
      <c r="F800" s="341"/>
      <c r="G800" s="341"/>
      <c r="H800" s="341"/>
      <c r="I800" s="341"/>
    </row>
    <row r="801" spans="1:9" ht="20.25">
      <c r="A801" s="341"/>
      <c r="B801" s="341"/>
      <c r="C801" s="341"/>
      <c r="D801" s="341"/>
      <c r="E801" s="341"/>
      <c r="F801" s="341"/>
      <c r="G801" s="341"/>
      <c r="H801" s="341"/>
      <c r="I801" s="341"/>
    </row>
    <row r="802" spans="1:9" ht="20.25">
      <c r="A802" s="341"/>
      <c r="B802" s="341"/>
      <c r="C802" s="341"/>
      <c r="D802" s="341"/>
      <c r="E802" s="341"/>
      <c r="F802" s="341"/>
      <c r="G802" s="341"/>
      <c r="H802" s="341"/>
      <c r="I802" s="341"/>
    </row>
    <row r="803" spans="1:9" ht="20.25">
      <c r="A803" s="341"/>
      <c r="B803" s="341"/>
      <c r="C803" s="341"/>
      <c r="D803" s="341"/>
      <c r="E803" s="341"/>
      <c r="F803" s="341"/>
      <c r="G803" s="341"/>
      <c r="H803" s="341"/>
      <c r="I803" s="341"/>
    </row>
    <row r="804" spans="1:9" ht="20.25">
      <c r="A804" s="341"/>
      <c r="B804" s="341"/>
      <c r="C804" s="341"/>
      <c r="D804" s="341"/>
      <c r="E804" s="341"/>
      <c r="F804" s="341"/>
      <c r="G804" s="341"/>
      <c r="H804" s="341"/>
      <c r="I804" s="341"/>
    </row>
    <row r="805" spans="1:9" ht="20.25">
      <c r="A805" s="341"/>
      <c r="B805" s="341"/>
      <c r="C805" s="341"/>
      <c r="D805" s="341"/>
      <c r="E805" s="341"/>
      <c r="F805" s="341"/>
      <c r="G805" s="341"/>
      <c r="H805" s="341"/>
      <c r="I805" s="341"/>
    </row>
    <row r="806" spans="1:9" ht="20.25">
      <c r="A806" s="341"/>
      <c r="B806" s="341"/>
      <c r="C806" s="341"/>
      <c r="D806" s="341"/>
      <c r="E806" s="341"/>
      <c r="F806" s="341"/>
      <c r="G806" s="341"/>
      <c r="H806" s="341"/>
      <c r="I806" s="341"/>
    </row>
    <row r="807" spans="1:9" ht="20.25">
      <c r="A807" s="341"/>
      <c r="B807" s="341"/>
      <c r="C807" s="341"/>
      <c r="D807" s="341"/>
      <c r="E807" s="341"/>
      <c r="F807" s="341"/>
      <c r="G807" s="341"/>
      <c r="H807" s="341"/>
      <c r="I807" s="341"/>
    </row>
    <row r="808" spans="1:9" ht="20.25">
      <c r="A808" s="341"/>
      <c r="B808" s="341"/>
      <c r="C808" s="341"/>
      <c r="D808" s="341"/>
      <c r="E808" s="341"/>
      <c r="F808" s="341"/>
      <c r="G808" s="341"/>
      <c r="H808" s="341"/>
      <c r="I808" s="341"/>
    </row>
    <row r="809" spans="1:9" ht="20.25">
      <c r="A809" s="341"/>
      <c r="B809" s="341"/>
      <c r="C809" s="341"/>
      <c r="D809" s="341"/>
      <c r="E809" s="341"/>
      <c r="F809" s="341"/>
      <c r="G809" s="341"/>
      <c r="H809" s="341"/>
      <c r="I809" s="341"/>
    </row>
    <row r="810" spans="1:9" ht="20.25">
      <c r="A810" s="341"/>
      <c r="B810" s="341"/>
      <c r="C810" s="341"/>
      <c r="D810" s="341"/>
      <c r="E810" s="341"/>
      <c r="F810" s="341"/>
      <c r="G810" s="341"/>
      <c r="H810" s="341"/>
      <c r="I810" s="341"/>
    </row>
    <row r="811" spans="1:9" ht="20.25">
      <c r="A811" s="341"/>
      <c r="B811" s="341"/>
      <c r="C811" s="341"/>
      <c r="D811" s="341"/>
      <c r="E811" s="341"/>
      <c r="F811" s="341"/>
      <c r="G811" s="341"/>
      <c r="H811" s="341"/>
      <c r="I811" s="341"/>
    </row>
    <row r="812" spans="1:9" ht="20.25">
      <c r="A812" s="341"/>
      <c r="B812" s="341"/>
      <c r="C812" s="341"/>
      <c r="D812" s="341"/>
      <c r="E812" s="341"/>
      <c r="F812" s="341"/>
      <c r="G812" s="341"/>
      <c r="H812" s="341"/>
      <c r="I812" s="341"/>
    </row>
    <row r="813" spans="1:9" ht="20.25">
      <c r="A813" s="341"/>
      <c r="B813" s="341"/>
      <c r="C813" s="341"/>
      <c r="D813" s="341"/>
      <c r="E813" s="341"/>
      <c r="F813" s="341"/>
      <c r="G813" s="341"/>
      <c r="H813" s="341"/>
      <c r="I813" s="341"/>
    </row>
    <row r="814" spans="1:9" ht="20.25">
      <c r="A814" s="341"/>
      <c r="B814" s="341"/>
      <c r="C814" s="341"/>
      <c r="D814" s="341"/>
      <c r="E814" s="341"/>
      <c r="F814" s="341"/>
      <c r="G814" s="341"/>
      <c r="H814" s="341"/>
      <c r="I814" s="341"/>
    </row>
    <row r="815" spans="1:9" ht="20.25">
      <c r="A815" s="341"/>
      <c r="B815" s="341"/>
      <c r="C815" s="341"/>
      <c r="D815" s="341"/>
      <c r="E815" s="341"/>
      <c r="F815" s="341"/>
      <c r="G815" s="341"/>
      <c r="H815" s="341"/>
      <c r="I815" s="341"/>
    </row>
    <row r="816" spans="1:9" ht="20.25">
      <c r="A816" s="341"/>
      <c r="B816" s="341"/>
      <c r="C816" s="341"/>
      <c r="D816" s="341"/>
      <c r="E816" s="341"/>
      <c r="F816" s="341"/>
      <c r="G816" s="341"/>
      <c r="H816" s="341"/>
      <c r="I816" s="341"/>
    </row>
    <row r="817" spans="1:9" ht="20.25">
      <c r="A817" s="341"/>
      <c r="B817" s="341"/>
      <c r="C817" s="341"/>
      <c r="D817" s="341"/>
      <c r="E817" s="341"/>
      <c r="F817" s="341"/>
      <c r="G817" s="341"/>
      <c r="H817" s="341"/>
      <c r="I817" s="341"/>
    </row>
    <row r="818" spans="1:9" ht="20.25">
      <c r="A818" s="341"/>
      <c r="B818" s="341"/>
      <c r="C818" s="341"/>
      <c r="D818" s="341"/>
      <c r="E818" s="341"/>
      <c r="F818" s="341"/>
      <c r="G818" s="341"/>
      <c r="H818" s="341"/>
      <c r="I818" s="341"/>
    </row>
    <row r="819" spans="1:9" ht="20.25">
      <c r="A819" s="341"/>
      <c r="B819" s="341"/>
      <c r="C819" s="341"/>
      <c r="D819" s="341"/>
      <c r="E819" s="341"/>
      <c r="F819" s="341"/>
      <c r="G819" s="341"/>
      <c r="H819" s="341"/>
      <c r="I819" s="341"/>
    </row>
    <row r="820" spans="1:9" ht="20.25">
      <c r="A820" s="341"/>
      <c r="B820" s="341"/>
      <c r="C820" s="341"/>
      <c r="D820" s="341"/>
      <c r="E820" s="341"/>
      <c r="F820" s="341"/>
      <c r="G820" s="341"/>
      <c r="H820" s="341"/>
      <c r="I820" s="341"/>
    </row>
    <row r="821" spans="1:9" ht="20.25">
      <c r="A821" s="341"/>
      <c r="B821" s="341"/>
      <c r="C821" s="341"/>
      <c r="D821" s="341"/>
      <c r="E821" s="341"/>
      <c r="F821" s="341"/>
      <c r="G821" s="341"/>
      <c r="H821" s="341"/>
      <c r="I821" s="341"/>
    </row>
    <row r="822" spans="1:9" ht="20.25">
      <c r="A822" s="341"/>
      <c r="B822" s="341"/>
      <c r="C822" s="341"/>
      <c r="D822" s="341"/>
      <c r="E822" s="341"/>
      <c r="F822" s="341"/>
      <c r="G822" s="341"/>
      <c r="H822" s="341"/>
      <c r="I822" s="341"/>
    </row>
    <row r="823" spans="1:9" ht="20.25">
      <c r="A823" s="341"/>
      <c r="B823" s="341"/>
      <c r="C823" s="341"/>
      <c r="D823" s="341"/>
      <c r="E823" s="341"/>
      <c r="F823" s="341"/>
      <c r="G823" s="341"/>
      <c r="H823" s="341"/>
      <c r="I823" s="341"/>
    </row>
    <row r="824" spans="1:9" ht="20.25">
      <c r="A824" s="341"/>
      <c r="B824" s="341"/>
      <c r="C824" s="341"/>
      <c r="D824" s="341"/>
      <c r="E824" s="341"/>
      <c r="F824" s="341"/>
      <c r="G824" s="341"/>
      <c r="H824" s="341"/>
      <c r="I824" s="341"/>
    </row>
    <row r="825" spans="1:9" ht="20.25">
      <c r="A825" s="341"/>
      <c r="B825" s="341"/>
      <c r="C825" s="341"/>
      <c r="D825" s="341"/>
      <c r="E825" s="341"/>
      <c r="F825" s="341"/>
      <c r="G825" s="341"/>
      <c r="H825" s="341"/>
      <c r="I825" s="341"/>
    </row>
    <row r="826" spans="1:9" ht="20.25">
      <c r="A826" s="341"/>
      <c r="B826" s="341"/>
      <c r="C826" s="341"/>
      <c r="D826" s="341"/>
      <c r="E826" s="341"/>
      <c r="F826" s="341"/>
      <c r="G826" s="341"/>
      <c r="H826" s="341"/>
      <c r="I826" s="341"/>
    </row>
    <row r="827" spans="1:9" ht="20.25">
      <c r="A827" s="341"/>
      <c r="B827" s="341"/>
      <c r="C827" s="341"/>
      <c r="D827" s="341"/>
      <c r="E827" s="341"/>
      <c r="F827" s="341"/>
      <c r="G827" s="341"/>
      <c r="H827" s="341"/>
      <c r="I827" s="341"/>
    </row>
    <row r="828" spans="1:9" ht="20.25">
      <c r="A828" s="341"/>
      <c r="B828" s="341"/>
      <c r="C828" s="341"/>
      <c r="D828" s="341"/>
      <c r="E828" s="341"/>
      <c r="F828" s="341"/>
      <c r="G828" s="341"/>
      <c r="H828" s="341"/>
      <c r="I828" s="341"/>
    </row>
    <row r="829" spans="1:9" ht="20.25">
      <c r="A829" s="341"/>
      <c r="B829" s="341"/>
      <c r="C829" s="341"/>
      <c r="D829" s="341"/>
      <c r="E829" s="341"/>
      <c r="F829" s="341"/>
      <c r="G829" s="341"/>
      <c r="H829" s="341"/>
      <c r="I829" s="341"/>
    </row>
    <row r="830" spans="1:9" ht="20.25">
      <c r="A830" s="341"/>
      <c r="B830" s="341"/>
      <c r="C830" s="341"/>
      <c r="D830" s="341"/>
      <c r="E830" s="341"/>
      <c r="F830" s="341"/>
      <c r="G830" s="341"/>
      <c r="H830" s="341"/>
      <c r="I830" s="341"/>
    </row>
    <row r="831" spans="1:9" ht="20.25">
      <c r="A831" s="341"/>
      <c r="B831" s="341"/>
      <c r="C831" s="341"/>
      <c r="D831" s="341"/>
      <c r="E831" s="341"/>
      <c r="F831" s="341"/>
      <c r="G831" s="341"/>
      <c r="H831" s="341"/>
      <c r="I831" s="341"/>
    </row>
    <row r="832" spans="1:9" ht="20.25">
      <c r="A832" s="341"/>
      <c r="B832" s="341"/>
      <c r="C832" s="341"/>
      <c r="D832" s="341"/>
      <c r="E832" s="341"/>
      <c r="F832" s="341"/>
      <c r="G832" s="341"/>
      <c r="H832" s="341"/>
      <c r="I832" s="341"/>
    </row>
    <row r="833" spans="1:9" ht="20.25">
      <c r="A833" s="341"/>
      <c r="B833" s="341"/>
      <c r="C833" s="341"/>
      <c r="D833" s="341"/>
      <c r="E833" s="341"/>
      <c r="F833" s="341"/>
      <c r="G833" s="341"/>
      <c r="H833" s="341"/>
      <c r="I833" s="341"/>
    </row>
    <row r="834" spans="1:9" ht="20.25">
      <c r="A834" s="341"/>
      <c r="B834" s="341"/>
      <c r="C834" s="341"/>
      <c r="D834" s="341"/>
      <c r="E834" s="341"/>
      <c r="F834" s="341"/>
      <c r="G834" s="341"/>
      <c r="H834" s="341"/>
      <c r="I834" s="341"/>
    </row>
    <row r="835" spans="1:9" ht="20.25">
      <c r="A835" s="341"/>
      <c r="B835" s="341"/>
      <c r="C835" s="341"/>
      <c r="D835" s="341"/>
      <c r="E835" s="341"/>
      <c r="F835" s="341"/>
      <c r="G835" s="341"/>
      <c r="H835" s="341"/>
      <c r="I835" s="341"/>
    </row>
    <row r="836" spans="1:9" ht="20.25">
      <c r="A836" s="341"/>
      <c r="B836" s="341"/>
      <c r="C836" s="341"/>
      <c r="D836" s="341"/>
      <c r="E836" s="341"/>
      <c r="F836" s="341"/>
      <c r="G836" s="341"/>
      <c r="H836" s="341"/>
      <c r="I836" s="341"/>
    </row>
    <row r="837" spans="1:9" ht="20.25">
      <c r="A837" s="341"/>
      <c r="B837" s="341"/>
      <c r="C837" s="341"/>
      <c r="D837" s="341"/>
      <c r="E837" s="341"/>
      <c r="F837" s="341"/>
      <c r="G837" s="341"/>
      <c r="H837" s="341"/>
      <c r="I837" s="341"/>
    </row>
    <row r="838" spans="1:9" ht="20.25">
      <c r="A838" s="341"/>
      <c r="B838" s="341"/>
      <c r="C838" s="341"/>
      <c r="D838" s="341"/>
      <c r="E838" s="341"/>
      <c r="F838" s="341"/>
      <c r="G838" s="341"/>
      <c r="H838" s="341"/>
      <c r="I838" s="341"/>
    </row>
    <row r="839" spans="1:9" ht="20.25">
      <c r="A839" s="341"/>
      <c r="B839" s="341"/>
      <c r="C839" s="341"/>
      <c r="D839" s="341"/>
      <c r="E839" s="341"/>
      <c r="F839" s="341"/>
      <c r="G839" s="341"/>
      <c r="H839" s="341"/>
      <c r="I839" s="341"/>
    </row>
    <row r="840" spans="1:9" ht="20.25">
      <c r="A840" s="341"/>
      <c r="B840" s="341"/>
      <c r="C840" s="341"/>
      <c r="D840" s="341"/>
      <c r="E840" s="341"/>
      <c r="F840" s="341"/>
      <c r="G840" s="341"/>
      <c r="H840" s="341"/>
      <c r="I840" s="341"/>
    </row>
    <row r="841" spans="1:9" ht="20.25">
      <c r="A841" s="341"/>
      <c r="B841" s="341"/>
      <c r="C841" s="341"/>
      <c r="D841" s="341"/>
      <c r="E841" s="341"/>
      <c r="F841" s="341"/>
      <c r="G841" s="341"/>
      <c r="H841" s="341"/>
      <c r="I841" s="341"/>
    </row>
    <row r="842" spans="1:9" ht="20.25">
      <c r="A842" s="341"/>
      <c r="B842" s="341"/>
      <c r="C842" s="341"/>
      <c r="D842" s="341"/>
      <c r="E842" s="341"/>
      <c r="F842" s="341"/>
      <c r="G842" s="341"/>
      <c r="H842" s="341"/>
      <c r="I842" s="341"/>
    </row>
    <row r="843" spans="1:9" ht="20.25">
      <c r="A843" s="341"/>
      <c r="B843" s="341"/>
      <c r="C843" s="341"/>
      <c r="D843" s="341"/>
      <c r="E843" s="341"/>
      <c r="F843" s="341"/>
      <c r="G843" s="341"/>
      <c r="H843" s="341"/>
      <c r="I843" s="341"/>
    </row>
    <row r="844" spans="1:9" ht="20.25">
      <c r="A844" s="341"/>
      <c r="B844" s="341"/>
      <c r="C844" s="341"/>
      <c r="D844" s="341"/>
      <c r="E844" s="341"/>
      <c r="F844" s="341"/>
      <c r="G844" s="341"/>
      <c r="H844" s="341"/>
      <c r="I844" s="341"/>
    </row>
    <row r="845" spans="1:9" ht="20.25">
      <c r="A845" s="341"/>
      <c r="B845" s="341"/>
      <c r="C845" s="341"/>
      <c r="D845" s="341"/>
      <c r="E845" s="341"/>
      <c r="F845" s="341"/>
      <c r="G845" s="341"/>
      <c r="H845" s="341"/>
      <c r="I845" s="341"/>
    </row>
    <row r="846" spans="1:9" ht="20.25">
      <c r="A846" s="341"/>
      <c r="B846" s="341"/>
      <c r="C846" s="341"/>
      <c r="D846" s="341"/>
      <c r="E846" s="341"/>
      <c r="F846" s="341"/>
      <c r="G846" s="341"/>
      <c r="H846" s="341"/>
      <c r="I846" s="341"/>
    </row>
    <row r="847" spans="1:9" ht="20.25">
      <c r="A847" s="341"/>
      <c r="B847" s="341"/>
      <c r="C847" s="341"/>
      <c r="D847" s="341"/>
      <c r="E847" s="341"/>
      <c r="F847" s="341"/>
      <c r="G847" s="341"/>
      <c r="H847" s="341"/>
      <c r="I847" s="341"/>
    </row>
    <row r="848" spans="1:9" ht="20.25">
      <c r="A848" s="341"/>
      <c r="B848" s="341"/>
      <c r="C848" s="341"/>
      <c r="D848" s="341"/>
      <c r="E848" s="341"/>
      <c r="F848" s="341"/>
      <c r="G848" s="341"/>
      <c r="H848" s="341"/>
      <c r="I848" s="341"/>
    </row>
    <row r="849" spans="1:9" ht="20.25">
      <c r="A849" s="341"/>
      <c r="B849" s="341"/>
      <c r="C849" s="341"/>
      <c r="D849" s="341"/>
      <c r="E849" s="341"/>
      <c r="F849" s="341"/>
      <c r="G849" s="341"/>
      <c r="H849" s="341"/>
      <c r="I849" s="341"/>
    </row>
    <row r="850" spans="1:9" ht="20.25">
      <c r="A850" s="341"/>
      <c r="B850" s="341"/>
      <c r="C850" s="341"/>
      <c r="D850" s="341"/>
      <c r="E850" s="341"/>
      <c r="F850" s="341"/>
      <c r="G850" s="341"/>
      <c r="H850" s="341"/>
      <c r="I850" s="341"/>
    </row>
    <row r="851" spans="1:9" ht="20.25">
      <c r="A851" s="341"/>
      <c r="B851" s="341"/>
      <c r="C851" s="341"/>
      <c r="D851" s="341"/>
      <c r="E851" s="341"/>
      <c r="F851" s="341"/>
      <c r="G851" s="341"/>
      <c r="H851" s="341"/>
      <c r="I851" s="341"/>
    </row>
    <row r="852" spans="1:9" ht="20.25">
      <c r="A852" s="341"/>
      <c r="B852" s="341"/>
      <c r="C852" s="341"/>
      <c r="D852" s="341"/>
      <c r="E852" s="341"/>
      <c r="F852" s="341"/>
      <c r="G852" s="341"/>
      <c r="H852" s="341"/>
      <c r="I852" s="341"/>
    </row>
    <row r="853" spans="1:9" ht="20.25">
      <c r="A853" s="341"/>
      <c r="B853" s="341"/>
      <c r="C853" s="341"/>
      <c r="D853" s="341"/>
      <c r="E853" s="341"/>
      <c r="F853" s="341"/>
      <c r="G853" s="341"/>
      <c r="H853" s="341"/>
      <c r="I853" s="341"/>
    </row>
    <row r="854" spans="1:9" ht="20.25">
      <c r="A854" s="341"/>
      <c r="B854" s="341"/>
      <c r="C854" s="341"/>
      <c r="D854" s="341"/>
      <c r="E854" s="341"/>
      <c r="F854" s="341"/>
      <c r="G854" s="341"/>
      <c r="H854" s="341"/>
      <c r="I854" s="341"/>
    </row>
    <row r="855" spans="1:9" ht="20.25">
      <c r="A855" s="341"/>
      <c r="B855" s="341"/>
      <c r="C855" s="341"/>
      <c r="D855" s="341"/>
      <c r="E855" s="341"/>
      <c r="F855" s="341"/>
      <c r="G855" s="341"/>
      <c r="H855" s="341"/>
      <c r="I855" s="341"/>
    </row>
    <row r="856" spans="1:9" ht="20.25">
      <c r="A856" s="341"/>
      <c r="B856" s="341"/>
      <c r="C856" s="341"/>
      <c r="D856" s="341"/>
      <c r="E856" s="341"/>
      <c r="F856" s="341"/>
      <c r="G856" s="341"/>
      <c r="H856" s="341"/>
      <c r="I856" s="341"/>
    </row>
    <row r="857" spans="1:9" ht="20.25">
      <c r="A857" s="341"/>
      <c r="B857" s="341"/>
      <c r="C857" s="341"/>
      <c r="D857" s="341"/>
      <c r="E857" s="341"/>
      <c r="F857" s="341"/>
      <c r="G857" s="341"/>
      <c r="H857" s="341"/>
      <c r="I857" s="341"/>
    </row>
    <row r="858" spans="1:9" ht="20.25">
      <c r="A858" s="341"/>
      <c r="B858" s="341"/>
      <c r="C858" s="341"/>
      <c r="D858" s="341"/>
      <c r="E858" s="341"/>
      <c r="F858" s="341"/>
      <c r="G858" s="341"/>
      <c r="H858" s="341"/>
      <c r="I858" s="341"/>
    </row>
    <row r="859" spans="1:9" ht="20.25">
      <c r="A859" s="341"/>
      <c r="B859" s="341"/>
      <c r="C859" s="341"/>
      <c r="D859" s="341"/>
      <c r="E859" s="341"/>
      <c r="F859" s="341"/>
      <c r="G859" s="341"/>
      <c r="H859" s="341"/>
      <c r="I859" s="341"/>
    </row>
    <row r="860" spans="1:9" ht="20.25">
      <c r="A860" s="341"/>
      <c r="B860" s="341"/>
      <c r="C860" s="341"/>
      <c r="D860" s="341"/>
      <c r="E860" s="341"/>
      <c r="F860" s="341"/>
      <c r="G860" s="341"/>
      <c r="H860" s="341"/>
      <c r="I860" s="341"/>
    </row>
    <row r="861" spans="1:9" ht="20.25">
      <c r="A861" s="341"/>
      <c r="B861" s="341"/>
      <c r="C861" s="341"/>
      <c r="D861" s="341"/>
      <c r="E861" s="341"/>
      <c r="F861" s="341"/>
      <c r="G861" s="341"/>
      <c r="H861" s="341"/>
      <c r="I861" s="341"/>
    </row>
    <row r="862" spans="1:9" ht="20.25">
      <c r="A862" s="341"/>
      <c r="B862" s="341"/>
      <c r="C862" s="341"/>
      <c r="D862" s="341"/>
      <c r="E862" s="341"/>
      <c r="F862" s="341"/>
      <c r="G862" s="341"/>
      <c r="H862" s="341"/>
      <c r="I862" s="341"/>
    </row>
    <row r="863" spans="1:9" ht="20.25">
      <c r="A863" s="341"/>
      <c r="B863" s="341"/>
      <c r="C863" s="341"/>
      <c r="D863" s="341"/>
      <c r="E863" s="341"/>
      <c r="F863" s="341"/>
      <c r="G863" s="341"/>
      <c r="H863" s="341"/>
      <c r="I863" s="341"/>
    </row>
    <row r="864" spans="1:9" ht="20.25">
      <c r="A864" s="341"/>
      <c r="B864" s="341"/>
      <c r="C864" s="341"/>
      <c r="D864" s="341"/>
      <c r="E864" s="341"/>
      <c r="F864" s="341"/>
      <c r="G864" s="341"/>
      <c r="H864" s="341"/>
      <c r="I864" s="341"/>
    </row>
    <row r="865" spans="1:9" ht="20.25">
      <c r="A865" s="341"/>
      <c r="B865" s="341"/>
      <c r="C865" s="341"/>
      <c r="D865" s="341"/>
      <c r="E865" s="341"/>
      <c r="F865" s="341"/>
      <c r="G865" s="341"/>
      <c r="H865" s="341"/>
      <c r="I865" s="341"/>
    </row>
    <row r="866" spans="1:9" ht="20.25">
      <c r="A866" s="341"/>
      <c r="B866" s="341"/>
      <c r="C866" s="341"/>
      <c r="D866" s="341"/>
      <c r="E866" s="341"/>
      <c r="F866" s="341"/>
      <c r="G866" s="341"/>
      <c r="H866" s="341"/>
      <c r="I866" s="341"/>
    </row>
    <row r="867" spans="1:9" ht="20.25">
      <c r="A867" s="341"/>
      <c r="B867" s="341"/>
      <c r="C867" s="341"/>
      <c r="D867" s="341"/>
      <c r="E867" s="341"/>
      <c r="F867" s="341"/>
      <c r="G867" s="341"/>
      <c r="H867" s="341"/>
      <c r="I867" s="341"/>
    </row>
    <row r="868" spans="1:9" ht="20.25">
      <c r="A868" s="341"/>
      <c r="B868" s="341"/>
      <c r="C868" s="341"/>
      <c r="D868" s="341"/>
      <c r="E868" s="341"/>
      <c r="F868" s="341"/>
      <c r="G868" s="341"/>
      <c r="H868" s="341"/>
      <c r="I868" s="341"/>
    </row>
    <row r="869" spans="1:9" ht="20.25">
      <c r="A869" s="341"/>
      <c r="B869" s="341"/>
      <c r="C869" s="341"/>
      <c r="D869" s="341"/>
      <c r="E869" s="341"/>
      <c r="F869" s="341"/>
      <c r="G869" s="341"/>
      <c r="H869" s="341"/>
      <c r="I869" s="341"/>
    </row>
    <row r="870" spans="1:9" ht="20.25">
      <c r="A870" s="341"/>
      <c r="B870" s="341"/>
      <c r="C870" s="341"/>
      <c r="D870" s="341"/>
      <c r="E870" s="341"/>
      <c r="F870" s="341"/>
      <c r="G870" s="341"/>
      <c r="H870" s="341"/>
      <c r="I870" s="341"/>
    </row>
    <row r="871" spans="1:9" ht="20.25">
      <c r="A871" s="341"/>
      <c r="B871" s="341"/>
      <c r="C871" s="341"/>
      <c r="D871" s="341"/>
      <c r="E871" s="341"/>
      <c r="F871" s="341"/>
      <c r="G871" s="341"/>
      <c r="H871" s="341"/>
      <c r="I871" s="341"/>
    </row>
    <row r="872" spans="1:9" ht="20.25">
      <c r="A872" s="341"/>
      <c r="B872" s="341"/>
      <c r="C872" s="341"/>
      <c r="D872" s="341"/>
      <c r="E872" s="341"/>
      <c r="F872" s="341"/>
      <c r="G872" s="341"/>
      <c r="H872" s="341"/>
      <c r="I872" s="341"/>
    </row>
    <row r="873" spans="1:9" ht="20.25">
      <c r="A873" s="341"/>
      <c r="B873" s="341"/>
      <c r="C873" s="341"/>
      <c r="D873" s="341"/>
      <c r="E873" s="341"/>
      <c r="F873" s="341"/>
      <c r="G873" s="341"/>
      <c r="H873" s="341"/>
      <c r="I873" s="341"/>
    </row>
    <row r="874" spans="1:9" ht="20.25">
      <c r="A874" s="341"/>
      <c r="B874" s="341"/>
      <c r="C874" s="341"/>
      <c r="D874" s="341"/>
      <c r="E874" s="341"/>
      <c r="F874" s="341"/>
      <c r="G874" s="341"/>
      <c r="H874" s="341"/>
      <c r="I874" s="341"/>
    </row>
    <row r="875" spans="1:9" ht="20.25">
      <c r="A875" s="341"/>
      <c r="B875" s="341"/>
      <c r="C875" s="341"/>
      <c r="D875" s="341"/>
      <c r="E875" s="341"/>
      <c r="F875" s="341"/>
      <c r="G875" s="341"/>
      <c r="H875" s="341"/>
      <c r="I875" s="341"/>
    </row>
    <row r="876" spans="1:9" ht="20.25">
      <c r="A876" s="341"/>
      <c r="B876" s="341"/>
      <c r="C876" s="341"/>
      <c r="D876" s="341"/>
      <c r="E876" s="341"/>
      <c r="F876" s="341"/>
      <c r="G876" s="341"/>
      <c r="H876" s="341"/>
      <c r="I876" s="341"/>
    </row>
    <row r="877" spans="1:9" ht="20.25">
      <c r="A877" s="341"/>
      <c r="B877" s="341"/>
      <c r="C877" s="341"/>
      <c r="D877" s="341"/>
      <c r="E877" s="341"/>
      <c r="F877" s="341"/>
      <c r="G877" s="341"/>
      <c r="H877" s="341"/>
      <c r="I877" s="341"/>
    </row>
    <row r="878" spans="1:9" ht="20.25">
      <c r="A878" s="341"/>
      <c r="B878" s="341"/>
      <c r="C878" s="341"/>
      <c r="D878" s="341"/>
      <c r="E878" s="341"/>
      <c r="F878" s="341"/>
      <c r="G878" s="341"/>
      <c r="H878" s="341"/>
      <c r="I878" s="341"/>
    </row>
    <row r="879" spans="1:9" ht="20.25">
      <c r="A879" s="341"/>
      <c r="B879" s="341"/>
      <c r="C879" s="341"/>
      <c r="D879" s="341"/>
      <c r="E879" s="341"/>
      <c r="F879" s="341"/>
      <c r="G879" s="341"/>
      <c r="H879" s="341"/>
      <c r="I879" s="341"/>
    </row>
    <row r="880" spans="1:9" ht="20.25">
      <c r="A880" s="341"/>
      <c r="B880" s="341"/>
      <c r="C880" s="341"/>
      <c r="D880" s="341"/>
      <c r="E880" s="341"/>
      <c r="F880" s="341"/>
      <c r="G880" s="341"/>
      <c r="H880" s="341"/>
      <c r="I880" s="341"/>
    </row>
    <row r="881" spans="1:9" ht="20.25">
      <c r="A881" s="341"/>
      <c r="B881" s="341"/>
      <c r="C881" s="341"/>
      <c r="D881" s="341"/>
      <c r="E881" s="341"/>
      <c r="F881" s="341"/>
      <c r="G881" s="341"/>
      <c r="H881" s="341"/>
      <c r="I881" s="341"/>
    </row>
    <row r="882" spans="1:9" ht="20.25">
      <c r="A882" s="341"/>
      <c r="B882" s="341"/>
      <c r="C882" s="341"/>
      <c r="D882" s="341"/>
      <c r="E882" s="341"/>
      <c r="F882" s="341"/>
      <c r="G882" s="341"/>
      <c r="H882" s="341"/>
      <c r="I882" s="341"/>
    </row>
    <row r="883" spans="1:9" ht="20.25">
      <c r="A883" s="341"/>
      <c r="B883" s="341"/>
      <c r="C883" s="341"/>
      <c r="D883" s="341"/>
      <c r="E883" s="341"/>
      <c r="F883" s="341"/>
      <c r="G883" s="341"/>
      <c r="H883" s="341"/>
      <c r="I883" s="341"/>
    </row>
    <row r="884" spans="1:9" ht="20.25">
      <c r="A884" s="341"/>
      <c r="B884" s="341"/>
      <c r="C884" s="341"/>
      <c r="D884" s="341"/>
      <c r="E884" s="341"/>
      <c r="F884" s="341"/>
      <c r="G884" s="341"/>
      <c r="H884" s="341"/>
      <c r="I884" s="341"/>
    </row>
    <row r="885" spans="1:9" ht="20.25">
      <c r="A885" s="341"/>
      <c r="B885" s="341"/>
      <c r="C885" s="341"/>
      <c r="D885" s="341"/>
      <c r="E885" s="341"/>
      <c r="F885" s="341"/>
      <c r="G885" s="341"/>
      <c r="H885" s="341"/>
      <c r="I885" s="341"/>
    </row>
    <row r="886" spans="1:9" ht="20.25">
      <c r="A886" s="341"/>
      <c r="B886" s="341"/>
      <c r="C886" s="341"/>
      <c r="D886" s="341"/>
      <c r="E886" s="341"/>
      <c r="F886" s="341"/>
      <c r="G886" s="341"/>
      <c r="H886" s="341"/>
      <c r="I886" s="341"/>
    </row>
    <row r="887" spans="1:9" ht="20.25">
      <c r="A887" s="341"/>
      <c r="B887" s="341"/>
      <c r="C887" s="341"/>
      <c r="D887" s="341"/>
      <c r="E887" s="341"/>
      <c r="F887" s="341"/>
      <c r="G887" s="341"/>
      <c r="H887" s="341"/>
      <c r="I887" s="341"/>
    </row>
    <row r="888" spans="1:9" ht="20.25">
      <c r="A888" s="341"/>
      <c r="B888" s="341"/>
      <c r="C888" s="341"/>
      <c r="D888" s="341"/>
      <c r="E888" s="341"/>
      <c r="F888" s="341"/>
      <c r="G888" s="341"/>
      <c r="H888" s="341"/>
      <c r="I888" s="341"/>
    </row>
    <row r="889" spans="1:9" ht="20.25">
      <c r="A889" s="341"/>
      <c r="B889" s="341"/>
      <c r="C889" s="341"/>
      <c r="D889" s="341"/>
      <c r="E889" s="341"/>
      <c r="F889" s="341"/>
      <c r="G889" s="341"/>
      <c r="H889" s="341"/>
      <c r="I889" s="341"/>
    </row>
    <row r="890" spans="1:9" ht="20.25">
      <c r="A890" s="341"/>
      <c r="B890" s="341"/>
      <c r="C890" s="341"/>
      <c r="D890" s="341"/>
      <c r="E890" s="341"/>
      <c r="F890" s="341"/>
      <c r="G890" s="341"/>
      <c r="H890" s="341"/>
      <c r="I890" s="341"/>
    </row>
    <row r="891" spans="1:9" ht="20.25">
      <c r="A891" s="341"/>
      <c r="B891" s="341"/>
      <c r="C891" s="341"/>
      <c r="D891" s="341"/>
      <c r="E891" s="341"/>
      <c r="F891" s="341"/>
      <c r="G891" s="341"/>
      <c r="H891" s="341"/>
      <c r="I891" s="341"/>
    </row>
    <row r="892" spans="1:9" ht="20.25">
      <c r="A892" s="341"/>
      <c r="B892" s="341"/>
      <c r="C892" s="341"/>
      <c r="D892" s="341"/>
      <c r="E892" s="341"/>
      <c r="F892" s="341"/>
      <c r="G892" s="341"/>
      <c r="H892" s="341"/>
      <c r="I892" s="341"/>
    </row>
    <row r="893" spans="1:9" ht="20.25">
      <c r="A893" s="341"/>
      <c r="B893" s="341"/>
      <c r="C893" s="341"/>
      <c r="D893" s="341"/>
      <c r="E893" s="341"/>
      <c r="F893" s="341"/>
      <c r="G893" s="341"/>
      <c r="H893" s="341"/>
      <c r="I893" s="341"/>
    </row>
    <row r="894" spans="1:9" ht="20.25">
      <c r="A894" s="341"/>
      <c r="B894" s="341"/>
      <c r="C894" s="341"/>
      <c r="D894" s="341"/>
      <c r="E894" s="341"/>
      <c r="F894" s="341"/>
      <c r="G894" s="341"/>
      <c r="H894" s="341"/>
      <c r="I894" s="341"/>
    </row>
    <row r="895" spans="1:9" ht="20.25">
      <c r="A895" s="341"/>
      <c r="B895" s="341"/>
      <c r="C895" s="341"/>
      <c r="D895" s="341"/>
      <c r="E895" s="341"/>
      <c r="F895" s="341"/>
      <c r="G895" s="341"/>
      <c r="H895" s="341"/>
      <c r="I895" s="341"/>
    </row>
    <row r="896" spans="1:9" ht="20.25">
      <c r="A896" s="341"/>
      <c r="B896" s="341"/>
      <c r="C896" s="341"/>
      <c r="D896" s="341"/>
      <c r="E896" s="341"/>
      <c r="F896" s="341"/>
      <c r="G896" s="341"/>
      <c r="H896" s="341"/>
      <c r="I896" s="341"/>
    </row>
    <row r="897" spans="1:9" ht="20.25">
      <c r="A897" s="341"/>
      <c r="B897" s="341"/>
      <c r="C897" s="341"/>
      <c r="D897" s="341"/>
      <c r="E897" s="341"/>
      <c r="F897" s="341"/>
      <c r="G897" s="341"/>
      <c r="H897" s="341"/>
      <c r="I897" s="341"/>
    </row>
    <row r="898" spans="1:9" ht="20.25">
      <c r="A898" s="341"/>
      <c r="B898" s="341"/>
      <c r="C898" s="341"/>
      <c r="D898" s="341"/>
      <c r="E898" s="341"/>
      <c r="F898" s="341"/>
      <c r="G898" s="341"/>
      <c r="H898" s="341"/>
      <c r="I898" s="341"/>
    </row>
    <row r="899" spans="1:9" ht="20.25">
      <c r="A899" s="341"/>
      <c r="B899" s="341"/>
      <c r="C899" s="341"/>
      <c r="D899" s="341"/>
      <c r="E899" s="341"/>
      <c r="F899" s="341"/>
      <c r="G899" s="341"/>
      <c r="H899" s="341"/>
      <c r="I899" s="341"/>
    </row>
    <row r="900" spans="1:9" ht="20.25">
      <c r="A900" s="341"/>
      <c r="B900" s="341"/>
      <c r="C900" s="341"/>
      <c r="D900" s="341"/>
      <c r="E900" s="341"/>
      <c r="F900" s="341"/>
      <c r="G900" s="341"/>
      <c r="H900" s="341"/>
      <c r="I900" s="341"/>
    </row>
    <row r="901" spans="1:9" ht="20.25">
      <c r="A901" s="341"/>
      <c r="B901" s="341"/>
      <c r="C901" s="341"/>
      <c r="D901" s="341"/>
      <c r="E901" s="341"/>
      <c r="F901" s="341"/>
      <c r="G901" s="341"/>
      <c r="H901" s="341"/>
      <c r="I901" s="341"/>
    </row>
    <row r="902" spans="1:9" ht="20.25">
      <c r="A902" s="341"/>
      <c r="B902" s="341"/>
      <c r="C902" s="341"/>
      <c r="D902" s="341"/>
      <c r="E902" s="341"/>
      <c r="F902" s="341"/>
      <c r="G902" s="341"/>
      <c r="H902" s="341"/>
      <c r="I902" s="341"/>
    </row>
    <row r="903" spans="1:9" ht="20.25">
      <c r="A903" s="341"/>
      <c r="B903" s="341"/>
      <c r="C903" s="341"/>
      <c r="D903" s="341"/>
      <c r="E903" s="341"/>
      <c r="F903" s="341"/>
      <c r="G903" s="341"/>
      <c r="H903" s="341"/>
      <c r="I903" s="341"/>
    </row>
    <row r="904" spans="1:9" ht="20.25">
      <c r="A904" s="341"/>
      <c r="B904" s="341"/>
      <c r="C904" s="341"/>
      <c r="D904" s="341"/>
      <c r="E904" s="341"/>
      <c r="F904" s="341"/>
      <c r="G904" s="341"/>
      <c r="H904" s="341"/>
      <c r="I904" s="341"/>
    </row>
    <row r="905" spans="1:9" ht="20.25">
      <c r="A905" s="341"/>
      <c r="B905" s="341"/>
      <c r="C905" s="341"/>
      <c r="D905" s="341"/>
      <c r="E905" s="341"/>
      <c r="F905" s="341"/>
      <c r="G905" s="341"/>
      <c r="H905" s="341"/>
      <c r="I905" s="341"/>
    </row>
    <row r="906" spans="1:9" ht="20.25">
      <c r="A906" s="341"/>
      <c r="B906" s="341"/>
      <c r="C906" s="341"/>
      <c r="D906" s="341"/>
      <c r="E906" s="341"/>
      <c r="F906" s="341"/>
      <c r="G906" s="341"/>
      <c r="H906" s="341"/>
      <c r="I906" s="341"/>
    </row>
    <row r="907" spans="1:9" ht="20.25">
      <c r="A907" s="341"/>
      <c r="B907" s="341"/>
      <c r="C907" s="341"/>
      <c r="D907" s="341"/>
      <c r="E907" s="341"/>
      <c r="F907" s="341"/>
      <c r="G907" s="341"/>
      <c r="H907" s="341"/>
      <c r="I907" s="341"/>
    </row>
    <row r="908" spans="1:9" ht="20.25">
      <c r="A908" s="341"/>
      <c r="B908" s="341"/>
      <c r="C908" s="341"/>
      <c r="D908" s="341"/>
      <c r="E908" s="341"/>
      <c r="F908" s="341"/>
      <c r="G908" s="341"/>
      <c r="H908" s="341"/>
      <c r="I908" s="341"/>
    </row>
    <row r="909" spans="1:9" ht="20.25">
      <c r="A909" s="341"/>
      <c r="B909" s="341"/>
      <c r="C909" s="341"/>
      <c r="D909" s="341"/>
      <c r="E909" s="341"/>
      <c r="F909" s="341"/>
      <c r="G909" s="341"/>
      <c r="H909" s="341"/>
      <c r="I909" s="341"/>
    </row>
    <row r="910" spans="1:9" ht="20.25">
      <c r="A910" s="341"/>
      <c r="B910" s="341"/>
      <c r="C910" s="341"/>
      <c r="D910" s="341"/>
      <c r="E910" s="341"/>
      <c r="F910" s="341"/>
      <c r="G910" s="341"/>
      <c r="H910" s="341"/>
      <c r="I910" s="341"/>
    </row>
    <row r="911" spans="1:9" ht="20.25">
      <c r="A911" s="341"/>
      <c r="B911" s="341"/>
      <c r="C911" s="341"/>
      <c r="D911" s="341"/>
      <c r="E911" s="341"/>
      <c r="F911" s="341"/>
      <c r="G911" s="341"/>
      <c r="H911" s="341"/>
      <c r="I911" s="341"/>
    </row>
    <row r="912" spans="1:9" ht="20.25">
      <c r="A912" s="341"/>
      <c r="B912" s="341"/>
      <c r="C912" s="341"/>
      <c r="D912" s="341"/>
      <c r="E912" s="341"/>
      <c r="F912" s="341"/>
      <c r="G912" s="341"/>
      <c r="H912" s="341"/>
      <c r="I912" s="341"/>
    </row>
    <row r="913" spans="1:9" ht="20.25">
      <c r="A913" s="341"/>
      <c r="B913" s="341"/>
      <c r="C913" s="341"/>
      <c r="D913" s="341"/>
      <c r="E913" s="341"/>
      <c r="F913" s="341"/>
      <c r="G913" s="341"/>
      <c r="H913" s="341"/>
      <c r="I913" s="341"/>
    </row>
    <row r="914" spans="1:9" ht="20.25">
      <c r="A914" s="341"/>
      <c r="B914" s="341"/>
      <c r="C914" s="341"/>
      <c r="D914" s="341"/>
      <c r="E914" s="341"/>
      <c r="F914" s="341"/>
      <c r="G914" s="341"/>
      <c r="H914" s="341"/>
      <c r="I914" s="341"/>
    </row>
    <row r="915" spans="1:9" ht="20.25">
      <c r="A915" s="341"/>
      <c r="B915" s="341"/>
      <c r="C915" s="341"/>
      <c r="D915" s="341"/>
      <c r="E915" s="341"/>
      <c r="F915" s="341"/>
      <c r="G915" s="341"/>
      <c r="H915" s="341"/>
      <c r="I915" s="341"/>
    </row>
    <row r="916" spans="1:9" ht="20.25">
      <c r="A916" s="341"/>
      <c r="B916" s="341"/>
      <c r="C916" s="341"/>
      <c r="D916" s="341"/>
      <c r="E916" s="341"/>
      <c r="F916" s="341"/>
      <c r="G916" s="341"/>
      <c r="H916" s="341"/>
      <c r="I916" s="341"/>
    </row>
    <row r="917" spans="1:9" ht="20.25">
      <c r="A917" s="341"/>
      <c r="B917" s="341"/>
      <c r="C917" s="341"/>
      <c r="D917" s="341"/>
      <c r="E917" s="341"/>
      <c r="F917" s="341"/>
      <c r="G917" s="341"/>
      <c r="H917" s="341"/>
      <c r="I917" s="341"/>
    </row>
    <row r="918" spans="1:9" ht="20.25">
      <c r="A918" s="341"/>
      <c r="B918" s="341"/>
      <c r="C918" s="341"/>
      <c r="D918" s="341"/>
      <c r="E918" s="341"/>
      <c r="F918" s="341"/>
      <c r="G918" s="341"/>
      <c r="H918" s="341"/>
      <c r="I918" s="341"/>
    </row>
    <row r="919" spans="1:9" ht="20.25">
      <c r="A919" s="341"/>
      <c r="B919" s="341"/>
      <c r="C919" s="341"/>
      <c r="D919" s="341"/>
      <c r="E919" s="341"/>
      <c r="F919" s="341"/>
      <c r="G919" s="341"/>
      <c r="H919" s="341"/>
      <c r="I919" s="341"/>
    </row>
    <row r="920" spans="1:9" ht="20.25">
      <c r="A920" s="341"/>
      <c r="B920" s="341"/>
      <c r="C920" s="341"/>
      <c r="D920" s="341"/>
      <c r="E920" s="341"/>
      <c r="F920" s="341"/>
      <c r="G920" s="341"/>
      <c r="H920" s="341"/>
      <c r="I920" s="341"/>
    </row>
    <row r="921" spans="1:9" ht="20.25">
      <c r="A921" s="341"/>
      <c r="B921" s="341"/>
      <c r="C921" s="341"/>
      <c r="D921" s="341"/>
      <c r="E921" s="341"/>
      <c r="F921" s="341"/>
      <c r="G921" s="341"/>
      <c r="H921" s="341"/>
      <c r="I921" s="341"/>
    </row>
    <row r="922" spans="1:9" ht="20.25">
      <c r="A922" s="341"/>
      <c r="B922" s="341"/>
      <c r="C922" s="341"/>
      <c r="D922" s="341"/>
      <c r="E922" s="341"/>
      <c r="F922" s="341"/>
      <c r="G922" s="341"/>
      <c r="H922" s="341"/>
      <c r="I922" s="341"/>
    </row>
    <row r="923" spans="1:9" ht="20.25">
      <c r="A923" s="341"/>
      <c r="B923" s="341"/>
      <c r="C923" s="341"/>
      <c r="D923" s="341"/>
      <c r="E923" s="341"/>
      <c r="F923" s="341"/>
      <c r="G923" s="341"/>
      <c r="H923" s="341"/>
      <c r="I923" s="341"/>
    </row>
    <row r="924" spans="1:9" ht="20.25">
      <c r="A924" s="341"/>
      <c r="B924" s="341"/>
      <c r="C924" s="341"/>
      <c r="D924" s="341"/>
      <c r="E924" s="341"/>
      <c r="F924" s="341"/>
      <c r="G924" s="341"/>
      <c r="H924" s="341"/>
      <c r="I924" s="341"/>
    </row>
    <row r="925" spans="1:9" ht="20.25">
      <c r="A925" s="341"/>
      <c r="B925" s="341"/>
      <c r="C925" s="341"/>
      <c r="D925" s="341"/>
      <c r="E925" s="341"/>
      <c r="F925" s="341"/>
      <c r="G925" s="341"/>
      <c r="H925" s="341"/>
      <c r="I925" s="341"/>
    </row>
    <row r="926" spans="1:9" ht="20.25">
      <c r="A926" s="341"/>
      <c r="B926" s="341"/>
      <c r="C926" s="341"/>
      <c r="D926" s="341"/>
      <c r="E926" s="341"/>
      <c r="F926" s="341"/>
      <c r="G926" s="341"/>
      <c r="H926" s="341"/>
      <c r="I926" s="341"/>
    </row>
    <row r="927" spans="1:9" ht="20.25">
      <c r="A927" s="341"/>
      <c r="B927" s="341"/>
      <c r="C927" s="341"/>
      <c r="D927" s="341"/>
      <c r="E927" s="341"/>
      <c r="F927" s="341"/>
      <c r="G927" s="341"/>
      <c r="H927" s="341"/>
      <c r="I927" s="341"/>
    </row>
    <row r="928" spans="1:9" ht="20.25">
      <c r="A928" s="341"/>
      <c r="B928" s="341"/>
      <c r="C928" s="341"/>
      <c r="D928" s="341"/>
      <c r="E928" s="341"/>
      <c r="F928" s="341"/>
      <c r="G928" s="341"/>
      <c r="H928" s="341"/>
      <c r="I928" s="341"/>
    </row>
    <row r="929" spans="1:9" ht="20.25">
      <c r="A929" s="341"/>
      <c r="B929" s="341"/>
      <c r="C929" s="341"/>
      <c r="D929" s="341"/>
      <c r="E929" s="341"/>
      <c r="F929" s="341"/>
      <c r="G929" s="341"/>
      <c r="H929" s="341"/>
      <c r="I929" s="341"/>
    </row>
    <row r="930" spans="1:9" ht="20.25">
      <c r="A930" s="341"/>
      <c r="B930" s="341"/>
      <c r="C930" s="341"/>
      <c r="D930" s="341"/>
      <c r="E930" s="341"/>
      <c r="F930" s="341"/>
      <c r="G930" s="341"/>
      <c r="H930" s="341"/>
      <c r="I930" s="341"/>
    </row>
    <row r="931" spans="1:9" ht="20.25">
      <c r="A931" s="341"/>
      <c r="B931" s="341"/>
      <c r="C931" s="341"/>
      <c r="D931" s="341"/>
      <c r="E931" s="341"/>
      <c r="F931" s="341"/>
      <c r="G931" s="341"/>
      <c r="H931" s="341"/>
      <c r="I931" s="341"/>
    </row>
    <row r="932" spans="1:9" ht="20.25">
      <c r="A932" s="341"/>
      <c r="B932" s="341"/>
      <c r="C932" s="341"/>
      <c r="D932" s="341"/>
      <c r="E932" s="341"/>
      <c r="F932" s="341"/>
      <c r="G932" s="341"/>
      <c r="H932" s="341"/>
      <c r="I932" s="341"/>
    </row>
    <row r="933" spans="1:9" ht="20.25">
      <c r="A933" s="341"/>
      <c r="B933" s="341"/>
      <c r="C933" s="341"/>
      <c r="D933" s="341"/>
      <c r="E933" s="341"/>
      <c r="F933" s="341"/>
      <c r="G933" s="341"/>
      <c r="H933" s="341"/>
      <c r="I933" s="341"/>
    </row>
    <row r="934" spans="1:9" ht="20.25">
      <c r="A934" s="341"/>
      <c r="B934" s="341"/>
      <c r="C934" s="341"/>
      <c r="D934" s="341"/>
      <c r="E934" s="341"/>
      <c r="F934" s="341"/>
      <c r="G934" s="341"/>
      <c r="H934" s="341"/>
      <c r="I934" s="341"/>
    </row>
    <row r="935" spans="1:9" ht="20.25">
      <c r="A935" s="341"/>
      <c r="B935" s="341"/>
      <c r="C935" s="341"/>
      <c r="D935" s="341"/>
      <c r="E935" s="341"/>
      <c r="F935" s="341"/>
      <c r="G935" s="341"/>
      <c r="H935" s="341"/>
      <c r="I935" s="341"/>
    </row>
    <row r="936" spans="1:9" ht="20.25">
      <c r="A936" s="341"/>
      <c r="B936" s="341"/>
      <c r="C936" s="341"/>
      <c r="D936" s="341"/>
      <c r="E936" s="341"/>
      <c r="F936" s="341"/>
      <c r="G936" s="341"/>
      <c r="H936" s="341"/>
      <c r="I936" s="341"/>
    </row>
    <row r="937" spans="1:9" ht="20.25">
      <c r="A937" s="341"/>
      <c r="B937" s="341"/>
      <c r="C937" s="341"/>
      <c r="D937" s="341"/>
      <c r="E937" s="341"/>
      <c r="F937" s="341"/>
      <c r="G937" s="341"/>
      <c r="H937" s="341"/>
      <c r="I937" s="341"/>
    </row>
    <row r="938" spans="1:9" ht="20.25">
      <c r="A938" s="341"/>
      <c r="B938" s="341"/>
      <c r="C938" s="341"/>
      <c r="D938" s="341"/>
      <c r="E938" s="341"/>
      <c r="F938" s="341"/>
      <c r="G938" s="341"/>
      <c r="H938" s="341"/>
      <c r="I938" s="341"/>
    </row>
    <row r="939" spans="1:9" ht="20.25">
      <c r="A939" s="341"/>
      <c r="B939" s="341"/>
      <c r="C939" s="341"/>
      <c r="D939" s="341"/>
      <c r="E939" s="341"/>
      <c r="F939" s="341"/>
      <c r="G939" s="341"/>
      <c r="H939" s="341"/>
      <c r="I939" s="341"/>
    </row>
    <row r="940" spans="1:9" ht="20.25">
      <c r="A940" s="341"/>
      <c r="B940" s="341"/>
      <c r="C940" s="341"/>
      <c r="D940" s="341"/>
      <c r="E940" s="341"/>
      <c r="F940" s="341"/>
      <c r="G940" s="341"/>
      <c r="H940" s="341"/>
      <c r="I940" s="341"/>
    </row>
    <row r="941" spans="1:9" ht="20.25">
      <c r="A941" s="341"/>
      <c r="B941" s="341"/>
      <c r="C941" s="341"/>
      <c r="D941" s="341"/>
      <c r="E941" s="341"/>
      <c r="F941" s="341"/>
      <c r="G941" s="341"/>
      <c r="H941" s="341"/>
      <c r="I941" s="341"/>
    </row>
    <row r="942" spans="1:9" ht="20.25">
      <c r="A942" s="341"/>
      <c r="B942" s="341"/>
      <c r="C942" s="341"/>
      <c r="D942" s="341"/>
      <c r="E942" s="341"/>
      <c r="F942" s="341"/>
      <c r="G942" s="341"/>
      <c r="H942" s="341"/>
      <c r="I942" s="341"/>
    </row>
    <row r="943" spans="1:9" ht="20.25">
      <c r="A943" s="341"/>
      <c r="B943" s="341"/>
      <c r="C943" s="341"/>
      <c r="D943" s="341"/>
      <c r="E943" s="341"/>
      <c r="F943" s="341"/>
      <c r="G943" s="341"/>
      <c r="H943" s="341"/>
      <c r="I943" s="341"/>
    </row>
    <row r="944" spans="1:9" ht="20.25">
      <c r="A944" s="341"/>
      <c r="B944" s="341"/>
      <c r="C944" s="341"/>
      <c r="D944" s="341"/>
      <c r="E944" s="341"/>
      <c r="F944" s="341"/>
      <c r="G944" s="341"/>
      <c r="H944" s="341"/>
      <c r="I944" s="341"/>
    </row>
    <row r="945" spans="1:9" ht="20.25">
      <c r="A945" s="341"/>
      <c r="B945" s="341"/>
      <c r="C945" s="341"/>
      <c r="D945" s="341"/>
      <c r="E945" s="341"/>
      <c r="F945" s="341"/>
      <c r="G945" s="341"/>
      <c r="H945" s="341"/>
      <c r="I945" s="341"/>
    </row>
    <row r="946" spans="1:9" ht="20.25">
      <c r="A946" s="341"/>
      <c r="B946" s="341"/>
      <c r="C946" s="341"/>
      <c r="D946" s="341"/>
      <c r="E946" s="341"/>
      <c r="F946" s="341"/>
      <c r="G946" s="341"/>
      <c r="H946" s="341"/>
      <c r="I946" s="341"/>
    </row>
    <row r="947" spans="1:9" ht="20.25">
      <c r="A947" s="341"/>
      <c r="B947" s="341"/>
      <c r="C947" s="341"/>
      <c r="D947" s="341"/>
      <c r="E947" s="341"/>
      <c r="F947" s="341"/>
      <c r="G947" s="341"/>
      <c r="H947" s="341"/>
      <c r="I947" s="341"/>
    </row>
    <row r="948" spans="1:9" ht="20.25">
      <c r="A948" s="341"/>
      <c r="B948" s="341"/>
      <c r="C948" s="341"/>
      <c r="D948" s="341"/>
      <c r="E948" s="341"/>
      <c r="F948" s="341"/>
      <c r="G948" s="341"/>
      <c r="H948" s="341"/>
      <c r="I948" s="341"/>
    </row>
    <row r="949" spans="1:9" ht="20.25">
      <c r="A949" s="341"/>
      <c r="B949" s="341"/>
      <c r="C949" s="341"/>
      <c r="D949" s="341"/>
      <c r="E949" s="341"/>
      <c r="F949" s="341"/>
      <c r="G949" s="341"/>
      <c r="H949" s="341"/>
      <c r="I949" s="341"/>
    </row>
    <row r="950" spans="1:9" ht="20.25">
      <c r="A950" s="341"/>
      <c r="B950" s="341"/>
      <c r="C950" s="341"/>
      <c r="D950" s="341"/>
      <c r="E950" s="341"/>
      <c r="F950" s="341"/>
      <c r="G950" s="341"/>
      <c r="H950" s="341"/>
      <c r="I950" s="341"/>
    </row>
    <row r="951" spans="1:9" ht="20.25">
      <c r="A951" s="341"/>
      <c r="B951" s="341"/>
      <c r="C951" s="341"/>
      <c r="D951" s="341"/>
      <c r="E951" s="341"/>
      <c r="F951" s="341"/>
      <c r="G951" s="341"/>
      <c r="H951" s="341"/>
      <c r="I951" s="341"/>
    </row>
    <row r="952" spans="1:9" ht="20.25">
      <c r="A952" s="341"/>
      <c r="B952" s="341"/>
      <c r="C952" s="341"/>
      <c r="D952" s="341"/>
      <c r="E952" s="341"/>
      <c r="F952" s="341"/>
      <c r="G952" s="341"/>
      <c r="H952" s="341"/>
      <c r="I952" s="341"/>
    </row>
  </sheetData>
  <mergeCells count="42">
    <mergeCell ref="G2:I2"/>
    <mergeCell ref="A3:I3"/>
    <mergeCell ref="B4:D4"/>
    <mergeCell ref="F4:G4"/>
    <mergeCell ref="B5:D5"/>
    <mergeCell ref="F5:G5"/>
    <mergeCell ref="G16:H16"/>
    <mergeCell ref="B6:D6"/>
    <mergeCell ref="F6:G6"/>
    <mergeCell ref="B7:D7"/>
    <mergeCell ref="F7:G7"/>
    <mergeCell ref="B8:G8"/>
    <mergeCell ref="G10:H10"/>
    <mergeCell ref="G11:H11"/>
    <mergeCell ref="G12:H12"/>
    <mergeCell ref="G13:H13"/>
    <mergeCell ref="G14:H14"/>
    <mergeCell ref="G15:H15"/>
    <mergeCell ref="G28:H28"/>
    <mergeCell ref="G17:H17"/>
    <mergeCell ref="G18:H18"/>
    <mergeCell ref="G19:H19"/>
    <mergeCell ref="G20:H20"/>
    <mergeCell ref="G21:H21"/>
    <mergeCell ref="G22:H22"/>
    <mergeCell ref="G23:H23"/>
    <mergeCell ref="G24:H24"/>
    <mergeCell ref="G25:H25"/>
    <mergeCell ref="G26:H26"/>
    <mergeCell ref="G27:H27"/>
    <mergeCell ref="B40:C40"/>
    <mergeCell ref="G29:H29"/>
    <mergeCell ref="G30:H30"/>
    <mergeCell ref="G31:H31"/>
    <mergeCell ref="G32:H32"/>
    <mergeCell ref="G33:H33"/>
    <mergeCell ref="G34:I34"/>
    <mergeCell ref="G35:I35"/>
    <mergeCell ref="G36:I36"/>
    <mergeCell ref="A37:I37"/>
    <mergeCell ref="B39:C39"/>
    <mergeCell ref="F39:G39"/>
  </mergeCells>
  <phoneticPr fontId="76" type="noConversion"/>
  <printOptions horizontalCentered="1"/>
  <pageMargins left="0.78740157480314965" right="0.78740157480314965" top="0.59055118110236227" bottom="0.59055118110236227" header="0.51181102362204722" footer="0.51181102362204722"/>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dimension ref="A1:T61"/>
  <sheetViews>
    <sheetView view="pageBreakPreview" topLeftCell="A31" zoomScaleSheetLayoutView="100" workbookViewId="0">
      <selection activeCell="F42" sqref="F42:I42"/>
    </sheetView>
  </sheetViews>
  <sheetFormatPr defaultRowHeight="15" customHeight="1"/>
  <cols>
    <col min="1" max="1" width="5.625" style="81" customWidth="1"/>
    <col min="2" max="11" width="8.625" style="81" customWidth="1"/>
    <col min="12" max="12" width="9.625" style="81" bestFit="1" customWidth="1"/>
    <col min="13" max="13" width="4.75" style="81" customWidth="1"/>
    <col min="14" max="14" width="5.625" style="81" customWidth="1"/>
    <col min="15" max="15" width="4.875" style="81" customWidth="1"/>
    <col min="16" max="16" width="8.5" style="81" customWidth="1"/>
    <col min="17" max="17" width="6.375" style="81" customWidth="1"/>
    <col min="18" max="18" width="5.75" style="81" customWidth="1"/>
    <col min="19" max="19" width="12.625" style="81" customWidth="1"/>
    <col min="20" max="20" width="8.375" style="82" customWidth="1"/>
    <col min="21" max="21" width="24.875" style="81" customWidth="1"/>
    <col min="22" max="22" width="9" style="81"/>
    <col min="23" max="23" width="37.5" style="81" customWidth="1"/>
    <col min="24" max="16384" width="9" style="81"/>
  </cols>
  <sheetData>
    <row r="1" spans="1:12" ht="12">
      <c r="A1" s="1454" t="s">
        <v>326</v>
      </c>
      <c r="B1" s="1454"/>
      <c r="C1" s="1454"/>
      <c r="D1" s="1454"/>
      <c r="E1" s="1454"/>
      <c r="F1" s="1454"/>
      <c r="G1" s="1454"/>
      <c r="H1" s="1454"/>
      <c r="I1" s="1454"/>
      <c r="J1" s="1454"/>
      <c r="K1" s="1454"/>
      <c r="L1" s="1454"/>
    </row>
    <row r="2" spans="1:12" ht="12">
      <c r="A2" s="1454"/>
      <c r="B2" s="1454"/>
      <c r="C2" s="1454"/>
      <c r="D2" s="1454"/>
      <c r="E2" s="1454"/>
      <c r="F2" s="1454"/>
      <c r="G2" s="1454"/>
      <c r="H2" s="1454"/>
      <c r="I2" s="1454"/>
      <c r="J2" s="1454"/>
      <c r="K2" s="1454"/>
      <c r="L2" s="1454"/>
    </row>
    <row r="3" spans="1:12" ht="12">
      <c r="A3" s="1455" t="s">
        <v>17</v>
      </c>
      <c r="B3" s="1455"/>
      <c r="C3" s="1455" t="e">
        <f>#REF!</f>
        <v>#REF!</v>
      </c>
      <c r="D3" s="1455"/>
      <c r="E3" s="1455"/>
      <c r="F3" s="1455"/>
      <c r="G3" s="1455"/>
      <c r="H3" s="1455"/>
      <c r="I3" s="1455" t="s">
        <v>327</v>
      </c>
      <c r="J3" s="1455"/>
      <c r="K3" s="1456" t="e">
        <f>[10]领料单!R2</f>
        <v>#REF!</v>
      </c>
      <c r="L3" s="1456"/>
    </row>
    <row r="4" spans="1:12" ht="12">
      <c r="A4" s="1451" t="s">
        <v>10</v>
      </c>
      <c r="B4" s="1451"/>
      <c r="C4" s="1451" t="e">
        <f>#REF!</f>
        <v>#REF!</v>
      </c>
      <c r="D4" s="1451"/>
      <c r="E4" s="1451" t="s">
        <v>18</v>
      </c>
      <c r="F4" s="1451"/>
      <c r="G4" s="1457">
        <f>[10]领料单!M3</f>
        <v>40889</v>
      </c>
      <c r="H4" s="1457"/>
      <c r="I4" s="1451" t="s">
        <v>12</v>
      </c>
      <c r="J4" s="1451"/>
      <c r="K4" s="1451" t="e">
        <f>#REF!</f>
        <v>#REF!</v>
      </c>
      <c r="L4" s="1451"/>
    </row>
    <row r="5" spans="1:12" ht="12">
      <c r="A5" s="1451" t="e">
        <f>#REF!</f>
        <v>#REF!</v>
      </c>
      <c r="B5" s="1451"/>
      <c r="C5" s="1451" t="e">
        <f>#REF!</f>
        <v>#REF!</v>
      </c>
      <c r="D5" s="1451"/>
      <c r="E5" s="1451" t="s">
        <v>11</v>
      </c>
      <c r="F5" s="1451"/>
      <c r="G5" s="1452" t="e">
        <f>[10]下料单!X2</f>
        <v>#REF!</v>
      </c>
      <c r="H5" s="1452"/>
      <c r="I5" s="1451"/>
      <c r="J5" s="1451"/>
      <c r="K5" s="1451"/>
      <c r="L5" s="1451"/>
    </row>
    <row r="6" spans="1:12" ht="12">
      <c r="A6" s="83" t="s">
        <v>19</v>
      </c>
      <c r="B6" s="83" t="s">
        <v>328</v>
      </c>
      <c r="C6" s="83" t="s">
        <v>329</v>
      </c>
      <c r="D6" s="83" t="s">
        <v>330</v>
      </c>
      <c r="E6" s="83" t="s">
        <v>331</v>
      </c>
      <c r="F6" s="1453" t="s">
        <v>20</v>
      </c>
      <c r="G6" s="1453"/>
      <c r="H6" s="1453"/>
      <c r="I6" s="1453"/>
      <c r="J6" s="83" t="s">
        <v>332</v>
      </c>
      <c r="K6" s="83" t="s">
        <v>5</v>
      </c>
      <c r="L6" s="83" t="s">
        <v>333</v>
      </c>
    </row>
    <row r="7" spans="1:12" ht="12">
      <c r="A7" s="1436">
        <v>1</v>
      </c>
      <c r="B7" s="1436" t="s">
        <v>334</v>
      </c>
      <c r="C7" s="1436">
        <v>720</v>
      </c>
      <c r="D7" s="1436" t="s">
        <v>335</v>
      </c>
      <c r="E7" s="1436">
        <v>1</v>
      </c>
      <c r="F7" s="1436" t="s">
        <v>336</v>
      </c>
      <c r="G7" s="1436"/>
      <c r="H7" s="1436"/>
      <c r="I7" s="1436"/>
      <c r="J7" s="84">
        <f>E7*1</f>
        <v>1</v>
      </c>
      <c r="K7" s="84" t="s">
        <v>337</v>
      </c>
      <c r="L7" s="84"/>
    </row>
    <row r="8" spans="1:12" ht="12">
      <c r="A8" s="1436"/>
      <c r="B8" s="1436"/>
      <c r="C8" s="1436"/>
      <c r="D8" s="1436"/>
      <c r="E8" s="1436"/>
      <c r="F8" s="1447" t="s">
        <v>338</v>
      </c>
      <c r="G8" s="1448"/>
      <c r="H8" s="1448"/>
      <c r="I8" s="1449"/>
      <c r="J8" s="84">
        <f>E7*2</f>
        <v>2</v>
      </c>
      <c r="K8" s="84" t="s">
        <v>339</v>
      </c>
      <c r="L8" s="84"/>
    </row>
    <row r="9" spans="1:12" ht="12">
      <c r="A9" s="1436">
        <v>2</v>
      </c>
      <c r="B9" s="1436" t="s">
        <v>340</v>
      </c>
      <c r="C9" s="1436">
        <v>720</v>
      </c>
      <c r="D9" s="1436" t="s">
        <v>341</v>
      </c>
      <c r="E9" s="1436">
        <v>1</v>
      </c>
      <c r="F9" s="1436" t="s">
        <v>342</v>
      </c>
      <c r="G9" s="1436"/>
      <c r="H9" s="1436"/>
      <c r="I9" s="1436"/>
      <c r="J9" s="84">
        <f>E9*1</f>
        <v>1</v>
      </c>
      <c r="K9" s="84" t="s">
        <v>337</v>
      </c>
      <c r="L9" s="84"/>
    </row>
    <row r="10" spans="1:12" ht="12">
      <c r="A10" s="1436"/>
      <c r="B10" s="1436"/>
      <c r="C10" s="1436"/>
      <c r="D10" s="1436"/>
      <c r="E10" s="1436"/>
      <c r="F10" s="1447" t="s">
        <v>338</v>
      </c>
      <c r="G10" s="1448"/>
      <c r="H10" s="1448"/>
      <c r="I10" s="1449"/>
      <c r="J10" s="84">
        <f>+E9*2.6</f>
        <v>2.6</v>
      </c>
      <c r="K10" s="84" t="s">
        <v>339</v>
      </c>
      <c r="L10" s="84"/>
    </row>
    <row r="11" spans="1:12" ht="12">
      <c r="A11" s="1436"/>
      <c r="B11" s="1436"/>
      <c r="C11" s="1436"/>
      <c r="D11" s="1436"/>
      <c r="E11" s="1436"/>
      <c r="F11" s="1458" t="s">
        <v>343</v>
      </c>
      <c r="G11" s="1458"/>
      <c r="H11" s="1458"/>
      <c r="I11" s="1458"/>
      <c r="J11" s="85">
        <f>+E9*0.3</f>
        <v>0.3</v>
      </c>
      <c r="K11" s="85" t="s">
        <v>344</v>
      </c>
      <c r="L11" s="85" t="s">
        <v>345</v>
      </c>
    </row>
    <row r="12" spans="1:12" ht="12">
      <c r="A12" s="1436">
        <v>3</v>
      </c>
      <c r="B12" s="1436" t="s">
        <v>346</v>
      </c>
      <c r="C12" s="1436">
        <v>720</v>
      </c>
      <c r="D12" s="1436" t="s">
        <v>341</v>
      </c>
      <c r="E12" s="1436">
        <v>1</v>
      </c>
      <c r="F12" s="1436" t="s">
        <v>347</v>
      </c>
      <c r="G12" s="1436"/>
      <c r="H12" s="1436"/>
      <c r="I12" s="1436"/>
      <c r="J12" s="84">
        <f>E12*1</f>
        <v>1</v>
      </c>
      <c r="K12" s="84" t="s">
        <v>337</v>
      </c>
      <c r="L12" s="84"/>
    </row>
    <row r="13" spans="1:12" ht="12">
      <c r="A13" s="1436"/>
      <c r="B13" s="1436"/>
      <c r="C13" s="1436"/>
      <c r="D13" s="1436"/>
      <c r="E13" s="1436"/>
      <c r="F13" s="1447" t="s">
        <v>338</v>
      </c>
      <c r="G13" s="1448"/>
      <c r="H13" s="1448"/>
      <c r="I13" s="1449"/>
      <c r="J13" s="84">
        <f>+E12*3</f>
        <v>3</v>
      </c>
      <c r="K13" s="84" t="s">
        <v>339</v>
      </c>
      <c r="L13" s="84"/>
    </row>
    <row r="14" spans="1:12" ht="12">
      <c r="A14" s="1436"/>
      <c r="B14" s="1436"/>
      <c r="C14" s="1436"/>
      <c r="D14" s="1436"/>
      <c r="E14" s="1436"/>
      <c r="F14" s="1458" t="s">
        <v>343</v>
      </c>
      <c r="G14" s="1458"/>
      <c r="H14" s="1458"/>
      <c r="I14" s="1458"/>
      <c r="J14" s="85">
        <f>+E12*0.3</f>
        <v>0.3</v>
      </c>
      <c r="K14" s="85" t="s">
        <v>344</v>
      </c>
      <c r="L14" s="85" t="s">
        <v>345</v>
      </c>
    </row>
    <row r="15" spans="1:12" ht="12">
      <c r="A15" s="1436">
        <v>4</v>
      </c>
      <c r="B15" s="1436" t="s">
        <v>348</v>
      </c>
      <c r="C15" s="1436">
        <v>720</v>
      </c>
      <c r="D15" s="1436" t="s">
        <v>341</v>
      </c>
      <c r="E15" s="1436">
        <v>1</v>
      </c>
      <c r="F15" s="1436" t="s">
        <v>349</v>
      </c>
      <c r="G15" s="1436"/>
      <c r="H15" s="1436"/>
      <c r="I15" s="1436"/>
      <c r="J15" s="84">
        <f>+E15*1</f>
        <v>1</v>
      </c>
      <c r="K15" s="84" t="s">
        <v>337</v>
      </c>
      <c r="L15" s="84"/>
    </row>
    <row r="16" spans="1:12" ht="12">
      <c r="A16" s="1436"/>
      <c r="B16" s="1436"/>
      <c r="C16" s="1436"/>
      <c r="D16" s="1436"/>
      <c r="E16" s="1436"/>
      <c r="F16" s="1447" t="s">
        <v>338</v>
      </c>
      <c r="G16" s="1448"/>
      <c r="H16" s="1448"/>
      <c r="I16" s="1449"/>
      <c r="J16" s="84">
        <f>+E15*3.7</f>
        <v>3.7</v>
      </c>
      <c r="K16" s="84" t="s">
        <v>339</v>
      </c>
      <c r="L16" s="84"/>
    </row>
    <row r="17" spans="1:12" ht="12">
      <c r="A17" s="1436"/>
      <c r="B17" s="1436"/>
      <c r="C17" s="1436"/>
      <c r="D17" s="1436"/>
      <c r="E17" s="1436"/>
      <c r="F17" s="1458" t="s">
        <v>343</v>
      </c>
      <c r="G17" s="1458"/>
      <c r="H17" s="1458"/>
      <c r="I17" s="1458"/>
      <c r="J17" s="85">
        <f>+E15*0.5</f>
        <v>0.5</v>
      </c>
      <c r="K17" s="85" t="s">
        <v>344</v>
      </c>
      <c r="L17" s="85" t="s">
        <v>345</v>
      </c>
    </row>
    <row r="18" spans="1:12" ht="12">
      <c r="A18" s="1436">
        <v>5</v>
      </c>
      <c r="B18" s="1436" t="s">
        <v>350</v>
      </c>
      <c r="C18" s="1436">
        <v>720</v>
      </c>
      <c r="D18" s="1436" t="s">
        <v>341</v>
      </c>
      <c r="E18" s="1436">
        <v>1</v>
      </c>
      <c r="F18" s="1436" t="s">
        <v>351</v>
      </c>
      <c r="G18" s="1436"/>
      <c r="H18" s="1436"/>
      <c r="I18" s="1436"/>
      <c r="J18" s="84">
        <f>+E18*1</f>
        <v>1</v>
      </c>
      <c r="K18" s="84" t="s">
        <v>337</v>
      </c>
      <c r="L18" s="84"/>
    </row>
    <row r="19" spans="1:12" ht="12">
      <c r="A19" s="1436"/>
      <c r="B19" s="1436"/>
      <c r="C19" s="1436"/>
      <c r="D19" s="1436"/>
      <c r="E19" s="1436"/>
      <c r="F19" s="1447" t="s">
        <v>338</v>
      </c>
      <c r="G19" s="1448"/>
      <c r="H19" s="1448"/>
      <c r="I19" s="1449"/>
      <c r="J19" s="84">
        <f>+E18*4.5</f>
        <v>4.5</v>
      </c>
      <c r="K19" s="84" t="s">
        <v>339</v>
      </c>
      <c r="L19" s="84"/>
    </row>
    <row r="20" spans="1:12" ht="12">
      <c r="A20" s="1436"/>
      <c r="B20" s="1436"/>
      <c r="C20" s="1436"/>
      <c r="D20" s="1436"/>
      <c r="E20" s="1436"/>
      <c r="F20" s="1458" t="s">
        <v>343</v>
      </c>
      <c r="G20" s="1458"/>
      <c r="H20" s="1458"/>
      <c r="I20" s="1458"/>
      <c r="J20" s="85">
        <f>+E18*0.5</f>
        <v>0.5</v>
      </c>
      <c r="K20" s="85" t="s">
        <v>344</v>
      </c>
      <c r="L20" s="85" t="s">
        <v>345</v>
      </c>
    </row>
    <row r="21" spans="1:12" ht="12">
      <c r="A21" s="1436">
        <v>6</v>
      </c>
      <c r="B21" s="1436" t="s">
        <v>340</v>
      </c>
      <c r="C21" s="1436">
        <v>1440</v>
      </c>
      <c r="D21" s="1436" t="s">
        <v>352</v>
      </c>
      <c r="E21" s="1436">
        <v>1</v>
      </c>
      <c r="F21" s="1436" t="s">
        <v>342</v>
      </c>
      <c r="G21" s="1436"/>
      <c r="H21" s="1436"/>
      <c r="I21" s="1436"/>
      <c r="J21" s="84">
        <f>E21*1*2</f>
        <v>2</v>
      </c>
      <c r="K21" s="84" t="s">
        <v>337</v>
      </c>
      <c r="L21" s="84"/>
    </row>
    <row r="22" spans="1:12" ht="12">
      <c r="A22" s="1436"/>
      <c r="B22" s="1436"/>
      <c r="C22" s="1436"/>
      <c r="D22" s="1436"/>
      <c r="E22" s="1436"/>
      <c r="F22" s="1447" t="s">
        <v>338</v>
      </c>
      <c r="G22" s="1448"/>
      <c r="H22" s="1448"/>
      <c r="I22" s="1449"/>
      <c r="J22" s="84">
        <f>+E21*2.6*2</f>
        <v>5.2</v>
      </c>
      <c r="K22" s="84" t="s">
        <v>339</v>
      </c>
      <c r="L22" s="84"/>
    </row>
    <row r="23" spans="1:12" ht="12">
      <c r="A23" s="1436"/>
      <c r="B23" s="1436"/>
      <c r="C23" s="1436"/>
      <c r="D23" s="1436"/>
      <c r="E23" s="1436"/>
      <c r="F23" s="1458" t="s">
        <v>343</v>
      </c>
      <c r="G23" s="1458"/>
      <c r="H23" s="1458"/>
      <c r="I23" s="1458"/>
      <c r="J23" s="85">
        <f>+E21*0.3*2</f>
        <v>0.6</v>
      </c>
      <c r="K23" s="85" t="s">
        <v>344</v>
      </c>
      <c r="L23" s="85" t="s">
        <v>345</v>
      </c>
    </row>
    <row r="24" spans="1:12" ht="12">
      <c r="A24" s="1436">
        <v>7</v>
      </c>
      <c r="B24" s="1436" t="s">
        <v>346</v>
      </c>
      <c r="C24" s="1436">
        <v>1440</v>
      </c>
      <c r="D24" s="1436" t="s">
        <v>352</v>
      </c>
      <c r="E24" s="1436">
        <v>1</v>
      </c>
      <c r="F24" s="1436" t="s">
        <v>347</v>
      </c>
      <c r="G24" s="1436"/>
      <c r="H24" s="1436"/>
      <c r="I24" s="1436"/>
      <c r="J24" s="84">
        <f>E24*1*2</f>
        <v>2</v>
      </c>
      <c r="K24" s="84" t="s">
        <v>337</v>
      </c>
      <c r="L24" s="84"/>
    </row>
    <row r="25" spans="1:12" ht="12">
      <c r="A25" s="1436"/>
      <c r="B25" s="1436"/>
      <c r="C25" s="1436"/>
      <c r="D25" s="1436"/>
      <c r="E25" s="1436"/>
      <c r="F25" s="1447" t="s">
        <v>338</v>
      </c>
      <c r="G25" s="1448"/>
      <c r="H25" s="1448"/>
      <c r="I25" s="1449"/>
      <c r="J25" s="84">
        <f>+E24*3*2</f>
        <v>6</v>
      </c>
      <c r="K25" s="84" t="s">
        <v>339</v>
      </c>
      <c r="L25" s="84"/>
    </row>
    <row r="26" spans="1:12" ht="12">
      <c r="A26" s="1436"/>
      <c r="B26" s="1436"/>
      <c r="C26" s="1436"/>
      <c r="D26" s="1436"/>
      <c r="E26" s="1436"/>
      <c r="F26" s="1458" t="s">
        <v>343</v>
      </c>
      <c r="G26" s="1458"/>
      <c r="H26" s="1458"/>
      <c r="I26" s="1458"/>
      <c r="J26" s="85">
        <f>+E24*0.3*2</f>
        <v>0.6</v>
      </c>
      <c r="K26" s="85" t="s">
        <v>344</v>
      </c>
      <c r="L26" s="85" t="s">
        <v>345</v>
      </c>
    </row>
    <row r="27" spans="1:12" ht="12">
      <c r="A27" s="1436">
        <v>8</v>
      </c>
      <c r="B27" s="1436" t="s">
        <v>348</v>
      </c>
      <c r="C27" s="1436">
        <v>1440</v>
      </c>
      <c r="D27" s="1436" t="s">
        <v>352</v>
      </c>
      <c r="E27" s="1436">
        <v>1</v>
      </c>
      <c r="F27" s="1436" t="s">
        <v>349</v>
      </c>
      <c r="G27" s="1436"/>
      <c r="H27" s="1436"/>
      <c r="I27" s="1436"/>
      <c r="J27" s="84">
        <f>+E27*1*2</f>
        <v>2</v>
      </c>
      <c r="K27" s="84" t="s">
        <v>337</v>
      </c>
      <c r="L27" s="84"/>
    </row>
    <row r="28" spans="1:12" ht="12">
      <c r="A28" s="1436"/>
      <c r="B28" s="1436"/>
      <c r="C28" s="1436"/>
      <c r="D28" s="1436"/>
      <c r="E28" s="1436"/>
      <c r="F28" s="1447" t="s">
        <v>338</v>
      </c>
      <c r="G28" s="1448"/>
      <c r="H28" s="1448"/>
      <c r="I28" s="1449"/>
      <c r="J28" s="84">
        <f>+E27*3.7*2</f>
        <v>7.4</v>
      </c>
      <c r="K28" s="84" t="s">
        <v>339</v>
      </c>
      <c r="L28" s="84"/>
    </row>
    <row r="29" spans="1:12" ht="12">
      <c r="A29" s="1436"/>
      <c r="B29" s="1436"/>
      <c r="C29" s="1436"/>
      <c r="D29" s="1436"/>
      <c r="E29" s="1436"/>
      <c r="F29" s="1458" t="s">
        <v>343</v>
      </c>
      <c r="G29" s="1458"/>
      <c r="H29" s="1458"/>
      <c r="I29" s="1458"/>
      <c r="J29" s="85">
        <f>+E27*0.5*2</f>
        <v>1</v>
      </c>
      <c r="K29" s="85" t="s">
        <v>344</v>
      </c>
      <c r="L29" s="85" t="s">
        <v>345</v>
      </c>
    </row>
    <row r="30" spans="1:12" ht="12">
      <c r="A30" s="1436">
        <v>9</v>
      </c>
      <c r="B30" s="1436" t="s">
        <v>350</v>
      </c>
      <c r="C30" s="1436">
        <v>1440</v>
      </c>
      <c r="D30" s="1436" t="s">
        <v>352</v>
      </c>
      <c r="E30" s="1436">
        <v>1</v>
      </c>
      <c r="F30" s="1436" t="s">
        <v>351</v>
      </c>
      <c r="G30" s="1436"/>
      <c r="H30" s="1436"/>
      <c r="I30" s="1436"/>
      <c r="J30" s="84">
        <f>+E30*1*2</f>
        <v>2</v>
      </c>
      <c r="K30" s="84" t="s">
        <v>337</v>
      </c>
      <c r="L30" s="84"/>
    </row>
    <row r="31" spans="1:12" ht="12">
      <c r="A31" s="1436"/>
      <c r="B31" s="1436"/>
      <c r="C31" s="1436"/>
      <c r="D31" s="1436"/>
      <c r="E31" s="1436"/>
      <c r="F31" s="1447" t="s">
        <v>338</v>
      </c>
      <c r="G31" s="1448"/>
      <c r="H31" s="1448"/>
      <c r="I31" s="1449"/>
      <c r="J31" s="84">
        <f>+E30*4.5*2</f>
        <v>9</v>
      </c>
      <c r="K31" s="84" t="s">
        <v>339</v>
      </c>
      <c r="L31" s="84"/>
    </row>
    <row r="32" spans="1:12" ht="12">
      <c r="A32" s="1436"/>
      <c r="B32" s="1436"/>
      <c r="C32" s="1436"/>
      <c r="D32" s="1436"/>
      <c r="E32" s="1436"/>
      <c r="F32" s="1458" t="s">
        <v>343</v>
      </c>
      <c r="G32" s="1458"/>
      <c r="H32" s="1458"/>
      <c r="I32" s="1458"/>
      <c r="J32" s="85">
        <f>+E30*0.5*2</f>
        <v>1</v>
      </c>
      <c r="K32" s="85" t="s">
        <v>344</v>
      </c>
      <c r="L32" s="85" t="s">
        <v>345</v>
      </c>
    </row>
    <row r="33" spans="1:20" ht="12">
      <c r="A33" s="1436">
        <v>10</v>
      </c>
      <c r="B33" s="1436" t="s">
        <v>353</v>
      </c>
      <c r="C33" s="1436">
        <v>2160</v>
      </c>
      <c r="D33" s="1436" t="s">
        <v>354</v>
      </c>
      <c r="E33" s="1436">
        <v>1</v>
      </c>
      <c r="F33" s="1436" t="s">
        <v>355</v>
      </c>
      <c r="G33" s="1436"/>
      <c r="H33" s="1436"/>
      <c r="I33" s="1436"/>
      <c r="J33" s="84">
        <f>+E33*1</f>
        <v>1</v>
      </c>
      <c r="K33" s="84" t="s">
        <v>337</v>
      </c>
      <c r="L33" s="84"/>
    </row>
    <row r="34" spans="1:20" ht="12">
      <c r="A34" s="1436"/>
      <c r="B34" s="1436"/>
      <c r="C34" s="1436"/>
      <c r="D34" s="1436"/>
      <c r="E34" s="1436"/>
      <c r="F34" s="1447" t="s">
        <v>338</v>
      </c>
      <c r="G34" s="1448"/>
      <c r="H34" s="1448"/>
      <c r="I34" s="1449"/>
      <c r="J34" s="84">
        <f>+E33*5</f>
        <v>5</v>
      </c>
      <c r="K34" s="84" t="s">
        <v>339</v>
      </c>
      <c r="L34" s="84"/>
    </row>
    <row r="35" spans="1:20" ht="12">
      <c r="A35" s="1436"/>
      <c r="B35" s="1436"/>
      <c r="C35" s="1436"/>
      <c r="D35" s="1436"/>
      <c r="E35" s="1436"/>
      <c r="F35" s="1458" t="s">
        <v>343</v>
      </c>
      <c r="G35" s="1458"/>
      <c r="H35" s="1458"/>
      <c r="I35" s="1458"/>
      <c r="J35" s="85">
        <f>+E33*0.5</f>
        <v>0.5</v>
      </c>
      <c r="K35" s="85" t="s">
        <v>344</v>
      </c>
      <c r="L35" s="85" t="s">
        <v>345</v>
      </c>
    </row>
    <row r="36" spans="1:20" s="86" customFormat="1" ht="14.25">
      <c r="A36" s="86" t="s">
        <v>356</v>
      </c>
      <c r="M36" s="81" t="s">
        <v>357</v>
      </c>
      <c r="T36" s="87"/>
    </row>
    <row r="37" spans="1:20" ht="12">
      <c r="A37" s="1450">
        <v>11</v>
      </c>
      <c r="B37" s="1463" t="s">
        <v>331</v>
      </c>
      <c r="C37" s="1463"/>
      <c r="D37" s="1464" t="s">
        <v>358</v>
      </c>
      <c r="E37" s="1463"/>
      <c r="F37" s="1465" t="s">
        <v>359</v>
      </c>
      <c r="G37" s="1465"/>
      <c r="H37" s="1465"/>
      <c r="I37" s="1465"/>
      <c r="J37" s="84">
        <v>1</v>
      </c>
      <c r="K37" s="84" t="s">
        <v>360</v>
      </c>
      <c r="L37" s="84"/>
      <c r="M37" s="81">
        <f>J37*1.5</f>
        <v>1.5</v>
      </c>
    </row>
    <row r="38" spans="1:20" ht="12">
      <c r="A38" s="1450"/>
      <c r="B38" s="1463"/>
      <c r="C38" s="1463"/>
      <c r="D38" s="1463"/>
      <c r="E38" s="1463"/>
      <c r="F38" s="1447" t="s">
        <v>338</v>
      </c>
      <c r="G38" s="1448"/>
      <c r="H38" s="1448"/>
      <c r="I38" s="1449"/>
      <c r="J38" s="84">
        <v>30</v>
      </c>
      <c r="K38" s="84" t="s">
        <v>361</v>
      </c>
      <c r="L38" s="84"/>
      <c r="M38" s="81">
        <f t="shared" ref="M38:M48" si="0">J38*1.5</f>
        <v>45</v>
      </c>
    </row>
    <row r="39" spans="1:20" ht="12">
      <c r="A39" s="1450"/>
      <c r="B39" s="1463"/>
      <c r="C39" s="1463"/>
      <c r="D39" s="1463"/>
      <c r="E39" s="1463"/>
      <c r="F39" s="1465" t="s">
        <v>362</v>
      </c>
      <c r="G39" s="1465"/>
      <c r="H39" s="1465"/>
      <c r="I39" s="1465"/>
      <c r="J39" s="84">
        <v>2</v>
      </c>
      <c r="K39" s="84" t="s">
        <v>360</v>
      </c>
      <c r="L39" s="84"/>
      <c r="M39" s="81">
        <f t="shared" si="0"/>
        <v>3</v>
      </c>
    </row>
    <row r="40" spans="1:20" ht="12" customHeight="1">
      <c r="A40" s="1450"/>
      <c r="B40" s="1463"/>
      <c r="C40" s="1463"/>
      <c r="D40" s="1463"/>
      <c r="E40" s="1463"/>
      <c r="F40" s="1439" t="s">
        <v>452</v>
      </c>
      <c r="G40" s="1461"/>
      <c r="H40" s="1461"/>
      <c r="I40" s="1440"/>
      <c r="J40" s="1459">
        <v>32</v>
      </c>
      <c r="K40" s="1459" t="s">
        <v>450</v>
      </c>
      <c r="L40" s="84"/>
      <c r="M40" s="81">
        <f t="shared" si="0"/>
        <v>48</v>
      </c>
    </row>
    <row r="41" spans="1:20" ht="12" customHeight="1">
      <c r="A41" s="1450"/>
      <c r="B41" s="1463"/>
      <c r="C41" s="1463"/>
      <c r="D41" s="1463"/>
      <c r="E41" s="1463"/>
      <c r="F41" s="1443"/>
      <c r="G41" s="1462"/>
      <c r="H41" s="1462"/>
      <c r="I41" s="1444"/>
      <c r="J41" s="1460"/>
      <c r="K41" s="1460"/>
      <c r="L41" s="84"/>
      <c r="M41" s="81">
        <f t="shared" si="0"/>
        <v>0</v>
      </c>
    </row>
    <row r="42" spans="1:20" ht="24">
      <c r="A42" s="1450"/>
      <c r="B42" s="1463"/>
      <c r="C42" s="1463"/>
      <c r="D42" s="1463"/>
      <c r="E42" s="1463"/>
      <c r="F42" s="1458" t="s">
        <v>364</v>
      </c>
      <c r="G42" s="1458"/>
      <c r="H42" s="1458"/>
      <c r="I42" s="1458"/>
      <c r="J42" s="85">
        <v>12</v>
      </c>
      <c r="K42" s="85" t="s">
        <v>365</v>
      </c>
      <c r="L42" s="85" t="s">
        <v>366</v>
      </c>
      <c r="M42" s="81">
        <f t="shared" si="0"/>
        <v>18</v>
      </c>
    </row>
    <row r="43" spans="1:20" ht="12">
      <c r="A43" s="1450">
        <v>12</v>
      </c>
      <c r="B43" s="1463" t="s">
        <v>331</v>
      </c>
      <c r="C43" s="1463"/>
      <c r="D43" s="1464" t="s">
        <v>367</v>
      </c>
      <c r="E43" s="1463"/>
      <c r="F43" s="1465" t="s">
        <v>359</v>
      </c>
      <c r="G43" s="1465"/>
      <c r="H43" s="1465"/>
      <c r="I43" s="1465"/>
      <c r="J43" s="84">
        <v>2</v>
      </c>
      <c r="K43" s="84" t="s">
        <v>344</v>
      </c>
      <c r="L43" s="88"/>
      <c r="M43" s="81">
        <f t="shared" si="0"/>
        <v>3</v>
      </c>
    </row>
    <row r="44" spans="1:20" ht="12">
      <c r="A44" s="1450"/>
      <c r="B44" s="1463"/>
      <c r="C44" s="1463"/>
      <c r="D44" s="1463"/>
      <c r="E44" s="1463"/>
      <c r="F44" s="1447" t="s">
        <v>338</v>
      </c>
      <c r="G44" s="1448"/>
      <c r="H44" s="1448"/>
      <c r="I44" s="1449"/>
      <c r="J44" s="84">
        <v>50</v>
      </c>
      <c r="K44" s="84" t="s">
        <v>361</v>
      </c>
      <c r="L44" s="88"/>
      <c r="M44" s="81">
        <f t="shared" si="0"/>
        <v>75</v>
      </c>
    </row>
    <row r="45" spans="1:20" ht="12">
      <c r="A45" s="1450"/>
      <c r="B45" s="1463"/>
      <c r="C45" s="1463"/>
      <c r="D45" s="1463"/>
      <c r="E45" s="1463"/>
      <c r="F45" s="1465" t="s">
        <v>362</v>
      </c>
      <c r="G45" s="1465"/>
      <c r="H45" s="1465"/>
      <c r="I45" s="1465"/>
      <c r="J45" s="84">
        <v>3</v>
      </c>
      <c r="K45" s="84" t="s">
        <v>344</v>
      </c>
      <c r="L45" s="88"/>
      <c r="M45" s="81">
        <f t="shared" si="0"/>
        <v>4.5</v>
      </c>
    </row>
    <row r="46" spans="1:20" ht="12" customHeight="1">
      <c r="A46" s="1450"/>
      <c r="B46" s="1463"/>
      <c r="C46" s="1463"/>
      <c r="D46" s="1463"/>
      <c r="E46" s="1463"/>
      <c r="F46" s="1439" t="s">
        <v>451</v>
      </c>
      <c r="G46" s="1461"/>
      <c r="H46" s="1461"/>
      <c r="I46" s="1440"/>
      <c r="J46" s="1459">
        <v>60</v>
      </c>
      <c r="K46" s="1459" t="s">
        <v>450</v>
      </c>
      <c r="L46" s="88"/>
      <c r="M46" s="81">
        <f t="shared" si="0"/>
        <v>90</v>
      </c>
    </row>
    <row r="47" spans="1:20" ht="12" customHeight="1">
      <c r="A47" s="1450"/>
      <c r="B47" s="1463"/>
      <c r="C47" s="1463"/>
      <c r="D47" s="1463"/>
      <c r="E47" s="1463"/>
      <c r="F47" s="1443"/>
      <c r="G47" s="1462"/>
      <c r="H47" s="1462"/>
      <c r="I47" s="1444"/>
      <c r="J47" s="1460"/>
      <c r="K47" s="1460"/>
      <c r="L47" s="88"/>
      <c r="M47" s="81">
        <f t="shared" si="0"/>
        <v>0</v>
      </c>
    </row>
    <row r="48" spans="1:20" ht="24">
      <c r="A48" s="1450"/>
      <c r="B48" s="1463"/>
      <c r="C48" s="1463"/>
      <c r="D48" s="1463"/>
      <c r="E48" s="1463"/>
      <c r="F48" s="1458" t="s">
        <v>364</v>
      </c>
      <c r="G48" s="1458"/>
      <c r="H48" s="1458"/>
      <c r="I48" s="1458"/>
      <c r="J48" s="85">
        <v>20</v>
      </c>
      <c r="K48" s="85" t="s">
        <v>365</v>
      </c>
      <c r="L48" s="85" t="s">
        <v>366</v>
      </c>
      <c r="M48" s="81">
        <f t="shared" si="0"/>
        <v>30</v>
      </c>
    </row>
    <row r="49" spans="1:12" ht="15" customHeight="1">
      <c r="A49" s="1437" t="s">
        <v>449</v>
      </c>
      <c r="B49" s="1437"/>
      <c r="C49" s="1437"/>
      <c r="D49" s="1437"/>
      <c r="E49" s="1437"/>
      <c r="F49" s="1437"/>
      <c r="G49" s="1437"/>
      <c r="H49" s="1437"/>
      <c r="I49" s="1437"/>
      <c r="J49" s="1437"/>
      <c r="K49" s="1437"/>
      <c r="L49" s="1438"/>
    </row>
    <row r="50" spans="1:12" ht="15" customHeight="1">
      <c r="A50" s="1436">
        <v>1</v>
      </c>
      <c r="B50" s="1439" t="s">
        <v>440</v>
      </c>
      <c r="C50" s="1440"/>
      <c r="D50" s="1436" t="s">
        <v>441</v>
      </c>
      <c r="E50" s="1445">
        <v>1</v>
      </c>
      <c r="F50" s="1436" t="s">
        <v>402</v>
      </c>
      <c r="G50" s="1436"/>
      <c r="H50" s="1436"/>
      <c r="I50" s="1436"/>
      <c r="J50" s="93">
        <f>E50*2</f>
        <v>2</v>
      </c>
      <c r="K50" s="93" t="s">
        <v>360</v>
      </c>
      <c r="L50" s="1436" t="s">
        <v>442</v>
      </c>
    </row>
    <row r="51" spans="1:12" ht="12">
      <c r="A51" s="1436"/>
      <c r="B51" s="1441"/>
      <c r="C51" s="1442"/>
      <c r="D51" s="1436"/>
      <c r="E51" s="1446"/>
      <c r="F51" s="1447" t="s">
        <v>338</v>
      </c>
      <c r="G51" s="1448"/>
      <c r="H51" s="1448"/>
      <c r="I51" s="1449"/>
      <c r="J51" s="93">
        <f>+E50*5</f>
        <v>5</v>
      </c>
      <c r="K51" s="93" t="s">
        <v>339</v>
      </c>
      <c r="L51" s="1436"/>
    </row>
    <row r="52" spans="1:12" ht="15" customHeight="1">
      <c r="A52" s="1436"/>
      <c r="B52" s="1441"/>
      <c r="C52" s="1442"/>
      <c r="D52" s="1436"/>
      <c r="E52" s="1446"/>
      <c r="F52" s="1436" t="s">
        <v>389</v>
      </c>
      <c r="G52" s="1436"/>
      <c r="H52" s="1436"/>
      <c r="I52" s="1436"/>
      <c r="J52" s="93">
        <f>+E50*1</f>
        <v>1</v>
      </c>
      <c r="K52" s="93" t="s">
        <v>344</v>
      </c>
      <c r="L52" s="1436"/>
    </row>
    <row r="53" spans="1:12" ht="15" customHeight="1">
      <c r="A53" s="1436"/>
      <c r="B53" s="1443"/>
      <c r="C53" s="1444"/>
      <c r="D53" s="1436"/>
      <c r="E53" s="1446"/>
      <c r="F53" s="1436" t="s">
        <v>404</v>
      </c>
      <c r="G53" s="1436"/>
      <c r="H53" s="1436"/>
      <c r="I53" s="1436"/>
      <c r="J53" s="93">
        <f>+E50*8</f>
        <v>8</v>
      </c>
      <c r="K53" s="93" t="s">
        <v>363</v>
      </c>
      <c r="L53" s="1436"/>
    </row>
    <row r="54" spans="1:12" ht="15" customHeight="1">
      <c r="A54" s="1436">
        <v>2</v>
      </c>
      <c r="B54" s="1439" t="s">
        <v>444</v>
      </c>
      <c r="C54" s="1440"/>
      <c r="D54" s="1436" t="s">
        <v>445</v>
      </c>
      <c r="E54" s="1445">
        <v>1</v>
      </c>
      <c r="F54" s="1436" t="s">
        <v>402</v>
      </c>
      <c r="G54" s="1436"/>
      <c r="H54" s="1436"/>
      <c r="I54" s="1436"/>
      <c r="J54" s="93">
        <f>E54*1</f>
        <v>1</v>
      </c>
      <c r="K54" s="93" t="s">
        <v>344</v>
      </c>
      <c r="L54" s="1436"/>
    </row>
    <row r="55" spans="1:12" ht="15" customHeight="1">
      <c r="A55" s="1436"/>
      <c r="B55" s="1441"/>
      <c r="C55" s="1442"/>
      <c r="D55" s="1436"/>
      <c r="E55" s="1446"/>
      <c r="F55" s="1447" t="s">
        <v>338</v>
      </c>
      <c r="G55" s="1448"/>
      <c r="H55" s="1448"/>
      <c r="I55" s="1449"/>
      <c r="J55" s="93">
        <f>+E54*4</f>
        <v>4</v>
      </c>
      <c r="K55" s="93" t="s">
        <v>361</v>
      </c>
      <c r="L55" s="1436"/>
    </row>
    <row r="56" spans="1:12" ht="15" customHeight="1">
      <c r="A56" s="1436"/>
      <c r="B56" s="1441"/>
      <c r="C56" s="1442"/>
      <c r="D56" s="1436"/>
      <c r="E56" s="1446"/>
      <c r="F56" s="1436" t="s">
        <v>389</v>
      </c>
      <c r="G56" s="1436"/>
      <c r="H56" s="1436"/>
      <c r="I56" s="1436"/>
      <c r="J56" s="93">
        <f>+E54*0.5</f>
        <v>0.5</v>
      </c>
      <c r="K56" s="93" t="s">
        <v>344</v>
      </c>
      <c r="L56" s="1436"/>
    </row>
    <row r="57" spans="1:12" ht="15" customHeight="1">
      <c r="A57" s="1436"/>
      <c r="B57" s="1443"/>
      <c r="C57" s="1444"/>
      <c r="D57" s="1436"/>
      <c r="E57" s="1446"/>
      <c r="F57" s="1436" t="s">
        <v>404</v>
      </c>
      <c r="G57" s="1436"/>
      <c r="H57" s="1436"/>
      <c r="I57" s="1436"/>
      <c r="J57" s="93">
        <f>+E54*8</f>
        <v>8</v>
      </c>
      <c r="K57" s="93" t="s">
        <v>363</v>
      </c>
      <c r="L57" s="1436"/>
    </row>
    <row r="58" spans="1:12" ht="15" customHeight="1">
      <c r="A58" s="1436">
        <v>3</v>
      </c>
      <c r="B58" s="1439" t="s">
        <v>446</v>
      </c>
      <c r="C58" s="1440"/>
      <c r="D58" s="1436" t="s">
        <v>447</v>
      </c>
      <c r="E58" s="1450">
        <v>1</v>
      </c>
      <c r="F58" s="1436" t="s">
        <v>402</v>
      </c>
      <c r="G58" s="1436"/>
      <c r="H58" s="1436"/>
      <c r="I58" s="1436"/>
      <c r="J58" s="93">
        <f>E58*2</f>
        <v>2</v>
      </c>
      <c r="K58" s="93" t="s">
        <v>360</v>
      </c>
      <c r="L58" s="1436"/>
    </row>
    <row r="59" spans="1:12" ht="15" customHeight="1">
      <c r="A59" s="1436"/>
      <c r="B59" s="1441"/>
      <c r="C59" s="1442"/>
      <c r="D59" s="1436"/>
      <c r="E59" s="1450"/>
      <c r="F59" s="1447" t="s">
        <v>338</v>
      </c>
      <c r="G59" s="1448"/>
      <c r="H59" s="1448"/>
      <c r="I59" s="1449"/>
      <c r="J59" s="93">
        <f>+E58*7</f>
        <v>7</v>
      </c>
      <c r="K59" s="93" t="s">
        <v>339</v>
      </c>
      <c r="L59" s="1436"/>
    </row>
    <row r="60" spans="1:12" ht="15" customHeight="1">
      <c r="A60" s="1436"/>
      <c r="B60" s="1441"/>
      <c r="C60" s="1442"/>
      <c r="D60" s="1436"/>
      <c r="E60" s="1450"/>
      <c r="F60" s="1436" t="s">
        <v>389</v>
      </c>
      <c r="G60" s="1436"/>
      <c r="H60" s="1436"/>
      <c r="I60" s="1436"/>
      <c r="J60" s="93">
        <f>+E58*1.5</f>
        <v>1.5</v>
      </c>
      <c r="K60" s="93" t="s">
        <v>344</v>
      </c>
      <c r="L60" s="1436"/>
    </row>
    <row r="61" spans="1:12" ht="15" customHeight="1">
      <c r="A61" s="1436"/>
      <c r="B61" s="1443"/>
      <c r="C61" s="1444"/>
      <c r="D61" s="1436"/>
      <c r="E61" s="1450"/>
      <c r="F61" s="1436" t="s">
        <v>404</v>
      </c>
      <c r="G61" s="1436"/>
      <c r="H61" s="1436"/>
      <c r="I61" s="1436"/>
      <c r="J61" s="93">
        <f>+E58*8</f>
        <v>8</v>
      </c>
      <c r="K61" s="93" t="s">
        <v>363</v>
      </c>
      <c r="L61" s="1436"/>
    </row>
  </sheetData>
  <mergeCells count="141">
    <mergeCell ref="J40:J41"/>
    <mergeCell ref="K40:K41"/>
    <mergeCell ref="F46:I47"/>
    <mergeCell ref="J46:J47"/>
    <mergeCell ref="K46:K47"/>
    <mergeCell ref="A43:A48"/>
    <mergeCell ref="B43:C48"/>
    <mergeCell ref="D43:E48"/>
    <mergeCell ref="F43:I43"/>
    <mergeCell ref="F44:I44"/>
    <mergeCell ref="F45:I45"/>
    <mergeCell ref="F48:I48"/>
    <mergeCell ref="A37:A42"/>
    <mergeCell ref="B37:C42"/>
    <mergeCell ref="D37:E42"/>
    <mergeCell ref="F37:I37"/>
    <mergeCell ref="F38:I38"/>
    <mergeCell ref="F39:I39"/>
    <mergeCell ref="F42:I42"/>
    <mergeCell ref="F40:I41"/>
    <mergeCell ref="A33:A35"/>
    <mergeCell ref="B33:B35"/>
    <mergeCell ref="C33:C35"/>
    <mergeCell ref="D33:D35"/>
    <mergeCell ref="E33:E35"/>
    <mergeCell ref="F33:I33"/>
    <mergeCell ref="F34:I34"/>
    <mergeCell ref="F35:I35"/>
    <mergeCell ref="A30:A32"/>
    <mergeCell ref="B30:B32"/>
    <mergeCell ref="C30:C32"/>
    <mergeCell ref="D30:D32"/>
    <mergeCell ref="E30:E32"/>
    <mergeCell ref="F30:I30"/>
    <mergeCell ref="F31:I31"/>
    <mergeCell ref="F32:I32"/>
    <mergeCell ref="A27:A29"/>
    <mergeCell ref="B27:B29"/>
    <mergeCell ref="C27:C29"/>
    <mergeCell ref="D27:D29"/>
    <mergeCell ref="E27:E29"/>
    <mergeCell ref="F27:I27"/>
    <mergeCell ref="F28:I28"/>
    <mergeCell ref="F29:I29"/>
    <mergeCell ref="A24:A26"/>
    <mergeCell ref="B24:B26"/>
    <mergeCell ref="C24:C26"/>
    <mergeCell ref="D24:D26"/>
    <mergeCell ref="E24:E26"/>
    <mergeCell ref="F24:I24"/>
    <mergeCell ref="F25:I25"/>
    <mergeCell ref="F26:I26"/>
    <mergeCell ref="A21:A23"/>
    <mergeCell ref="B21:B23"/>
    <mergeCell ref="C21:C23"/>
    <mergeCell ref="D21:D23"/>
    <mergeCell ref="E21:E23"/>
    <mergeCell ref="F21:I21"/>
    <mergeCell ref="F22:I22"/>
    <mergeCell ref="F23:I23"/>
    <mergeCell ref="A18:A20"/>
    <mergeCell ref="B18:B20"/>
    <mergeCell ref="C18:C20"/>
    <mergeCell ref="D18:D20"/>
    <mergeCell ref="E18:E20"/>
    <mergeCell ref="F18:I18"/>
    <mergeCell ref="F19:I19"/>
    <mergeCell ref="F20:I20"/>
    <mergeCell ref="A15:A17"/>
    <mergeCell ref="B15:B17"/>
    <mergeCell ref="C15:C17"/>
    <mergeCell ref="D15:D17"/>
    <mergeCell ref="E15:E17"/>
    <mergeCell ref="F15:I15"/>
    <mergeCell ref="F16:I16"/>
    <mergeCell ref="F17:I17"/>
    <mergeCell ref="A12:A14"/>
    <mergeCell ref="B12:B14"/>
    <mergeCell ref="C12:C14"/>
    <mergeCell ref="D12:D14"/>
    <mergeCell ref="E12:E14"/>
    <mergeCell ref="F12:I12"/>
    <mergeCell ref="F13:I13"/>
    <mergeCell ref="F14:I14"/>
    <mergeCell ref="F10:I10"/>
    <mergeCell ref="F11:I11"/>
    <mergeCell ref="A7:A8"/>
    <mergeCell ref="B7:B8"/>
    <mergeCell ref="C7:C8"/>
    <mergeCell ref="D7:D8"/>
    <mergeCell ref="E7:E8"/>
    <mergeCell ref="F7:I7"/>
    <mergeCell ref="F8:I8"/>
    <mergeCell ref="F58:I58"/>
    <mergeCell ref="F59:I59"/>
    <mergeCell ref="K4:L5"/>
    <mergeCell ref="A5:B5"/>
    <mergeCell ref="C5:D5"/>
    <mergeCell ref="E5:F5"/>
    <mergeCell ref="G5:H5"/>
    <mergeCell ref="F6:I6"/>
    <mergeCell ref="A1:L2"/>
    <mergeCell ref="A3:B3"/>
    <mergeCell ref="C3:H3"/>
    <mergeCell ref="I3:J3"/>
    <mergeCell ref="K3:L3"/>
    <mergeCell ref="A4:B4"/>
    <mergeCell ref="C4:D4"/>
    <mergeCell ref="E4:F4"/>
    <mergeCell ref="G4:H4"/>
    <mergeCell ref="I4:J5"/>
    <mergeCell ref="A9:A11"/>
    <mergeCell ref="B9:B11"/>
    <mergeCell ref="C9:C11"/>
    <mergeCell ref="D9:D11"/>
    <mergeCell ref="E9:E11"/>
    <mergeCell ref="F9:I9"/>
    <mergeCell ref="F60:I60"/>
    <mergeCell ref="F61:I61"/>
    <mergeCell ref="A49:L49"/>
    <mergeCell ref="A50:A53"/>
    <mergeCell ref="B50:C53"/>
    <mergeCell ref="D50:D53"/>
    <mergeCell ref="E50:E53"/>
    <mergeCell ref="F50:I50"/>
    <mergeCell ref="L50:L61"/>
    <mergeCell ref="F51:I51"/>
    <mergeCell ref="F52:I52"/>
    <mergeCell ref="F53:I53"/>
    <mergeCell ref="A54:A57"/>
    <mergeCell ref="B54:C57"/>
    <mergeCell ref="D54:D57"/>
    <mergeCell ref="E54:E57"/>
    <mergeCell ref="F54:I54"/>
    <mergeCell ref="F55:I55"/>
    <mergeCell ref="F56:I56"/>
    <mergeCell ref="F57:I57"/>
    <mergeCell ref="A58:A61"/>
    <mergeCell ref="B58:C61"/>
    <mergeCell ref="D58:D61"/>
    <mergeCell ref="E58:E61"/>
  </mergeCells>
  <phoneticPr fontId="33" type="noConversion"/>
  <pageMargins left="0.7" right="0.7" top="0.75" bottom="0.75" header="0.3" footer="0.3"/>
  <pageSetup paperSize="9" scale="81" orientation="portrait" r:id="rId1"/>
</worksheet>
</file>

<file path=xl/worksheets/sheet25.xml><?xml version="1.0" encoding="utf-8"?>
<worksheet xmlns="http://schemas.openxmlformats.org/spreadsheetml/2006/main" xmlns:r="http://schemas.openxmlformats.org/officeDocument/2006/relationships">
  <dimension ref="A1:T93"/>
  <sheetViews>
    <sheetView view="pageBreakPreview" topLeftCell="C65" zoomScale="115" zoomScaleSheetLayoutView="115" workbookViewId="0">
      <selection activeCell="F74" sqref="F74:I74"/>
    </sheetView>
  </sheetViews>
  <sheetFormatPr defaultRowHeight="15" customHeight="1"/>
  <cols>
    <col min="1" max="1" width="5.625" style="81" customWidth="1"/>
    <col min="2" max="11" width="8.625" style="81" customWidth="1"/>
    <col min="12" max="12" width="9.625" style="81" bestFit="1" customWidth="1"/>
    <col min="13" max="13" width="4.75" style="81" customWidth="1"/>
    <col min="14" max="14" width="5.625" style="81" customWidth="1"/>
    <col min="15" max="15" width="4.875" style="81" customWidth="1"/>
    <col min="16" max="16" width="8.5" style="81" customWidth="1"/>
    <col min="17" max="17" width="6.375" style="81" customWidth="1"/>
    <col min="18" max="18" width="5.75" style="81" customWidth="1"/>
    <col min="19" max="19" width="12.625" style="81" customWidth="1"/>
    <col min="20" max="20" width="8.375" style="82" customWidth="1"/>
    <col min="21" max="21" width="24.875" style="81" customWidth="1"/>
    <col min="22" max="22" width="9" style="81"/>
    <col min="23" max="23" width="37.5" style="81" customWidth="1"/>
    <col min="24" max="16384" width="9" style="81"/>
  </cols>
  <sheetData>
    <row r="1" spans="1:12" ht="12">
      <c r="A1" s="1454" t="s">
        <v>368</v>
      </c>
      <c r="B1" s="1454"/>
      <c r="C1" s="1454"/>
      <c r="D1" s="1454"/>
      <c r="E1" s="1454"/>
      <c r="F1" s="1454"/>
      <c r="G1" s="1454"/>
      <c r="H1" s="1454"/>
      <c r="I1" s="1454"/>
      <c r="J1" s="1454"/>
      <c r="K1" s="1454"/>
      <c r="L1" s="1454"/>
    </row>
    <row r="2" spans="1:12" ht="12">
      <c r="A2" s="1454"/>
      <c r="B2" s="1454"/>
      <c r="C2" s="1454"/>
      <c r="D2" s="1454"/>
      <c r="E2" s="1454"/>
      <c r="F2" s="1454"/>
      <c r="G2" s="1454"/>
      <c r="H2" s="1454"/>
      <c r="I2" s="1454"/>
      <c r="J2" s="1454"/>
      <c r="K2" s="1454"/>
      <c r="L2" s="1454"/>
    </row>
    <row r="3" spans="1:12" ht="12">
      <c r="A3" s="1455" t="s">
        <v>369</v>
      </c>
      <c r="B3" s="1455"/>
      <c r="C3" s="1455" t="e">
        <f>#REF!</f>
        <v>#REF!</v>
      </c>
      <c r="D3" s="1455"/>
      <c r="E3" s="1455"/>
      <c r="F3" s="1455"/>
      <c r="G3" s="1455"/>
      <c r="H3" s="1455"/>
      <c r="I3" s="1455" t="s">
        <v>370</v>
      </c>
      <c r="J3" s="1455"/>
      <c r="K3" s="1456" t="e">
        <f>[10]领料单!R2</f>
        <v>#REF!</v>
      </c>
      <c r="L3" s="1456"/>
    </row>
    <row r="4" spans="1:12" ht="12">
      <c r="A4" s="1451" t="s">
        <v>371</v>
      </c>
      <c r="B4" s="1451"/>
      <c r="C4" s="1451" t="e">
        <f>#REF!</f>
        <v>#REF!</v>
      </c>
      <c r="D4" s="1451"/>
      <c r="E4" s="1451" t="s">
        <v>372</v>
      </c>
      <c r="F4" s="1451"/>
      <c r="G4" s="1457">
        <f>[10]领料单!M3</f>
        <v>40889</v>
      </c>
      <c r="H4" s="1457"/>
      <c r="I4" s="1451" t="s">
        <v>373</v>
      </c>
      <c r="J4" s="1451"/>
      <c r="K4" s="1451" t="e">
        <f>#REF!</f>
        <v>#REF!</v>
      </c>
      <c r="L4" s="1451"/>
    </row>
    <row r="5" spans="1:12" ht="12">
      <c r="A5" s="1451" t="e">
        <f>#REF!</f>
        <v>#REF!</v>
      </c>
      <c r="B5" s="1451"/>
      <c r="C5" s="1451" t="e">
        <f>#REF!</f>
        <v>#REF!</v>
      </c>
      <c r="D5" s="1451"/>
      <c r="E5" s="1451" t="s">
        <v>374</v>
      </c>
      <c r="F5" s="1451"/>
      <c r="G5" s="1452" t="e">
        <f>[10]下料单!X2</f>
        <v>#REF!</v>
      </c>
      <c r="H5" s="1452"/>
      <c r="I5" s="1451"/>
      <c r="J5" s="1451"/>
      <c r="K5" s="1451"/>
      <c r="L5" s="1451"/>
    </row>
    <row r="6" spans="1:12" ht="12">
      <c r="A6" s="83" t="s">
        <v>375</v>
      </c>
      <c r="B6" s="83" t="s">
        <v>376</v>
      </c>
      <c r="C6" s="83" t="s">
        <v>377</v>
      </c>
      <c r="D6" s="83" t="s">
        <v>378</v>
      </c>
      <c r="E6" s="83" t="s">
        <v>379</v>
      </c>
      <c r="F6" s="1453" t="s">
        <v>380</v>
      </c>
      <c r="G6" s="1453"/>
      <c r="H6" s="1453"/>
      <c r="I6" s="1453"/>
      <c r="J6" s="83" t="s">
        <v>381</v>
      </c>
      <c r="K6" s="83" t="s">
        <v>382</v>
      </c>
      <c r="L6" s="83" t="s">
        <v>383</v>
      </c>
    </row>
    <row r="7" spans="1:12" ht="12">
      <c r="A7" s="1436">
        <v>1</v>
      </c>
      <c r="B7" s="1459" t="s">
        <v>384</v>
      </c>
      <c r="C7" s="1436">
        <v>720</v>
      </c>
      <c r="D7" s="1436" t="s">
        <v>385</v>
      </c>
      <c r="E7" s="1436">
        <v>1</v>
      </c>
      <c r="F7" s="1447" t="s">
        <v>386</v>
      </c>
      <c r="G7" s="1448"/>
      <c r="H7" s="1448"/>
      <c r="I7" s="1449"/>
      <c r="J7" s="84">
        <f>E7*1</f>
        <v>1</v>
      </c>
      <c r="K7" s="84" t="s">
        <v>387</v>
      </c>
      <c r="L7" s="90"/>
    </row>
    <row r="8" spans="1:12" ht="12">
      <c r="A8" s="1436"/>
      <c r="B8" s="1466"/>
      <c r="C8" s="1436"/>
      <c r="D8" s="1436"/>
      <c r="E8" s="1436"/>
      <c r="F8" s="1447" t="s">
        <v>388</v>
      </c>
      <c r="G8" s="1448"/>
      <c r="H8" s="1448"/>
      <c r="I8" s="1449"/>
      <c r="J8" s="84">
        <f>+E7*3.6</f>
        <v>3.6</v>
      </c>
      <c r="K8" s="84" t="s">
        <v>339</v>
      </c>
      <c r="L8" s="84"/>
    </row>
    <row r="9" spans="1:12" ht="12">
      <c r="A9" s="1436"/>
      <c r="B9" s="1466"/>
      <c r="C9" s="1436"/>
      <c r="D9" s="1436"/>
      <c r="E9" s="1436"/>
      <c r="F9" s="1447" t="s">
        <v>389</v>
      </c>
      <c r="G9" s="1448"/>
      <c r="H9" s="1448"/>
      <c r="I9" s="1449"/>
      <c r="J9" s="84">
        <f>+E7*0.5</f>
        <v>0.5</v>
      </c>
      <c r="K9" s="84" t="s">
        <v>390</v>
      </c>
      <c r="L9" s="84"/>
    </row>
    <row r="10" spans="1:12" ht="12">
      <c r="A10" s="1436"/>
      <c r="B10" s="1460"/>
      <c r="C10" s="1436"/>
      <c r="D10" s="1436"/>
      <c r="E10" s="1436"/>
      <c r="F10" s="1447" t="s">
        <v>391</v>
      </c>
      <c r="G10" s="1448"/>
      <c r="H10" s="1448"/>
      <c r="I10" s="1449"/>
      <c r="J10" s="84">
        <f>+E7*8</f>
        <v>8</v>
      </c>
      <c r="K10" s="84" t="s">
        <v>387</v>
      </c>
      <c r="L10" s="90"/>
    </row>
    <row r="11" spans="1:12" ht="12">
      <c r="A11" s="1436">
        <v>2</v>
      </c>
      <c r="B11" s="1436">
        <v>900</v>
      </c>
      <c r="C11" s="1436">
        <v>720</v>
      </c>
      <c r="D11" s="1436" t="s">
        <v>385</v>
      </c>
      <c r="E11" s="1436">
        <v>1</v>
      </c>
      <c r="F11" s="1447" t="s">
        <v>392</v>
      </c>
      <c r="G11" s="1448"/>
      <c r="H11" s="1448"/>
      <c r="I11" s="1449"/>
      <c r="J11" s="84">
        <f>E11*1</f>
        <v>1</v>
      </c>
      <c r="K11" s="84" t="s">
        <v>387</v>
      </c>
      <c r="L11" s="84"/>
    </row>
    <row r="12" spans="1:12" ht="12">
      <c r="A12" s="1436"/>
      <c r="B12" s="1436"/>
      <c r="C12" s="1436"/>
      <c r="D12" s="1436"/>
      <c r="E12" s="1436"/>
      <c r="F12" s="1447" t="s">
        <v>388</v>
      </c>
      <c r="G12" s="1448"/>
      <c r="H12" s="1448"/>
      <c r="I12" s="1449"/>
      <c r="J12" s="84">
        <f>+E11*4.5</f>
        <v>4.5</v>
      </c>
      <c r="K12" s="84" t="s">
        <v>339</v>
      </c>
      <c r="L12" s="90"/>
    </row>
    <row r="13" spans="1:12" ht="12">
      <c r="A13" s="1436"/>
      <c r="B13" s="1436"/>
      <c r="C13" s="1436"/>
      <c r="D13" s="1436"/>
      <c r="E13" s="1436"/>
      <c r="F13" s="1447" t="s">
        <v>389</v>
      </c>
      <c r="G13" s="1448"/>
      <c r="H13" s="1448"/>
      <c r="I13" s="1449"/>
      <c r="J13" s="84">
        <f>+E11*0.5</f>
        <v>0.5</v>
      </c>
      <c r="K13" s="84" t="s">
        <v>390</v>
      </c>
      <c r="L13" s="84"/>
    </row>
    <row r="14" spans="1:12" ht="12">
      <c r="A14" s="1436"/>
      <c r="B14" s="1436"/>
      <c r="C14" s="1436"/>
      <c r="D14" s="1436"/>
      <c r="E14" s="1436"/>
      <c r="F14" s="1447" t="s">
        <v>393</v>
      </c>
      <c r="G14" s="1448"/>
      <c r="H14" s="1448"/>
      <c r="I14" s="1449"/>
      <c r="J14" s="84">
        <f>+E11*8</f>
        <v>8</v>
      </c>
      <c r="K14" s="84" t="s">
        <v>387</v>
      </c>
      <c r="L14" s="84"/>
    </row>
    <row r="15" spans="1:12" ht="12">
      <c r="A15" s="1436">
        <v>3</v>
      </c>
      <c r="B15" s="1436">
        <v>1200</v>
      </c>
      <c r="C15" s="1436">
        <v>720</v>
      </c>
      <c r="D15" s="1436" t="s">
        <v>385</v>
      </c>
      <c r="E15" s="1436">
        <v>1</v>
      </c>
      <c r="F15" s="1447" t="s">
        <v>394</v>
      </c>
      <c r="G15" s="1448"/>
      <c r="H15" s="1448"/>
      <c r="I15" s="1449"/>
      <c r="J15" s="84">
        <f>E15*1</f>
        <v>1</v>
      </c>
      <c r="K15" s="84" t="s">
        <v>387</v>
      </c>
      <c r="L15" s="84"/>
    </row>
    <row r="16" spans="1:12" ht="12">
      <c r="A16" s="1436"/>
      <c r="B16" s="1436"/>
      <c r="C16" s="1436"/>
      <c r="D16" s="1436"/>
      <c r="E16" s="1436"/>
      <c r="F16" s="1447" t="s">
        <v>388</v>
      </c>
      <c r="G16" s="1448"/>
      <c r="H16" s="1448"/>
      <c r="I16" s="1449"/>
      <c r="J16" s="84">
        <f>+E15*4.8</f>
        <v>4.8</v>
      </c>
      <c r="K16" s="84" t="s">
        <v>339</v>
      </c>
      <c r="L16" s="84"/>
    </row>
    <row r="17" spans="1:12" ht="12">
      <c r="A17" s="1436"/>
      <c r="B17" s="1436"/>
      <c r="C17" s="1436"/>
      <c r="D17" s="1436"/>
      <c r="E17" s="1436"/>
      <c r="F17" s="1447" t="s">
        <v>389</v>
      </c>
      <c r="G17" s="1448"/>
      <c r="H17" s="1448"/>
      <c r="I17" s="1449"/>
      <c r="J17" s="84">
        <f>+E15*0.5</f>
        <v>0.5</v>
      </c>
      <c r="K17" s="84" t="s">
        <v>390</v>
      </c>
      <c r="L17" s="90"/>
    </row>
    <row r="18" spans="1:12" ht="12">
      <c r="A18" s="1436"/>
      <c r="B18" s="1436"/>
      <c r="C18" s="1436"/>
      <c r="D18" s="1436"/>
      <c r="E18" s="1436"/>
      <c r="F18" s="1447" t="s">
        <v>391</v>
      </c>
      <c r="G18" s="1448"/>
      <c r="H18" s="1448"/>
      <c r="I18" s="1449"/>
      <c r="J18" s="84">
        <f>+E15*8</f>
        <v>8</v>
      </c>
      <c r="K18" s="84" t="s">
        <v>387</v>
      </c>
      <c r="L18" s="84"/>
    </row>
    <row r="19" spans="1:12" ht="12">
      <c r="A19" s="1436">
        <v>4</v>
      </c>
      <c r="B19" s="1459" t="s">
        <v>384</v>
      </c>
      <c r="C19" s="1436">
        <v>720</v>
      </c>
      <c r="D19" s="1436" t="s">
        <v>395</v>
      </c>
      <c r="E19" s="1436">
        <v>1</v>
      </c>
      <c r="F19" s="1447" t="s">
        <v>396</v>
      </c>
      <c r="G19" s="1448"/>
      <c r="H19" s="1448"/>
      <c r="I19" s="1449"/>
      <c r="J19" s="84">
        <f>E19*1</f>
        <v>1</v>
      </c>
      <c r="K19" s="84" t="s">
        <v>397</v>
      </c>
      <c r="L19" s="91"/>
    </row>
    <row r="20" spans="1:12" ht="12">
      <c r="A20" s="1436"/>
      <c r="B20" s="1466"/>
      <c r="C20" s="1436"/>
      <c r="D20" s="1436"/>
      <c r="E20" s="1436"/>
      <c r="F20" s="1447" t="s">
        <v>388</v>
      </c>
      <c r="G20" s="1448"/>
      <c r="H20" s="1448"/>
      <c r="I20" s="1449"/>
      <c r="J20" s="84">
        <f>+E19*3.5</f>
        <v>3.5</v>
      </c>
      <c r="K20" s="84" t="s">
        <v>339</v>
      </c>
      <c r="L20" s="91"/>
    </row>
    <row r="21" spans="1:12" ht="12">
      <c r="A21" s="1436"/>
      <c r="B21" s="1466"/>
      <c r="C21" s="1436"/>
      <c r="D21" s="1436"/>
      <c r="E21" s="1436"/>
      <c r="F21" s="1447" t="s">
        <v>389</v>
      </c>
      <c r="G21" s="1448"/>
      <c r="H21" s="1448"/>
      <c r="I21" s="1449"/>
      <c r="J21" s="84">
        <f>+E19*0.5</f>
        <v>0.5</v>
      </c>
      <c r="K21" s="84" t="s">
        <v>390</v>
      </c>
      <c r="L21" s="91"/>
    </row>
    <row r="22" spans="1:12" ht="12">
      <c r="A22" s="1436"/>
      <c r="B22" s="1460"/>
      <c r="C22" s="1436"/>
      <c r="D22" s="1436"/>
      <c r="E22" s="1436"/>
      <c r="F22" s="1447" t="s">
        <v>391</v>
      </c>
      <c r="G22" s="1448"/>
      <c r="H22" s="1448"/>
      <c r="I22" s="1449"/>
      <c r="J22" s="84">
        <f>+E19*8</f>
        <v>8</v>
      </c>
      <c r="K22" s="84" t="s">
        <v>387</v>
      </c>
      <c r="L22" s="91"/>
    </row>
    <row r="23" spans="1:12" ht="12">
      <c r="A23" s="1436">
        <v>5</v>
      </c>
      <c r="B23" s="1436">
        <v>900</v>
      </c>
      <c r="C23" s="1436">
        <v>720</v>
      </c>
      <c r="D23" s="1436" t="s">
        <v>395</v>
      </c>
      <c r="E23" s="1436">
        <v>1</v>
      </c>
      <c r="F23" s="1447" t="s">
        <v>398</v>
      </c>
      <c r="G23" s="1448"/>
      <c r="H23" s="1448"/>
      <c r="I23" s="1449"/>
      <c r="J23" s="84">
        <f>E23*1</f>
        <v>1</v>
      </c>
      <c r="K23" s="84" t="s">
        <v>387</v>
      </c>
      <c r="L23" s="91"/>
    </row>
    <row r="24" spans="1:12" ht="12">
      <c r="A24" s="1436"/>
      <c r="B24" s="1436"/>
      <c r="C24" s="1436"/>
      <c r="D24" s="1436"/>
      <c r="E24" s="1436"/>
      <c r="F24" s="1447" t="s">
        <v>388</v>
      </c>
      <c r="G24" s="1448"/>
      <c r="H24" s="1448"/>
      <c r="I24" s="1449"/>
      <c r="J24" s="84">
        <f>+E23*3.5</f>
        <v>3.5</v>
      </c>
      <c r="K24" s="84" t="s">
        <v>339</v>
      </c>
      <c r="L24" s="91"/>
    </row>
    <row r="25" spans="1:12" ht="12">
      <c r="A25" s="1436"/>
      <c r="B25" s="1436"/>
      <c r="C25" s="1436"/>
      <c r="D25" s="1436"/>
      <c r="E25" s="1436"/>
      <c r="F25" s="1447" t="s">
        <v>389</v>
      </c>
      <c r="G25" s="1448"/>
      <c r="H25" s="1448"/>
      <c r="I25" s="1449"/>
      <c r="J25" s="84">
        <f>+E23*0.5</f>
        <v>0.5</v>
      </c>
      <c r="K25" s="84" t="s">
        <v>390</v>
      </c>
      <c r="L25" s="91"/>
    </row>
    <row r="26" spans="1:12" ht="12">
      <c r="A26" s="1436"/>
      <c r="B26" s="1436"/>
      <c r="C26" s="1436"/>
      <c r="D26" s="1436"/>
      <c r="E26" s="1436"/>
      <c r="F26" s="1447" t="s">
        <v>391</v>
      </c>
      <c r="G26" s="1448"/>
      <c r="H26" s="1448"/>
      <c r="I26" s="1449"/>
      <c r="J26" s="84">
        <f>+E23*8</f>
        <v>8</v>
      </c>
      <c r="K26" s="84" t="s">
        <v>387</v>
      </c>
      <c r="L26" s="91"/>
    </row>
    <row r="27" spans="1:12" ht="12">
      <c r="A27" s="1436">
        <v>6</v>
      </c>
      <c r="B27" s="1436">
        <v>1200</v>
      </c>
      <c r="C27" s="1436">
        <v>720</v>
      </c>
      <c r="D27" s="1436" t="s">
        <v>395</v>
      </c>
      <c r="E27" s="1436">
        <v>1</v>
      </c>
      <c r="F27" s="1447" t="s">
        <v>399</v>
      </c>
      <c r="G27" s="1448"/>
      <c r="H27" s="1448"/>
      <c r="I27" s="1449"/>
      <c r="J27" s="84">
        <f>E27*1</f>
        <v>1</v>
      </c>
      <c r="K27" s="84" t="s">
        <v>387</v>
      </c>
      <c r="L27" s="91"/>
    </row>
    <row r="28" spans="1:12" ht="12">
      <c r="A28" s="1436"/>
      <c r="B28" s="1436"/>
      <c r="C28" s="1436"/>
      <c r="D28" s="1436"/>
      <c r="E28" s="1436"/>
      <c r="F28" s="1447" t="s">
        <v>388</v>
      </c>
      <c r="G28" s="1448"/>
      <c r="H28" s="1448"/>
      <c r="I28" s="1449"/>
      <c r="J28" s="84">
        <f>+E27*5</f>
        <v>5</v>
      </c>
      <c r="K28" s="84" t="s">
        <v>339</v>
      </c>
      <c r="L28" s="91"/>
    </row>
    <row r="29" spans="1:12" ht="12">
      <c r="A29" s="1436"/>
      <c r="B29" s="1436"/>
      <c r="C29" s="1436"/>
      <c r="D29" s="1436"/>
      <c r="E29" s="1436"/>
      <c r="F29" s="1447" t="s">
        <v>389</v>
      </c>
      <c r="G29" s="1448"/>
      <c r="H29" s="1448"/>
      <c r="I29" s="1449"/>
      <c r="J29" s="84">
        <f>+E27*0.5</f>
        <v>0.5</v>
      </c>
      <c r="K29" s="84" t="s">
        <v>390</v>
      </c>
      <c r="L29" s="91"/>
    </row>
    <row r="30" spans="1:12" ht="12">
      <c r="A30" s="1436"/>
      <c r="B30" s="1436"/>
      <c r="C30" s="1436"/>
      <c r="D30" s="1436"/>
      <c r="E30" s="1436"/>
      <c r="F30" s="1447" t="s">
        <v>391</v>
      </c>
      <c r="G30" s="1448"/>
      <c r="H30" s="1448"/>
      <c r="I30" s="1449"/>
      <c r="J30" s="84">
        <f>+E27*8</f>
        <v>8</v>
      </c>
      <c r="K30" s="84" t="s">
        <v>387</v>
      </c>
      <c r="L30" s="91"/>
    </row>
    <row r="31" spans="1:12" ht="12">
      <c r="A31" s="1436">
        <v>7</v>
      </c>
      <c r="B31" s="1459" t="s">
        <v>400</v>
      </c>
      <c r="C31" s="1436">
        <v>1440</v>
      </c>
      <c r="D31" s="1436" t="s">
        <v>401</v>
      </c>
      <c r="E31" s="1436">
        <v>1</v>
      </c>
      <c r="F31" s="1447" t="s">
        <v>402</v>
      </c>
      <c r="G31" s="1448"/>
      <c r="H31" s="1448"/>
      <c r="I31" s="1449"/>
      <c r="J31" s="84">
        <f>E31*2</f>
        <v>2</v>
      </c>
      <c r="K31" s="84" t="s">
        <v>360</v>
      </c>
      <c r="L31" s="1467" t="s">
        <v>403</v>
      </c>
    </row>
    <row r="32" spans="1:12" ht="12">
      <c r="A32" s="1436"/>
      <c r="B32" s="1466"/>
      <c r="C32" s="1436"/>
      <c r="D32" s="1436"/>
      <c r="E32" s="1436"/>
      <c r="F32" s="1447" t="s">
        <v>388</v>
      </c>
      <c r="G32" s="1448"/>
      <c r="H32" s="1448"/>
      <c r="I32" s="1449"/>
      <c r="J32" s="84">
        <f>+E31*7</f>
        <v>7</v>
      </c>
      <c r="K32" s="84" t="s">
        <v>339</v>
      </c>
      <c r="L32" s="1468"/>
    </row>
    <row r="33" spans="1:12" ht="12">
      <c r="A33" s="1436"/>
      <c r="B33" s="1466"/>
      <c r="C33" s="1436"/>
      <c r="D33" s="1436"/>
      <c r="E33" s="1436"/>
      <c r="F33" s="1447" t="s">
        <v>389</v>
      </c>
      <c r="G33" s="1448"/>
      <c r="H33" s="1448"/>
      <c r="I33" s="1449"/>
      <c r="J33" s="84">
        <f>E31*1.5</f>
        <v>1.5</v>
      </c>
      <c r="K33" s="84" t="s">
        <v>390</v>
      </c>
      <c r="L33" s="1468"/>
    </row>
    <row r="34" spans="1:12" ht="12">
      <c r="A34" s="1436"/>
      <c r="B34" s="1460"/>
      <c r="C34" s="1436"/>
      <c r="D34" s="1436"/>
      <c r="E34" s="1436"/>
      <c r="F34" s="1447" t="s">
        <v>404</v>
      </c>
      <c r="G34" s="1448"/>
      <c r="H34" s="1448"/>
      <c r="I34" s="1449"/>
      <c r="J34" s="84">
        <f>+E31*8</f>
        <v>8</v>
      </c>
      <c r="K34" s="84" t="s">
        <v>387</v>
      </c>
      <c r="L34" s="1469"/>
    </row>
    <row r="35" spans="1:12" ht="12">
      <c r="A35" s="1436">
        <v>8</v>
      </c>
      <c r="B35" s="1459">
        <v>600</v>
      </c>
      <c r="C35" s="1436">
        <v>2160</v>
      </c>
      <c r="D35" s="1436" t="s">
        <v>405</v>
      </c>
      <c r="E35" s="1436">
        <v>1</v>
      </c>
      <c r="F35" s="1447" t="s">
        <v>406</v>
      </c>
      <c r="G35" s="1448"/>
      <c r="H35" s="1448"/>
      <c r="I35" s="1449"/>
      <c r="J35" s="84">
        <f>E35*1</f>
        <v>1</v>
      </c>
      <c r="K35" s="84" t="s">
        <v>390</v>
      </c>
      <c r="L35" s="91"/>
    </row>
    <row r="36" spans="1:12" ht="12">
      <c r="A36" s="1436"/>
      <c r="B36" s="1466"/>
      <c r="C36" s="1436"/>
      <c r="D36" s="1436"/>
      <c r="E36" s="1436"/>
      <c r="F36" s="1447" t="s">
        <v>388</v>
      </c>
      <c r="G36" s="1448"/>
      <c r="H36" s="1448"/>
      <c r="I36" s="1449"/>
      <c r="J36" s="84">
        <f>+E35*11</f>
        <v>11</v>
      </c>
      <c r="K36" s="84" t="s">
        <v>339</v>
      </c>
      <c r="L36" s="91"/>
    </row>
    <row r="37" spans="1:12" ht="12">
      <c r="A37" s="1436"/>
      <c r="B37" s="1466"/>
      <c r="C37" s="1436"/>
      <c r="D37" s="1436"/>
      <c r="E37" s="1436"/>
      <c r="F37" s="1447" t="s">
        <v>389</v>
      </c>
      <c r="G37" s="1448"/>
      <c r="H37" s="1448"/>
      <c r="I37" s="1449"/>
      <c r="J37" s="84">
        <f>+E35*1</f>
        <v>1</v>
      </c>
      <c r="K37" s="84" t="s">
        <v>390</v>
      </c>
      <c r="L37" s="91"/>
    </row>
    <row r="38" spans="1:12" ht="12">
      <c r="A38" s="1436"/>
      <c r="B38" s="1460"/>
      <c r="C38" s="1436"/>
      <c r="D38" s="1436"/>
      <c r="E38" s="1436"/>
      <c r="F38" s="1436" t="s">
        <v>391</v>
      </c>
      <c r="G38" s="1436"/>
      <c r="H38" s="1436"/>
      <c r="I38" s="1436"/>
      <c r="J38" s="84">
        <f>+E35*8</f>
        <v>8</v>
      </c>
      <c r="K38" s="84" t="s">
        <v>387</v>
      </c>
      <c r="L38" s="91"/>
    </row>
    <row r="39" spans="1:12" ht="14.25">
      <c r="A39" s="1437" t="s">
        <v>407</v>
      </c>
      <c r="B39" s="1437"/>
      <c r="C39" s="1437"/>
      <c r="D39" s="1437"/>
      <c r="E39" s="1437"/>
      <c r="F39" s="1437"/>
      <c r="G39" s="1437"/>
      <c r="H39" s="1437"/>
      <c r="I39" s="1437"/>
      <c r="J39" s="1437"/>
      <c r="K39" s="1437"/>
      <c r="L39" s="1437"/>
    </row>
    <row r="40" spans="1:12" ht="12">
      <c r="A40" s="1459">
        <v>9</v>
      </c>
      <c r="B40" s="1459">
        <v>150</v>
      </c>
      <c r="C40" s="1459">
        <v>720</v>
      </c>
      <c r="D40" s="1459" t="s">
        <v>408</v>
      </c>
      <c r="E40" s="1436">
        <v>1</v>
      </c>
      <c r="F40" s="1436" t="s">
        <v>409</v>
      </c>
      <c r="G40" s="1436"/>
      <c r="H40" s="1436"/>
      <c r="I40" s="1436"/>
      <c r="J40" s="84">
        <f>+E40*1</f>
        <v>1</v>
      </c>
      <c r="K40" s="84" t="s">
        <v>387</v>
      </c>
      <c r="L40" s="91"/>
    </row>
    <row r="41" spans="1:12" ht="12">
      <c r="A41" s="1466"/>
      <c r="B41" s="1466"/>
      <c r="C41" s="1466"/>
      <c r="D41" s="1466"/>
      <c r="E41" s="1436"/>
      <c r="F41" s="1447" t="s">
        <v>388</v>
      </c>
      <c r="G41" s="1448"/>
      <c r="H41" s="1448"/>
      <c r="I41" s="1449"/>
      <c r="J41" s="84">
        <f>+E40*2</f>
        <v>2</v>
      </c>
      <c r="K41" s="84" t="s">
        <v>339</v>
      </c>
      <c r="L41" s="91"/>
    </row>
    <row r="42" spans="1:12" ht="12">
      <c r="A42" s="1466"/>
      <c r="B42" s="1466"/>
      <c r="C42" s="1466"/>
      <c r="D42" s="1466"/>
      <c r="E42" s="1436"/>
      <c r="F42" s="1436" t="s">
        <v>410</v>
      </c>
      <c r="G42" s="1436"/>
      <c r="H42" s="1436"/>
      <c r="I42" s="1436"/>
      <c r="J42" s="84">
        <f>+E40*8</f>
        <v>8</v>
      </c>
      <c r="K42" s="84" t="s">
        <v>387</v>
      </c>
      <c r="L42" s="91"/>
    </row>
    <row r="43" spans="1:12" ht="12">
      <c r="A43" s="1459">
        <v>10</v>
      </c>
      <c r="B43" s="1459">
        <v>600</v>
      </c>
      <c r="C43" s="1459">
        <v>720</v>
      </c>
      <c r="D43" s="1459" t="s">
        <v>411</v>
      </c>
      <c r="E43" s="1436">
        <v>1</v>
      </c>
      <c r="F43" s="1436" t="s">
        <v>412</v>
      </c>
      <c r="G43" s="1436"/>
      <c r="H43" s="1436"/>
      <c r="I43" s="1436"/>
      <c r="J43" s="84">
        <f>+E43*1</f>
        <v>1</v>
      </c>
      <c r="K43" s="84" t="s">
        <v>387</v>
      </c>
      <c r="L43" s="84"/>
    </row>
    <row r="44" spans="1:12" ht="12">
      <c r="A44" s="1466"/>
      <c r="B44" s="1466"/>
      <c r="C44" s="1466"/>
      <c r="D44" s="1466"/>
      <c r="E44" s="1436"/>
      <c r="F44" s="1447" t="s">
        <v>388</v>
      </c>
      <c r="G44" s="1448"/>
      <c r="H44" s="1448"/>
      <c r="I44" s="1449"/>
      <c r="J44" s="84">
        <f>+E43*3</f>
        <v>3</v>
      </c>
      <c r="K44" s="84" t="s">
        <v>339</v>
      </c>
      <c r="L44" s="84"/>
    </row>
    <row r="45" spans="1:12" ht="12">
      <c r="A45" s="1466"/>
      <c r="B45" s="1466"/>
      <c r="C45" s="1466"/>
      <c r="D45" s="1466"/>
      <c r="E45" s="1436"/>
      <c r="F45" s="1458" t="s">
        <v>413</v>
      </c>
      <c r="G45" s="1458"/>
      <c r="H45" s="1458"/>
      <c r="I45" s="1458"/>
      <c r="J45" s="85">
        <f>+E43*0.3</f>
        <v>0.3</v>
      </c>
      <c r="K45" s="85" t="s">
        <v>360</v>
      </c>
      <c r="L45" s="85" t="s">
        <v>414</v>
      </c>
    </row>
    <row r="46" spans="1:12" ht="12">
      <c r="A46" s="1460"/>
      <c r="B46" s="1460"/>
      <c r="C46" s="1460"/>
      <c r="D46" s="1460"/>
      <c r="E46" s="1436"/>
      <c r="F46" s="1436" t="s">
        <v>410</v>
      </c>
      <c r="G46" s="1436"/>
      <c r="H46" s="1436"/>
      <c r="I46" s="1436"/>
      <c r="J46" s="84">
        <f>+E43*8</f>
        <v>8</v>
      </c>
      <c r="K46" s="84" t="s">
        <v>387</v>
      </c>
      <c r="L46" s="84"/>
    </row>
    <row r="47" spans="1:12" ht="12">
      <c r="A47" s="1459">
        <v>11</v>
      </c>
      <c r="B47" s="1459">
        <v>900</v>
      </c>
      <c r="C47" s="1459">
        <v>720</v>
      </c>
      <c r="D47" s="1459" t="s">
        <v>411</v>
      </c>
      <c r="E47" s="1436">
        <v>1</v>
      </c>
      <c r="F47" s="1436" t="s">
        <v>415</v>
      </c>
      <c r="G47" s="1436"/>
      <c r="H47" s="1436"/>
      <c r="I47" s="1436"/>
      <c r="J47" s="84">
        <f>+E47*1</f>
        <v>1</v>
      </c>
      <c r="K47" s="84" t="s">
        <v>387</v>
      </c>
      <c r="L47" s="84"/>
    </row>
    <row r="48" spans="1:12" ht="12">
      <c r="A48" s="1466"/>
      <c r="B48" s="1466"/>
      <c r="C48" s="1466"/>
      <c r="D48" s="1466"/>
      <c r="E48" s="1436"/>
      <c r="F48" s="1447" t="s">
        <v>388</v>
      </c>
      <c r="G48" s="1448"/>
      <c r="H48" s="1448"/>
      <c r="I48" s="1449"/>
      <c r="J48" s="84">
        <f>+E47*3</f>
        <v>3</v>
      </c>
      <c r="K48" s="84" t="s">
        <v>339</v>
      </c>
      <c r="L48" s="84"/>
    </row>
    <row r="49" spans="1:12" ht="12">
      <c r="A49" s="1466"/>
      <c r="B49" s="1466"/>
      <c r="C49" s="1466"/>
      <c r="D49" s="1466"/>
      <c r="E49" s="1436"/>
      <c r="F49" s="1458" t="s">
        <v>413</v>
      </c>
      <c r="G49" s="1458"/>
      <c r="H49" s="1458"/>
      <c r="I49" s="1458"/>
      <c r="J49" s="85">
        <f>+E47*0.5</f>
        <v>0.5</v>
      </c>
      <c r="K49" s="85" t="s">
        <v>360</v>
      </c>
      <c r="L49" s="85" t="s">
        <v>414</v>
      </c>
    </row>
    <row r="50" spans="1:12" ht="12">
      <c r="A50" s="1460"/>
      <c r="B50" s="1460"/>
      <c r="C50" s="1460"/>
      <c r="D50" s="1460"/>
      <c r="E50" s="1436"/>
      <c r="F50" s="1436" t="s">
        <v>410</v>
      </c>
      <c r="G50" s="1436"/>
      <c r="H50" s="1436"/>
      <c r="I50" s="1436"/>
      <c r="J50" s="84">
        <f>+E47*8</f>
        <v>8</v>
      </c>
      <c r="K50" s="84" t="s">
        <v>387</v>
      </c>
      <c r="L50" s="84"/>
    </row>
    <row r="51" spans="1:12" ht="14.25">
      <c r="A51" s="1437" t="s">
        <v>416</v>
      </c>
      <c r="B51" s="1437"/>
      <c r="C51" s="1437"/>
      <c r="D51" s="1437"/>
      <c r="E51" s="1437"/>
      <c r="F51" s="1437"/>
      <c r="G51" s="1437"/>
      <c r="H51" s="1437"/>
      <c r="I51" s="1437"/>
      <c r="J51" s="1437"/>
      <c r="K51" s="1437"/>
      <c r="L51" s="1437"/>
    </row>
    <row r="52" spans="1:12" ht="12">
      <c r="A52" s="1470">
        <v>1</v>
      </c>
      <c r="B52" s="1471" t="s">
        <v>417</v>
      </c>
      <c r="C52" s="1470">
        <v>715</v>
      </c>
      <c r="D52" s="1470">
        <v>20</v>
      </c>
      <c r="E52" s="1470">
        <v>4</v>
      </c>
      <c r="F52" s="1436" t="s">
        <v>418</v>
      </c>
      <c r="G52" s="1436"/>
      <c r="H52" s="1436"/>
      <c r="I52" s="1436"/>
      <c r="J52" s="84">
        <f>E52*0.25</f>
        <v>1</v>
      </c>
      <c r="K52" s="84" t="s">
        <v>387</v>
      </c>
      <c r="L52" s="1459" t="s">
        <v>419</v>
      </c>
    </row>
    <row r="53" spans="1:12" ht="12">
      <c r="A53" s="1470"/>
      <c r="B53" s="1472"/>
      <c r="C53" s="1470"/>
      <c r="D53" s="1470"/>
      <c r="E53" s="1470"/>
      <c r="F53" s="1447" t="s">
        <v>388</v>
      </c>
      <c r="G53" s="1448"/>
      <c r="H53" s="1448"/>
      <c r="I53" s="1449"/>
      <c r="J53" s="84">
        <f>+E52*1</f>
        <v>4</v>
      </c>
      <c r="K53" s="84" t="s">
        <v>339</v>
      </c>
      <c r="L53" s="1466"/>
    </row>
    <row r="54" spans="1:12" ht="12">
      <c r="A54" s="1470"/>
      <c r="B54" s="1472"/>
      <c r="C54" s="1470"/>
      <c r="D54" s="1470"/>
      <c r="E54" s="1470"/>
      <c r="F54" s="1436" t="s">
        <v>389</v>
      </c>
      <c r="G54" s="1436"/>
      <c r="H54" s="1436"/>
      <c r="I54" s="1436"/>
      <c r="J54" s="84">
        <f>+E52*0.125</f>
        <v>0.5</v>
      </c>
      <c r="K54" s="84" t="s">
        <v>360</v>
      </c>
      <c r="L54" s="1466"/>
    </row>
    <row r="55" spans="1:12" ht="12">
      <c r="A55" s="1470"/>
      <c r="B55" s="1473"/>
      <c r="C55" s="1470"/>
      <c r="D55" s="1470"/>
      <c r="E55" s="1470"/>
      <c r="F55" s="1436" t="s">
        <v>391</v>
      </c>
      <c r="G55" s="1436"/>
      <c r="H55" s="1436"/>
      <c r="I55" s="1436"/>
      <c r="J55" s="84">
        <f>+E52*2</f>
        <v>8</v>
      </c>
      <c r="K55" s="84" t="s">
        <v>387</v>
      </c>
      <c r="L55" s="1460"/>
    </row>
    <row r="56" spans="1:12" ht="12">
      <c r="A56" s="1470">
        <v>2</v>
      </c>
      <c r="B56" s="1470">
        <v>597</v>
      </c>
      <c r="C56" s="1470">
        <v>715</v>
      </c>
      <c r="D56" s="1470">
        <v>20</v>
      </c>
      <c r="E56" s="1470">
        <v>4</v>
      </c>
      <c r="F56" s="1436" t="s">
        <v>420</v>
      </c>
      <c r="G56" s="1436"/>
      <c r="H56" s="1436"/>
      <c r="I56" s="1436"/>
      <c r="J56" s="84">
        <f>E56*0.25</f>
        <v>1</v>
      </c>
      <c r="K56" s="84" t="s">
        <v>387</v>
      </c>
      <c r="L56" s="1459" t="s">
        <v>419</v>
      </c>
    </row>
    <row r="57" spans="1:12" ht="12">
      <c r="A57" s="1470"/>
      <c r="B57" s="1470"/>
      <c r="C57" s="1470"/>
      <c r="D57" s="1470"/>
      <c r="E57" s="1470"/>
      <c r="F57" s="1447" t="s">
        <v>388</v>
      </c>
      <c r="G57" s="1448"/>
      <c r="H57" s="1448"/>
      <c r="I57" s="1449"/>
      <c r="J57" s="84">
        <f>+E56*1</f>
        <v>4</v>
      </c>
      <c r="K57" s="84" t="s">
        <v>339</v>
      </c>
      <c r="L57" s="1466"/>
    </row>
    <row r="58" spans="1:12" ht="12">
      <c r="A58" s="1470"/>
      <c r="B58" s="1470"/>
      <c r="C58" s="1470"/>
      <c r="D58" s="1470"/>
      <c r="E58" s="1470"/>
      <c r="F58" s="1436" t="s">
        <v>389</v>
      </c>
      <c r="G58" s="1436"/>
      <c r="H58" s="1436"/>
      <c r="I58" s="1436"/>
      <c r="J58" s="84">
        <f>+E56*0.125</f>
        <v>0.5</v>
      </c>
      <c r="K58" s="84" t="s">
        <v>360</v>
      </c>
      <c r="L58" s="1466"/>
    </row>
    <row r="59" spans="1:12" ht="12">
      <c r="A59" s="1470"/>
      <c r="B59" s="1470"/>
      <c r="C59" s="1470"/>
      <c r="D59" s="1470"/>
      <c r="E59" s="1470"/>
      <c r="F59" s="1436" t="s">
        <v>391</v>
      </c>
      <c r="G59" s="1436"/>
      <c r="H59" s="1436"/>
      <c r="I59" s="1436"/>
      <c r="J59" s="84">
        <f>+E56*2</f>
        <v>8</v>
      </c>
      <c r="K59" s="84" t="s">
        <v>387</v>
      </c>
      <c r="L59" s="1460"/>
    </row>
    <row r="60" spans="1:12" ht="12">
      <c r="A60" s="1470">
        <v>3</v>
      </c>
      <c r="B60" s="1470">
        <v>597</v>
      </c>
      <c r="C60" s="1470">
        <v>356</v>
      </c>
      <c r="D60" s="1470">
        <v>20</v>
      </c>
      <c r="E60" s="1470">
        <v>4</v>
      </c>
      <c r="F60" s="1436" t="s">
        <v>421</v>
      </c>
      <c r="G60" s="1436"/>
      <c r="H60" s="1436"/>
      <c r="I60" s="1436"/>
      <c r="J60" s="84">
        <f>E60*0.25</f>
        <v>1</v>
      </c>
      <c r="K60" s="84" t="s">
        <v>422</v>
      </c>
      <c r="L60" s="1459" t="s">
        <v>423</v>
      </c>
    </row>
    <row r="61" spans="1:12" ht="12">
      <c r="A61" s="1470"/>
      <c r="B61" s="1470"/>
      <c r="C61" s="1470"/>
      <c r="D61" s="1470"/>
      <c r="E61" s="1470"/>
      <c r="F61" s="1447" t="s">
        <v>424</v>
      </c>
      <c r="G61" s="1448"/>
      <c r="H61" s="1448"/>
      <c r="I61" s="1449"/>
      <c r="J61" s="84">
        <f>+E60*1</f>
        <v>4</v>
      </c>
      <c r="K61" s="84" t="s">
        <v>339</v>
      </c>
      <c r="L61" s="1466"/>
    </row>
    <row r="62" spans="1:12" ht="12">
      <c r="A62" s="1470"/>
      <c r="B62" s="1470"/>
      <c r="C62" s="1470"/>
      <c r="D62" s="1470"/>
      <c r="E62" s="1470"/>
      <c r="F62" s="1436" t="s">
        <v>425</v>
      </c>
      <c r="G62" s="1436"/>
      <c r="H62" s="1436"/>
      <c r="I62" s="1436"/>
      <c r="J62" s="84">
        <f>+E60*0.125</f>
        <v>0.5</v>
      </c>
      <c r="K62" s="84" t="s">
        <v>360</v>
      </c>
      <c r="L62" s="1466"/>
    </row>
    <row r="63" spans="1:12" ht="12">
      <c r="A63" s="1470"/>
      <c r="B63" s="1470"/>
      <c r="C63" s="1470"/>
      <c r="D63" s="1470"/>
      <c r="E63" s="1470"/>
      <c r="F63" s="1436" t="s">
        <v>426</v>
      </c>
      <c r="G63" s="1436"/>
      <c r="H63" s="1436"/>
      <c r="I63" s="1436"/>
      <c r="J63" s="84">
        <f>+E60*2</f>
        <v>8</v>
      </c>
      <c r="K63" s="84" t="s">
        <v>422</v>
      </c>
      <c r="L63" s="1460"/>
    </row>
    <row r="64" spans="1:12" ht="12">
      <c r="A64" s="1470">
        <v>4</v>
      </c>
      <c r="B64" s="1470">
        <v>897</v>
      </c>
      <c r="C64" s="1470">
        <v>356</v>
      </c>
      <c r="D64" s="1470">
        <v>20</v>
      </c>
      <c r="E64" s="1470">
        <v>4</v>
      </c>
      <c r="F64" s="1436" t="s">
        <v>427</v>
      </c>
      <c r="G64" s="1436"/>
      <c r="H64" s="1436"/>
      <c r="I64" s="1436"/>
      <c r="J64" s="84">
        <f>E64*0.25</f>
        <v>1</v>
      </c>
      <c r="K64" s="84" t="s">
        <v>422</v>
      </c>
      <c r="L64" s="1459" t="s">
        <v>423</v>
      </c>
    </row>
    <row r="65" spans="1:13" ht="12">
      <c r="A65" s="1470"/>
      <c r="B65" s="1470"/>
      <c r="C65" s="1470"/>
      <c r="D65" s="1470"/>
      <c r="E65" s="1470"/>
      <c r="F65" s="1447" t="s">
        <v>424</v>
      </c>
      <c r="G65" s="1448"/>
      <c r="H65" s="1448"/>
      <c r="I65" s="1449"/>
      <c r="J65" s="84">
        <f>+E64*1</f>
        <v>4</v>
      </c>
      <c r="K65" s="84" t="s">
        <v>339</v>
      </c>
      <c r="L65" s="1466"/>
    </row>
    <row r="66" spans="1:13" ht="12">
      <c r="A66" s="1470"/>
      <c r="B66" s="1470"/>
      <c r="C66" s="1470"/>
      <c r="D66" s="1470"/>
      <c r="E66" s="1470"/>
      <c r="F66" s="1436" t="s">
        <v>425</v>
      </c>
      <c r="G66" s="1436"/>
      <c r="H66" s="1436"/>
      <c r="I66" s="1436"/>
      <c r="J66" s="84">
        <f>+E64*0.125</f>
        <v>0.5</v>
      </c>
      <c r="K66" s="84" t="s">
        <v>360</v>
      </c>
      <c r="L66" s="1466"/>
    </row>
    <row r="67" spans="1:13" ht="12">
      <c r="A67" s="1470"/>
      <c r="B67" s="1470"/>
      <c r="C67" s="1470"/>
      <c r="D67" s="1470"/>
      <c r="E67" s="1470"/>
      <c r="F67" s="1436" t="s">
        <v>426</v>
      </c>
      <c r="G67" s="1436"/>
      <c r="H67" s="1436"/>
      <c r="I67" s="1436"/>
      <c r="J67" s="84">
        <f>+E64*2</f>
        <v>8</v>
      </c>
      <c r="K67" s="84" t="s">
        <v>422</v>
      </c>
      <c r="L67" s="1460"/>
    </row>
    <row r="68" spans="1:13" ht="14.25">
      <c r="A68" s="1437" t="s">
        <v>428</v>
      </c>
      <c r="B68" s="1437"/>
      <c r="C68" s="1437"/>
      <c r="D68" s="1437"/>
      <c r="E68" s="1437"/>
      <c r="F68" s="1437"/>
      <c r="G68" s="1437"/>
      <c r="H68" s="1437"/>
      <c r="I68" s="1437"/>
      <c r="J68" s="1437"/>
      <c r="K68" s="1437"/>
      <c r="L68" s="1437"/>
      <c r="M68" s="81" t="s">
        <v>429</v>
      </c>
    </row>
    <row r="69" spans="1:13" ht="12">
      <c r="A69" s="1450">
        <v>1</v>
      </c>
      <c r="B69" s="1463" t="s">
        <v>430</v>
      </c>
      <c r="C69" s="1463"/>
      <c r="D69" s="1464" t="s">
        <v>431</v>
      </c>
      <c r="E69" s="1463"/>
      <c r="F69" s="1436" t="s">
        <v>432</v>
      </c>
      <c r="G69" s="1436"/>
      <c r="H69" s="1436"/>
      <c r="I69" s="1436"/>
      <c r="J69" s="84">
        <v>5</v>
      </c>
      <c r="K69" s="84" t="s">
        <v>360</v>
      </c>
      <c r="L69" s="84"/>
      <c r="M69" s="81">
        <f>J69*1.5</f>
        <v>7.5</v>
      </c>
    </row>
    <row r="70" spans="1:13" ht="12">
      <c r="A70" s="1450"/>
      <c r="B70" s="1463"/>
      <c r="C70" s="1463"/>
      <c r="D70" s="1463"/>
      <c r="E70" s="1463"/>
      <c r="F70" s="1447" t="s">
        <v>424</v>
      </c>
      <c r="G70" s="1448"/>
      <c r="H70" s="1448"/>
      <c r="I70" s="1449"/>
      <c r="J70" s="84">
        <v>30</v>
      </c>
      <c r="K70" s="84" t="s">
        <v>433</v>
      </c>
      <c r="L70" s="84"/>
      <c r="M70" s="81">
        <f t="shared" ref="M70:M80" si="0">J70*1.5</f>
        <v>45</v>
      </c>
    </row>
    <row r="71" spans="1:13" ht="12">
      <c r="A71" s="1450"/>
      <c r="B71" s="1463"/>
      <c r="C71" s="1463"/>
      <c r="D71" s="1463"/>
      <c r="E71" s="1463"/>
      <c r="F71" s="1436" t="s">
        <v>425</v>
      </c>
      <c r="G71" s="1436"/>
      <c r="H71" s="1436"/>
      <c r="I71" s="1436"/>
      <c r="J71" s="84">
        <v>3</v>
      </c>
      <c r="K71" s="84" t="s">
        <v>360</v>
      </c>
      <c r="L71" s="84"/>
      <c r="M71" s="81">
        <f t="shared" si="0"/>
        <v>4.5</v>
      </c>
    </row>
    <row r="72" spans="1:13" ht="14.25" customHeight="1">
      <c r="A72" s="1450"/>
      <c r="B72" s="1463"/>
      <c r="C72" s="1463"/>
      <c r="D72" s="1463"/>
      <c r="E72" s="1463"/>
      <c r="F72" s="1439" t="s">
        <v>452</v>
      </c>
      <c r="G72" s="1461"/>
      <c r="H72" s="1461"/>
      <c r="I72" s="1440"/>
      <c r="J72" s="1459">
        <v>32</v>
      </c>
      <c r="K72" s="1459" t="s">
        <v>450</v>
      </c>
      <c r="L72" s="84"/>
      <c r="M72" s="81">
        <f t="shared" si="0"/>
        <v>48</v>
      </c>
    </row>
    <row r="73" spans="1:13" ht="12" customHeight="1">
      <c r="A73" s="1450"/>
      <c r="B73" s="1463"/>
      <c r="C73" s="1463"/>
      <c r="D73" s="1463"/>
      <c r="E73" s="1463"/>
      <c r="F73" s="1443"/>
      <c r="G73" s="1462"/>
      <c r="H73" s="1462"/>
      <c r="I73" s="1444"/>
      <c r="J73" s="1460"/>
      <c r="K73" s="1460"/>
      <c r="L73" s="84"/>
      <c r="M73" s="81">
        <f t="shared" si="0"/>
        <v>0</v>
      </c>
    </row>
    <row r="74" spans="1:13" ht="24">
      <c r="A74" s="1450"/>
      <c r="B74" s="1463"/>
      <c r="C74" s="1463"/>
      <c r="D74" s="1463"/>
      <c r="E74" s="1463"/>
      <c r="F74" s="1458" t="s">
        <v>434</v>
      </c>
      <c r="G74" s="1458"/>
      <c r="H74" s="1458"/>
      <c r="I74" s="1458"/>
      <c r="J74" s="85">
        <v>12</v>
      </c>
      <c r="K74" s="85" t="s">
        <v>435</v>
      </c>
      <c r="L74" s="85" t="s">
        <v>436</v>
      </c>
      <c r="M74" s="81">
        <f t="shared" si="0"/>
        <v>18</v>
      </c>
    </row>
    <row r="75" spans="1:13" ht="12">
      <c r="A75" s="1450">
        <v>2</v>
      </c>
      <c r="B75" s="1463" t="s">
        <v>430</v>
      </c>
      <c r="C75" s="1463"/>
      <c r="D75" s="1464" t="s">
        <v>437</v>
      </c>
      <c r="E75" s="1463"/>
      <c r="F75" s="1436" t="s">
        <v>432</v>
      </c>
      <c r="G75" s="1436"/>
      <c r="H75" s="1436"/>
      <c r="I75" s="1436"/>
      <c r="J75" s="84">
        <v>8</v>
      </c>
      <c r="K75" s="84" t="s">
        <v>438</v>
      </c>
      <c r="L75" s="88"/>
      <c r="M75" s="81">
        <f t="shared" si="0"/>
        <v>12</v>
      </c>
    </row>
    <row r="76" spans="1:13" ht="12">
      <c r="A76" s="1450"/>
      <c r="B76" s="1463"/>
      <c r="C76" s="1463"/>
      <c r="D76" s="1463"/>
      <c r="E76" s="1463"/>
      <c r="F76" s="1447" t="s">
        <v>424</v>
      </c>
      <c r="G76" s="1448"/>
      <c r="H76" s="1448"/>
      <c r="I76" s="1449"/>
      <c r="J76" s="84">
        <v>50</v>
      </c>
      <c r="K76" s="84" t="s">
        <v>433</v>
      </c>
      <c r="L76" s="88"/>
      <c r="M76" s="81">
        <f t="shared" si="0"/>
        <v>75</v>
      </c>
    </row>
    <row r="77" spans="1:13" ht="12">
      <c r="A77" s="1450"/>
      <c r="B77" s="1463"/>
      <c r="C77" s="1463"/>
      <c r="D77" s="1463"/>
      <c r="E77" s="1463"/>
      <c r="F77" s="1436" t="s">
        <v>425</v>
      </c>
      <c r="G77" s="1436"/>
      <c r="H77" s="1436"/>
      <c r="I77" s="1436"/>
      <c r="J77" s="84">
        <v>5</v>
      </c>
      <c r="K77" s="84" t="s">
        <v>438</v>
      </c>
      <c r="L77" s="88"/>
      <c r="M77" s="81">
        <f t="shared" si="0"/>
        <v>7.5</v>
      </c>
    </row>
    <row r="78" spans="1:13" ht="14.25" customHeight="1">
      <c r="A78" s="1450"/>
      <c r="B78" s="1463"/>
      <c r="C78" s="1463"/>
      <c r="D78" s="1463"/>
      <c r="E78" s="1463"/>
      <c r="F78" s="1439" t="s">
        <v>451</v>
      </c>
      <c r="G78" s="1461"/>
      <c r="H78" s="1461"/>
      <c r="I78" s="1440"/>
      <c r="J78" s="1459">
        <v>60</v>
      </c>
      <c r="K78" s="1459" t="s">
        <v>450</v>
      </c>
      <c r="L78" s="88"/>
      <c r="M78" s="81">
        <f t="shared" si="0"/>
        <v>90</v>
      </c>
    </row>
    <row r="79" spans="1:13" ht="12" customHeight="1">
      <c r="A79" s="1450"/>
      <c r="B79" s="1463"/>
      <c r="C79" s="1463"/>
      <c r="D79" s="1463"/>
      <c r="E79" s="1463"/>
      <c r="F79" s="1443"/>
      <c r="G79" s="1462"/>
      <c r="H79" s="1462"/>
      <c r="I79" s="1444"/>
      <c r="J79" s="1460"/>
      <c r="K79" s="1460"/>
      <c r="L79" s="88"/>
      <c r="M79" s="81">
        <f t="shared" si="0"/>
        <v>0</v>
      </c>
    </row>
    <row r="80" spans="1:13" ht="24">
      <c r="A80" s="1450"/>
      <c r="B80" s="1463"/>
      <c r="C80" s="1463"/>
      <c r="D80" s="1463"/>
      <c r="E80" s="1463"/>
      <c r="F80" s="1458" t="s">
        <v>434</v>
      </c>
      <c r="G80" s="1458"/>
      <c r="H80" s="1458"/>
      <c r="I80" s="1458"/>
      <c r="J80" s="85">
        <v>20</v>
      </c>
      <c r="K80" s="85" t="s">
        <v>435</v>
      </c>
      <c r="L80" s="85" t="s">
        <v>436</v>
      </c>
      <c r="M80" s="81">
        <f t="shared" si="0"/>
        <v>30</v>
      </c>
    </row>
    <row r="81" spans="1:20" s="89" customFormat="1" ht="14.25">
      <c r="A81" s="1437" t="s">
        <v>439</v>
      </c>
      <c r="B81" s="1437"/>
      <c r="C81" s="1437"/>
      <c r="D81" s="1437"/>
      <c r="E81" s="1437"/>
      <c r="F81" s="1437"/>
      <c r="G81" s="1437"/>
      <c r="H81" s="1437"/>
      <c r="I81" s="1437"/>
      <c r="J81" s="1437"/>
      <c r="K81" s="1437"/>
      <c r="L81" s="1438"/>
      <c r="T81" s="92"/>
    </row>
    <row r="82" spans="1:20" ht="12">
      <c r="A82" s="1436">
        <v>1</v>
      </c>
      <c r="B82" s="1439" t="s">
        <v>440</v>
      </c>
      <c r="C82" s="1440"/>
      <c r="D82" s="1436" t="s">
        <v>441</v>
      </c>
      <c r="E82" s="1445">
        <v>1</v>
      </c>
      <c r="F82" s="1436" t="s">
        <v>432</v>
      </c>
      <c r="G82" s="1436"/>
      <c r="H82" s="1436"/>
      <c r="I82" s="1436"/>
      <c r="J82" s="84">
        <f>E82*2</f>
        <v>2</v>
      </c>
      <c r="K82" s="84" t="s">
        <v>360</v>
      </c>
      <c r="L82" s="1436" t="s">
        <v>442</v>
      </c>
    </row>
    <row r="83" spans="1:20" ht="12">
      <c r="A83" s="1436"/>
      <c r="B83" s="1441"/>
      <c r="C83" s="1442"/>
      <c r="D83" s="1436"/>
      <c r="E83" s="1446"/>
      <c r="F83" s="1447" t="s">
        <v>424</v>
      </c>
      <c r="G83" s="1448"/>
      <c r="H83" s="1448"/>
      <c r="I83" s="1449"/>
      <c r="J83" s="84">
        <f>+E82*5</f>
        <v>5</v>
      </c>
      <c r="K83" s="84" t="s">
        <v>339</v>
      </c>
      <c r="L83" s="1436"/>
    </row>
    <row r="84" spans="1:20" ht="12">
      <c r="A84" s="1436"/>
      <c r="B84" s="1441"/>
      <c r="C84" s="1442"/>
      <c r="D84" s="1436"/>
      <c r="E84" s="1446"/>
      <c r="F84" s="1436" t="s">
        <v>425</v>
      </c>
      <c r="G84" s="1436"/>
      <c r="H84" s="1436"/>
      <c r="I84" s="1436"/>
      <c r="J84" s="84">
        <f>+E82*1</f>
        <v>1</v>
      </c>
      <c r="K84" s="84" t="s">
        <v>438</v>
      </c>
      <c r="L84" s="1436"/>
    </row>
    <row r="85" spans="1:20" ht="12">
      <c r="A85" s="1436"/>
      <c r="B85" s="1443"/>
      <c r="C85" s="1444"/>
      <c r="D85" s="1436"/>
      <c r="E85" s="1446"/>
      <c r="F85" s="1436" t="s">
        <v>443</v>
      </c>
      <c r="G85" s="1436"/>
      <c r="H85" s="1436"/>
      <c r="I85" s="1436"/>
      <c r="J85" s="84">
        <f>+E82*8</f>
        <v>8</v>
      </c>
      <c r="K85" s="84" t="s">
        <v>422</v>
      </c>
      <c r="L85" s="1436"/>
    </row>
    <row r="86" spans="1:20" ht="12">
      <c r="A86" s="1436">
        <v>2</v>
      </c>
      <c r="B86" s="1439" t="s">
        <v>444</v>
      </c>
      <c r="C86" s="1440"/>
      <c r="D86" s="1436" t="s">
        <v>445</v>
      </c>
      <c r="E86" s="1445">
        <v>1</v>
      </c>
      <c r="F86" s="1436" t="s">
        <v>432</v>
      </c>
      <c r="G86" s="1436"/>
      <c r="H86" s="1436"/>
      <c r="I86" s="1436"/>
      <c r="J86" s="84">
        <f>E86*1</f>
        <v>1</v>
      </c>
      <c r="K86" s="84" t="s">
        <v>438</v>
      </c>
      <c r="L86" s="1436"/>
    </row>
    <row r="87" spans="1:20" ht="12">
      <c r="A87" s="1436"/>
      <c r="B87" s="1441"/>
      <c r="C87" s="1442"/>
      <c r="D87" s="1436"/>
      <c r="E87" s="1446"/>
      <c r="F87" s="1447" t="s">
        <v>424</v>
      </c>
      <c r="G87" s="1448"/>
      <c r="H87" s="1448"/>
      <c r="I87" s="1449"/>
      <c r="J87" s="84">
        <f>+E86*4</f>
        <v>4</v>
      </c>
      <c r="K87" s="84" t="s">
        <v>433</v>
      </c>
      <c r="L87" s="1436"/>
    </row>
    <row r="88" spans="1:20" ht="12">
      <c r="A88" s="1436"/>
      <c r="B88" s="1441"/>
      <c r="C88" s="1442"/>
      <c r="D88" s="1436"/>
      <c r="E88" s="1446"/>
      <c r="F88" s="1436" t="s">
        <v>425</v>
      </c>
      <c r="G88" s="1436"/>
      <c r="H88" s="1436"/>
      <c r="I88" s="1436"/>
      <c r="J88" s="84">
        <f>+E86*0.5</f>
        <v>0.5</v>
      </c>
      <c r="K88" s="84" t="s">
        <v>438</v>
      </c>
      <c r="L88" s="1436"/>
    </row>
    <row r="89" spans="1:20" ht="12">
      <c r="A89" s="1436"/>
      <c r="B89" s="1443"/>
      <c r="C89" s="1444"/>
      <c r="D89" s="1436"/>
      <c r="E89" s="1446"/>
      <c r="F89" s="1436" t="s">
        <v>443</v>
      </c>
      <c r="G89" s="1436"/>
      <c r="H89" s="1436"/>
      <c r="I89" s="1436"/>
      <c r="J89" s="84">
        <f>+E86*8</f>
        <v>8</v>
      </c>
      <c r="K89" s="84" t="s">
        <v>422</v>
      </c>
      <c r="L89" s="1436"/>
    </row>
    <row r="90" spans="1:20" ht="12">
      <c r="A90" s="1436">
        <v>3</v>
      </c>
      <c r="B90" s="1439" t="s">
        <v>446</v>
      </c>
      <c r="C90" s="1440"/>
      <c r="D90" s="1436" t="s">
        <v>447</v>
      </c>
      <c r="E90" s="1450">
        <v>1</v>
      </c>
      <c r="F90" s="1436" t="s">
        <v>432</v>
      </c>
      <c r="G90" s="1436"/>
      <c r="H90" s="1436"/>
      <c r="I90" s="1436"/>
      <c r="J90" s="84">
        <f>E90*2</f>
        <v>2</v>
      </c>
      <c r="K90" s="84" t="s">
        <v>360</v>
      </c>
      <c r="L90" s="1436"/>
    </row>
    <row r="91" spans="1:20" ht="12">
      <c r="A91" s="1436"/>
      <c r="B91" s="1441"/>
      <c r="C91" s="1442"/>
      <c r="D91" s="1436"/>
      <c r="E91" s="1450"/>
      <c r="F91" s="1447" t="s">
        <v>424</v>
      </c>
      <c r="G91" s="1448"/>
      <c r="H91" s="1448"/>
      <c r="I91" s="1449"/>
      <c r="J91" s="84">
        <f>+E90*7</f>
        <v>7</v>
      </c>
      <c r="K91" s="84" t="s">
        <v>339</v>
      </c>
      <c r="L91" s="1436"/>
    </row>
    <row r="92" spans="1:20" ht="12">
      <c r="A92" s="1436"/>
      <c r="B92" s="1441"/>
      <c r="C92" s="1442"/>
      <c r="D92" s="1436"/>
      <c r="E92" s="1450"/>
      <c r="F92" s="1436" t="s">
        <v>425</v>
      </c>
      <c r="G92" s="1436"/>
      <c r="H92" s="1436"/>
      <c r="I92" s="1436"/>
      <c r="J92" s="84">
        <f>+E90*1.5</f>
        <v>1.5</v>
      </c>
      <c r="K92" s="84" t="s">
        <v>438</v>
      </c>
      <c r="L92" s="1436"/>
    </row>
    <row r="93" spans="1:20" ht="12">
      <c r="A93" s="1436"/>
      <c r="B93" s="1443"/>
      <c r="C93" s="1444"/>
      <c r="D93" s="1436"/>
      <c r="E93" s="1450"/>
      <c r="F93" s="1436" t="s">
        <v>443</v>
      </c>
      <c r="G93" s="1436"/>
      <c r="H93" s="1436"/>
      <c r="I93" s="1436"/>
      <c r="J93" s="84">
        <f>+E90*8</f>
        <v>8</v>
      </c>
      <c r="K93" s="84" t="s">
        <v>422</v>
      </c>
      <c r="L93" s="1436"/>
    </row>
  </sheetData>
  <mergeCells count="204">
    <mergeCell ref="F92:I92"/>
    <mergeCell ref="F93:I93"/>
    <mergeCell ref="A81:L81"/>
    <mergeCell ref="A82:A85"/>
    <mergeCell ref="B82:C85"/>
    <mergeCell ref="D82:D85"/>
    <mergeCell ref="E82:E85"/>
    <mergeCell ref="F82:I82"/>
    <mergeCell ref="L82:L93"/>
    <mergeCell ref="F83:I83"/>
    <mergeCell ref="F84:I84"/>
    <mergeCell ref="F85:I85"/>
    <mergeCell ref="A86:A89"/>
    <mergeCell ref="B86:C89"/>
    <mergeCell ref="D86:D89"/>
    <mergeCell ref="E86:E89"/>
    <mergeCell ref="F86:I86"/>
    <mergeCell ref="F87:I87"/>
    <mergeCell ref="F88:I88"/>
    <mergeCell ref="F89:I89"/>
    <mergeCell ref="A90:A93"/>
    <mergeCell ref="B90:C93"/>
    <mergeCell ref="D90:D93"/>
    <mergeCell ref="E90:E93"/>
    <mergeCell ref="F90:I90"/>
    <mergeCell ref="F91:I91"/>
    <mergeCell ref="A75:A80"/>
    <mergeCell ref="B75:C80"/>
    <mergeCell ref="D75:E80"/>
    <mergeCell ref="F75:I75"/>
    <mergeCell ref="F76:I76"/>
    <mergeCell ref="F77:I77"/>
    <mergeCell ref="F80:I80"/>
    <mergeCell ref="F78:I79"/>
    <mergeCell ref="A68:L68"/>
    <mergeCell ref="A69:A74"/>
    <mergeCell ref="B69:C74"/>
    <mergeCell ref="D69:E74"/>
    <mergeCell ref="F69:I69"/>
    <mergeCell ref="F70:I70"/>
    <mergeCell ref="F71:I71"/>
    <mergeCell ref="F74:I74"/>
    <mergeCell ref="F72:I73"/>
    <mergeCell ref="J72:J73"/>
    <mergeCell ref="K72:K73"/>
    <mergeCell ref="A64:A67"/>
    <mergeCell ref="B64:B67"/>
    <mergeCell ref="C64:C67"/>
    <mergeCell ref="D64:D67"/>
    <mergeCell ref="E64:E67"/>
    <mergeCell ref="F64:I64"/>
    <mergeCell ref="L64:L67"/>
    <mergeCell ref="F65:I65"/>
    <mergeCell ref="F66:I66"/>
    <mergeCell ref="F67:I67"/>
    <mergeCell ref="A60:A63"/>
    <mergeCell ref="B60:B63"/>
    <mergeCell ref="C60:C63"/>
    <mergeCell ref="D60:D63"/>
    <mergeCell ref="E60:E63"/>
    <mergeCell ref="F60:I60"/>
    <mergeCell ref="L60:L63"/>
    <mergeCell ref="F61:I61"/>
    <mergeCell ref="F62:I62"/>
    <mergeCell ref="F63:I63"/>
    <mergeCell ref="F55:I55"/>
    <mergeCell ref="A56:A59"/>
    <mergeCell ref="B56:B59"/>
    <mergeCell ref="C56:C59"/>
    <mergeCell ref="D56:D59"/>
    <mergeCell ref="E56:E59"/>
    <mergeCell ref="F56:I56"/>
    <mergeCell ref="A51:L51"/>
    <mergeCell ref="A52:A55"/>
    <mergeCell ref="B52:B55"/>
    <mergeCell ref="C52:C55"/>
    <mergeCell ref="D52:D55"/>
    <mergeCell ref="E52:E55"/>
    <mergeCell ref="F52:I52"/>
    <mergeCell ref="L52:L55"/>
    <mergeCell ref="F53:I53"/>
    <mergeCell ref="F54:I54"/>
    <mergeCell ref="L56:L59"/>
    <mergeCell ref="F57:I57"/>
    <mergeCell ref="F58:I58"/>
    <mergeCell ref="F59:I59"/>
    <mergeCell ref="A47:A50"/>
    <mergeCell ref="B47:B50"/>
    <mergeCell ref="C47:C50"/>
    <mergeCell ref="D47:D50"/>
    <mergeCell ref="E47:E50"/>
    <mergeCell ref="F47:I47"/>
    <mergeCell ref="F48:I48"/>
    <mergeCell ref="F49:I49"/>
    <mergeCell ref="F50:I50"/>
    <mergeCell ref="A43:A46"/>
    <mergeCell ref="B43:B46"/>
    <mergeCell ref="C43:C46"/>
    <mergeCell ref="D43:D46"/>
    <mergeCell ref="E43:E46"/>
    <mergeCell ref="F43:I43"/>
    <mergeCell ref="F44:I44"/>
    <mergeCell ref="F45:I45"/>
    <mergeCell ref="F46:I46"/>
    <mergeCell ref="A39:L39"/>
    <mergeCell ref="A40:A42"/>
    <mergeCell ref="B40:B42"/>
    <mergeCell ref="C40:C42"/>
    <mergeCell ref="D40:D42"/>
    <mergeCell ref="E40:E42"/>
    <mergeCell ref="F40:I40"/>
    <mergeCell ref="F41:I41"/>
    <mergeCell ref="F42:I42"/>
    <mergeCell ref="L31:L34"/>
    <mergeCell ref="F32:I32"/>
    <mergeCell ref="F33:I33"/>
    <mergeCell ref="F34:I34"/>
    <mergeCell ref="A35:A38"/>
    <mergeCell ref="B35:B38"/>
    <mergeCell ref="C35:C38"/>
    <mergeCell ref="D35:D38"/>
    <mergeCell ref="E35:E38"/>
    <mergeCell ref="F35:I35"/>
    <mergeCell ref="A31:A34"/>
    <mergeCell ref="B31:B34"/>
    <mergeCell ref="C31:C34"/>
    <mergeCell ref="D31:D34"/>
    <mergeCell ref="E31:E34"/>
    <mergeCell ref="F31:I31"/>
    <mergeCell ref="F36:I36"/>
    <mergeCell ref="F37:I37"/>
    <mergeCell ref="F38:I38"/>
    <mergeCell ref="A27:A30"/>
    <mergeCell ref="B27:B30"/>
    <mergeCell ref="C27:C30"/>
    <mergeCell ref="D27:D30"/>
    <mergeCell ref="E27:E30"/>
    <mergeCell ref="F27:I27"/>
    <mergeCell ref="F28:I28"/>
    <mergeCell ref="F29:I29"/>
    <mergeCell ref="F30:I30"/>
    <mergeCell ref="A23:A26"/>
    <mergeCell ref="B23:B26"/>
    <mergeCell ref="C23:C26"/>
    <mergeCell ref="D23:D26"/>
    <mergeCell ref="E23:E26"/>
    <mergeCell ref="F23:I23"/>
    <mergeCell ref="F24:I24"/>
    <mergeCell ref="F25:I25"/>
    <mergeCell ref="F26:I26"/>
    <mergeCell ref="A19:A22"/>
    <mergeCell ref="B19:B22"/>
    <mergeCell ref="C19:C22"/>
    <mergeCell ref="D19:D22"/>
    <mergeCell ref="E19:E22"/>
    <mergeCell ref="F19:I19"/>
    <mergeCell ref="F20:I20"/>
    <mergeCell ref="F21:I21"/>
    <mergeCell ref="F22:I22"/>
    <mergeCell ref="A15:A18"/>
    <mergeCell ref="B15:B18"/>
    <mergeCell ref="C15:C18"/>
    <mergeCell ref="D15:D18"/>
    <mergeCell ref="E15:E18"/>
    <mergeCell ref="F15:I15"/>
    <mergeCell ref="F16:I16"/>
    <mergeCell ref="F17:I17"/>
    <mergeCell ref="F18:I18"/>
    <mergeCell ref="F8:I8"/>
    <mergeCell ref="F9:I9"/>
    <mergeCell ref="F10:I10"/>
    <mergeCell ref="A11:A14"/>
    <mergeCell ref="B11:B14"/>
    <mergeCell ref="C11:C14"/>
    <mergeCell ref="D11:D14"/>
    <mergeCell ref="E11:E14"/>
    <mergeCell ref="F11:I11"/>
    <mergeCell ref="F12:I12"/>
    <mergeCell ref="F13:I13"/>
    <mergeCell ref="F14:I14"/>
    <mergeCell ref="J78:J79"/>
    <mergeCell ref="K78:K79"/>
    <mergeCell ref="K4:L5"/>
    <mergeCell ref="A5:B5"/>
    <mergeCell ref="C5:D5"/>
    <mergeCell ref="E5:F5"/>
    <mergeCell ref="G5:H5"/>
    <mergeCell ref="F6:I6"/>
    <mergeCell ref="A1:L2"/>
    <mergeCell ref="A3:B3"/>
    <mergeCell ref="C3:H3"/>
    <mergeCell ref="I3:J3"/>
    <mergeCell ref="K3:L3"/>
    <mergeCell ref="A4:B4"/>
    <mergeCell ref="C4:D4"/>
    <mergeCell ref="E4:F4"/>
    <mergeCell ref="G4:H4"/>
    <mergeCell ref="I4:J5"/>
    <mergeCell ref="A7:A10"/>
    <mergeCell ref="B7:B10"/>
    <mergeCell ref="C7:C10"/>
    <mergeCell ref="D7:D10"/>
    <mergeCell ref="E7:E10"/>
    <mergeCell ref="F7:I7"/>
  </mergeCells>
  <phoneticPr fontId="33" type="noConversion"/>
  <pageMargins left="0.7" right="0.7" top="0.75" bottom="0.75" header="0.3" footer="0.3"/>
  <pageSetup paperSize="9" scale="61" orientation="portrait" r:id="rId1"/>
</worksheet>
</file>

<file path=xl/worksheets/sheet3.xml><?xml version="1.0" encoding="utf-8"?>
<worksheet xmlns="http://schemas.openxmlformats.org/spreadsheetml/2006/main" xmlns:r="http://schemas.openxmlformats.org/officeDocument/2006/relationships">
  <dimension ref="A1:AF115"/>
  <sheetViews>
    <sheetView view="pageBreakPreview" zoomScale="115" zoomScaleSheetLayoutView="115" workbookViewId="0">
      <selection activeCell="H3" sqref="H3"/>
    </sheetView>
  </sheetViews>
  <sheetFormatPr defaultRowHeight="15" customHeight="1"/>
  <cols>
    <col min="1" max="1" width="12.75" style="44" customWidth="1"/>
    <col min="2" max="2" width="15.625" style="44" customWidth="1"/>
    <col min="3" max="4" width="6" style="44" customWidth="1"/>
    <col min="5" max="6" width="8.125" style="44" customWidth="1"/>
    <col min="7" max="7" width="15.875" style="44" bestFit="1" customWidth="1"/>
    <col min="8" max="8" width="31" style="44" bestFit="1" customWidth="1"/>
    <col min="9" max="9" width="5" style="43" bestFit="1" customWidth="1"/>
    <col min="10" max="11" width="5" style="52" hidden="1" customWidth="1"/>
    <col min="12" max="12" width="16.125" style="44" hidden="1" customWidth="1"/>
    <col min="13" max="13" width="19.875" style="44" hidden="1" customWidth="1"/>
    <col min="14" max="14" width="4.875" style="44" hidden="1" customWidth="1"/>
    <col min="15" max="15" width="26.375" style="44" hidden="1" customWidth="1"/>
    <col min="16" max="17" width="14.5" style="44" hidden="1" customWidth="1"/>
    <col min="18" max="21" width="10" style="51" hidden="1" customWidth="1"/>
    <col min="22" max="22" width="11.125" style="51" hidden="1" customWidth="1"/>
    <col min="23" max="23" width="10" style="51" hidden="1" customWidth="1"/>
    <col min="24" max="24" width="7.375" style="43" hidden="1" customWidth="1"/>
    <col min="25" max="27" width="0" style="44" hidden="1" customWidth="1"/>
    <col min="28" max="28" width="34.125" style="44" hidden="1" customWidth="1"/>
    <col min="29" max="44" width="0" style="44" hidden="1" customWidth="1"/>
    <col min="45" max="16384" width="9" style="44"/>
  </cols>
  <sheetData>
    <row r="1" spans="1:32" s="21" customFormat="1" ht="15" customHeight="1">
      <c r="A1" s="890" t="s">
        <v>81</v>
      </c>
      <c r="B1" s="890"/>
      <c r="C1" s="890"/>
      <c r="D1" s="890"/>
      <c r="E1" s="890"/>
      <c r="F1" s="890"/>
      <c r="G1" s="890"/>
      <c r="H1" s="890"/>
      <c r="I1" s="890"/>
      <c r="J1" s="19"/>
      <c r="K1" s="19"/>
      <c r="L1" s="19"/>
      <c r="M1" s="19"/>
      <c r="N1" s="19"/>
      <c r="O1" s="19"/>
      <c r="P1" s="19"/>
      <c r="Q1" s="19"/>
      <c r="R1" s="19"/>
      <c r="S1" s="19"/>
      <c r="T1" s="19"/>
      <c r="U1" s="19"/>
      <c r="V1" s="19"/>
      <c r="W1" s="19"/>
      <c r="X1" s="20"/>
    </row>
    <row r="2" spans="1:32" s="21" customFormat="1" ht="15" customHeight="1">
      <c r="A2" s="22" t="s">
        <v>82</v>
      </c>
      <c r="B2" s="22" t="e">
        <f>#REF!</f>
        <v>#REF!</v>
      </c>
      <c r="C2" s="890" t="s">
        <v>83</v>
      </c>
      <c r="D2" s="890"/>
      <c r="E2" s="890" t="e">
        <f>#REF!</f>
        <v>#REF!</v>
      </c>
      <c r="F2" s="890"/>
      <c r="G2" s="22" t="s">
        <v>84</v>
      </c>
      <c r="H2" s="53" t="e">
        <f>#REF!</f>
        <v>#REF!</v>
      </c>
      <c r="I2" s="22"/>
      <c r="J2" s="19"/>
      <c r="K2" s="19"/>
      <c r="L2" s="19"/>
      <c r="M2" s="19"/>
      <c r="N2" s="19"/>
      <c r="O2" s="19"/>
      <c r="P2" s="19"/>
      <c r="Q2" s="19"/>
      <c r="R2" s="19"/>
      <c r="S2" s="19"/>
      <c r="T2" s="19"/>
      <c r="U2" s="19"/>
      <c r="V2" s="19"/>
      <c r="W2" s="19"/>
      <c r="X2" s="20"/>
    </row>
    <row r="3" spans="1:32" s="21" customFormat="1" ht="15" customHeight="1" thickBot="1">
      <c r="A3" s="22" t="s">
        <v>85</v>
      </c>
      <c r="B3" s="22" t="e">
        <f>#REF!</f>
        <v>#REF!</v>
      </c>
      <c r="C3" s="891" t="s">
        <v>86</v>
      </c>
      <c r="D3" s="891"/>
      <c r="E3" s="891" t="e">
        <f>#REF!</f>
        <v>#REF!</v>
      </c>
      <c r="F3" s="891"/>
      <c r="G3" s="22" t="s">
        <v>87</v>
      </c>
      <c r="H3" s="53" t="e">
        <f>#REF!</f>
        <v>#REF!</v>
      </c>
      <c r="I3" s="22"/>
      <c r="J3" s="19"/>
      <c r="K3" s="19"/>
      <c r="L3" s="19"/>
      <c r="M3" s="19"/>
      <c r="N3" s="19"/>
      <c r="O3" s="19"/>
      <c r="P3" s="19"/>
      <c r="Q3" s="19"/>
      <c r="R3" s="19"/>
      <c r="S3" s="19"/>
      <c r="T3" s="19"/>
      <c r="U3" s="19"/>
      <c r="V3" s="19"/>
      <c r="W3" s="19"/>
      <c r="X3" s="20"/>
    </row>
    <row r="4" spans="1:32" s="21" customFormat="1" ht="15" customHeight="1">
      <c r="A4" s="895" t="s">
        <v>88</v>
      </c>
      <c r="B4" s="897" t="s">
        <v>89</v>
      </c>
      <c r="C4" s="884" t="s">
        <v>90</v>
      </c>
      <c r="D4" s="884"/>
      <c r="E4" s="884"/>
      <c r="F4" s="885" t="s">
        <v>91</v>
      </c>
      <c r="G4" s="884" t="s">
        <v>92</v>
      </c>
      <c r="H4" s="884"/>
      <c r="I4" s="887"/>
      <c r="J4" s="878" t="s">
        <v>93</v>
      </c>
      <c r="K4" s="879"/>
      <c r="L4" s="880" t="s">
        <v>94</v>
      </c>
      <c r="M4" s="881"/>
      <c r="N4" s="881"/>
      <c r="R4" s="882" t="s">
        <v>95</v>
      </c>
      <c r="S4" s="872" t="s">
        <v>96</v>
      </c>
      <c r="T4" s="872" t="s">
        <v>97</v>
      </c>
      <c r="U4" s="872" t="s">
        <v>98</v>
      </c>
      <c r="V4" s="872" t="s">
        <v>99</v>
      </c>
      <c r="W4" s="874" t="s">
        <v>100</v>
      </c>
      <c r="X4" s="876" t="s">
        <v>101</v>
      </c>
    </row>
    <row r="5" spans="1:32" s="29" customFormat="1" ht="15" customHeight="1" thickBot="1">
      <c r="A5" s="896"/>
      <c r="B5" s="898"/>
      <c r="C5" s="23" t="s">
        <v>102</v>
      </c>
      <c r="D5" s="23" t="s">
        <v>103</v>
      </c>
      <c r="E5" s="23" t="s">
        <v>104</v>
      </c>
      <c r="F5" s="886"/>
      <c r="G5" s="23" t="s">
        <v>105</v>
      </c>
      <c r="H5" s="23" t="s">
        <v>89</v>
      </c>
      <c r="I5" s="24" t="s">
        <v>21</v>
      </c>
      <c r="J5" s="25" t="s">
        <v>106</v>
      </c>
      <c r="K5" s="26" t="s">
        <v>107</v>
      </c>
      <c r="L5" s="27" t="s">
        <v>105</v>
      </c>
      <c r="M5" s="28" t="s">
        <v>89</v>
      </c>
      <c r="N5" s="28" t="s">
        <v>21</v>
      </c>
      <c r="R5" s="883"/>
      <c r="S5" s="873"/>
      <c r="T5" s="873"/>
      <c r="U5" s="873"/>
      <c r="V5" s="873"/>
      <c r="W5" s="875"/>
      <c r="X5" s="876"/>
    </row>
    <row r="6" spans="1:32" s="58" customFormat="1" ht="15" customHeight="1">
      <c r="A6" s="908"/>
      <c r="B6" s="905" t="s">
        <v>108</v>
      </c>
      <c r="C6" s="863">
        <v>300</v>
      </c>
      <c r="D6" s="863">
        <v>560</v>
      </c>
      <c r="E6" s="863">
        <v>720</v>
      </c>
      <c r="F6" s="888">
        <v>1</v>
      </c>
      <c r="G6" s="69" t="s">
        <v>291</v>
      </c>
      <c r="H6" s="69" t="s">
        <v>292</v>
      </c>
      <c r="I6" s="70">
        <f>F6</f>
        <v>1</v>
      </c>
      <c r="J6" s="65" t="e">
        <f>I6*#REF!</f>
        <v>#REF!</v>
      </c>
      <c r="K6" s="55"/>
      <c r="L6" s="56"/>
      <c r="M6" s="56"/>
      <c r="N6" s="56"/>
      <c r="O6" s="56"/>
      <c r="P6" s="56"/>
      <c r="Q6" s="57" t="e">
        <f t="shared" ref="Q6:Q11" si="0">J6*560*720/1000000/0.9</f>
        <v>#REF!</v>
      </c>
      <c r="R6" s="57"/>
      <c r="S6" s="57"/>
    </row>
    <row r="7" spans="1:32" s="58" customFormat="1" ht="15" customHeight="1">
      <c r="A7" s="909"/>
      <c r="B7" s="906"/>
      <c r="C7" s="858"/>
      <c r="D7" s="858"/>
      <c r="E7" s="858"/>
      <c r="F7" s="889"/>
      <c r="G7" s="54" t="s">
        <v>115</v>
      </c>
      <c r="H7" s="54" t="s">
        <v>116</v>
      </c>
      <c r="I7" s="71">
        <f>F6</f>
        <v>1</v>
      </c>
      <c r="J7" s="65" t="e">
        <f>I7*#REF!</f>
        <v>#REF!</v>
      </c>
      <c r="K7" s="55"/>
      <c r="L7" s="56"/>
      <c r="M7" s="56"/>
      <c r="N7" s="56"/>
      <c r="O7" s="56"/>
      <c r="P7" s="56"/>
      <c r="Q7" s="57" t="e">
        <f t="shared" si="0"/>
        <v>#REF!</v>
      </c>
      <c r="R7" s="57"/>
      <c r="S7" s="57"/>
    </row>
    <row r="8" spans="1:32" s="58" customFormat="1" ht="15" customHeight="1">
      <c r="A8" s="909"/>
      <c r="B8" s="906"/>
      <c r="C8" s="858"/>
      <c r="D8" s="858"/>
      <c r="E8" s="858"/>
      <c r="F8" s="889"/>
      <c r="G8" s="54" t="s">
        <v>218</v>
      </c>
      <c r="H8" s="54" t="s">
        <v>219</v>
      </c>
      <c r="I8" s="71">
        <f>F6</f>
        <v>1</v>
      </c>
      <c r="J8" s="65" t="e">
        <f>I8*#REF!</f>
        <v>#REF!</v>
      </c>
      <c r="K8" s="55"/>
      <c r="L8" s="56"/>
      <c r="M8" s="56"/>
      <c r="N8" s="56"/>
      <c r="O8" s="56"/>
      <c r="P8" s="56"/>
      <c r="Q8" s="57" t="e">
        <f t="shared" si="0"/>
        <v>#REF!</v>
      </c>
      <c r="R8" s="57"/>
      <c r="S8" s="57"/>
    </row>
    <row r="9" spans="1:32" s="58" customFormat="1" ht="15" customHeight="1">
      <c r="A9" s="909"/>
      <c r="B9" s="906"/>
      <c r="C9" s="858"/>
      <c r="D9" s="858"/>
      <c r="E9" s="858"/>
      <c r="F9" s="889"/>
      <c r="G9" s="54" t="s">
        <v>293</v>
      </c>
      <c r="H9" s="54" t="s">
        <v>294</v>
      </c>
      <c r="I9" s="71">
        <f>F6</f>
        <v>1</v>
      </c>
      <c r="J9" s="65" t="e">
        <f>I9*#REF!</f>
        <v>#REF!</v>
      </c>
      <c r="K9" s="55"/>
      <c r="L9" s="56"/>
      <c r="M9" s="56"/>
      <c r="N9" s="56"/>
      <c r="O9" s="56"/>
      <c r="P9" s="56"/>
      <c r="Q9" s="57" t="e">
        <f t="shared" si="0"/>
        <v>#REF!</v>
      </c>
      <c r="R9" s="57"/>
      <c r="S9" s="57"/>
    </row>
    <row r="10" spans="1:32" s="58" customFormat="1" ht="15" customHeight="1">
      <c r="A10" s="909"/>
      <c r="B10" s="906"/>
      <c r="C10" s="858"/>
      <c r="D10" s="858"/>
      <c r="E10" s="858"/>
      <c r="F10" s="889"/>
      <c r="G10" s="54" t="s">
        <v>222</v>
      </c>
      <c r="H10" s="54" t="s">
        <v>223</v>
      </c>
      <c r="I10" s="71">
        <f>F6</f>
        <v>1</v>
      </c>
      <c r="J10" s="65" t="e">
        <f>I10*#REF!</f>
        <v>#REF!</v>
      </c>
      <c r="K10" s="55"/>
      <c r="L10" s="56"/>
      <c r="M10" s="56"/>
      <c r="N10" s="56"/>
      <c r="O10" s="56"/>
      <c r="P10" s="56"/>
      <c r="Q10" s="57" t="e">
        <f t="shared" si="0"/>
        <v>#REF!</v>
      </c>
      <c r="R10" s="57"/>
      <c r="S10" s="57"/>
    </row>
    <row r="11" spans="1:32" s="58" customFormat="1" ht="15" customHeight="1" thickBot="1">
      <c r="A11" s="909"/>
      <c r="B11" s="906"/>
      <c r="C11" s="859"/>
      <c r="D11" s="859"/>
      <c r="E11" s="859"/>
      <c r="F11" s="889"/>
      <c r="G11" s="54" t="s">
        <v>226</v>
      </c>
      <c r="H11" s="54" t="s">
        <v>227</v>
      </c>
      <c r="I11" s="71">
        <f>F6*2</f>
        <v>2</v>
      </c>
      <c r="J11" s="65" t="e">
        <f>I11*#REF!</f>
        <v>#REF!</v>
      </c>
      <c r="K11" s="55"/>
      <c r="L11" s="56"/>
      <c r="M11" s="56"/>
      <c r="N11" s="56"/>
      <c r="O11" s="56"/>
      <c r="P11" s="56"/>
      <c r="Q11" s="57" t="e">
        <f t="shared" si="0"/>
        <v>#REF!</v>
      </c>
      <c r="R11" s="57"/>
      <c r="S11" s="57"/>
    </row>
    <row r="12" spans="1:32" s="21" customFormat="1" ht="15" customHeight="1">
      <c r="A12" s="909"/>
      <c r="B12" s="906"/>
      <c r="C12" s="863">
        <v>450</v>
      </c>
      <c r="D12" s="863">
        <v>560</v>
      </c>
      <c r="E12" s="863">
        <v>720</v>
      </c>
      <c r="F12" s="863">
        <v>1</v>
      </c>
      <c r="G12" s="30" t="s">
        <v>109</v>
      </c>
      <c r="H12" s="30" t="s">
        <v>110</v>
      </c>
      <c r="I12" s="31">
        <f>F12</f>
        <v>1</v>
      </c>
      <c r="J12" s="877">
        <v>35</v>
      </c>
      <c r="K12" s="32">
        <f>I12*J12</f>
        <v>35</v>
      </c>
      <c r="L12" s="33" t="s">
        <v>111</v>
      </c>
      <c r="M12" s="34" t="s">
        <v>112</v>
      </c>
      <c r="N12" s="34">
        <v>1</v>
      </c>
      <c r="O12" s="35" t="s">
        <v>113</v>
      </c>
      <c r="P12" s="35" t="s">
        <v>114</v>
      </c>
      <c r="Q12" s="36">
        <v>24</v>
      </c>
      <c r="R12" s="37">
        <f>K12*560*720/1000000/0.9</f>
        <v>15.68</v>
      </c>
      <c r="S12" s="38">
        <f>K12*((560+720)*2+40)/1000</f>
        <v>91</v>
      </c>
      <c r="T12" s="38">
        <f>S12-U12</f>
        <v>25.200000000000003</v>
      </c>
      <c r="U12" s="38">
        <f>S12-0.72*K12</f>
        <v>65.8</v>
      </c>
      <c r="V12" s="855">
        <f>J12*11</f>
        <v>385</v>
      </c>
      <c r="W12" s="39">
        <f>K12*560*720*16/1000000000</f>
        <v>0.22579199999999999</v>
      </c>
      <c r="X12" s="20">
        <v>0</v>
      </c>
    </row>
    <row r="13" spans="1:32" s="21" customFormat="1" ht="15" customHeight="1">
      <c r="A13" s="909"/>
      <c r="B13" s="906"/>
      <c r="C13" s="858"/>
      <c r="D13" s="858"/>
      <c r="E13" s="858"/>
      <c r="F13" s="858"/>
      <c r="G13" s="34" t="s">
        <v>115</v>
      </c>
      <c r="H13" s="34" t="s">
        <v>116</v>
      </c>
      <c r="I13" s="40">
        <f>F12</f>
        <v>1</v>
      </c>
      <c r="J13" s="861"/>
      <c r="K13" s="32">
        <f>I13*J12</f>
        <v>35</v>
      </c>
      <c r="L13" s="33" t="s">
        <v>117</v>
      </c>
      <c r="M13" s="34" t="s">
        <v>118</v>
      </c>
      <c r="N13" s="34">
        <v>1</v>
      </c>
      <c r="O13" s="35" t="s">
        <v>119</v>
      </c>
      <c r="P13" s="35" t="s">
        <v>114</v>
      </c>
      <c r="Q13" s="36">
        <v>24</v>
      </c>
      <c r="R13" s="37">
        <f>K13*560*720/1000000/0.9</f>
        <v>15.68</v>
      </c>
      <c r="S13" s="38">
        <f t="shared" ref="S13:S56" si="1">K13*((560+720)*2+40)/1000</f>
        <v>91</v>
      </c>
      <c r="T13" s="38">
        <f t="shared" ref="T13:T99" si="2">S13-U13</f>
        <v>25.200000000000003</v>
      </c>
      <c r="U13" s="38">
        <f t="shared" ref="U13:U94" si="3">S13-0.72*K13</f>
        <v>65.8</v>
      </c>
      <c r="V13" s="856"/>
      <c r="W13" s="39">
        <f t="shared" ref="W13:W56" si="4">K13*560*720*16/1000000000</f>
        <v>0.22579199999999999</v>
      </c>
      <c r="X13" s="41">
        <v>0</v>
      </c>
      <c r="AB13" s="42" t="s">
        <v>120</v>
      </c>
      <c r="AC13" s="18" t="s">
        <v>114</v>
      </c>
      <c r="AD13" s="18">
        <v>147</v>
      </c>
      <c r="AE13" s="21">
        <f>AD13/AF13</f>
        <v>36.75</v>
      </c>
      <c r="AF13" s="21">
        <v>4</v>
      </c>
    </row>
    <row r="14" spans="1:32" ht="15" customHeight="1">
      <c r="A14" s="909"/>
      <c r="B14" s="906"/>
      <c r="C14" s="858"/>
      <c r="D14" s="858"/>
      <c r="E14" s="858"/>
      <c r="F14" s="858"/>
      <c r="G14" s="34" t="s">
        <v>121</v>
      </c>
      <c r="H14" s="34" t="s">
        <v>122</v>
      </c>
      <c r="I14" s="40">
        <f>F12</f>
        <v>1</v>
      </c>
      <c r="J14" s="861"/>
      <c r="K14" s="32">
        <f>I14*J12</f>
        <v>35</v>
      </c>
      <c r="L14" s="33" t="s">
        <v>123</v>
      </c>
      <c r="M14" s="34" t="s">
        <v>124</v>
      </c>
      <c r="N14" s="34">
        <v>1</v>
      </c>
      <c r="O14" s="35" t="s">
        <v>125</v>
      </c>
      <c r="P14" s="35" t="s">
        <v>114</v>
      </c>
      <c r="Q14" s="36">
        <v>20</v>
      </c>
      <c r="R14" s="37">
        <f>K14*560*417/1000000/0.9</f>
        <v>9.0813333333333333</v>
      </c>
      <c r="S14" s="38">
        <f>K14*((560+417)*2+40)/1000</f>
        <v>69.790000000000006</v>
      </c>
      <c r="T14" s="38">
        <f t="shared" si="2"/>
        <v>14.594999999999999</v>
      </c>
      <c r="U14" s="38">
        <f>S14-0.417*K14</f>
        <v>55.195000000000007</v>
      </c>
      <c r="V14" s="856"/>
      <c r="W14" s="39">
        <f>K14*560*417*16/1000000000</f>
        <v>0.1307712</v>
      </c>
      <c r="X14" s="43">
        <v>1</v>
      </c>
      <c r="Y14" s="21"/>
      <c r="Z14" s="21"/>
      <c r="AB14" s="42" t="s">
        <v>126</v>
      </c>
      <c r="AC14" s="18" t="s">
        <v>114</v>
      </c>
      <c r="AD14" s="18">
        <v>142</v>
      </c>
      <c r="AE14" s="21">
        <f t="shared" ref="AE14:AE28" si="5">AD14/AF14</f>
        <v>35.5</v>
      </c>
      <c r="AF14" s="21">
        <v>4</v>
      </c>
    </row>
    <row r="15" spans="1:32" ht="15" customHeight="1">
      <c r="A15" s="909"/>
      <c r="B15" s="906"/>
      <c r="C15" s="858"/>
      <c r="D15" s="858"/>
      <c r="E15" s="858"/>
      <c r="F15" s="858"/>
      <c r="G15" s="34" t="s">
        <v>127</v>
      </c>
      <c r="H15" s="34" t="s">
        <v>128</v>
      </c>
      <c r="I15" s="40">
        <f>F12</f>
        <v>1</v>
      </c>
      <c r="J15" s="861"/>
      <c r="K15" s="32">
        <f>I15*J12</f>
        <v>35</v>
      </c>
      <c r="L15" s="33" t="s">
        <v>129</v>
      </c>
      <c r="M15" s="34" t="s">
        <v>130</v>
      </c>
      <c r="N15" s="34">
        <v>1</v>
      </c>
      <c r="O15" s="35"/>
      <c r="P15" s="35"/>
      <c r="Q15" s="36"/>
      <c r="R15" s="37">
        <f>K15*514*416/1000000/0.9</f>
        <v>8.315377777777778</v>
      </c>
      <c r="S15" s="38">
        <f>K15*((514+416)*2+40)/1000</f>
        <v>66.5</v>
      </c>
      <c r="T15" s="38">
        <f t="shared" si="2"/>
        <v>14.560000000000002</v>
      </c>
      <c r="U15" s="38">
        <f>S15-0.416*K15</f>
        <v>51.94</v>
      </c>
      <c r="V15" s="856"/>
      <c r="W15" s="39">
        <f>K15*514*416*16/1000000000</f>
        <v>0.11974144</v>
      </c>
      <c r="X15" s="43">
        <v>0</v>
      </c>
      <c r="Y15" s="21"/>
      <c r="Z15" s="21"/>
      <c r="AB15" s="42" t="s">
        <v>131</v>
      </c>
      <c r="AC15" s="18" t="s">
        <v>114</v>
      </c>
      <c r="AD15" s="18">
        <v>140</v>
      </c>
      <c r="AE15" s="21">
        <f t="shared" si="5"/>
        <v>35</v>
      </c>
      <c r="AF15" s="21">
        <v>4</v>
      </c>
    </row>
    <row r="16" spans="1:32" ht="15" customHeight="1">
      <c r="A16" s="909"/>
      <c r="B16" s="906"/>
      <c r="C16" s="858"/>
      <c r="D16" s="858"/>
      <c r="E16" s="858"/>
      <c r="F16" s="858"/>
      <c r="G16" s="34" t="s">
        <v>132</v>
      </c>
      <c r="H16" s="34" t="s">
        <v>133</v>
      </c>
      <c r="I16" s="40">
        <f>F12</f>
        <v>1</v>
      </c>
      <c r="J16" s="861"/>
      <c r="K16" s="32">
        <f>I16*J12</f>
        <v>35</v>
      </c>
      <c r="L16" s="33" t="s">
        <v>134</v>
      </c>
      <c r="M16" s="34" t="s">
        <v>135</v>
      </c>
      <c r="N16" s="34">
        <v>1</v>
      </c>
      <c r="O16" s="35"/>
      <c r="P16" s="35"/>
      <c r="Q16" s="36"/>
      <c r="R16" s="37">
        <f>K16*708*428/1000000/0.9</f>
        <v>11.784266666666667</v>
      </c>
      <c r="S16" s="38"/>
      <c r="T16" s="38"/>
      <c r="U16" s="38"/>
      <c r="V16" s="856"/>
      <c r="W16" s="39">
        <f>K16*708*428*3/1000000000</f>
        <v>3.1817520000000002E-2</v>
      </c>
      <c r="X16" s="43">
        <v>1</v>
      </c>
      <c r="Y16" s="21"/>
      <c r="Z16" s="21"/>
      <c r="AB16" s="42" t="s">
        <v>136</v>
      </c>
      <c r="AC16" s="18" t="s">
        <v>114</v>
      </c>
      <c r="AD16" s="18">
        <v>136</v>
      </c>
      <c r="AE16" s="21">
        <f t="shared" si="5"/>
        <v>34</v>
      </c>
      <c r="AF16" s="21">
        <v>4</v>
      </c>
    </row>
    <row r="17" spans="1:32" ht="15" customHeight="1" thickBot="1">
      <c r="A17" s="909"/>
      <c r="B17" s="906"/>
      <c r="C17" s="859"/>
      <c r="D17" s="859"/>
      <c r="E17" s="859"/>
      <c r="F17" s="859"/>
      <c r="G17" s="45" t="s">
        <v>137</v>
      </c>
      <c r="H17" s="45" t="s">
        <v>138</v>
      </c>
      <c r="I17" s="46">
        <f>F12*2</f>
        <v>2</v>
      </c>
      <c r="J17" s="862"/>
      <c r="K17" s="47">
        <f>I17*J12</f>
        <v>70</v>
      </c>
      <c r="L17" s="33" t="s">
        <v>139</v>
      </c>
      <c r="M17" s="34" t="s">
        <v>140</v>
      </c>
      <c r="N17" s="34">
        <v>2</v>
      </c>
      <c r="O17" s="35"/>
      <c r="P17" s="35"/>
      <c r="Q17" s="36"/>
      <c r="R17" s="37">
        <f>K17*88*417/1000000/0.9</f>
        <v>2.854133333333333</v>
      </c>
      <c r="S17" s="38">
        <f>K17*((88+417)+10)/1000</f>
        <v>36.049999999999997</v>
      </c>
      <c r="T17" s="38">
        <f t="shared" si="2"/>
        <v>29.189999999999998</v>
      </c>
      <c r="U17" s="38">
        <f>S17-0.417*K17</f>
        <v>6.8599999999999994</v>
      </c>
      <c r="V17" s="857"/>
      <c r="W17" s="39">
        <f>K17*88*417*16/1000000000</f>
        <v>4.109952E-2</v>
      </c>
      <c r="X17" s="43">
        <v>1</v>
      </c>
      <c r="Y17" s="21"/>
      <c r="Z17" s="21"/>
      <c r="AB17" s="42" t="s">
        <v>141</v>
      </c>
      <c r="AC17" s="18" t="s">
        <v>114</v>
      </c>
      <c r="AD17" s="18">
        <v>117</v>
      </c>
      <c r="AE17" s="21">
        <f t="shared" si="5"/>
        <v>29.25</v>
      </c>
      <c r="AF17" s="21">
        <v>4</v>
      </c>
    </row>
    <row r="18" spans="1:32" customFormat="1" ht="15" customHeight="1">
      <c r="A18" s="909"/>
      <c r="B18" s="906"/>
      <c r="C18" s="917">
        <v>600</v>
      </c>
      <c r="D18" s="917">
        <v>560</v>
      </c>
      <c r="E18" s="917">
        <v>720</v>
      </c>
      <c r="F18" s="893">
        <v>1</v>
      </c>
      <c r="G18" s="54" t="s">
        <v>291</v>
      </c>
      <c r="H18" s="54" t="s">
        <v>292</v>
      </c>
      <c r="I18" s="71">
        <f>F18</f>
        <v>1</v>
      </c>
      <c r="J18" s="66" t="e">
        <f>I18*#REF!</f>
        <v>#REF!</v>
      </c>
      <c r="K18" s="55"/>
      <c r="L18" s="1"/>
      <c r="M18" s="1"/>
      <c r="N18" s="1"/>
      <c r="O18" s="1"/>
      <c r="P18" s="1"/>
      <c r="Q18" s="57" t="e">
        <f>J18*560*720/1000000/0.9</f>
        <v>#REF!</v>
      </c>
      <c r="R18" s="57"/>
      <c r="S18" s="57"/>
      <c r="T18" s="43">
        <v>1</v>
      </c>
    </row>
    <row r="19" spans="1:32" customFormat="1" ht="15" customHeight="1">
      <c r="A19" s="909"/>
      <c r="B19" s="906"/>
      <c r="C19" s="918"/>
      <c r="D19" s="918"/>
      <c r="E19" s="918"/>
      <c r="F19" s="893"/>
      <c r="G19" s="54" t="s">
        <v>115</v>
      </c>
      <c r="H19" s="54" t="s">
        <v>116</v>
      </c>
      <c r="I19" s="71">
        <f>F18</f>
        <v>1</v>
      </c>
      <c r="J19" s="66" t="e">
        <f>I19*#REF!</f>
        <v>#REF!</v>
      </c>
      <c r="K19" s="55"/>
      <c r="L19" s="1"/>
      <c r="M19" s="1"/>
      <c r="N19" s="1"/>
      <c r="O19" s="1"/>
      <c r="P19" s="1"/>
      <c r="Q19" s="57" t="e">
        <f>J19*560*720/1000000/0.9</f>
        <v>#REF!</v>
      </c>
      <c r="R19" s="57"/>
      <c r="S19" s="57"/>
      <c r="T19" s="43">
        <v>1</v>
      </c>
    </row>
    <row r="20" spans="1:32" customFormat="1" ht="15" customHeight="1">
      <c r="A20" s="909"/>
      <c r="B20" s="906"/>
      <c r="C20" s="918"/>
      <c r="D20" s="918"/>
      <c r="E20" s="918"/>
      <c r="F20" s="893"/>
      <c r="G20" s="54" t="s">
        <v>153</v>
      </c>
      <c r="H20" s="54" t="s">
        <v>154</v>
      </c>
      <c r="I20" s="71">
        <f>F18</f>
        <v>1</v>
      </c>
      <c r="J20" s="66" t="e">
        <f>I20*#REF!</f>
        <v>#REF!</v>
      </c>
      <c r="K20" s="55"/>
      <c r="L20" s="1"/>
      <c r="M20" s="1"/>
      <c r="N20" s="1"/>
      <c r="O20" s="1"/>
      <c r="P20" s="1"/>
      <c r="Q20" s="57" t="e">
        <f>J20*560*567/1000000/0.9</f>
        <v>#REF!</v>
      </c>
      <c r="R20" s="57"/>
      <c r="S20" s="57"/>
      <c r="T20" s="43">
        <v>0</v>
      </c>
    </row>
    <row r="21" spans="1:32" customFormat="1" ht="15" customHeight="1">
      <c r="A21" s="909"/>
      <c r="B21" s="906"/>
      <c r="C21" s="918"/>
      <c r="D21" s="918"/>
      <c r="E21" s="918"/>
      <c r="F21" s="893"/>
      <c r="G21" s="54" t="s">
        <v>295</v>
      </c>
      <c r="H21" s="54" t="s">
        <v>296</v>
      </c>
      <c r="I21" s="71">
        <f>F18</f>
        <v>1</v>
      </c>
      <c r="J21" s="66" t="e">
        <f>I21*#REF!</f>
        <v>#REF!</v>
      </c>
      <c r="K21" s="55"/>
      <c r="L21" s="1"/>
      <c r="M21" s="1"/>
      <c r="N21" s="1"/>
      <c r="O21" s="1"/>
      <c r="P21" s="1"/>
      <c r="Q21" s="57" t="e">
        <f>J21*514*566/1000000/0.9</f>
        <v>#REF!</v>
      </c>
      <c r="R21" s="57"/>
      <c r="S21" s="57"/>
      <c r="T21" s="43">
        <v>0</v>
      </c>
    </row>
    <row r="22" spans="1:32" customFormat="1" ht="15" customHeight="1">
      <c r="A22" s="909"/>
      <c r="B22" s="906"/>
      <c r="C22" s="918"/>
      <c r="D22" s="918"/>
      <c r="E22" s="918"/>
      <c r="F22" s="893"/>
      <c r="G22" s="54" t="s">
        <v>157</v>
      </c>
      <c r="H22" s="54" t="s">
        <v>158</v>
      </c>
      <c r="I22" s="71">
        <f>F18</f>
        <v>1</v>
      </c>
      <c r="J22" s="66" t="e">
        <f>I22*#REF!</f>
        <v>#REF!</v>
      </c>
      <c r="K22" s="55"/>
      <c r="L22" s="1"/>
      <c r="M22" s="1"/>
      <c r="N22" s="1"/>
      <c r="O22" s="1"/>
      <c r="P22" s="1"/>
      <c r="Q22" s="57" t="e">
        <f>J22*708*578/1000000/0.9</f>
        <v>#REF!</v>
      </c>
      <c r="R22" s="57"/>
      <c r="S22" s="57"/>
      <c r="T22" s="43">
        <v>0</v>
      </c>
    </row>
    <row r="23" spans="1:32" customFormat="1" ht="15" customHeight="1" thickBot="1">
      <c r="A23" s="910"/>
      <c r="B23" s="907"/>
      <c r="C23" s="919"/>
      <c r="D23" s="919"/>
      <c r="E23" s="919"/>
      <c r="F23" s="893"/>
      <c r="G23" s="54" t="s">
        <v>161</v>
      </c>
      <c r="H23" s="54" t="s">
        <v>162</v>
      </c>
      <c r="I23" s="71">
        <f>F18*2</f>
        <v>2</v>
      </c>
      <c r="J23" s="66" t="e">
        <f>I23*#REF!</f>
        <v>#REF!</v>
      </c>
      <c r="K23" s="55"/>
      <c r="L23" s="1"/>
      <c r="M23" s="1"/>
      <c r="N23" s="1"/>
      <c r="O23" s="1"/>
      <c r="P23" s="1"/>
      <c r="Q23" s="57" t="e">
        <f>J23*88*567/1000000/0.9</f>
        <v>#REF!</v>
      </c>
      <c r="R23" s="57" t="e">
        <f t="shared" ref="R23" si="6">J23*((88+417)+10)/1000</f>
        <v>#REF!</v>
      </c>
      <c r="S23" s="57" t="e">
        <f t="shared" ref="S23" si="7">J23*88*417*16/1000000000</f>
        <v>#REF!</v>
      </c>
      <c r="T23" s="43">
        <v>1</v>
      </c>
    </row>
    <row r="24" spans="1:32" ht="15" customHeight="1">
      <c r="A24" s="866"/>
      <c r="B24" s="869" t="s">
        <v>142</v>
      </c>
      <c r="C24" s="863">
        <v>450</v>
      </c>
      <c r="D24" s="863">
        <v>560</v>
      </c>
      <c r="E24" s="863">
        <v>720</v>
      </c>
      <c r="F24" s="863">
        <v>1</v>
      </c>
      <c r="G24" s="30" t="s">
        <v>143</v>
      </c>
      <c r="H24" s="30" t="s">
        <v>144</v>
      </c>
      <c r="I24" s="31">
        <f>F24</f>
        <v>1</v>
      </c>
      <c r="J24" s="860">
        <v>25</v>
      </c>
      <c r="K24" s="32">
        <f>I24*J24</f>
        <v>25</v>
      </c>
      <c r="L24" s="33" t="s">
        <v>145</v>
      </c>
      <c r="M24" s="34" t="s">
        <v>146</v>
      </c>
      <c r="N24" s="34">
        <v>1</v>
      </c>
      <c r="R24" s="37">
        <f>K24*560*720/1000000/0.9</f>
        <v>11.2</v>
      </c>
      <c r="S24" s="38">
        <f t="shared" si="1"/>
        <v>65</v>
      </c>
      <c r="T24" s="38">
        <f t="shared" si="2"/>
        <v>18</v>
      </c>
      <c r="U24" s="38">
        <f>S24-0.72*K24</f>
        <v>47</v>
      </c>
      <c r="V24" s="855">
        <f>J24*13</f>
        <v>325</v>
      </c>
      <c r="W24" s="39">
        <f t="shared" si="4"/>
        <v>0.16128000000000001</v>
      </c>
      <c r="X24" s="43">
        <v>1</v>
      </c>
      <c r="Y24" s="21"/>
      <c r="Z24" s="21"/>
      <c r="AB24" s="42" t="s">
        <v>147</v>
      </c>
      <c r="AC24" s="18" t="s">
        <v>114</v>
      </c>
      <c r="AD24" s="18">
        <v>105</v>
      </c>
      <c r="AE24" s="21">
        <f t="shared" si="5"/>
        <v>26.25</v>
      </c>
      <c r="AF24" s="21">
        <v>4</v>
      </c>
    </row>
    <row r="25" spans="1:32" ht="15" customHeight="1">
      <c r="A25" s="867"/>
      <c r="B25" s="870"/>
      <c r="C25" s="858"/>
      <c r="D25" s="858"/>
      <c r="E25" s="858"/>
      <c r="F25" s="858"/>
      <c r="G25" s="34" t="s">
        <v>148</v>
      </c>
      <c r="H25" s="34" t="s">
        <v>149</v>
      </c>
      <c r="I25" s="40">
        <f>F24</f>
        <v>1</v>
      </c>
      <c r="J25" s="861"/>
      <c r="K25" s="32">
        <f>I25*J24</f>
        <v>25</v>
      </c>
      <c r="L25" s="33" t="s">
        <v>150</v>
      </c>
      <c r="M25" s="34" t="s">
        <v>151</v>
      </c>
      <c r="N25" s="34">
        <v>1</v>
      </c>
      <c r="R25" s="37">
        <f>K25*560*720/1000000/0.9</f>
        <v>11.2</v>
      </c>
      <c r="S25" s="38">
        <f t="shared" si="1"/>
        <v>65</v>
      </c>
      <c r="T25" s="38">
        <f t="shared" si="2"/>
        <v>18</v>
      </c>
      <c r="U25" s="38">
        <f t="shared" si="3"/>
        <v>47</v>
      </c>
      <c r="V25" s="856"/>
      <c r="W25" s="39">
        <f t="shared" si="4"/>
        <v>0.16128000000000001</v>
      </c>
      <c r="X25" s="43">
        <v>1</v>
      </c>
      <c r="Y25" s="21"/>
      <c r="Z25" s="21"/>
      <c r="AB25" s="42" t="s">
        <v>152</v>
      </c>
      <c r="AC25" s="18" t="s">
        <v>114</v>
      </c>
      <c r="AD25" s="18">
        <v>98</v>
      </c>
      <c r="AE25" s="21">
        <f t="shared" si="5"/>
        <v>24.5</v>
      </c>
      <c r="AF25" s="21">
        <v>4</v>
      </c>
    </row>
    <row r="26" spans="1:32" ht="15" customHeight="1">
      <c r="A26" s="867"/>
      <c r="B26" s="870"/>
      <c r="C26" s="858"/>
      <c r="D26" s="858"/>
      <c r="E26" s="858"/>
      <c r="F26" s="858"/>
      <c r="G26" s="34" t="s">
        <v>121</v>
      </c>
      <c r="H26" s="34" t="s">
        <v>122</v>
      </c>
      <c r="I26" s="40">
        <f>F24</f>
        <v>1</v>
      </c>
      <c r="J26" s="861"/>
      <c r="K26" s="32">
        <f>I26*J24</f>
        <v>25</v>
      </c>
      <c r="L26" s="33" t="s">
        <v>123</v>
      </c>
      <c r="M26" s="34" t="s">
        <v>124</v>
      </c>
      <c r="N26" s="34">
        <v>1</v>
      </c>
      <c r="R26" s="37">
        <f>K26*560*417/1000000/0.9</f>
        <v>6.4866666666666664</v>
      </c>
      <c r="S26" s="38">
        <f>K26*((560+417)*2+40)/1000</f>
        <v>49.85</v>
      </c>
      <c r="T26" s="38">
        <f t="shared" si="2"/>
        <v>10.424999999999997</v>
      </c>
      <c r="U26" s="38">
        <f>S26-0.417*K26</f>
        <v>39.425000000000004</v>
      </c>
      <c r="V26" s="856"/>
      <c r="W26" s="39">
        <f>K26*560*417*16/1000000000</f>
        <v>9.3408000000000005E-2</v>
      </c>
      <c r="X26" s="43">
        <v>1</v>
      </c>
      <c r="Y26" s="21"/>
      <c r="Z26" s="21"/>
      <c r="AB26" s="42" t="s">
        <v>113</v>
      </c>
      <c r="AC26" s="18" t="s">
        <v>114</v>
      </c>
      <c r="AD26" s="18">
        <v>97</v>
      </c>
      <c r="AE26" s="21">
        <f t="shared" si="5"/>
        <v>24.25</v>
      </c>
      <c r="AF26" s="21">
        <v>4</v>
      </c>
    </row>
    <row r="27" spans="1:32" ht="15" customHeight="1">
      <c r="A27" s="867"/>
      <c r="B27" s="870"/>
      <c r="C27" s="858"/>
      <c r="D27" s="858"/>
      <c r="E27" s="858"/>
      <c r="F27" s="858"/>
      <c r="G27" s="34" t="s">
        <v>132</v>
      </c>
      <c r="H27" s="34" t="s">
        <v>133</v>
      </c>
      <c r="I27" s="40">
        <f>F24</f>
        <v>1</v>
      </c>
      <c r="J27" s="861"/>
      <c r="K27" s="32">
        <f>I27*J24</f>
        <v>25</v>
      </c>
      <c r="L27" s="33" t="s">
        <v>134</v>
      </c>
      <c r="M27" s="34" t="s">
        <v>135</v>
      </c>
      <c r="N27" s="34">
        <v>1</v>
      </c>
      <c r="R27" s="37">
        <f>K27*708*428/1000000/0.9</f>
        <v>8.4173333333333336</v>
      </c>
      <c r="S27" s="38"/>
      <c r="T27" s="38"/>
      <c r="U27" s="38"/>
      <c r="V27" s="856"/>
      <c r="W27" s="39">
        <f>K27*560*428*3/1000000000</f>
        <v>1.7975999999999999E-2</v>
      </c>
      <c r="X27" s="43">
        <v>1</v>
      </c>
      <c r="Y27" s="21"/>
      <c r="Z27" s="21"/>
      <c r="AB27" s="42" t="s">
        <v>119</v>
      </c>
      <c r="AC27" s="18" t="s">
        <v>114</v>
      </c>
      <c r="AD27" s="18">
        <v>97</v>
      </c>
      <c r="AE27" s="21">
        <f t="shared" si="5"/>
        <v>24.25</v>
      </c>
      <c r="AF27" s="21">
        <v>4</v>
      </c>
    </row>
    <row r="28" spans="1:32" ht="15" customHeight="1" thickBot="1">
      <c r="A28" s="867"/>
      <c r="B28" s="870"/>
      <c r="C28" s="859"/>
      <c r="D28" s="859"/>
      <c r="E28" s="859"/>
      <c r="F28" s="859"/>
      <c r="G28" s="45" t="s">
        <v>137</v>
      </c>
      <c r="H28" s="45" t="s">
        <v>138</v>
      </c>
      <c r="I28" s="46">
        <f>F24*3</f>
        <v>3</v>
      </c>
      <c r="J28" s="862"/>
      <c r="K28" s="47">
        <f>I28*J24</f>
        <v>75</v>
      </c>
      <c r="L28" s="33" t="s">
        <v>139</v>
      </c>
      <c r="M28" s="34" t="s">
        <v>140</v>
      </c>
      <c r="N28" s="34">
        <v>3</v>
      </c>
      <c r="R28" s="37">
        <f>K28*88*417/1000000/0.9</f>
        <v>3.0580000000000003</v>
      </c>
      <c r="S28" s="38">
        <f>K28*((560+720)+10)/1000</f>
        <v>96.75</v>
      </c>
      <c r="T28" s="38">
        <f t="shared" si="2"/>
        <v>31.275000000000006</v>
      </c>
      <c r="U28" s="38">
        <f>S28-0.417*K28</f>
        <v>65.474999999999994</v>
      </c>
      <c r="V28" s="857"/>
      <c r="W28" s="39">
        <f t="shared" si="4"/>
        <v>0.48383999999999999</v>
      </c>
      <c r="X28" s="43">
        <v>1</v>
      </c>
      <c r="Y28" s="21"/>
      <c r="Z28" s="21"/>
      <c r="AB28" s="42" t="s">
        <v>125</v>
      </c>
      <c r="AC28" s="18" t="s">
        <v>114</v>
      </c>
      <c r="AD28" s="18">
        <v>80</v>
      </c>
      <c r="AE28" s="21">
        <f t="shared" si="5"/>
        <v>20</v>
      </c>
      <c r="AF28" s="21">
        <v>4</v>
      </c>
    </row>
    <row r="29" spans="1:32" ht="15" customHeight="1">
      <c r="A29" s="867"/>
      <c r="B29" s="870"/>
      <c r="C29" s="858">
        <v>600</v>
      </c>
      <c r="D29" s="858">
        <v>560</v>
      </c>
      <c r="E29" s="858">
        <v>720</v>
      </c>
      <c r="F29" s="858">
        <v>1</v>
      </c>
      <c r="G29" s="77" t="s">
        <v>143</v>
      </c>
      <c r="H29" s="77" t="s">
        <v>144</v>
      </c>
      <c r="I29" s="78">
        <f>F29</f>
        <v>1</v>
      </c>
      <c r="J29" s="860">
        <v>25</v>
      </c>
      <c r="K29" s="32">
        <f>I29*J29</f>
        <v>25</v>
      </c>
      <c r="L29" s="33" t="s">
        <v>145</v>
      </c>
      <c r="M29" s="34" t="s">
        <v>146</v>
      </c>
      <c r="N29" s="34">
        <v>1</v>
      </c>
      <c r="R29" s="37">
        <f>K29*560*720/1000000/0.9</f>
        <v>11.2</v>
      </c>
      <c r="S29" s="38">
        <f t="shared" si="1"/>
        <v>65</v>
      </c>
      <c r="T29" s="38">
        <f t="shared" si="2"/>
        <v>18</v>
      </c>
      <c r="U29" s="38">
        <f t="shared" si="3"/>
        <v>47</v>
      </c>
      <c r="V29" s="855">
        <f>J29*13</f>
        <v>325</v>
      </c>
      <c r="W29" s="39">
        <f t="shared" si="4"/>
        <v>0.16128000000000001</v>
      </c>
      <c r="X29" s="43">
        <v>1</v>
      </c>
      <c r="Y29" s="21"/>
      <c r="Z29" s="21"/>
    </row>
    <row r="30" spans="1:32" ht="15" customHeight="1">
      <c r="A30" s="867"/>
      <c r="B30" s="870"/>
      <c r="C30" s="858"/>
      <c r="D30" s="858"/>
      <c r="E30" s="858"/>
      <c r="F30" s="858"/>
      <c r="G30" s="34" t="s">
        <v>148</v>
      </c>
      <c r="H30" s="34" t="s">
        <v>149</v>
      </c>
      <c r="I30" s="40">
        <f>F29</f>
        <v>1</v>
      </c>
      <c r="J30" s="861"/>
      <c r="K30" s="32">
        <f>I30*J29</f>
        <v>25</v>
      </c>
      <c r="L30" s="33" t="s">
        <v>150</v>
      </c>
      <c r="M30" s="34" t="s">
        <v>151</v>
      </c>
      <c r="N30" s="34">
        <v>1</v>
      </c>
      <c r="R30" s="37">
        <f>K30*560*720/1000000/0.9</f>
        <v>11.2</v>
      </c>
      <c r="S30" s="38">
        <f t="shared" si="1"/>
        <v>65</v>
      </c>
      <c r="T30" s="38">
        <f t="shared" si="2"/>
        <v>18</v>
      </c>
      <c r="U30" s="38">
        <f t="shared" si="3"/>
        <v>47</v>
      </c>
      <c r="V30" s="856"/>
      <c r="W30" s="39">
        <f t="shared" si="4"/>
        <v>0.16128000000000001</v>
      </c>
      <c r="X30" s="43">
        <v>1</v>
      </c>
      <c r="Y30" s="21"/>
      <c r="Z30" s="21"/>
    </row>
    <row r="31" spans="1:32" ht="15" customHeight="1">
      <c r="A31" s="867"/>
      <c r="B31" s="870"/>
      <c r="C31" s="858"/>
      <c r="D31" s="858"/>
      <c r="E31" s="858"/>
      <c r="F31" s="858"/>
      <c r="G31" s="34" t="s">
        <v>153</v>
      </c>
      <c r="H31" s="34" t="s">
        <v>154</v>
      </c>
      <c r="I31" s="40">
        <f>F29</f>
        <v>1</v>
      </c>
      <c r="J31" s="861"/>
      <c r="K31" s="32">
        <f>I31*J29</f>
        <v>25</v>
      </c>
      <c r="L31" s="33" t="s">
        <v>155</v>
      </c>
      <c r="M31" s="34" t="s">
        <v>156</v>
      </c>
      <c r="N31" s="34">
        <v>1</v>
      </c>
      <c r="R31" s="37">
        <f>K31*560*567/1000000/0.9</f>
        <v>8.82</v>
      </c>
      <c r="S31" s="38">
        <f>K31*((560+567)*2+40)/1000</f>
        <v>57.35</v>
      </c>
      <c r="T31" s="38">
        <f t="shared" si="2"/>
        <v>14.174999999999997</v>
      </c>
      <c r="U31" s="38">
        <f>S31-0.567*K31</f>
        <v>43.175000000000004</v>
      </c>
      <c r="V31" s="856"/>
      <c r="W31" s="39">
        <f>K31*560*567*16/1000000000</f>
        <v>0.12700800000000001</v>
      </c>
      <c r="X31" s="43">
        <v>0</v>
      </c>
      <c r="Y31" s="21"/>
      <c r="Z31" s="21"/>
    </row>
    <row r="32" spans="1:32" ht="15" customHeight="1">
      <c r="A32" s="867"/>
      <c r="B32" s="870"/>
      <c r="C32" s="858"/>
      <c r="D32" s="858"/>
      <c r="E32" s="858"/>
      <c r="F32" s="858"/>
      <c r="G32" s="34" t="s">
        <v>157</v>
      </c>
      <c r="H32" s="34" t="s">
        <v>158</v>
      </c>
      <c r="I32" s="40">
        <f>F29</f>
        <v>1</v>
      </c>
      <c r="J32" s="861"/>
      <c r="K32" s="32">
        <f>I32*J29</f>
        <v>25</v>
      </c>
      <c r="L32" s="33" t="s">
        <v>159</v>
      </c>
      <c r="M32" s="34" t="s">
        <v>160</v>
      </c>
      <c r="N32" s="34">
        <v>1</v>
      </c>
      <c r="R32" s="37">
        <f>K32*708*578/1000000/0.9</f>
        <v>11.367333333333335</v>
      </c>
      <c r="S32" s="38"/>
      <c r="T32" s="38"/>
      <c r="U32" s="38"/>
      <c r="V32" s="856"/>
      <c r="W32" s="39">
        <f>K32*708*578*3/1000000000</f>
        <v>3.0691800000000002E-2</v>
      </c>
      <c r="X32" s="43">
        <v>0</v>
      </c>
      <c r="Y32" s="21"/>
      <c r="Z32" s="21"/>
    </row>
    <row r="33" spans="1:26" ht="15" customHeight="1" thickBot="1">
      <c r="A33" s="868"/>
      <c r="B33" s="871"/>
      <c r="C33" s="859"/>
      <c r="D33" s="859"/>
      <c r="E33" s="859"/>
      <c r="F33" s="859"/>
      <c r="G33" s="45" t="s">
        <v>161</v>
      </c>
      <c r="H33" s="45" t="s">
        <v>162</v>
      </c>
      <c r="I33" s="46">
        <f>F29*3</f>
        <v>3</v>
      </c>
      <c r="J33" s="862"/>
      <c r="K33" s="47">
        <f>I33*J29</f>
        <v>75</v>
      </c>
      <c r="L33" s="33" t="s">
        <v>163</v>
      </c>
      <c r="M33" s="34" t="s">
        <v>164</v>
      </c>
      <c r="N33" s="34">
        <v>3</v>
      </c>
      <c r="R33" s="37">
        <f>K33*88*567/1000000/0.9</f>
        <v>4.1579999999999995</v>
      </c>
      <c r="S33" s="38">
        <f>K33*((88+567)+10)/1000</f>
        <v>49.875</v>
      </c>
      <c r="T33" s="38">
        <f t="shared" si="2"/>
        <v>49.875</v>
      </c>
      <c r="U33" s="38"/>
      <c r="V33" s="857"/>
      <c r="W33" s="39">
        <f t="shared" si="4"/>
        <v>0.48383999999999999</v>
      </c>
      <c r="X33" s="43">
        <v>1</v>
      </c>
      <c r="Y33" s="21"/>
      <c r="Z33" s="21"/>
    </row>
    <row r="34" spans="1:26" customFormat="1" ht="15" customHeight="1">
      <c r="A34" s="866"/>
      <c r="B34" s="869" t="s">
        <v>297</v>
      </c>
      <c r="C34" s="863">
        <v>900</v>
      </c>
      <c r="D34" s="863">
        <v>560</v>
      </c>
      <c r="E34" s="863">
        <v>720</v>
      </c>
      <c r="F34" s="892">
        <v>1</v>
      </c>
      <c r="G34" s="69" t="s">
        <v>291</v>
      </c>
      <c r="H34" s="69" t="s">
        <v>292</v>
      </c>
      <c r="I34" s="70">
        <f>F34</f>
        <v>1</v>
      </c>
      <c r="J34" s="66" t="e">
        <f>I34*#REF!</f>
        <v>#REF!</v>
      </c>
      <c r="K34" s="55"/>
      <c r="L34" s="1"/>
      <c r="M34" s="1"/>
      <c r="N34" s="1"/>
      <c r="O34" s="1"/>
      <c r="P34" s="1"/>
      <c r="Q34" s="57" t="e">
        <f t="shared" ref="Q34:Q35" si="8">J34*560*720/1000000/0.9</f>
        <v>#REF!</v>
      </c>
      <c r="R34" s="57"/>
      <c r="S34" s="57"/>
      <c r="T34" s="43">
        <v>1</v>
      </c>
    </row>
    <row r="35" spans="1:26" customFormat="1" ht="15" customHeight="1">
      <c r="A35" s="867"/>
      <c r="B35" s="870"/>
      <c r="C35" s="858"/>
      <c r="D35" s="858"/>
      <c r="E35" s="858"/>
      <c r="F35" s="893"/>
      <c r="G35" s="54" t="s">
        <v>115</v>
      </c>
      <c r="H35" s="54" t="s">
        <v>116</v>
      </c>
      <c r="I35" s="71">
        <f>F34</f>
        <v>1</v>
      </c>
      <c r="J35" s="66" t="e">
        <f>I35*#REF!</f>
        <v>#REF!</v>
      </c>
      <c r="K35" s="55"/>
      <c r="L35" s="1"/>
      <c r="M35" s="1"/>
      <c r="N35" s="1"/>
      <c r="O35" s="1"/>
      <c r="P35" s="1"/>
      <c r="Q35" s="57" t="e">
        <f t="shared" si="8"/>
        <v>#REF!</v>
      </c>
      <c r="R35" s="57"/>
      <c r="S35" s="57"/>
      <c r="T35" s="43">
        <v>1</v>
      </c>
    </row>
    <row r="36" spans="1:26" customFormat="1" ht="15" customHeight="1">
      <c r="A36" s="867"/>
      <c r="B36" s="870"/>
      <c r="C36" s="858"/>
      <c r="D36" s="858"/>
      <c r="E36" s="858"/>
      <c r="F36" s="893"/>
      <c r="G36" s="54" t="s">
        <v>298</v>
      </c>
      <c r="H36" s="54" t="s">
        <v>299</v>
      </c>
      <c r="I36" s="71">
        <f>F34</f>
        <v>1</v>
      </c>
      <c r="J36" s="66" t="e">
        <f>I36*#REF!</f>
        <v>#REF!</v>
      </c>
      <c r="K36" s="55"/>
      <c r="L36" s="1"/>
      <c r="M36" s="1"/>
      <c r="N36" s="1"/>
      <c r="O36" s="1"/>
      <c r="P36" s="1"/>
      <c r="Q36" s="57" t="e">
        <f>J36*560*867/1000000/0.9</f>
        <v>#REF!</v>
      </c>
      <c r="R36" s="57"/>
      <c r="S36" s="57"/>
      <c r="T36" s="43">
        <v>1</v>
      </c>
    </row>
    <row r="37" spans="1:26" customFormat="1" ht="15" customHeight="1">
      <c r="A37" s="867"/>
      <c r="B37" s="870"/>
      <c r="C37" s="858"/>
      <c r="D37" s="858"/>
      <c r="E37" s="858"/>
      <c r="F37" s="893"/>
      <c r="G37" s="54" t="s">
        <v>300</v>
      </c>
      <c r="H37" s="54" t="s">
        <v>301</v>
      </c>
      <c r="I37" s="71">
        <f>F34</f>
        <v>1</v>
      </c>
      <c r="J37" s="66" t="e">
        <f>I37*#REF!</f>
        <v>#REF!</v>
      </c>
      <c r="K37" s="55"/>
      <c r="L37" s="1"/>
      <c r="M37" s="1"/>
      <c r="N37" s="1"/>
      <c r="O37" s="1"/>
      <c r="P37" s="1"/>
      <c r="Q37" s="57" t="e">
        <f>J37*514*866/1000000/0.9</f>
        <v>#REF!</v>
      </c>
      <c r="R37" s="57"/>
      <c r="S37" s="57"/>
      <c r="T37" s="43">
        <v>0</v>
      </c>
    </row>
    <row r="38" spans="1:26" customFormat="1" ht="15" customHeight="1">
      <c r="A38" s="867"/>
      <c r="B38" s="870"/>
      <c r="C38" s="858"/>
      <c r="D38" s="858"/>
      <c r="E38" s="858"/>
      <c r="F38" s="893"/>
      <c r="G38" s="54" t="s">
        <v>302</v>
      </c>
      <c r="H38" s="54" t="s">
        <v>303</v>
      </c>
      <c r="I38" s="71">
        <f>F34</f>
        <v>1</v>
      </c>
      <c r="J38" s="66" t="e">
        <f>I38*#REF!</f>
        <v>#REF!</v>
      </c>
      <c r="K38" s="55"/>
      <c r="L38" s="1"/>
      <c r="M38" s="1"/>
      <c r="N38" s="1"/>
      <c r="O38" s="1"/>
      <c r="P38" s="1"/>
      <c r="Q38" s="57" t="e">
        <f>J38*708*878/1000000/0.9</f>
        <v>#REF!</v>
      </c>
      <c r="R38" s="57"/>
      <c r="S38" s="57"/>
      <c r="T38" s="43">
        <v>1</v>
      </c>
    </row>
    <row r="39" spans="1:26" customFormat="1" ht="15" customHeight="1" thickBot="1">
      <c r="A39" s="868"/>
      <c r="B39" s="871"/>
      <c r="C39" s="859"/>
      <c r="D39" s="859"/>
      <c r="E39" s="859"/>
      <c r="F39" s="894"/>
      <c r="G39" s="72" t="s">
        <v>178</v>
      </c>
      <c r="H39" s="72" t="s">
        <v>179</v>
      </c>
      <c r="I39" s="73">
        <f>F34*2</f>
        <v>2</v>
      </c>
      <c r="J39" s="66" t="e">
        <f>I39*#REF!</f>
        <v>#REF!</v>
      </c>
      <c r="K39" s="55"/>
      <c r="L39" s="1"/>
      <c r="M39" s="1"/>
      <c r="N39" s="1"/>
      <c r="O39" s="1"/>
      <c r="P39" s="1"/>
      <c r="Q39" s="57" t="e">
        <f>J39*88*867/1000000/0.9</f>
        <v>#REF!</v>
      </c>
      <c r="R39" s="57"/>
      <c r="S39" s="57"/>
      <c r="T39" s="43">
        <v>1</v>
      </c>
    </row>
    <row r="40" spans="1:26" ht="15" customHeight="1">
      <c r="A40" s="920"/>
      <c r="B40" s="923" t="s">
        <v>165</v>
      </c>
      <c r="C40" s="926">
        <v>900</v>
      </c>
      <c r="D40" s="926">
        <v>560</v>
      </c>
      <c r="E40" s="926">
        <v>720</v>
      </c>
      <c r="F40" s="926">
        <v>1</v>
      </c>
      <c r="G40" s="30" t="s">
        <v>166</v>
      </c>
      <c r="H40" s="30" t="s">
        <v>167</v>
      </c>
      <c r="I40" s="31">
        <f>F40</f>
        <v>1</v>
      </c>
      <c r="J40" s="860">
        <v>40</v>
      </c>
      <c r="K40" s="32">
        <f>I40*J40</f>
        <v>40</v>
      </c>
      <c r="L40" s="33" t="s">
        <v>168</v>
      </c>
      <c r="M40" s="34" t="s">
        <v>169</v>
      </c>
      <c r="N40" s="34">
        <v>1</v>
      </c>
      <c r="R40" s="37">
        <f>K40*560*720/1000000/0.9</f>
        <v>17.919999999999998</v>
      </c>
      <c r="S40" s="38">
        <f t="shared" si="1"/>
        <v>104</v>
      </c>
      <c r="T40" s="38">
        <f t="shared" si="2"/>
        <v>28.799999999999997</v>
      </c>
      <c r="U40" s="38">
        <f t="shared" si="3"/>
        <v>75.2</v>
      </c>
      <c r="V40" s="855">
        <f>J40*9</f>
        <v>360</v>
      </c>
      <c r="W40" s="39">
        <f t="shared" si="4"/>
        <v>0.258048</v>
      </c>
      <c r="X40" s="43">
        <v>0</v>
      </c>
      <c r="Y40" s="21"/>
      <c r="Z40" s="21"/>
    </row>
    <row r="41" spans="1:26" ht="15" customHeight="1">
      <c r="A41" s="921"/>
      <c r="B41" s="924"/>
      <c r="C41" s="927"/>
      <c r="D41" s="927"/>
      <c r="E41" s="927"/>
      <c r="F41" s="927"/>
      <c r="G41" s="34" t="s">
        <v>170</v>
      </c>
      <c r="H41" s="34" t="s">
        <v>171</v>
      </c>
      <c r="I41" s="40">
        <f>F40</f>
        <v>1</v>
      </c>
      <c r="J41" s="861"/>
      <c r="K41" s="32">
        <f>I41*J40</f>
        <v>40</v>
      </c>
      <c r="L41" s="33" t="s">
        <v>172</v>
      </c>
      <c r="M41" s="34" t="s">
        <v>173</v>
      </c>
      <c r="N41" s="34">
        <v>1</v>
      </c>
      <c r="R41" s="37">
        <f>K41*560*720/1000000/0.9</f>
        <v>17.919999999999998</v>
      </c>
      <c r="S41" s="38">
        <f t="shared" si="1"/>
        <v>104</v>
      </c>
      <c r="T41" s="38">
        <f t="shared" si="2"/>
        <v>28.799999999999997</v>
      </c>
      <c r="U41" s="38">
        <f t="shared" si="3"/>
        <v>75.2</v>
      </c>
      <c r="V41" s="856"/>
      <c r="W41" s="39">
        <f t="shared" si="4"/>
        <v>0.258048</v>
      </c>
      <c r="X41" s="43">
        <v>0</v>
      </c>
      <c r="Y41" s="21"/>
      <c r="Z41" s="21"/>
    </row>
    <row r="42" spans="1:26" ht="15" customHeight="1">
      <c r="A42" s="921"/>
      <c r="B42" s="924"/>
      <c r="C42" s="927"/>
      <c r="D42" s="927"/>
      <c r="E42" s="927"/>
      <c r="F42" s="927"/>
      <c r="G42" s="34" t="s">
        <v>174</v>
      </c>
      <c r="H42" s="34" t="s">
        <v>175</v>
      </c>
      <c r="I42" s="40">
        <f>F40</f>
        <v>1</v>
      </c>
      <c r="J42" s="861"/>
      <c r="K42" s="32">
        <f>I42*J40</f>
        <v>40</v>
      </c>
      <c r="L42" s="33" t="s">
        <v>176</v>
      </c>
      <c r="M42" s="34" t="s">
        <v>177</v>
      </c>
      <c r="N42" s="34">
        <v>1</v>
      </c>
      <c r="R42" s="37">
        <f>K42*558*867/1000000/0.9</f>
        <v>21.5016</v>
      </c>
      <c r="S42" s="38">
        <f>K42*((560+867)*2+40)/1000</f>
        <v>115.76</v>
      </c>
      <c r="T42" s="38">
        <f t="shared" si="2"/>
        <v>34.679999999999993</v>
      </c>
      <c r="U42" s="38">
        <f>S42-0.867*K42</f>
        <v>81.080000000000013</v>
      </c>
      <c r="V42" s="856"/>
      <c r="W42" s="39">
        <f>K42*558*867*16/1000000000</f>
        <v>0.30962304000000002</v>
      </c>
      <c r="X42" s="43">
        <v>0</v>
      </c>
      <c r="Y42" s="21"/>
      <c r="Z42" s="21"/>
    </row>
    <row r="43" spans="1:26" ht="15" customHeight="1">
      <c r="A43" s="921"/>
      <c r="B43" s="924"/>
      <c r="C43" s="927"/>
      <c r="D43" s="927"/>
      <c r="E43" s="927"/>
      <c r="F43" s="927"/>
      <c r="G43" s="34" t="s">
        <v>178</v>
      </c>
      <c r="H43" s="34" t="s">
        <v>179</v>
      </c>
      <c r="I43" s="40">
        <f>F40</f>
        <v>1</v>
      </c>
      <c r="J43" s="861"/>
      <c r="K43" s="32">
        <f>I43*J40</f>
        <v>40</v>
      </c>
      <c r="L43" s="33" t="s">
        <v>180</v>
      </c>
      <c r="M43" s="34" t="s">
        <v>181</v>
      </c>
      <c r="N43" s="34">
        <v>1</v>
      </c>
      <c r="R43" s="37">
        <f>K43*88*867/1000000/0.9</f>
        <v>3.3909333333333329</v>
      </c>
      <c r="S43" s="38">
        <f>K43*((88+867)+10)/1000</f>
        <v>38.6</v>
      </c>
      <c r="T43" s="38">
        <f t="shared" si="2"/>
        <v>34.68</v>
      </c>
      <c r="U43" s="38">
        <f>S43-0.867*K43</f>
        <v>3.9200000000000017</v>
      </c>
      <c r="V43" s="856"/>
      <c r="W43" s="39">
        <f>K43*88*867*16/1000000000</f>
        <v>4.8829440000000002E-2</v>
      </c>
      <c r="X43" s="43">
        <v>1</v>
      </c>
      <c r="Y43" s="21"/>
      <c r="Z43" s="21"/>
    </row>
    <row r="44" spans="1:26" s="62" customFormat="1" ht="15.75" customHeight="1" thickBot="1">
      <c r="A44" s="922"/>
      <c r="B44" s="925"/>
      <c r="C44" s="928"/>
      <c r="D44" s="928"/>
      <c r="E44" s="928"/>
      <c r="F44" s="928"/>
      <c r="G44" s="76" t="s">
        <v>304</v>
      </c>
      <c r="H44" s="76" t="s">
        <v>305</v>
      </c>
      <c r="I44" s="40">
        <f>F40</f>
        <v>1</v>
      </c>
      <c r="J44" s="80"/>
      <c r="K44" s="59" t="s">
        <v>304</v>
      </c>
      <c r="L44" s="59" t="s">
        <v>305</v>
      </c>
      <c r="M44" s="59">
        <v>1</v>
      </c>
      <c r="N44" s="63"/>
      <c r="O44" s="63"/>
      <c r="P44" s="63"/>
      <c r="Q44" s="57"/>
      <c r="R44" s="57"/>
      <c r="S44" s="57">
        <f t="shared" ref="S44" si="9">J44*560*720*16/1000000000</f>
        <v>0</v>
      </c>
      <c r="T44" s="61">
        <v>0</v>
      </c>
      <c r="U44" s="79"/>
      <c r="V44" s="60"/>
    </row>
    <row r="45" spans="1:26" ht="15" customHeight="1">
      <c r="A45" s="899"/>
      <c r="B45" s="902" t="s">
        <v>182</v>
      </c>
      <c r="C45" s="863">
        <v>600</v>
      </c>
      <c r="D45" s="863">
        <v>560</v>
      </c>
      <c r="E45" s="863">
        <v>720</v>
      </c>
      <c r="F45" s="863">
        <v>1</v>
      </c>
      <c r="G45" s="30" t="s">
        <v>183</v>
      </c>
      <c r="H45" s="30" t="s">
        <v>184</v>
      </c>
      <c r="I45" s="31">
        <f>F45</f>
        <v>1</v>
      </c>
      <c r="J45" s="860">
        <v>25</v>
      </c>
      <c r="K45" s="32">
        <f>I45*J45</f>
        <v>25</v>
      </c>
      <c r="L45" s="33" t="s">
        <v>185</v>
      </c>
      <c r="M45" s="34" t="s">
        <v>186</v>
      </c>
      <c r="N45" s="34">
        <v>1</v>
      </c>
      <c r="R45" s="37">
        <f>K45*560*720/1000000/0.9</f>
        <v>11.2</v>
      </c>
      <c r="S45" s="38">
        <f t="shared" si="1"/>
        <v>65</v>
      </c>
      <c r="T45" s="38">
        <f t="shared" si="2"/>
        <v>18</v>
      </c>
      <c r="U45" s="38">
        <f t="shared" si="3"/>
        <v>47</v>
      </c>
      <c r="V45" s="855">
        <f>J45*11</f>
        <v>275</v>
      </c>
      <c r="W45" s="39">
        <f t="shared" si="4"/>
        <v>0.16128000000000001</v>
      </c>
      <c r="X45" s="43">
        <v>0</v>
      </c>
      <c r="Y45" s="21"/>
      <c r="Z45" s="21"/>
    </row>
    <row r="46" spans="1:26" ht="15" customHeight="1">
      <c r="A46" s="900"/>
      <c r="B46" s="903"/>
      <c r="C46" s="858"/>
      <c r="D46" s="858"/>
      <c r="E46" s="858"/>
      <c r="F46" s="858"/>
      <c r="G46" s="34" t="s">
        <v>187</v>
      </c>
      <c r="H46" s="34" t="s">
        <v>188</v>
      </c>
      <c r="I46" s="40">
        <f>F45</f>
        <v>1</v>
      </c>
      <c r="J46" s="861"/>
      <c r="K46" s="32">
        <f>I46*J45</f>
        <v>25</v>
      </c>
      <c r="L46" s="33" t="s">
        <v>189</v>
      </c>
      <c r="M46" s="34" t="s">
        <v>190</v>
      </c>
      <c r="N46" s="34">
        <v>1</v>
      </c>
      <c r="R46" s="37">
        <f>K46*560*720/1000000/0.9</f>
        <v>11.2</v>
      </c>
      <c r="S46" s="38">
        <f t="shared" si="1"/>
        <v>65</v>
      </c>
      <c r="T46" s="38">
        <f t="shared" si="2"/>
        <v>18</v>
      </c>
      <c r="U46" s="38">
        <f t="shared" si="3"/>
        <v>47</v>
      </c>
      <c r="V46" s="856"/>
      <c r="W46" s="39">
        <f t="shared" si="4"/>
        <v>0.16128000000000001</v>
      </c>
      <c r="X46" s="43">
        <v>0</v>
      </c>
      <c r="Y46" s="21"/>
      <c r="Z46" s="21"/>
    </row>
    <row r="47" spans="1:26" ht="15" customHeight="1">
      <c r="A47" s="900"/>
      <c r="B47" s="903"/>
      <c r="C47" s="858"/>
      <c r="D47" s="858"/>
      <c r="E47" s="858"/>
      <c r="F47" s="858"/>
      <c r="G47" s="34" t="s">
        <v>191</v>
      </c>
      <c r="H47" s="34" t="s">
        <v>192</v>
      </c>
      <c r="I47" s="40">
        <f>F45</f>
        <v>1</v>
      </c>
      <c r="J47" s="861"/>
      <c r="K47" s="32">
        <f>I47*J45</f>
        <v>25</v>
      </c>
      <c r="L47" s="33" t="s">
        <v>193</v>
      </c>
      <c r="M47" s="34" t="s">
        <v>194</v>
      </c>
      <c r="N47" s="34">
        <v>1</v>
      </c>
      <c r="R47" s="37">
        <f>K47*520*567/1000000/0.9</f>
        <v>8.19</v>
      </c>
      <c r="S47" s="38">
        <f>K47*((520+567)*2+40)/1000</f>
        <v>55.35</v>
      </c>
      <c r="T47" s="38">
        <f t="shared" si="2"/>
        <v>14.174999999999997</v>
      </c>
      <c r="U47" s="38">
        <f>S47-0.567*K47</f>
        <v>41.175000000000004</v>
      </c>
      <c r="V47" s="856"/>
      <c r="W47" s="39">
        <f>K47*520*567*16/1000000000</f>
        <v>0.117936</v>
      </c>
      <c r="X47" s="43">
        <v>0</v>
      </c>
      <c r="Y47" s="21"/>
      <c r="Z47" s="21"/>
    </row>
    <row r="48" spans="1:26" ht="15" customHeight="1">
      <c r="A48" s="900"/>
      <c r="B48" s="903"/>
      <c r="C48" s="858"/>
      <c r="D48" s="858"/>
      <c r="E48" s="858"/>
      <c r="F48" s="858"/>
      <c r="G48" s="34" t="s">
        <v>161</v>
      </c>
      <c r="H48" s="34" t="s">
        <v>162</v>
      </c>
      <c r="I48" s="40">
        <f>F45*2</f>
        <v>2</v>
      </c>
      <c r="J48" s="861"/>
      <c r="K48" s="32">
        <f>I48*J45</f>
        <v>50</v>
      </c>
      <c r="L48" s="33" t="s">
        <v>163</v>
      </c>
      <c r="M48" s="34" t="s">
        <v>164</v>
      </c>
      <c r="N48" s="34">
        <v>2</v>
      </c>
      <c r="R48" s="37">
        <f>K48*88*567/1000000/0.9</f>
        <v>2.7720000000000002</v>
      </c>
      <c r="S48" s="38">
        <f>K48*((88+567)+10)/1000</f>
        <v>33.25</v>
      </c>
      <c r="T48" s="38">
        <f t="shared" si="2"/>
        <v>28.349999999999998</v>
      </c>
      <c r="U48" s="38">
        <f>S48-0.567*K48</f>
        <v>4.9000000000000021</v>
      </c>
      <c r="V48" s="856"/>
      <c r="W48" s="39">
        <f>K48*88*567*16/1000000000</f>
        <v>3.9916800000000002E-2</v>
      </c>
      <c r="X48" s="43">
        <v>1</v>
      </c>
      <c r="Y48" s="21"/>
      <c r="Z48" s="21"/>
    </row>
    <row r="49" spans="1:26" ht="15" customHeight="1" thickBot="1">
      <c r="A49" s="901"/>
      <c r="B49" s="904"/>
      <c r="C49" s="859"/>
      <c r="D49" s="859"/>
      <c r="E49" s="859"/>
      <c r="F49" s="859"/>
      <c r="G49" s="45" t="s">
        <v>195</v>
      </c>
      <c r="H49" s="45" t="s">
        <v>196</v>
      </c>
      <c r="I49" s="46">
        <f>F45</f>
        <v>1</v>
      </c>
      <c r="J49" s="862"/>
      <c r="K49" s="47">
        <f>I49*J45</f>
        <v>25</v>
      </c>
      <c r="L49" s="33" t="s">
        <v>197</v>
      </c>
      <c r="M49" s="34" t="s">
        <v>198</v>
      </c>
      <c r="N49" s="34">
        <v>1</v>
      </c>
      <c r="R49" s="37">
        <f>K49*520*567/1000000/0.9</f>
        <v>8.19</v>
      </c>
      <c r="S49" s="38">
        <f>K49*((520+567)*2+40)/1000</f>
        <v>55.35</v>
      </c>
      <c r="T49" s="38">
        <f t="shared" si="2"/>
        <v>14.174999999999997</v>
      </c>
      <c r="U49" s="38">
        <f>S49-0.567*K49</f>
        <v>41.175000000000004</v>
      </c>
      <c r="V49" s="857"/>
      <c r="W49" s="39">
        <f>K49*520*567*16/1000000000</f>
        <v>0.117936</v>
      </c>
      <c r="X49" s="43">
        <v>0</v>
      </c>
      <c r="Y49" s="21"/>
      <c r="Z49" s="21"/>
    </row>
    <row r="50" spans="1:26" ht="15" customHeight="1" thickBot="1">
      <c r="A50" s="914"/>
      <c r="B50" s="911" t="s">
        <v>199</v>
      </c>
      <c r="C50" s="863">
        <v>150</v>
      </c>
      <c r="D50" s="863">
        <v>560</v>
      </c>
      <c r="E50" s="863">
        <v>720</v>
      </c>
      <c r="F50" s="863">
        <v>1</v>
      </c>
      <c r="G50" s="69" t="s">
        <v>291</v>
      </c>
      <c r="H50" s="30" t="s">
        <v>200</v>
      </c>
      <c r="I50" s="31">
        <f>F50</f>
        <v>1</v>
      </c>
      <c r="J50" s="860">
        <v>25</v>
      </c>
      <c r="K50" s="32">
        <f>I50*J50</f>
        <v>25</v>
      </c>
      <c r="L50" s="33" t="s">
        <v>201</v>
      </c>
      <c r="M50" s="34" t="s">
        <v>202</v>
      </c>
      <c r="N50" s="34">
        <v>1</v>
      </c>
      <c r="R50" s="37">
        <f>K50*560*720/1000000/0.9</f>
        <v>11.2</v>
      </c>
      <c r="S50" s="38">
        <f t="shared" si="1"/>
        <v>65</v>
      </c>
      <c r="T50" s="38">
        <f t="shared" si="2"/>
        <v>18</v>
      </c>
      <c r="U50" s="38">
        <f t="shared" si="3"/>
        <v>47</v>
      </c>
      <c r="V50" s="855">
        <f>J50*11</f>
        <v>275</v>
      </c>
      <c r="W50" s="39">
        <f t="shared" si="4"/>
        <v>0.16128000000000001</v>
      </c>
      <c r="X50" s="43">
        <v>0</v>
      </c>
      <c r="Y50" s="21"/>
      <c r="Z50" s="21"/>
    </row>
    <row r="51" spans="1:26" ht="15" customHeight="1">
      <c r="A51" s="915"/>
      <c r="B51" s="912"/>
      <c r="C51" s="858"/>
      <c r="D51" s="858"/>
      <c r="E51" s="858"/>
      <c r="F51" s="858"/>
      <c r="G51" s="69" t="s">
        <v>291</v>
      </c>
      <c r="H51" s="34" t="s">
        <v>203</v>
      </c>
      <c r="I51" s="40">
        <f>F50</f>
        <v>1</v>
      </c>
      <c r="J51" s="861"/>
      <c r="K51" s="32">
        <f>I51*J50</f>
        <v>25</v>
      </c>
      <c r="L51" s="33" t="s">
        <v>204</v>
      </c>
      <c r="M51" s="34" t="s">
        <v>205</v>
      </c>
      <c r="N51" s="34">
        <v>1</v>
      </c>
      <c r="R51" s="37">
        <f>K51*560*720/1000000/0.9</f>
        <v>11.2</v>
      </c>
      <c r="S51" s="38">
        <f t="shared" si="1"/>
        <v>65</v>
      </c>
      <c r="T51" s="38">
        <f t="shared" si="2"/>
        <v>18</v>
      </c>
      <c r="U51" s="38">
        <f t="shared" si="3"/>
        <v>47</v>
      </c>
      <c r="V51" s="856"/>
      <c r="W51" s="39">
        <f t="shared" si="4"/>
        <v>0.16128000000000001</v>
      </c>
      <c r="X51" s="43">
        <v>0</v>
      </c>
      <c r="Y51" s="21"/>
      <c r="Z51" s="21"/>
    </row>
    <row r="52" spans="1:26" ht="15" customHeight="1">
      <c r="A52" s="915"/>
      <c r="B52" s="912"/>
      <c r="C52" s="858"/>
      <c r="D52" s="858"/>
      <c r="E52" s="858"/>
      <c r="F52" s="858"/>
      <c r="G52" s="34" t="s">
        <v>206</v>
      </c>
      <c r="H52" s="34" t="s">
        <v>207</v>
      </c>
      <c r="I52" s="40">
        <f>F50</f>
        <v>1</v>
      </c>
      <c r="J52" s="861"/>
      <c r="K52" s="32">
        <f>I52*J50</f>
        <v>25</v>
      </c>
      <c r="L52" s="33" t="s">
        <v>208</v>
      </c>
      <c r="M52" s="34" t="s">
        <v>209</v>
      </c>
      <c r="N52" s="34">
        <v>1</v>
      </c>
      <c r="R52" s="37">
        <f>K52*560*117/1000000/0.9</f>
        <v>1.8199999999999998</v>
      </c>
      <c r="S52" s="38">
        <f>K52*((560+117)*2+40)/1000</f>
        <v>34.85</v>
      </c>
      <c r="T52" s="38">
        <f t="shared" si="2"/>
        <v>2.9250000000000007</v>
      </c>
      <c r="U52" s="38">
        <f>S52-0.117*K52</f>
        <v>31.925000000000001</v>
      </c>
      <c r="V52" s="856"/>
      <c r="W52" s="39">
        <f>K52*708*117*16/1000000000</f>
        <v>3.3134400000000001E-2</v>
      </c>
      <c r="X52" s="43">
        <v>0</v>
      </c>
      <c r="Y52" s="21"/>
      <c r="Z52" s="21"/>
    </row>
    <row r="53" spans="1:26" ht="15" customHeight="1">
      <c r="A53" s="915"/>
      <c r="B53" s="912"/>
      <c r="C53" s="858"/>
      <c r="D53" s="858"/>
      <c r="E53" s="858"/>
      <c r="F53" s="858"/>
      <c r="G53" s="34" t="s">
        <v>210</v>
      </c>
      <c r="H53" s="34" t="s">
        <v>211</v>
      </c>
      <c r="I53" s="40">
        <f>F50</f>
        <v>1</v>
      </c>
      <c r="J53" s="861"/>
      <c r="K53" s="32">
        <f>I53*J50</f>
        <v>25</v>
      </c>
      <c r="L53" s="33" t="s">
        <v>212</v>
      </c>
      <c r="M53" s="34" t="s">
        <v>213</v>
      </c>
      <c r="N53" s="34">
        <v>1</v>
      </c>
      <c r="R53" s="37">
        <f>K53*708*128/1000000/0.9</f>
        <v>2.5173333333333332</v>
      </c>
      <c r="S53" s="38"/>
      <c r="T53" s="38"/>
      <c r="U53" s="38"/>
      <c r="V53" s="856"/>
      <c r="W53" s="39">
        <f>K53*708*128*3/1000000000</f>
        <v>6.7968000000000004E-3</v>
      </c>
      <c r="X53" s="43">
        <v>0</v>
      </c>
      <c r="Y53" s="21"/>
      <c r="Z53" s="21"/>
    </row>
    <row r="54" spans="1:26" ht="15" customHeight="1" thickBot="1">
      <c r="A54" s="915"/>
      <c r="B54" s="912"/>
      <c r="C54" s="859"/>
      <c r="D54" s="859"/>
      <c r="E54" s="859"/>
      <c r="F54" s="859"/>
      <c r="G54" s="45" t="s">
        <v>214</v>
      </c>
      <c r="H54" s="45" t="s">
        <v>215</v>
      </c>
      <c r="I54" s="46">
        <f>F50*2</f>
        <v>2</v>
      </c>
      <c r="J54" s="862"/>
      <c r="K54" s="47">
        <f>I54*J50</f>
        <v>50</v>
      </c>
      <c r="L54" s="33" t="s">
        <v>216</v>
      </c>
      <c r="M54" s="34" t="s">
        <v>217</v>
      </c>
      <c r="N54" s="34">
        <v>2</v>
      </c>
      <c r="R54" s="37">
        <f>K54*88*117/1000000/0.9</f>
        <v>0.57200000000000006</v>
      </c>
      <c r="S54" s="38">
        <f>K54*((88+117)+10)/1000</f>
        <v>10.75</v>
      </c>
      <c r="T54" s="38">
        <f t="shared" si="2"/>
        <v>10.75</v>
      </c>
      <c r="U54" s="38"/>
      <c r="V54" s="857"/>
      <c r="W54" s="39">
        <f>K54*88*117*16/1000000000</f>
        <v>8.2368000000000007E-3</v>
      </c>
      <c r="X54" s="43">
        <v>0</v>
      </c>
      <c r="Y54" s="21"/>
      <c r="Z54" s="21"/>
    </row>
    <row r="55" spans="1:26" ht="15" customHeight="1" thickBot="1">
      <c r="A55" s="915"/>
      <c r="B55" s="912"/>
      <c r="C55" s="858">
        <v>300</v>
      </c>
      <c r="D55" s="858">
        <v>560</v>
      </c>
      <c r="E55" s="858">
        <v>720</v>
      </c>
      <c r="F55" s="858">
        <v>1</v>
      </c>
      <c r="G55" s="69" t="s">
        <v>291</v>
      </c>
      <c r="H55" s="77" t="s">
        <v>200</v>
      </c>
      <c r="I55" s="78">
        <f>F55</f>
        <v>1</v>
      </c>
      <c r="J55" s="860">
        <v>20</v>
      </c>
      <c r="K55" s="32">
        <f>I55*J55</f>
        <v>20</v>
      </c>
      <c r="L55" s="33" t="s">
        <v>201</v>
      </c>
      <c r="M55" s="34" t="s">
        <v>202</v>
      </c>
      <c r="N55" s="34">
        <v>1</v>
      </c>
      <c r="R55" s="37">
        <f>K55*560*720/1000000/0.9</f>
        <v>8.9599999999999991</v>
      </c>
      <c r="S55" s="38">
        <f t="shared" si="1"/>
        <v>52</v>
      </c>
      <c r="T55" s="38">
        <f t="shared" si="2"/>
        <v>14.399999999999999</v>
      </c>
      <c r="U55" s="38">
        <f t="shared" si="3"/>
        <v>37.6</v>
      </c>
      <c r="V55" s="855">
        <f>J55*11</f>
        <v>220</v>
      </c>
      <c r="W55" s="39">
        <f t="shared" si="4"/>
        <v>0.129024</v>
      </c>
      <c r="X55" s="43">
        <v>1</v>
      </c>
      <c r="Y55" s="21"/>
      <c r="Z55" s="21"/>
    </row>
    <row r="56" spans="1:26" ht="15" customHeight="1">
      <c r="A56" s="915"/>
      <c r="B56" s="912"/>
      <c r="C56" s="858"/>
      <c r="D56" s="858"/>
      <c r="E56" s="858"/>
      <c r="F56" s="858"/>
      <c r="G56" s="69" t="s">
        <v>291</v>
      </c>
      <c r="H56" s="34" t="s">
        <v>203</v>
      </c>
      <c r="I56" s="40">
        <f>F55</f>
        <v>1</v>
      </c>
      <c r="J56" s="861"/>
      <c r="K56" s="32">
        <f>I56*J55</f>
        <v>20</v>
      </c>
      <c r="L56" s="33" t="s">
        <v>204</v>
      </c>
      <c r="M56" s="34" t="s">
        <v>205</v>
      </c>
      <c r="N56" s="34">
        <v>1</v>
      </c>
      <c r="R56" s="37">
        <f>K56*560*720/1000000/0.9</f>
        <v>8.9599999999999991</v>
      </c>
      <c r="S56" s="38">
        <f t="shared" si="1"/>
        <v>52</v>
      </c>
      <c r="T56" s="38">
        <f t="shared" si="2"/>
        <v>14.399999999999999</v>
      </c>
      <c r="U56" s="38">
        <f t="shared" si="3"/>
        <v>37.6</v>
      </c>
      <c r="V56" s="856"/>
      <c r="W56" s="39">
        <f t="shared" si="4"/>
        <v>0.129024</v>
      </c>
      <c r="X56" s="43">
        <v>1</v>
      </c>
      <c r="Y56" s="21"/>
      <c r="Z56" s="21"/>
    </row>
    <row r="57" spans="1:26" ht="15" customHeight="1">
      <c r="A57" s="915"/>
      <c r="B57" s="912"/>
      <c r="C57" s="858"/>
      <c r="D57" s="858"/>
      <c r="E57" s="858"/>
      <c r="F57" s="858"/>
      <c r="G57" s="34" t="s">
        <v>218</v>
      </c>
      <c r="H57" s="34" t="s">
        <v>219</v>
      </c>
      <c r="I57" s="40">
        <f>F55</f>
        <v>1</v>
      </c>
      <c r="J57" s="861"/>
      <c r="K57" s="32">
        <f>I57*J55</f>
        <v>20</v>
      </c>
      <c r="L57" s="33" t="s">
        <v>220</v>
      </c>
      <c r="M57" s="34" t="s">
        <v>221</v>
      </c>
      <c r="N57" s="34">
        <v>1</v>
      </c>
      <c r="R57" s="37">
        <f>K57*560*267/1000000/0.9</f>
        <v>3.3226666666666667</v>
      </c>
      <c r="S57" s="38">
        <f>K57*((560+267)*2+40)/1000</f>
        <v>33.880000000000003</v>
      </c>
      <c r="T57" s="38">
        <f t="shared" si="2"/>
        <v>5.34</v>
      </c>
      <c r="U57" s="38">
        <f>S57-0.267*K57</f>
        <v>28.540000000000003</v>
      </c>
      <c r="V57" s="856"/>
      <c r="W57" s="39">
        <f>K57*560*267*16/1000000000</f>
        <v>4.7846399999999997E-2</v>
      </c>
      <c r="X57" s="43">
        <v>0</v>
      </c>
      <c r="Y57" s="21"/>
      <c r="Z57" s="21"/>
    </row>
    <row r="58" spans="1:26" ht="15" customHeight="1">
      <c r="A58" s="915"/>
      <c r="B58" s="912"/>
      <c r="C58" s="858"/>
      <c r="D58" s="858"/>
      <c r="E58" s="858"/>
      <c r="F58" s="858"/>
      <c r="G58" s="34" t="s">
        <v>222</v>
      </c>
      <c r="H58" s="34" t="s">
        <v>223</v>
      </c>
      <c r="I58" s="40">
        <f>F55</f>
        <v>1</v>
      </c>
      <c r="J58" s="861"/>
      <c r="K58" s="32">
        <f>I58*J55</f>
        <v>20</v>
      </c>
      <c r="L58" s="33" t="s">
        <v>224</v>
      </c>
      <c r="M58" s="34" t="s">
        <v>225</v>
      </c>
      <c r="N58" s="34">
        <v>1</v>
      </c>
      <c r="R58" s="37">
        <f>K58*708*278/1000000/0.9</f>
        <v>4.3738666666666663</v>
      </c>
      <c r="S58" s="38"/>
      <c r="T58" s="38"/>
      <c r="U58" s="38"/>
      <c r="V58" s="856"/>
      <c r="W58" s="39">
        <f>K58*708*278*3/1000000000</f>
        <v>1.1809439999999999E-2</v>
      </c>
      <c r="X58" s="43">
        <v>0</v>
      </c>
      <c r="Y58" s="21"/>
      <c r="Z58" s="21"/>
    </row>
    <row r="59" spans="1:26" ht="15" customHeight="1" thickBot="1">
      <c r="A59" s="915"/>
      <c r="B59" s="912"/>
      <c r="C59" s="859"/>
      <c r="D59" s="859"/>
      <c r="E59" s="859"/>
      <c r="F59" s="859"/>
      <c r="G59" s="45" t="s">
        <v>226</v>
      </c>
      <c r="H59" s="45" t="s">
        <v>227</v>
      </c>
      <c r="I59" s="46">
        <f>F55*2</f>
        <v>2</v>
      </c>
      <c r="J59" s="862"/>
      <c r="K59" s="47">
        <f>I59*J55</f>
        <v>40</v>
      </c>
      <c r="L59" s="33" t="s">
        <v>228</v>
      </c>
      <c r="M59" s="34" t="s">
        <v>229</v>
      </c>
      <c r="N59" s="34">
        <v>2</v>
      </c>
      <c r="R59" s="37">
        <f>K59*88*267/1000000/0.9</f>
        <v>1.0442666666666667</v>
      </c>
      <c r="S59" s="38">
        <f>K59*((560+720)+10)/1000</f>
        <v>51.6</v>
      </c>
      <c r="T59" s="38">
        <f t="shared" si="2"/>
        <v>10.68</v>
      </c>
      <c r="U59" s="38">
        <f>S59-0.267*K59</f>
        <v>40.92</v>
      </c>
      <c r="V59" s="857"/>
      <c r="W59" s="39">
        <f>K59*88*267*16/1000000000</f>
        <v>1.5037439999999999E-2</v>
      </c>
      <c r="X59" s="43">
        <v>0</v>
      </c>
      <c r="Y59" s="21"/>
      <c r="Z59" s="21"/>
    </row>
    <row r="60" spans="1:26" customFormat="1" ht="15" customHeight="1" thickBot="1">
      <c r="A60" s="915"/>
      <c r="B60" s="912"/>
      <c r="C60" s="863">
        <v>450</v>
      </c>
      <c r="D60" s="863">
        <v>560</v>
      </c>
      <c r="E60" s="863">
        <v>720</v>
      </c>
      <c r="F60" s="893">
        <v>1</v>
      </c>
      <c r="G60" s="69" t="s">
        <v>291</v>
      </c>
      <c r="H60" s="54" t="s">
        <v>200</v>
      </c>
      <c r="I60" s="71">
        <f>F60</f>
        <v>1</v>
      </c>
      <c r="J60" s="67" t="e">
        <f>I60*#REF!</f>
        <v>#REF!</v>
      </c>
      <c r="K60" s="64">
        <v>1</v>
      </c>
      <c r="Q60" s="57" t="e">
        <f t="shared" ref="Q60:Q64" si="10">J60*300*720/1000000/0.9</f>
        <v>#REF!</v>
      </c>
      <c r="R60" s="57"/>
      <c r="S60" s="57"/>
    </row>
    <row r="61" spans="1:26" customFormat="1" ht="15" customHeight="1">
      <c r="A61" s="915"/>
      <c r="B61" s="912"/>
      <c r="C61" s="858"/>
      <c r="D61" s="858"/>
      <c r="E61" s="858"/>
      <c r="F61" s="893"/>
      <c r="G61" s="69" t="s">
        <v>291</v>
      </c>
      <c r="H61" s="54" t="s">
        <v>203</v>
      </c>
      <c r="I61" s="71">
        <f>F60</f>
        <v>1</v>
      </c>
      <c r="J61" s="67" t="e">
        <f>I61*#REF!</f>
        <v>#REF!</v>
      </c>
      <c r="K61" s="64">
        <v>1</v>
      </c>
      <c r="Q61" s="57" t="e">
        <f t="shared" si="10"/>
        <v>#REF!</v>
      </c>
      <c r="R61" s="57"/>
      <c r="S61" s="57"/>
    </row>
    <row r="62" spans="1:26" customFormat="1" ht="15" customHeight="1">
      <c r="A62" s="915"/>
      <c r="B62" s="912"/>
      <c r="C62" s="858"/>
      <c r="D62" s="858"/>
      <c r="E62" s="858"/>
      <c r="F62" s="893"/>
      <c r="G62" s="54" t="s">
        <v>121</v>
      </c>
      <c r="H62" s="54" t="s">
        <v>122</v>
      </c>
      <c r="I62" s="71">
        <f>F60</f>
        <v>1</v>
      </c>
      <c r="J62" s="67" t="e">
        <f>I62*#REF!</f>
        <v>#REF!</v>
      </c>
      <c r="K62" s="64">
        <v>1</v>
      </c>
      <c r="Q62" s="57" t="e">
        <f t="shared" si="10"/>
        <v>#REF!</v>
      </c>
      <c r="R62" s="57"/>
      <c r="S62" s="57"/>
    </row>
    <row r="63" spans="1:26" customFormat="1" ht="15" customHeight="1">
      <c r="A63" s="915"/>
      <c r="B63" s="912"/>
      <c r="C63" s="858"/>
      <c r="D63" s="858"/>
      <c r="E63" s="858"/>
      <c r="F63" s="893"/>
      <c r="G63" s="54" t="s">
        <v>132</v>
      </c>
      <c r="H63" s="54" t="s">
        <v>133</v>
      </c>
      <c r="I63" s="71">
        <f>F60</f>
        <v>1</v>
      </c>
      <c r="J63" s="67" t="e">
        <f>I63*#REF!</f>
        <v>#REF!</v>
      </c>
      <c r="K63" s="64">
        <v>1</v>
      </c>
      <c r="Q63" s="57" t="e">
        <f t="shared" si="10"/>
        <v>#REF!</v>
      </c>
      <c r="R63" s="57"/>
      <c r="S63" s="57"/>
    </row>
    <row r="64" spans="1:26" customFormat="1" ht="15" customHeight="1" thickBot="1">
      <c r="A64" s="916"/>
      <c r="B64" s="913"/>
      <c r="C64" s="859"/>
      <c r="D64" s="859"/>
      <c r="E64" s="859"/>
      <c r="F64" s="894"/>
      <c r="G64" s="72" t="s">
        <v>137</v>
      </c>
      <c r="H64" s="72" t="s">
        <v>138</v>
      </c>
      <c r="I64" s="73">
        <f>F60*2</f>
        <v>2</v>
      </c>
      <c r="J64" s="67" t="e">
        <f>I64*#REF!</f>
        <v>#REF!</v>
      </c>
      <c r="K64" s="64">
        <v>2</v>
      </c>
      <c r="Q64" s="57" t="e">
        <f t="shared" si="10"/>
        <v>#REF!</v>
      </c>
      <c r="R64" s="57"/>
      <c r="S64" s="57"/>
    </row>
    <row r="65" spans="1:26" ht="15" customHeight="1">
      <c r="A65" s="866"/>
      <c r="B65" s="869" t="s">
        <v>323</v>
      </c>
      <c r="C65" s="863">
        <v>450</v>
      </c>
      <c r="D65" s="863">
        <v>300</v>
      </c>
      <c r="E65" s="863">
        <v>720</v>
      </c>
      <c r="F65" s="863">
        <v>1</v>
      </c>
      <c r="G65" s="30" t="s">
        <v>230</v>
      </c>
      <c r="H65" s="30" t="s">
        <v>231</v>
      </c>
      <c r="I65" s="31">
        <f>F65</f>
        <v>1</v>
      </c>
      <c r="J65" s="860">
        <v>35</v>
      </c>
      <c r="K65" s="32">
        <f>I65*J65</f>
        <v>35</v>
      </c>
      <c r="L65" s="33" t="s">
        <v>232</v>
      </c>
      <c r="M65" s="34" t="s">
        <v>233</v>
      </c>
      <c r="N65" s="34">
        <v>1</v>
      </c>
      <c r="R65" s="37">
        <f>K65*300*720/1000000/0.9</f>
        <v>8.3999999999999986</v>
      </c>
      <c r="S65" s="38">
        <f>K65*((300+720)*2+40)/1000</f>
        <v>72.8</v>
      </c>
      <c r="T65" s="38">
        <f t="shared" si="2"/>
        <v>25.200000000000003</v>
      </c>
      <c r="U65" s="38">
        <f t="shared" si="3"/>
        <v>47.599999999999994</v>
      </c>
      <c r="V65" s="855">
        <f>J65*11</f>
        <v>385</v>
      </c>
      <c r="W65" s="39">
        <f>K65*300*720*16/1000000000</f>
        <v>0.12096</v>
      </c>
      <c r="X65" s="43">
        <v>1</v>
      </c>
      <c r="Y65" s="21"/>
      <c r="Z65" s="21"/>
    </row>
    <row r="66" spans="1:26" ht="15" customHeight="1">
      <c r="A66" s="867"/>
      <c r="B66" s="870"/>
      <c r="C66" s="864"/>
      <c r="D66" s="864"/>
      <c r="E66" s="864"/>
      <c r="F66" s="864"/>
      <c r="G66" s="34" t="s">
        <v>234</v>
      </c>
      <c r="H66" s="34" t="s">
        <v>235</v>
      </c>
      <c r="I66" s="40">
        <f>F65</f>
        <v>1</v>
      </c>
      <c r="J66" s="861"/>
      <c r="K66" s="32">
        <f>I66*J65</f>
        <v>35</v>
      </c>
      <c r="L66" s="33" t="s">
        <v>236</v>
      </c>
      <c r="M66" s="34" t="s">
        <v>237</v>
      </c>
      <c r="N66" s="34">
        <v>1</v>
      </c>
      <c r="R66" s="37">
        <f>K66*300*720/1000000/0.9</f>
        <v>8.3999999999999986</v>
      </c>
      <c r="S66" s="38">
        <f>K66*((300+720)*2+40)/1000</f>
        <v>72.8</v>
      </c>
      <c r="T66" s="38">
        <f t="shared" si="2"/>
        <v>25.200000000000003</v>
      </c>
      <c r="U66" s="38">
        <f t="shared" si="3"/>
        <v>47.599999999999994</v>
      </c>
      <c r="V66" s="856"/>
      <c r="W66" s="39">
        <f>K66*300*720*16/1000000000</f>
        <v>0.12096</v>
      </c>
      <c r="X66" s="43">
        <v>1</v>
      </c>
      <c r="Y66" s="21"/>
      <c r="Z66" s="21"/>
    </row>
    <row r="67" spans="1:26" ht="15" customHeight="1">
      <c r="A67" s="867"/>
      <c r="B67" s="870"/>
      <c r="C67" s="864"/>
      <c r="D67" s="864"/>
      <c r="E67" s="864"/>
      <c r="F67" s="864"/>
      <c r="G67" s="34" t="s">
        <v>238</v>
      </c>
      <c r="H67" s="34" t="s">
        <v>239</v>
      </c>
      <c r="I67" s="40">
        <f>F65</f>
        <v>1</v>
      </c>
      <c r="J67" s="861"/>
      <c r="K67" s="32">
        <f>I67*J65</f>
        <v>35</v>
      </c>
      <c r="L67" s="33" t="s">
        <v>240</v>
      </c>
      <c r="M67" s="34" t="s">
        <v>241</v>
      </c>
      <c r="N67" s="34">
        <v>1</v>
      </c>
      <c r="R67" s="37">
        <f>K67*300*417/1000000/0.9</f>
        <v>4.8649999999999993</v>
      </c>
      <c r="S67" s="38">
        <f>K67*((300+417)*2+40)/1000</f>
        <v>51.59</v>
      </c>
      <c r="T67" s="38">
        <f t="shared" si="2"/>
        <v>14.594999999999999</v>
      </c>
      <c r="U67" s="38">
        <f>S67-0.417*K67</f>
        <v>36.995000000000005</v>
      </c>
      <c r="V67" s="856"/>
      <c r="W67" s="39">
        <f>K67*300*417*16/1000000000</f>
        <v>7.0055999999999993E-2</v>
      </c>
      <c r="X67" s="43">
        <v>0</v>
      </c>
      <c r="Y67" s="21"/>
      <c r="Z67" s="21"/>
    </row>
    <row r="68" spans="1:26" ht="15" customHeight="1">
      <c r="A68" s="867"/>
      <c r="B68" s="870"/>
      <c r="C68" s="864"/>
      <c r="D68" s="864"/>
      <c r="E68" s="864"/>
      <c r="F68" s="864"/>
      <c r="G68" s="34" t="s">
        <v>242</v>
      </c>
      <c r="H68" s="34" t="s">
        <v>243</v>
      </c>
      <c r="I68" s="40">
        <f>F65</f>
        <v>1</v>
      </c>
      <c r="J68" s="861"/>
      <c r="K68" s="32">
        <f>I68*J65</f>
        <v>35</v>
      </c>
      <c r="L68" s="33" t="s">
        <v>244</v>
      </c>
      <c r="M68" s="34" t="s">
        <v>245</v>
      </c>
      <c r="N68" s="34">
        <v>1</v>
      </c>
      <c r="R68" s="37">
        <f>K68*277*417/1000000/0.9</f>
        <v>4.4920166666666663</v>
      </c>
      <c r="S68" s="38">
        <f>K68*((277+417)*2+40)/1000</f>
        <v>49.98</v>
      </c>
      <c r="T68" s="38">
        <f t="shared" si="2"/>
        <v>14.594999999999999</v>
      </c>
      <c r="U68" s="38">
        <f>S68-0.417*K68</f>
        <v>35.384999999999998</v>
      </c>
      <c r="V68" s="856"/>
      <c r="W68" s="39">
        <f>K68*277*417*16/1000000000</f>
        <v>6.4685039999999999E-2</v>
      </c>
      <c r="X68" s="43">
        <v>0</v>
      </c>
      <c r="Y68" s="21"/>
      <c r="Z68" s="21"/>
    </row>
    <row r="69" spans="1:26" ht="15" customHeight="1">
      <c r="A69" s="867"/>
      <c r="B69" s="870"/>
      <c r="C69" s="864"/>
      <c r="D69" s="864"/>
      <c r="E69" s="864"/>
      <c r="F69" s="864"/>
      <c r="G69" s="34" t="s">
        <v>246</v>
      </c>
      <c r="H69" s="34" t="s">
        <v>247</v>
      </c>
      <c r="I69" s="40">
        <f>F65</f>
        <v>1</v>
      </c>
      <c r="J69" s="861"/>
      <c r="K69" s="32">
        <f>I69*J65</f>
        <v>35</v>
      </c>
      <c r="L69" s="33" t="s">
        <v>248</v>
      </c>
      <c r="M69" s="34" t="s">
        <v>249</v>
      </c>
      <c r="N69" s="34">
        <v>1</v>
      </c>
      <c r="R69" s="37">
        <f>K69*254*416/1000000/0.9</f>
        <v>4.1091555555555557</v>
      </c>
      <c r="S69" s="38">
        <f>K69*((254+416)*2+40)/1000</f>
        <v>48.3</v>
      </c>
      <c r="T69" s="38">
        <f t="shared" si="2"/>
        <v>14.560000000000002</v>
      </c>
      <c r="U69" s="38">
        <f>S69-0.416*K69</f>
        <v>33.739999999999995</v>
      </c>
      <c r="V69" s="856"/>
      <c r="W69" s="39">
        <f>K69*254*416*16/1000000000</f>
        <v>5.9171840000000003E-2</v>
      </c>
      <c r="X69" s="43">
        <v>0</v>
      </c>
      <c r="Y69" s="21"/>
      <c r="Z69" s="21"/>
    </row>
    <row r="70" spans="1:26" ht="15" customHeight="1">
      <c r="A70" s="867"/>
      <c r="B70" s="870"/>
      <c r="C70" s="864"/>
      <c r="D70" s="864"/>
      <c r="E70" s="864"/>
      <c r="F70" s="864"/>
      <c r="G70" s="34" t="s">
        <v>250</v>
      </c>
      <c r="H70" s="34" t="s">
        <v>251</v>
      </c>
      <c r="I70" s="40">
        <f>F65</f>
        <v>1</v>
      </c>
      <c r="J70" s="861"/>
      <c r="K70" s="32">
        <f>I70*J65</f>
        <v>35</v>
      </c>
      <c r="L70" s="33" t="s">
        <v>252</v>
      </c>
      <c r="M70" s="34" t="s">
        <v>253</v>
      </c>
      <c r="N70" s="34">
        <v>1</v>
      </c>
      <c r="R70" s="37">
        <f>K70*708*428/1000000/0.9</f>
        <v>11.784266666666667</v>
      </c>
      <c r="S70" s="38"/>
      <c r="T70" s="38"/>
      <c r="U70" s="38"/>
      <c r="V70" s="856"/>
      <c r="W70" s="39">
        <f>K70*708*428*3/1000000000</f>
        <v>3.1817520000000002E-2</v>
      </c>
      <c r="X70" s="43">
        <v>0</v>
      </c>
      <c r="Y70" s="21"/>
      <c r="Z70" s="21"/>
    </row>
    <row r="71" spans="1:26" ht="15" customHeight="1" thickBot="1">
      <c r="A71" s="867"/>
      <c r="B71" s="870"/>
      <c r="C71" s="865"/>
      <c r="D71" s="865"/>
      <c r="E71" s="865"/>
      <c r="F71" s="865"/>
      <c r="G71" s="45" t="s">
        <v>137</v>
      </c>
      <c r="H71" s="45" t="s">
        <v>138</v>
      </c>
      <c r="I71" s="46">
        <f>F65</f>
        <v>1</v>
      </c>
      <c r="J71" s="862"/>
      <c r="K71" s="47">
        <f>I71*J65</f>
        <v>35</v>
      </c>
      <c r="L71" s="33" t="s">
        <v>139</v>
      </c>
      <c r="M71" s="34" t="s">
        <v>140</v>
      </c>
      <c r="N71" s="34">
        <v>1</v>
      </c>
      <c r="R71" s="37">
        <f>K71*88*417/1000000/0.9</f>
        <v>1.4270666666666665</v>
      </c>
      <c r="S71" s="38">
        <f>K71*((88+417)+10)/1000</f>
        <v>18.024999999999999</v>
      </c>
      <c r="T71" s="38">
        <f t="shared" si="2"/>
        <v>18.024999999999999</v>
      </c>
      <c r="U71" s="38"/>
      <c r="V71" s="857"/>
      <c r="W71" s="39">
        <f>K71*88*417*16/1000000000</f>
        <v>2.054976E-2</v>
      </c>
      <c r="X71" s="43">
        <v>1</v>
      </c>
      <c r="Y71" s="21"/>
      <c r="Z71" s="21"/>
    </row>
    <row r="72" spans="1:26" ht="15" customHeight="1">
      <c r="A72" s="867"/>
      <c r="B72" s="870"/>
      <c r="C72" s="858">
        <v>600</v>
      </c>
      <c r="D72" s="858">
        <v>300</v>
      </c>
      <c r="E72" s="858">
        <v>720</v>
      </c>
      <c r="F72" s="858">
        <v>1</v>
      </c>
      <c r="G72" s="77" t="s">
        <v>230</v>
      </c>
      <c r="H72" s="77" t="s">
        <v>231</v>
      </c>
      <c r="I72" s="78">
        <f>F72</f>
        <v>1</v>
      </c>
      <c r="J72" s="860">
        <v>30</v>
      </c>
      <c r="K72" s="32">
        <f>I72*J72</f>
        <v>30</v>
      </c>
      <c r="L72" s="33" t="s">
        <v>232</v>
      </c>
      <c r="M72" s="34" t="s">
        <v>233</v>
      </c>
      <c r="N72" s="34">
        <v>1</v>
      </c>
      <c r="R72" s="37">
        <f>K72*300*720/1000000/0.9</f>
        <v>7.2</v>
      </c>
      <c r="S72" s="38">
        <f>K72*((300+720)*2+40)/1000</f>
        <v>62.4</v>
      </c>
      <c r="T72" s="38">
        <f t="shared" si="2"/>
        <v>21.6</v>
      </c>
      <c r="U72" s="38">
        <f t="shared" si="3"/>
        <v>40.799999999999997</v>
      </c>
      <c r="V72" s="855">
        <f>J72*11</f>
        <v>330</v>
      </c>
      <c r="W72" s="39">
        <f>K72*300*720*16/1000000000</f>
        <v>0.10367999999999999</v>
      </c>
      <c r="X72" s="43">
        <v>1</v>
      </c>
      <c r="Y72" s="21"/>
      <c r="Z72" s="21"/>
    </row>
    <row r="73" spans="1:26" ht="15" customHeight="1">
      <c r="A73" s="867"/>
      <c r="B73" s="870"/>
      <c r="C73" s="858"/>
      <c r="D73" s="858"/>
      <c r="E73" s="858"/>
      <c r="F73" s="858"/>
      <c r="G73" s="34" t="s">
        <v>234</v>
      </c>
      <c r="H73" s="34" t="s">
        <v>235</v>
      </c>
      <c r="I73" s="40">
        <f>F72</f>
        <v>1</v>
      </c>
      <c r="J73" s="861"/>
      <c r="K73" s="32">
        <f>I73*J72</f>
        <v>30</v>
      </c>
      <c r="L73" s="33" t="s">
        <v>236</v>
      </c>
      <c r="M73" s="34" t="s">
        <v>237</v>
      </c>
      <c r="N73" s="34">
        <v>1</v>
      </c>
      <c r="R73" s="37">
        <f>K73*300*720/1000000/0.9</f>
        <v>7.2</v>
      </c>
      <c r="S73" s="38">
        <f>K73*((300+720)*2+40)/1000</f>
        <v>62.4</v>
      </c>
      <c r="T73" s="38">
        <f t="shared" si="2"/>
        <v>21.6</v>
      </c>
      <c r="U73" s="38">
        <f t="shared" si="3"/>
        <v>40.799999999999997</v>
      </c>
      <c r="V73" s="856"/>
      <c r="W73" s="39">
        <f>K73*300*720*16/1000000000</f>
        <v>0.10367999999999999</v>
      </c>
      <c r="X73" s="43">
        <v>1</v>
      </c>
      <c r="Y73" s="21"/>
      <c r="Z73" s="21"/>
    </row>
    <row r="74" spans="1:26" ht="15" customHeight="1">
      <c r="A74" s="867"/>
      <c r="B74" s="870"/>
      <c r="C74" s="858"/>
      <c r="D74" s="858"/>
      <c r="E74" s="858"/>
      <c r="F74" s="858"/>
      <c r="G74" s="34" t="s">
        <v>254</v>
      </c>
      <c r="H74" s="34" t="s">
        <v>255</v>
      </c>
      <c r="I74" s="40">
        <f>F72</f>
        <v>1</v>
      </c>
      <c r="J74" s="861"/>
      <c r="K74" s="32">
        <f>I74*J72</f>
        <v>30</v>
      </c>
      <c r="L74" s="33" t="s">
        <v>256</v>
      </c>
      <c r="M74" s="34" t="s">
        <v>257</v>
      </c>
      <c r="N74" s="34">
        <v>1</v>
      </c>
      <c r="R74" s="37">
        <f>K74*300*720/1000000/0.9</f>
        <v>7.2</v>
      </c>
      <c r="S74" s="38">
        <f>K74*((300+720)*2+40)/1000</f>
        <v>62.4</v>
      </c>
      <c r="T74" s="38">
        <f t="shared" si="2"/>
        <v>17.009999999999998</v>
      </c>
      <c r="U74" s="38">
        <f>S74-0.567*K74</f>
        <v>45.39</v>
      </c>
      <c r="V74" s="856"/>
      <c r="W74" s="39">
        <f>K74*300*720*16/1000000000</f>
        <v>0.10367999999999999</v>
      </c>
      <c r="X74" s="43">
        <v>0</v>
      </c>
      <c r="Y74" s="21"/>
      <c r="Z74" s="21"/>
    </row>
    <row r="75" spans="1:26" ht="15" customHeight="1">
      <c r="A75" s="867"/>
      <c r="B75" s="870"/>
      <c r="C75" s="858"/>
      <c r="D75" s="858"/>
      <c r="E75" s="858"/>
      <c r="F75" s="858"/>
      <c r="G75" s="34" t="s">
        <v>258</v>
      </c>
      <c r="H75" s="34" t="s">
        <v>259</v>
      </c>
      <c r="I75" s="40">
        <f>F72</f>
        <v>1</v>
      </c>
      <c r="J75" s="861"/>
      <c r="K75" s="32">
        <f>I75*J72</f>
        <v>30</v>
      </c>
      <c r="L75" s="33" t="s">
        <v>260</v>
      </c>
      <c r="M75" s="34" t="s">
        <v>261</v>
      </c>
      <c r="N75" s="34">
        <v>1</v>
      </c>
      <c r="R75" s="37">
        <f>K75*277*567/1000000/0.9</f>
        <v>5.2352999999999996</v>
      </c>
      <c r="S75" s="38">
        <f>K75*((277+567)*2+40)/1000</f>
        <v>51.84</v>
      </c>
      <c r="T75" s="38">
        <f t="shared" si="2"/>
        <v>17.009999999999998</v>
      </c>
      <c r="U75" s="38">
        <f>S75-0.567*K75</f>
        <v>34.830000000000005</v>
      </c>
      <c r="V75" s="856"/>
      <c r="W75" s="39">
        <f>K75*277*567*16/1000000000</f>
        <v>7.5388319999999995E-2</v>
      </c>
      <c r="X75" s="43">
        <v>0</v>
      </c>
      <c r="Y75" s="21"/>
      <c r="Z75" s="21"/>
    </row>
    <row r="76" spans="1:26" ht="15" customHeight="1">
      <c r="A76" s="867"/>
      <c r="B76" s="870"/>
      <c r="C76" s="858"/>
      <c r="D76" s="858"/>
      <c r="E76" s="858"/>
      <c r="F76" s="858"/>
      <c r="G76" s="34" t="s">
        <v>262</v>
      </c>
      <c r="H76" s="34" t="s">
        <v>263</v>
      </c>
      <c r="I76" s="40">
        <f>F72</f>
        <v>1</v>
      </c>
      <c r="J76" s="861"/>
      <c r="K76" s="32">
        <f>I76*J72</f>
        <v>30</v>
      </c>
      <c r="L76" s="33" t="s">
        <v>264</v>
      </c>
      <c r="M76" s="34" t="s">
        <v>265</v>
      </c>
      <c r="N76" s="34">
        <v>1</v>
      </c>
      <c r="R76" s="37">
        <f>K76*254*566/1000000/0.9</f>
        <v>4.7921333333333331</v>
      </c>
      <c r="S76" s="38">
        <f>K76*((254+566)*2+40)/1000</f>
        <v>50.4</v>
      </c>
      <c r="T76" s="38">
        <f t="shared" si="2"/>
        <v>16.979999999999997</v>
      </c>
      <c r="U76" s="38">
        <f>S76-0.566*K76</f>
        <v>33.42</v>
      </c>
      <c r="V76" s="856"/>
      <c r="W76" s="39">
        <f>K76*254*566*16/1000000000</f>
        <v>6.9006719999999994E-2</v>
      </c>
      <c r="X76" s="43">
        <v>0</v>
      </c>
      <c r="Y76" s="21"/>
      <c r="Z76" s="21"/>
    </row>
    <row r="77" spans="1:26" ht="15" customHeight="1">
      <c r="A77" s="867"/>
      <c r="B77" s="870"/>
      <c r="C77" s="858"/>
      <c r="D77" s="858"/>
      <c r="E77" s="858"/>
      <c r="F77" s="858"/>
      <c r="G77" s="34" t="s">
        <v>266</v>
      </c>
      <c r="H77" s="34" t="s">
        <v>267</v>
      </c>
      <c r="I77" s="40">
        <f>F72</f>
        <v>1</v>
      </c>
      <c r="J77" s="861"/>
      <c r="K77" s="32">
        <f>I77*J72</f>
        <v>30</v>
      </c>
      <c r="L77" s="33" t="s">
        <v>268</v>
      </c>
      <c r="M77" s="34" t="s">
        <v>269</v>
      </c>
      <c r="N77" s="34">
        <v>1</v>
      </c>
      <c r="R77" s="37">
        <f>K77*708*566/1000000/0.9</f>
        <v>13.357599999999998</v>
      </c>
      <c r="S77" s="38"/>
      <c r="T77" s="38"/>
      <c r="U77" s="38"/>
      <c r="V77" s="856"/>
      <c r="W77" s="39">
        <f>K77*708*578*3/1000000000</f>
        <v>3.6830160000000001E-2</v>
      </c>
      <c r="X77" s="43">
        <v>0</v>
      </c>
      <c r="Y77" s="21"/>
      <c r="Z77" s="21"/>
    </row>
    <row r="78" spans="1:26" ht="15" customHeight="1" thickBot="1">
      <c r="A78" s="868"/>
      <c r="B78" s="871"/>
      <c r="C78" s="859"/>
      <c r="D78" s="859"/>
      <c r="E78" s="859"/>
      <c r="F78" s="859"/>
      <c r="G78" s="45" t="s">
        <v>161</v>
      </c>
      <c r="H78" s="45" t="s">
        <v>162</v>
      </c>
      <c r="I78" s="46">
        <f>F72</f>
        <v>1</v>
      </c>
      <c r="J78" s="862"/>
      <c r="K78" s="47">
        <f>I78*J72</f>
        <v>30</v>
      </c>
      <c r="L78" s="33" t="s">
        <v>163</v>
      </c>
      <c r="M78" s="34" t="s">
        <v>164</v>
      </c>
      <c r="N78" s="34">
        <v>1</v>
      </c>
      <c r="R78" s="37">
        <f>K78*88*567/1000000/0.9</f>
        <v>1.6632</v>
      </c>
      <c r="S78" s="38">
        <f>K78*((560+720)+10)/1000</f>
        <v>38.700000000000003</v>
      </c>
      <c r="T78" s="38">
        <f t="shared" si="2"/>
        <v>17.009999999999998</v>
      </c>
      <c r="U78" s="38">
        <f>S78-0.567*K78</f>
        <v>21.690000000000005</v>
      </c>
      <c r="V78" s="857"/>
      <c r="W78" s="39">
        <f>K78*88*567*16/1000000000</f>
        <v>2.3950079999999999E-2</v>
      </c>
      <c r="X78" s="43">
        <v>1</v>
      </c>
      <c r="Y78" s="21"/>
      <c r="Z78" s="21"/>
    </row>
    <row r="79" spans="1:26" ht="15" customHeight="1">
      <c r="A79" s="866"/>
      <c r="B79" s="869" t="s">
        <v>322</v>
      </c>
      <c r="C79" s="863">
        <v>450</v>
      </c>
      <c r="D79" s="863">
        <v>300</v>
      </c>
      <c r="E79" s="863">
        <v>720</v>
      </c>
      <c r="F79" s="863">
        <v>1</v>
      </c>
      <c r="G79" s="30" t="s">
        <v>230</v>
      </c>
      <c r="H79" s="30" t="s">
        <v>231</v>
      </c>
      <c r="I79" s="31">
        <f>F79</f>
        <v>1</v>
      </c>
      <c r="J79" s="860">
        <v>35</v>
      </c>
      <c r="K79" s="32">
        <f>I79*J79</f>
        <v>35</v>
      </c>
      <c r="L79" s="33" t="s">
        <v>232</v>
      </c>
      <c r="M79" s="34" t="s">
        <v>233</v>
      </c>
      <c r="N79" s="34">
        <v>1</v>
      </c>
      <c r="R79" s="37">
        <f>K79*300*720/1000000/0.9</f>
        <v>8.3999999999999986</v>
      </c>
      <c r="S79" s="38">
        <f>K79*((300+720)*2+40)/1000</f>
        <v>72.8</v>
      </c>
      <c r="T79" s="38">
        <f t="shared" ref="T79:T83" si="11">S79-U79</f>
        <v>25.200000000000003</v>
      </c>
      <c r="U79" s="38">
        <f t="shared" ref="U79:U80" si="12">S79-0.72*K79</f>
        <v>47.599999999999994</v>
      </c>
      <c r="V79" s="855">
        <f>J79*11</f>
        <v>385</v>
      </c>
      <c r="W79" s="39">
        <f>K79*300*720*16/1000000000</f>
        <v>0.12096</v>
      </c>
      <c r="X79" s="43">
        <v>1</v>
      </c>
      <c r="Y79" s="21"/>
      <c r="Z79" s="21"/>
    </row>
    <row r="80" spans="1:26" ht="15" customHeight="1">
      <c r="A80" s="867"/>
      <c r="B80" s="870"/>
      <c r="C80" s="864"/>
      <c r="D80" s="864"/>
      <c r="E80" s="864"/>
      <c r="F80" s="864"/>
      <c r="G80" s="34" t="s">
        <v>234</v>
      </c>
      <c r="H80" s="34" t="s">
        <v>235</v>
      </c>
      <c r="I80" s="40">
        <f>F79</f>
        <v>1</v>
      </c>
      <c r="J80" s="861"/>
      <c r="K80" s="32">
        <f>I80*J79</f>
        <v>35</v>
      </c>
      <c r="L80" s="33" t="s">
        <v>236</v>
      </c>
      <c r="M80" s="34" t="s">
        <v>237</v>
      </c>
      <c r="N80" s="34">
        <v>1</v>
      </c>
      <c r="R80" s="37">
        <f>K80*300*720/1000000/0.9</f>
        <v>8.3999999999999986</v>
      </c>
      <c r="S80" s="38">
        <f>K80*((300+720)*2+40)/1000</f>
        <v>72.8</v>
      </c>
      <c r="T80" s="38">
        <f t="shared" si="11"/>
        <v>25.200000000000003</v>
      </c>
      <c r="U80" s="38">
        <f t="shared" si="12"/>
        <v>47.599999999999994</v>
      </c>
      <c r="V80" s="856"/>
      <c r="W80" s="39">
        <f>K80*300*720*16/1000000000</f>
        <v>0.12096</v>
      </c>
      <c r="X80" s="43">
        <v>1</v>
      </c>
      <c r="Y80" s="21"/>
      <c r="Z80" s="21"/>
    </row>
    <row r="81" spans="1:26" ht="15" customHeight="1">
      <c r="A81" s="867"/>
      <c r="B81" s="870"/>
      <c r="C81" s="864"/>
      <c r="D81" s="864"/>
      <c r="E81" s="864"/>
      <c r="F81" s="864"/>
      <c r="G81" s="34" t="s">
        <v>238</v>
      </c>
      <c r="H81" s="34" t="s">
        <v>239</v>
      </c>
      <c r="I81" s="40">
        <f>F79</f>
        <v>1</v>
      </c>
      <c r="J81" s="861"/>
      <c r="K81" s="32">
        <f>I81*J79</f>
        <v>35</v>
      </c>
      <c r="L81" s="33" t="s">
        <v>240</v>
      </c>
      <c r="M81" s="34" t="s">
        <v>241</v>
      </c>
      <c r="N81" s="34">
        <v>1</v>
      </c>
      <c r="R81" s="37">
        <f>K81*300*417/1000000/0.9</f>
        <v>4.8649999999999993</v>
      </c>
      <c r="S81" s="38">
        <f>K81*((300+417)*2+40)/1000</f>
        <v>51.59</v>
      </c>
      <c r="T81" s="38">
        <f t="shared" si="11"/>
        <v>14.594999999999999</v>
      </c>
      <c r="U81" s="38">
        <f>S81-0.417*K81</f>
        <v>36.995000000000005</v>
      </c>
      <c r="V81" s="856"/>
      <c r="W81" s="39">
        <f>K81*300*417*16/1000000000</f>
        <v>7.0055999999999993E-2</v>
      </c>
      <c r="X81" s="43">
        <v>0</v>
      </c>
      <c r="Y81" s="21"/>
      <c r="Z81" s="21"/>
    </row>
    <row r="82" spans="1:26" ht="15" customHeight="1">
      <c r="A82" s="867"/>
      <c r="B82" s="870"/>
      <c r="C82" s="864"/>
      <c r="D82" s="864"/>
      <c r="E82" s="864"/>
      <c r="F82" s="864"/>
      <c r="G82" s="34" t="s">
        <v>242</v>
      </c>
      <c r="H82" s="34" t="s">
        <v>243</v>
      </c>
      <c r="I82" s="40">
        <f>F79</f>
        <v>1</v>
      </c>
      <c r="J82" s="861"/>
      <c r="K82" s="32">
        <f>I82*J79</f>
        <v>35</v>
      </c>
      <c r="L82" s="33" t="s">
        <v>244</v>
      </c>
      <c r="M82" s="34" t="s">
        <v>245</v>
      </c>
      <c r="N82" s="34">
        <v>1</v>
      </c>
      <c r="R82" s="37">
        <f>K82*277*417/1000000/0.9</f>
        <v>4.4920166666666663</v>
      </c>
      <c r="S82" s="38">
        <f>K82*((277+417)*2+40)/1000</f>
        <v>49.98</v>
      </c>
      <c r="T82" s="38">
        <f t="shared" si="11"/>
        <v>14.594999999999999</v>
      </c>
      <c r="U82" s="38">
        <f>S82-0.417*K82</f>
        <v>35.384999999999998</v>
      </c>
      <c r="V82" s="856"/>
      <c r="W82" s="39">
        <f>K82*277*417*16/1000000000</f>
        <v>6.4685039999999999E-2</v>
      </c>
      <c r="X82" s="43">
        <v>0</v>
      </c>
      <c r="Y82" s="21"/>
      <c r="Z82" s="21"/>
    </row>
    <row r="83" spans="1:26" ht="15" customHeight="1">
      <c r="A83" s="867"/>
      <c r="B83" s="870"/>
      <c r="C83" s="864"/>
      <c r="D83" s="864"/>
      <c r="E83" s="864"/>
      <c r="F83" s="864"/>
      <c r="G83" s="76" t="s">
        <v>306</v>
      </c>
      <c r="H83" s="76" t="s">
        <v>307</v>
      </c>
      <c r="I83" s="40">
        <f>F79</f>
        <v>1</v>
      </c>
      <c r="J83" s="861"/>
      <c r="K83" s="32">
        <f>I83*J79</f>
        <v>35</v>
      </c>
      <c r="L83" s="33" t="s">
        <v>248</v>
      </c>
      <c r="M83" s="34" t="s">
        <v>249</v>
      </c>
      <c r="N83" s="34">
        <v>1</v>
      </c>
      <c r="R83" s="37">
        <f>K83*254*416/1000000/0.9</f>
        <v>4.1091555555555557</v>
      </c>
      <c r="S83" s="38">
        <f>K83*((254+416)*2+40)/1000</f>
        <v>48.3</v>
      </c>
      <c r="T83" s="38">
        <f t="shared" si="11"/>
        <v>14.560000000000002</v>
      </c>
      <c r="U83" s="38">
        <f>S83-0.416*K83</f>
        <v>33.739999999999995</v>
      </c>
      <c r="V83" s="856"/>
      <c r="W83" s="39">
        <f>K83*254*416*16/1000000000</f>
        <v>5.9171840000000003E-2</v>
      </c>
      <c r="X83" s="43">
        <v>0</v>
      </c>
      <c r="Y83" s="21"/>
      <c r="Z83" s="21"/>
    </row>
    <row r="84" spans="1:26" ht="15" customHeight="1">
      <c r="A84" s="867"/>
      <c r="B84" s="870"/>
      <c r="C84" s="864"/>
      <c r="D84" s="864"/>
      <c r="E84" s="864"/>
      <c r="F84" s="864"/>
      <c r="G84" s="34" t="s">
        <v>250</v>
      </c>
      <c r="H84" s="34" t="s">
        <v>251</v>
      </c>
      <c r="I84" s="40">
        <f>F79</f>
        <v>1</v>
      </c>
      <c r="J84" s="861"/>
      <c r="K84" s="32">
        <f>I84*J79</f>
        <v>35</v>
      </c>
      <c r="L84" s="33" t="s">
        <v>252</v>
      </c>
      <c r="M84" s="34" t="s">
        <v>253</v>
      </c>
      <c r="N84" s="34">
        <v>1</v>
      </c>
      <c r="R84" s="37">
        <f>K84*708*428/1000000/0.9</f>
        <v>11.784266666666667</v>
      </c>
      <c r="S84" s="38"/>
      <c r="T84" s="38"/>
      <c r="U84" s="38"/>
      <c r="V84" s="856"/>
      <c r="W84" s="39">
        <f>K84*708*428*3/1000000000</f>
        <v>3.1817520000000002E-2</v>
      </c>
      <c r="X84" s="43">
        <v>0</v>
      </c>
      <c r="Y84" s="21"/>
      <c r="Z84" s="21"/>
    </row>
    <row r="85" spans="1:26" ht="15" customHeight="1" thickBot="1">
      <c r="A85" s="867"/>
      <c r="B85" s="870"/>
      <c r="C85" s="865"/>
      <c r="D85" s="865"/>
      <c r="E85" s="865"/>
      <c r="F85" s="865"/>
      <c r="G85" s="45" t="s">
        <v>137</v>
      </c>
      <c r="H85" s="45" t="s">
        <v>138</v>
      </c>
      <c r="I85" s="46">
        <f>F79</f>
        <v>1</v>
      </c>
      <c r="J85" s="862"/>
      <c r="K85" s="47">
        <f>I85*J79</f>
        <v>35</v>
      </c>
      <c r="L85" s="33" t="s">
        <v>139</v>
      </c>
      <c r="M85" s="34" t="s">
        <v>140</v>
      </c>
      <c r="N85" s="34">
        <v>1</v>
      </c>
      <c r="R85" s="37">
        <f>K85*88*417/1000000/0.9</f>
        <v>1.4270666666666665</v>
      </c>
      <c r="S85" s="38">
        <f>K85*((88+417)+10)/1000</f>
        <v>18.024999999999999</v>
      </c>
      <c r="T85" s="38">
        <f t="shared" ref="T85:T90" si="13">S85-U85</f>
        <v>18.024999999999999</v>
      </c>
      <c r="U85" s="38"/>
      <c r="V85" s="857"/>
      <c r="W85" s="39">
        <f>K85*88*417*16/1000000000</f>
        <v>2.054976E-2</v>
      </c>
      <c r="X85" s="43">
        <v>1</v>
      </c>
      <c r="Y85" s="21"/>
      <c r="Z85" s="21"/>
    </row>
    <row r="86" spans="1:26" ht="15" customHeight="1">
      <c r="A86" s="867"/>
      <c r="B86" s="870"/>
      <c r="C86" s="858">
        <v>600</v>
      </c>
      <c r="D86" s="858">
        <v>300</v>
      </c>
      <c r="E86" s="858">
        <v>720</v>
      </c>
      <c r="F86" s="858">
        <v>1</v>
      </c>
      <c r="G86" s="77" t="s">
        <v>230</v>
      </c>
      <c r="H86" s="77" t="s">
        <v>231</v>
      </c>
      <c r="I86" s="78">
        <f>F86</f>
        <v>1</v>
      </c>
      <c r="J86" s="860">
        <v>30</v>
      </c>
      <c r="K86" s="32">
        <f>I86*J86</f>
        <v>30</v>
      </c>
      <c r="L86" s="33" t="s">
        <v>232</v>
      </c>
      <c r="M86" s="34" t="s">
        <v>233</v>
      </c>
      <c r="N86" s="34">
        <v>1</v>
      </c>
      <c r="R86" s="37">
        <f>K86*300*720/1000000/0.9</f>
        <v>7.2</v>
      </c>
      <c r="S86" s="38">
        <f>K86*((300+720)*2+40)/1000</f>
        <v>62.4</v>
      </c>
      <c r="T86" s="38">
        <f t="shared" si="13"/>
        <v>21.6</v>
      </c>
      <c r="U86" s="38">
        <f t="shared" ref="U86:U87" si="14">S86-0.72*K86</f>
        <v>40.799999999999997</v>
      </c>
      <c r="V86" s="855">
        <f>J86*11</f>
        <v>330</v>
      </c>
      <c r="W86" s="39">
        <f>K86*300*720*16/1000000000</f>
        <v>0.10367999999999999</v>
      </c>
      <c r="X86" s="43">
        <v>1</v>
      </c>
      <c r="Y86" s="21"/>
      <c r="Z86" s="21"/>
    </row>
    <row r="87" spans="1:26" ht="15" customHeight="1">
      <c r="A87" s="867"/>
      <c r="B87" s="870"/>
      <c r="C87" s="858"/>
      <c r="D87" s="858"/>
      <c r="E87" s="858"/>
      <c r="F87" s="858"/>
      <c r="G87" s="34" t="s">
        <v>234</v>
      </c>
      <c r="H87" s="34" t="s">
        <v>235</v>
      </c>
      <c r="I87" s="40">
        <f>F86</f>
        <v>1</v>
      </c>
      <c r="J87" s="861"/>
      <c r="K87" s="32">
        <f>I87*J86</f>
        <v>30</v>
      </c>
      <c r="L87" s="33" t="s">
        <v>236</v>
      </c>
      <c r="M87" s="34" t="s">
        <v>237</v>
      </c>
      <c r="N87" s="34">
        <v>1</v>
      </c>
      <c r="R87" s="37">
        <f>K87*300*720/1000000/0.9</f>
        <v>7.2</v>
      </c>
      <c r="S87" s="38">
        <f>K87*((300+720)*2+40)/1000</f>
        <v>62.4</v>
      </c>
      <c r="T87" s="38">
        <f t="shared" si="13"/>
        <v>21.6</v>
      </c>
      <c r="U87" s="38">
        <f t="shared" si="14"/>
        <v>40.799999999999997</v>
      </c>
      <c r="V87" s="856"/>
      <c r="W87" s="39">
        <f>K87*300*720*16/1000000000</f>
        <v>0.10367999999999999</v>
      </c>
      <c r="X87" s="43">
        <v>1</v>
      </c>
      <c r="Y87" s="21"/>
      <c r="Z87" s="21"/>
    </row>
    <row r="88" spans="1:26" ht="15" customHeight="1">
      <c r="A88" s="867"/>
      <c r="B88" s="870"/>
      <c r="C88" s="858"/>
      <c r="D88" s="858"/>
      <c r="E88" s="858"/>
      <c r="F88" s="858"/>
      <c r="G88" s="34" t="s">
        <v>254</v>
      </c>
      <c r="H88" s="34" t="s">
        <v>255</v>
      </c>
      <c r="I88" s="40">
        <f>F86</f>
        <v>1</v>
      </c>
      <c r="J88" s="861"/>
      <c r="K88" s="32">
        <f>I88*J86</f>
        <v>30</v>
      </c>
      <c r="L88" s="33" t="s">
        <v>256</v>
      </c>
      <c r="M88" s="34" t="s">
        <v>257</v>
      </c>
      <c r="N88" s="34">
        <v>1</v>
      </c>
      <c r="R88" s="37">
        <f>K88*300*720/1000000/0.9</f>
        <v>7.2</v>
      </c>
      <c r="S88" s="38">
        <f>K88*((300+720)*2+40)/1000</f>
        <v>62.4</v>
      </c>
      <c r="T88" s="38">
        <f t="shared" si="13"/>
        <v>17.009999999999998</v>
      </c>
      <c r="U88" s="38">
        <f>S88-0.567*K88</f>
        <v>45.39</v>
      </c>
      <c r="V88" s="856"/>
      <c r="W88" s="39">
        <f>K88*300*720*16/1000000000</f>
        <v>0.10367999999999999</v>
      </c>
      <c r="X88" s="43">
        <v>0</v>
      </c>
      <c r="Y88" s="21"/>
      <c r="Z88" s="21"/>
    </row>
    <row r="89" spans="1:26" ht="15" customHeight="1">
      <c r="A89" s="867"/>
      <c r="B89" s="870"/>
      <c r="C89" s="858"/>
      <c r="D89" s="858"/>
      <c r="E89" s="858"/>
      <c r="F89" s="858"/>
      <c r="G89" s="34" t="s">
        <v>258</v>
      </c>
      <c r="H89" s="34" t="s">
        <v>259</v>
      </c>
      <c r="I89" s="40">
        <f>F86</f>
        <v>1</v>
      </c>
      <c r="J89" s="861"/>
      <c r="K89" s="32">
        <f>I89*J86</f>
        <v>30</v>
      </c>
      <c r="L89" s="33" t="s">
        <v>260</v>
      </c>
      <c r="M89" s="34" t="s">
        <v>261</v>
      </c>
      <c r="N89" s="34">
        <v>1</v>
      </c>
      <c r="R89" s="37">
        <f>K89*277*567/1000000/0.9</f>
        <v>5.2352999999999996</v>
      </c>
      <c r="S89" s="38">
        <f>K89*((277+567)*2+40)/1000</f>
        <v>51.84</v>
      </c>
      <c r="T89" s="38">
        <f t="shared" si="13"/>
        <v>17.009999999999998</v>
      </c>
      <c r="U89" s="38">
        <f>S89-0.567*K89</f>
        <v>34.830000000000005</v>
      </c>
      <c r="V89" s="856"/>
      <c r="W89" s="39">
        <f>K89*277*567*16/1000000000</f>
        <v>7.5388319999999995E-2</v>
      </c>
      <c r="X89" s="43">
        <v>0</v>
      </c>
      <c r="Y89" s="21"/>
      <c r="Z89" s="21"/>
    </row>
    <row r="90" spans="1:26" ht="15" customHeight="1">
      <c r="A90" s="867"/>
      <c r="B90" s="870"/>
      <c r="C90" s="858"/>
      <c r="D90" s="858"/>
      <c r="E90" s="858"/>
      <c r="F90" s="858"/>
      <c r="G90" s="76" t="s">
        <v>308</v>
      </c>
      <c r="H90" s="76" t="s">
        <v>309</v>
      </c>
      <c r="I90" s="40">
        <f>F86</f>
        <v>1</v>
      </c>
      <c r="J90" s="861"/>
      <c r="K90" s="32">
        <f>I90*J86</f>
        <v>30</v>
      </c>
      <c r="L90" s="33" t="s">
        <v>264</v>
      </c>
      <c r="M90" s="34" t="s">
        <v>265</v>
      </c>
      <c r="N90" s="34">
        <v>1</v>
      </c>
      <c r="R90" s="37">
        <f>K90*254*566/1000000/0.9</f>
        <v>4.7921333333333331</v>
      </c>
      <c r="S90" s="38">
        <f>K90*((254+566)*2+40)/1000</f>
        <v>50.4</v>
      </c>
      <c r="T90" s="38">
        <f t="shared" si="13"/>
        <v>16.979999999999997</v>
      </c>
      <c r="U90" s="38">
        <f>S90-0.566*K90</f>
        <v>33.42</v>
      </c>
      <c r="V90" s="856"/>
      <c r="W90" s="39">
        <f>K90*254*566*16/1000000000</f>
        <v>6.9006719999999994E-2</v>
      </c>
      <c r="X90" s="43">
        <v>0</v>
      </c>
      <c r="Y90" s="21"/>
      <c r="Z90" s="21"/>
    </row>
    <row r="91" spans="1:26" ht="15" customHeight="1">
      <c r="A91" s="867"/>
      <c r="B91" s="870"/>
      <c r="C91" s="858"/>
      <c r="D91" s="858"/>
      <c r="E91" s="858"/>
      <c r="F91" s="858"/>
      <c r="G91" s="34" t="s">
        <v>266</v>
      </c>
      <c r="H91" s="34" t="s">
        <v>267</v>
      </c>
      <c r="I91" s="40">
        <f>F86</f>
        <v>1</v>
      </c>
      <c r="J91" s="861"/>
      <c r="K91" s="32">
        <f>I91*J86</f>
        <v>30</v>
      </c>
      <c r="L91" s="33" t="s">
        <v>268</v>
      </c>
      <c r="M91" s="34" t="s">
        <v>269</v>
      </c>
      <c r="N91" s="34">
        <v>1</v>
      </c>
      <c r="R91" s="37">
        <f>K91*708*566/1000000/0.9</f>
        <v>13.357599999999998</v>
      </c>
      <c r="S91" s="38"/>
      <c r="T91" s="38"/>
      <c r="U91" s="38"/>
      <c r="V91" s="856"/>
      <c r="W91" s="39">
        <f>K91*708*578*3/1000000000</f>
        <v>3.6830160000000001E-2</v>
      </c>
      <c r="X91" s="43">
        <v>0</v>
      </c>
      <c r="Y91" s="21"/>
      <c r="Z91" s="21"/>
    </row>
    <row r="92" spans="1:26" ht="15" customHeight="1" thickBot="1">
      <c r="A92" s="868"/>
      <c r="B92" s="871"/>
      <c r="C92" s="859"/>
      <c r="D92" s="859"/>
      <c r="E92" s="859"/>
      <c r="F92" s="859"/>
      <c r="G92" s="45" t="s">
        <v>161</v>
      </c>
      <c r="H92" s="45" t="s">
        <v>162</v>
      </c>
      <c r="I92" s="46">
        <f>F86</f>
        <v>1</v>
      </c>
      <c r="J92" s="862"/>
      <c r="K92" s="47">
        <f>I92*J86</f>
        <v>30</v>
      </c>
      <c r="L92" s="33" t="s">
        <v>163</v>
      </c>
      <c r="M92" s="34" t="s">
        <v>164</v>
      </c>
      <c r="N92" s="34">
        <v>1</v>
      </c>
      <c r="R92" s="37">
        <f>K92*88*567/1000000/0.9</f>
        <v>1.6632</v>
      </c>
      <c r="S92" s="38">
        <f>K92*((560+720)+10)/1000</f>
        <v>38.700000000000003</v>
      </c>
      <c r="T92" s="38">
        <f t="shared" ref="T92" si="15">S92-U92</f>
        <v>17.009999999999998</v>
      </c>
      <c r="U92" s="38">
        <f>S92-0.567*K92</f>
        <v>21.690000000000005</v>
      </c>
      <c r="V92" s="857"/>
      <c r="W92" s="39">
        <f>K92*88*567*16/1000000000</f>
        <v>2.3950079999999999E-2</v>
      </c>
      <c r="X92" s="43">
        <v>1</v>
      </c>
      <c r="Y92" s="21"/>
      <c r="Z92" s="21"/>
    </row>
    <row r="93" spans="1:26" ht="15" customHeight="1">
      <c r="A93" s="866"/>
      <c r="B93" s="869" t="s">
        <v>324</v>
      </c>
      <c r="C93" s="863">
        <v>900</v>
      </c>
      <c r="D93" s="863">
        <v>300</v>
      </c>
      <c r="E93" s="863">
        <v>720</v>
      </c>
      <c r="F93" s="863">
        <v>1</v>
      </c>
      <c r="G93" s="30" t="s">
        <v>230</v>
      </c>
      <c r="H93" s="30" t="s">
        <v>231</v>
      </c>
      <c r="I93" s="31">
        <f>F93</f>
        <v>1</v>
      </c>
      <c r="J93" s="860">
        <v>40</v>
      </c>
      <c r="K93" s="32">
        <f>I93*J93</f>
        <v>40</v>
      </c>
      <c r="L93" s="33" t="s">
        <v>232</v>
      </c>
      <c r="M93" s="34" t="s">
        <v>233</v>
      </c>
      <c r="N93" s="34">
        <v>1</v>
      </c>
      <c r="R93" s="37">
        <f>K93*300*720/1000000/0.9</f>
        <v>9.6</v>
      </c>
      <c r="S93" s="38">
        <f>K93*((300+720)*2+40)/1000</f>
        <v>83.2</v>
      </c>
      <c r="T93" s="38">
        <f t="shared" si="2"/>
        <v>28.799999999999997</v>
      </c>
      <c r="U93" s="38">
        <f t="shared" si="3"/>
        <v>54.400000000000006</v>
      </c>
      <c r="V93" s="855">
        <f>J93*11</f>
        <v>440</v>
      </c>
      <c r="W93" s="39">
        <f>K93*300*720*16/1000000000</f>
        <v>0.13824</v>
      </c>
      <c r="X93" s="43">
        <v>1</v>
      </c>
      <c r="Y93" s="21"/>
      <c r="Z93" s="21"/>
    </row>
    <row r="94" spans="1:26" ht="15" customHeight="1">
      <c r="A94" s="867"/>
      <c r="B94" s="870"/>
      <c r="C94" s="858"/>
      <c r="D94" s="858"/>
      <c r="E94" s="858"/>
      <c r="F94" s="858"/>
      <c r="G94" s="34" t="s">
        <v>234</v>
      </c>
      <c r="H94" s="34" t="s">
        <v>235</v>
      </c>
      <c r="I94" s="40">
        <f>F93</f>
        <v>1</v>
      </c>
      <c r="J94" s="861"/>
      <c r="K94" s="32">
        <f>I94*J93</f>
        <v>40</v>
      </c>
      <c r="L94" s="33" t="s">
        <v>236</v>
      </c>
      <c r="M94" s="34" t="s">
        <v>237</v>
      </c>
      <c r="N94" s="34">
        <v>1</v>
      </c>
      <c r="R94" s="37">
        <f>K94*300*720/1000000/0.9</f>
        <v>9.6</v>
      </c>
      <c r="S94" s="38">
        <f>K94*((300+720)*2+40)/1000</f>
        <v>83.2</v>
      </c>
      <c r="T94" s="38">
        <f t="shared" si="2"/>
        <v>28.799999999999997</v>
      </c>
      <c r="U94" s="38">
        <f t="shared" si="3"/>
        <v>54.400000000000006</v>
      </c>
      <c r="V94" s="856"/>
      <c r="W94" s="39">
        <f>K94*300*720*16/1000000000</f>
        <v>0.13824</v>
      </c>
      <c r="X94" s="43">
        <v>1</v>
      </c>
      <c r="Y94" s="21"/>
      <c r="Z94" s="21"/>
    </row>
    <row r="95" spans="1:26" ht="15" customHeight="1">
      <c r="A95" s="867"/>
      <c r="B95" s="870"/>
      <c r="C95" s="858"/>
      <c r="D95" s="858"/>
      <c r="E95" s="858"/>
      <c r="F95" s="858"/>
      <c r="G95" s="34" t="s">
        <v>271</v>
      </c>
      <c r="H95" s="34" t="s">
        <v>272</v>
      </c>
      <c r="I95" s="40">
        <f>F93</f>
        <v>1</v>
      </c>
      <c r="J95" s="861"/>
      <c r="K95" s="32">
        <f>I95*J93</f>
        <v>40</v>
      </c>
      <c r="L95" s="33" t="s">
        <v>273</v>
      </c>
      <c r="M95" s="34" t="s">
        <v>274</v>
      </c>
      <c r="N95" s="34">
        <v>1</v>
      </c>
      <c r="R95" s="37">
        <f>K95*300*867/1000000/0.9</f>
        <v>11.56</v>
      </c>
      <c r="S95" s="38">
        <f>K95*((300+867)*2+40)/1000</f>
        <v>94.96</v>
      </c>
      <c r="T95" s="38">
        <f t="shared" si="2"/>
        <v>34.68</v>
      </c>
      <c r="U95" s="38">
        <f>S95-0.867*K95</f>
        <v>60.279999999999994</v>
      </c>
      <c r="V95" s="856"/>
      <c r="W95" s="39">
        <f>K95*300*867*16/1000000000</f>
        <v>0.166464</v>
      </c>
      <c r="X95" s="43">
        <v>1</v>
      </c>
      <c r="Y95" s="21"/>
      <c r="Z95" s="21"/>
    </row>
    <row r="96" spans="1:26" ht="15" customHeight="1">
      <c r="A96" s="867"/>
      <c r="B96" s="870"/>
      <c r="C96" s="858"/>
      <c r="D96" s="858"/>
      <c r="E96" s="858"/>
      <c r="F96" s="858"/>
      <c r="G96" s="34" t="s">
        <v>275</v>
      </c>
      <c r="H96" s="34" t="s">
        <v>276</v>
      </c>
      <c r="I96" s="40">
        <f>F93</f>
        <v>1</v>
      </c>
      <c r="J96" s="861"/>
      <c r="K96" s="32">
        <f>I96*J93</f>
        <v>40</v>
      </c>
      <c r="L96" s="33" t="s">
        <v>277</v>
      </c>
      <c r="M96" s="34" t="s">
        <v>278</v>
      </c>
      <c r="N96" s="34">
        <v>1</v>
      </c>
      <c r="R96" s="37">
        <f>K96*277*867/1000000/0.9</f>
        <v>10.673733333333333</v>
      </c>
      <c r="S96" s="38">
        <f>K96*((277+867)*2+40)/1000</f>
        <v>93.12</v>
      </c>
      <c r="T96" s="38">
        <f t="shared" si="2"/>
        <v>34.68</v>
      </c>
      <c r="U96" s="38">
        <f>S96-0.867*K96</f>
        <v>58.440000000000005</v>
      </c>
      <c r="V96" s="856"/>
      <c r="W96" s="39">
        <f>K96*277*867*16/1000000000</f>
        <v>0.15370175999999999</v>
      </c>
      <c r="X96" s="43">
        <v>0</v>
      </c>
      <c r="Y96" s="21"/>
      <c r="Z96" s="21"/>
    </row>
    <row r="97" spans="1:26" ht="15" customHeight="1">
      <c r="A97" s="867"/>
      <c r="B97" s="870"/>
      <c r="C97" s="858"/>
      <c r="D97" s="858"/>
      <c r="E97" s="858"/>
      <c r="F97" s="858"/>
      <c r="G97" s="34" t="s">
        <v>279</v>
      </c>
      <c r="H97" s="34" t="s">
        <v>280</v>
      </c>
      <c r="I97" s="40">
        <f>F93</f>
        <v>1</v>
      </c>
      <c r="J97" s="861"/>
      <c r="K97" s="32">
        <f>I97*J93</f>
        <v>40</v>
      </c>
      <c r="L97" s="33" t="s">
        <v>281</v>
      </c>
      <c r="M97" s="34" t="s">
        <v>282</v>
      </c>
      <c r="N97" s="34">
        <v>1</v>
      </c>
      <c r="R97" s="37">
        <f>K97*254*866/1000000/0.9</f>
        <v>9.776177777777777</v>
      </c>
      <c r="S97" s="38">
        <f>K97*((254+866)*2+40)/1000</f>
        <v>91.2</v>
      </c>
      <c r="T97" s="38">
        <f t="shared" si="2"/>
        <v>34.64</v>
      </c>
      <c r="U97" s="38">
        <f>S97-0.866*K97</f>
        <v>56.56</v>
      </c>
      <c r="V97" s="856"/>
      <c r="W97" s="39">
        <f>K97*254*866*16/1000000000</f>
        <v>0.14077696000000001</v>
      </c>
      <c r="X97" s="43">
        <v>0</v>
      </c>
      <c r="Y97" s="21"/>
      <c r="Z97" s="21"/>
    </row>
    <row r="98" spans="1:26" ht="15" customHeight="1">
      <c r="A98" s="867"/>
      <c r="B98" s="870"/>
      <c r="C98" s="858"/>
      <c r="D98" s="858"/>
      <c r="E98" s="858"/>
      <c r="F98" s="858"/>
      <c r="G98" s="34" t="s">
        <v>283</v>
      </c>
      <c r="H98" s="34" t="s">
        <v>284</v>
      </c>
      <c r="I98" s="40">
        <f>F93</f>
        <v>1</v>
      </c>
      <c r="J98" s="861"/>
      <c r="K98" s="32">
        <f>I98*J93</f>
        <v>40</v>
      </c>
      <c r="L98" s="33" t="s">
        <v>285</v>
      </c>
      <c r="M98" s="34" t="s">
        <v>286</v>
      </c>
      <c r="N98" s="34">
        <v>1</v>
      </c>
      <c r="R98" s="37">
        <f>K98*708*878/1000000/0.9</f>
        <v>27.627733333333332</v>
      </c>
      <c r="S98" s="38"/>
      <c r="T98" s="38"/>
      <c r="U98" s="38"/>
      <c r="V98" s="856"/>
      <c r="W98" s="39">
        <f>K98*708*878*3/1000000000</f>
        <v>7.4594880000000002E-2</v>
      </c>
      <c r="X98" s="43">
        <v>0</v>
      </c>
      <c r="Y98" s="21"/>
      <c r="Z98" s="21"/>
    </row>
    <row r="99" spans="1:26" ht="15" customHeight="1" thickBot="1">
      <c r="A99" s="868"/>
      <c r="B99" s="871"/>
      <c r="C99" s="859"/>
      <c r="D99" s="859"/>
      <c r="E99" s="859"/>
      <c r="F99" s="859"/>
      <c r="G99" s="45" t="s">
        <v>287</v>
      </c>
      <c r="H99" s="45" t="s">
        <v>288</v>
      </c>
      <c r="I99" s="46">
        <f>F93</f>
        <v>1</v>
      </c>
      <c r="J99" s="861"/>
      <c r="K99" s="48">
        <f>I99*J93</f>
        <v>40</v>
      </c>
      <c r="L99" s="49" t="s">
        <v>289</v>
      </c>
      <c r="M99" s="50" t="s">
        <v>290</v>
      </c>
      <c r="N99" s="50">
        <v>1</v>
      </c>
      <c r="R99" s="37">
        <f>K99*88*867/1000000/0.9</f>
        <v>3.3909333333333329</v>
      </c>
      <c r="S99" s="38">
        <f>K99*((88+867)+10)/1000</f>
        <v>38.6</v>
      </c>
      <c r="T99" s="38">
        <f t="shared" si="2"/>
        <v>34.64</v>
      </c>
      <c r="U99" s="38">
        <f t="shared" ref="U99" si="16">S99-0.866*K99</f>
        <v>3.9600000000000009</v>
      </c>
      <c r="V99" s="857"/>
      <c r="W99" s="39">
        <f>K99*88*867*16/1000000000</f>
        <v>4.8829440000000002E-2</v>
      </c>
      <c r="X99" s="43">
        <v>1</v>
      </c>
      <c r="Y99" s="21"/>
      <c r="Z99" s="21"/>
    </row>
    <row r="100" spans="1:26" ht="15" customHeight="1">
      <c r="A100" s="866"/>
      <c r="B100" s="869" t="s">
        <v>270</v>
      </c>
      <c r="C100" s="863">
        <v>900</v>
      </c>
      <c r="D100" s="863">
        <v>300</v>
      </c>
      <c r="E100" s="863">
        <v>720</v>
      </c>
      <c r="F100" s="863">
        <v>1</v>
      </c>
      <c r="G100" s="30" t="s">
        <v>230</v>
      </c>
      <c r="H100" s="30" t="s">
        <v>231</v>
      </c>
      <c r="I100" s="31">
        <f>F100</f>
        <v>1</v>
      </c>
      <c r="J100" s="860">
        <v>40</v>
      </c>
      <c r="K100" s="32">
        <f>I100*J100</f>
        <v>40</v>
      </c>
      <c r="L100" s="33" t="s">
        <v>232</v>
      </c>
      <c r="M100" s="34" t="s">
        <v>233</v>
      </c>
      <c r="N100" s="34">
        <v>1</v>
      </c>
      <c r="R100" s="37">
        <f>K100*300*720/1000000/0.9</f>
        <v>9.6</v>
      </c>
      <c r="S100" s="38">
        <f>K100*((300+720)*2+40)/1000</f>
        <v>83.2</v>
      </c>
      <c r="T100" s="38">
        <f t="shared" ref="T100:T104" si="17">S100-U100</f>
        <v>28.799999999999997</v>
      </c>
      <c r="U100" s="38">
        <f t="shared" ref="U100:U101" si="18">S100-0.72*K100</f>
        <v>54.400000000000006</v>
      </c>
      <c r="V100" s="855">
        <f>J100*11</f>
        <v>440</v>
      </c>
      <c r="W100" s="39">
        <f>K100*300*720*16/1000000000</f>
        <v>0.13824</v>
      </c>
      <c r="X100" s="43">
        <v>1</v>
      </c>
      <c r="Y100" s="21"/>
      <c r="Z100" s="21"/>
    </row>
    <row r="101" spans="1:26" ht="15" customHeight="1">
      <c r="A101" s="867"/>
      <c r="B101" s="870"/>
      <c r="C101" s="858"/>
      <c r="D101" s="858"/>
      <c r="E101" s="858"/>
      <c r="F101" s="858"/>
      <c r="G101" s="34" t="s">
        <v>234</v>
      </c>
      <c r="H101" s="34" t="s">
        <v>235</v>
      </c>
      <c r="I101" s="40">
        <f>F100</f>
        <v>1</v>
      </c>
      <c r="J101" s="861"/>
      <c r="K101" s="32">
        <f>I101*J100</f>
        <v>40</v>
      </c>
      <c r="L101" s="33" t="s">
        <v>236</v>
      </c>
      <c r="M101" s="34" t="s">
        <v>237</v>
      </c>
      <c r="N101" s="34">
        <v>1</v>
      </c>
      <c r="R101" s="37">
        <f>K101*300*720/1000000/0.9</f>
        <v>9.6</v>
      </c>
      <c r="S101" s="38">
        <f>K101*((300+720)*2+40)/1000</f>
        <v>83.2</v>
      </c>
      <c r="T101" s="38">
        <f t="shared" si="17"/>
        <v>28.799999999999997</v>
      </c>
      <c r="U101" s="38">
        <f t="shared" si="18"/>
        <v>54.400000000000006</v>
      </c>
      <c r="V101" s="856"/>
      <c r="W101" s="39">
        <f>K101*300*720*16/1000000000</f>
        <v>0.13824</v>
      </c>
      <c r="X101" s="43">
        <v>1</v>
      </c>
      <c r="Y101" s="21"/>
      <c r="Z101" s="21"/>
    </row>
    <row r="102" spans="1:26" ht="15" customHeight="1">
      <c r="A102" s="867"/>
      <c r="B102" s="870"/>
      <c r="C102" s="858"/>
      <c r="D102" s="858"/>
      <c r="E102" s="858"/>
      <c r="F102" s="858"/>
      <c r="G102" s="34" t="s">
        <v>271</v>
      </c>
      <c r="H102" s="34" t="s">
        <v>272</v>
      </c>
      <c r="I102" s="40">
        <f>F100</f>
        <v>1</v>
      </c>
      <c r="J102" s="861"/>
      <c r="K102" s="32">
        <f>I102*J100</f>
        <v>40</v>
      </c>
      <c r="L102" s="33" t="s">
        <v>273</v>
      </c>
      <c r="M102" s="34" t="s">
        <v>274</v>
      </c>
      <c r="N102" s="34">
        <v>1</v>
      </c>
      <c r="R102" s="37">
        <f>K102*300*867/1000000/0.9</f>
        <v>11.56</v>
      </c>
      <c r="S102" s="38">
        <f>K102*((300+867)*2+40)/1000</f>
        <v>94.96</v>
      </c>
      <c r="T102" s="38">
        <f t="shared" si="17"/>
        <v>34.68</v>
      </c>
      <c r="U102" s="38">
        <f>S102-0.867*K102</f>
        <v>60.279999999999994</v>
      </c>
      <c r="V102" s="856"/>
      <c r="W102" s="39">
        <f>K102*300*867*16/1000000000</f>
        <v>0.166464</v>
      </c>
      <c r="X102" s="43">
        <v>1</v>
      </c>
      <c r="Y102" s="21"/>
      <c r="Z102" s="21"/>
    </row>
    <row r="103" spans="1:26" ht="15" customHeight="1">
      <c r="A103" s="867"/>
      <c r="B103" s="870"/>
      <c r="C103" s="858"/>
      <c r="D103" s="858"/>
      <c r="E103" s="858"/>
      <c r="F103" s="858"/>
      <c r="G103" s="34" t="s">
        <v>275</v>
      </c>
      <c r="H103" s="34" t="s">
        <v>276</v>
      </c>
      <c r="I103" s="40">
        <f>F100</f>
        <v>1</v>
      </c>
      <c r="J103" s="861"/>
      <c r="K103" s="32">
        <f>I103*J100</f>
        <v>40</v>
      </c>
      <c r="L103" s="33" t="s">
        <v>277</v>
      </c>
      <c r="M103" s="34" t="s">
        <v>278</v>
      </c>
      <c r="N103" s="34">
        <v>1</v>
      </c>
      <c r="R103" s="37">
        <f>K103*277*867/1000000/0.9</f>
        <v>10.673733333333333</v>
      </c>
      <c r="S103" s="38">
        <f>K103*((277+867)*2+40)/1000</f>
        <v>93.12</v>
      </c>
      <c r="T103" s="38">
        <f t="shared" si="17"/>
        <v>34.68</v>
      </c>
      <c r="U103" s="38">
        <f>S103-0.867*K103</f>
        <v>58.440000000000005</v>
      </c>
      <c r="V103" s="856"/>
      <c r="W103" s="39">
        <f>K103*277*867*16/1000000000</f>
        <v>0.15370175999999999</v>
      </c>
      <c r="X103" s="43">
        <v>0</v>
      </c>
      <c r="Y103" s="21"/>
      <c r="Z103" s="21"/>
    </row>
    <row r="104" spans="1:26" ht="15" customHeight="1">
      <c r="A104" s="867"/>
      <c r="B104" s="870"/>
      <c r="C104" s="858"/>
      <c r="D104" s="858"/>
      <c r="E104" s="858"/>
      <c r="F104" s="858"/>
      <c r="G104" s="76" t="s">
        <v>310</v>
      </c>
      <c r="H104" s="76" t="s">
        <v>311</v>
      </c>
      <c r="I104" s="40">
        <f>F100</f>
        <v>1</v>
      </c>
      <c r="J104" s="861"/>
      <c r="K104" s="32">
        <f>I104*J100</f>
        <v>40</v>
      </c>
      <c r="L104" s="33" t="s">
        <v>281</v>
      </c>
      <c r="M104" s="34" t="s">
        <v>282</v>
      </c>
      <c r="N104" s="34">
        <v>1</v>
      </c>
      <c r="R104" s="37">
        <f>K104*254*866/1000000/0.9</f>
        <v>9.776177777777777</v>
      </c>
      <c r="S104" s="38">
        <f>K104*((254+866)*2+40)/1000</f>
        <v>91.2</v>
      </c>
      <c r="T104" s="38">
        <f t="shared" si="17"/>
        <v>34.64</v>
      </c>
      <c r="U104" s="38">
        <f>S104-0.866*K104</f>
        <v>56.56</v>
      </c>
      <c r="V104" s="856"/>
      <c r="W104" s="39">
        <f>K104*254*866*16/1000000000</f>
        <v>0.14077696000000001</v>
      </c>
      <c r="X104" s="43">
        <v>0</v>
      </c>
      <c r="Y104" s="21"/>
      <c r="Z104" s="21"/>
    </row>
    <row r="105" spans="1:26" ht="15" customHeight="1">
      <c r="A105" s="867"/>
      <c r="B105" s="870"/>
      <c r="C105" s="858"/>
      <c r="D105" s="858"/>
      <c r="E105" s="858"/>
      <c r="F105" s="858"/>
      <c r="G105" s="34" t="s">
        <v>283</v>
      </c>
      <c r="H105" s="34" t="s">
        <v>284</v>
      </c>
      <c r="I105" s="40">
        <f>F100</f>
        <v>1</v>
      </c>
      <c r="J105" s="861"/>
      <c r="K105" s="32">
        <f>I105*J100</f>
        <v>40</v>
      </c>
      <c r="L105" s="33" t="s">
        <v>285</v>
      </c>
      <c r="M105" s="34" t="s">
        <v>286</v>
      </c>
      <c r="N105" s="34">
        <v>1</v>
      </c>
      <c r="R105" s="37">
        <f>K105*708*878/1000000/0.9</f>
        <v>27.627733333333332</v>
      </c>
      <c r="S105" s="38"/>
      <c r="T105" s="38"/>
      <c r="U105" s="38"/>
      <c r="V105" s="856"/>
      <c r="W105" s="39">
        <f>K105*708*878*3/1000000000</f>
        <v>7.4594880000000002E-2</v>
      </c>
      <c r="X105" s="43">
        <v>0</v>
      </c>
      <c r="Y105" s="21"/>
      <c r="Z105" s="21"/>
    </row>
    <row r="106" spans="1:26" ht="15" customHeight="1" thickBot="1">
      <c r="A106" s="868"/>
      <c r="B106" s="871"/>
      <c r="C106" s="859"/>
      <c r="D106" s="859"/>
      <c r="E106" s="859"/>
      <c r="F106" s="859"/>
      <c r="G106" s="45" t="s">
        <v>287</v>
      </c>
      <c r="H106" s="45" t="s">
        <v>288</v>
      </c>
      <c r="I106" s="46">
        <f>F100</f>
        <v>1</v>
      </c>
      <c r="J106" s="861"/>
      <c r="K106" s="48">
        <f>I106*J100</f>
        <v>40</v>
      </c>
      <c r="L106" s="49" t="s">
        <v>289</v>
      </c>
      <c r="M106" s="50" t="s">
        <v>290</v>
      </c>
      <c r="N106" s="50">
        <v>1</v>
      </c>
      <c r="R106" s="37">
        <f>K106*88*867/1000000/0.9</f>
        <v>3.3909333333333329</v>
      </c>
      <c r="S106" s="38">
        <f>K106*((88+867)+10)/1000</f>
        <v>38.6</v>
      </c>
      <c r="T106" s="38">
        <f t="shared" ref="T106" si="19">S106-U106</f>
        <v>34.64</v>
      </c>
      <c r="U106" s="38">
        <f t="shared" ref="U106" si="20">S106-0.866*K106</f>
        <v>3.9600000000000009</v>
      </c>
      <c r="V106" s="857"/>
      <c r="W106" s="39">
        <f>K106*88*867*16/1000000000</f>
        <v>4.8829440000000002E-2</v>
      </c>
      <c r="X106" s="43">
        <v>1</v>
      </c>
      <c r="Y106" s="21"/>
      <c r="Z106" s="21"/>
    </row>
    <row r="107" spans="1:26" customFormat="1" ht="15" customHeight="1">
      <c r="A107" s="866"/>
      <c r="B107" s="869" t="s">
        <v>312</v>
      </c>
      <c r="C107" s="863">
        <v>900</v>
      </c>
      <c r="D107" s="863">
        <v>300</v>
      </c>
      <c r="E107" s="863">
        <v>720</v>
      </c>
      <c r="F107" s="892">
        <v>1</v>
      </c>
      <c r="G107" s="69" t="s">
        <v>313</v>
      </c>
      <c r="H107" s="69" t="s">
        <v>314</v>
      </c>
      <c r="I107" s="70">
        <f>F107</f>
        <v>1</v>
      </c>
      <c r="J107" s="68" t="e">
        <f>I107*#REF!</f>
        <v>#REF!</v>
      </c>
      <c r="K107" s="55"/>
      <c r="L107" s="1"/>
      <c r="M107" s="1"/>
      <c r="N107" s="1"/>
      <c r="O107" s="1"/>
      <c r="P107" s="1"/>
      <c r="Q107" s="57" t="e">
        <f>J107*300*720/1000000/0.9</f>
        <v>#REF!</v>
      </c>
      <c r="R107" s="1"/>
      <c r="S107" s="1"/>
    </row>
    <row r="108" spans="1:26" customFormat="1" ht="15" customHeight="1">
      <c r="A108" s="867"/>
      <c r="B108" s="870"/>
      <c r="C108" s="858"/>
      <c r="D108" s="858"/>
      <c r="E108" s="858"/>
      <c r="F108" s="893"/>
      <c r="G108" s="54" t="s">
        <v>315</v>
      </c>
      <c r="H108" s="54" t="s">
        <v>316</v>
      </c>
      <c r="I108" s="71">
        <f>F107</f>
        <v>1</v>
      </c>
      <c r="J108" s="68" t="e">
        <f>I108*#REF!</f>
        <v>#REF!</v>
      </c>
      <c r="K108" s="55"/>
      <c r="L108" s="1"/>
      <c r="M108" s="1"/>
      <c r="N108" s="1"/>
      <c r="O108" s="1"/>
      <c r="P108" s="1"/>
      <c r="Q108" s="57" t="e">
        <f>J108*300*720/1000000/0.9</f>
        <v>#REF!</v>
      </c>
      <c r="R108" s="1"/>
      <c r="S108" s="1"/>
    </row>
    <row r="109" spans="1:26" customFormat="1" ht="15" customHeight="1">
      <c r="A109" s="867"/>
      <c r="B109" s="870"/>
      <c r="C109" s="858"/>
      <c r="D109" s="858"/>
      <c r="E109" s="858"/>
      <c r="F109" s="893"/>
      <c r="G109" s="54" t="s">
        <v>271</v>
      </c>
      <c r="H109" s="54" t="s">
        <v>272</v>
      </c>
      <c r="I109" s="71">
        <f>F107</f>
        <v>1</v>
      </c>
      <c r="J109" s="68" t="e">
        <f>I107*#REF!</f>
        <v>#REF!</v>
      </c>
      <c r="K109" s="55"/>
      <c r="L109" s="1"/>
      <c r="M109" s="1"/>
      <c r="N109" s="1"/>
      <c r="O109" s="1"/>
      <c r="P109" s="1"/>
      <c r="Q109" s="57" t="e">
        <f>J109*300*867/1000000/0.9</f>
        <v>#REF!</v>
      </c>
      <c r="R109" s="1"/>
      <c r="S109" s="1"/>
    </row>
    <row r="110" spans="1:26" customFormat="1" ht="15" customHeight="1">
      <c r="A110" s="867"/>
      <c r="B110" s="870"/>
      <c r="C110" s="858"/>
      <c r="D110" s="858"/>
      <c r="E110" s="858"/>
      <c r="F110" s="893"/>
      <c r="G110" s="54" t="s">
        <v>317</v>
      </c>
      <c r="H110" s="54" t="s">
        <v>318</v>
      </c>
      <c r="I110" s="71">
        <f>F107*2</f>
        <v>2</v>
      </c>
      <c r="J110" s="68" t="e">
        <f>I110*#REF!</f>
        <v>#REF!</v>
      </c>
      <c r="K110" s="55"/>
      <c r="L110" s="1"/>
      <c r="M110" s="1"/>
      <c r="N110" s="1"/>
      <c r="O110" s="1"/>
      <c r="P110" s="1"/>
      <c r="Q110" s="57" t="e">
        <f>J110*277*867/1000000/0.9</f>
        <v>#REF!</v>
      </c>
      <c r="R110" s="1"/>
      <c r="S110" s="1"/>
    </row>
    <row r="111" spans="1:26" customFormat="1" ht="15" customHeight="1">
      <c r="A111" s="867"/>
      <c r="B111" s="870"/>
      <c r="C111" s="858"/>
      <c r="D111" s="858"/>
      <c r="E111" s="858"/>
      <c r="F111" s="893"/>
      <c r="G111" s="54" t="s">
        <v>283</v>
      </c>
      <c r="H111" s="54" t="s">
        <v>284</v>
      </c>
      <c r="I111" s="71">
        <f>F107</f>
        <v>1</v>
      </c>
      <c r="J111" s="68" t="e">
        <f>I111*#REF!</f>
        <v>#REF!</v>
      </c>
      <c r="K111" s="55"/>
      <c r="L111" s="1"/>
      <c r="M111" s="1"/>
      <c r="N111" s="1"/>
      <c r="O111" s="1"/>
      <c r="P111" s="1"/>
      <c r="Q111" s="57" t="e">
        <f>J111*708*878/1000000/0.9</f>
        <v>#REF!</v>
      </c>
      <c r="R111" s="1"/>
      <c r="S111" s="1"/>
    </row>
    <row r="112" spans="1:26" customFormat="1" ht="15" customHeight="1" thickBot="1">
      <c r="A112" s="868"/>
      <c r="B112" s="871"/>
      <c r="C112" s="859"/>
      <c r="D112" s="859"/>
      <c r="E112" s="859"/>
      <c r="F112" s="894"/>
      <c r="G112" s="72" t="s">
        <v>287</v>
      </c>
      <c r="H112" s="72" t="s">
        <v>288</v>
      </c>
      <c r="I112" s="73">
        <f>F107</f>
        <v>1</v>
      </c>
      <c r="J112" s="68" t="e">
        <f>I112*#REF!</f>
        <v>#REF!</v>
      </c>
      <c r="K112" s="55"/>
      <c r="L112" s="1"/>
      <c r="M112" s="1"/>
      <c r="N112" s="1"/>
      <c r="O112" s="1"/>
      <c r="P112" s="1"/>
      <c r="Q112" s="57" t="e">
        <f>J112*88*867/1000000/0.9</f>
        <v>#REF!</v>
      </c>
      <c r="R112" s="1"/>
      <c r="S112" s="1"/>
    </row>
    <row r="115" spans="2:7" ht="15" customHeight="1">
      <c r="B115" s="44" t="s">
        <v>319</v>
      </c>
      <c r="G115" s="44" t="s">
        <v>320</v>
      </c>
    </row>
  </sheetData>
  <sheetProtection password="CC13" sheet="1" objects="1" scenarios="1"/>
  <protectedRanges>
    <protectedRange password="CE2A" sqref="F1:F1048576" name="区域1"/>
  </protectedRanges>
  <mergeCells count="139">
    <mergeCell ref="C34:C39"/>
    <mergeCell ref="D34:D39"/>
    <mergeCell ref="E34:E39"/>
    <mergeCell ref="A40:A44"/>
    <mergeCell ref="B40:B44"/>
    <mergeCell ref="C40:C44"/>
    <mergeCell ref="D40:D44"/>
    <mergeCell ref="E40:E44"/>
    <mergeCell ref="F40:F44"/>
    <mergeCell ref="F50:F54"/>
    <mergeCell ref="J50:J54"/>
    <mergeCell ref="V50:V54"/>
    <mergeCell ref="C55:C59"/>
    <mergeCell ref="V55:V59"/>
    <mergeCell ref="D55:D59"/>
    <mergeCell ref="A100:A106"/>
    <mergeCell ref="B100:B106"/>
    <mergeCell ref="C100:C106"/>
    <mergeCell ref="D100:D106"/>
    <mergeCell ref="E100:E106"/>
    <mergeCell ref="F100:F106"/>
    <mergeCell ref="J100:J106"/>
    <mergeCell ref="V100:V106"/>
    <mergeCell ref="C60:C64"/>
    <mergeCell ref="D60:D64"/>
    <mergeCell ref="E60:E64"/>
    <mergeCell ref="C79:C85"/>
    <mergeCell ref="D79:D85"/>
    <mergeCell ref="E79:E85"/>
    <mergeCell ref="F79:F85"/>
    <mergeCell ref="E55:E59"/>
    <mergeCell ref="F55:F59"/>
    <mergeCell ref="J55:J59"/>
    <mergeCell ref="F18:F23"/>
    <mergeCell ref="J24:J28"/>
    <mergeCell ref="V24:V28"/>
    <mergeCell ref="J29:J33"/>
    <mergeCell ref="V29:V33"/>
    <mergeCell ref="J40:J43"/>
    <mergeCell ref="V40:V43"/>
    <mergeCell ref="J45:J49"/>
    <mergeCell ref="V45:V49"/>
    <mergeCell ref="B6:B23"/>
    <mergeCell ref="A6:A23"/>
    <mergeCell ref="F60:F64"/>
    <mergeCell ref="B50:B64"/>
    <mergeCell ref="A50:A64"/>
    <mergeCell ref="C107:C112"/>
    <mergeCell ref="D107:D112"/>
    <mergeCell ref="E107:E112"/>
    <mergeCell ref="C6:C11"/>
    <mergeCell ref="D6:D11"/>
    <mergeCell ref="E6:E11"/>
    <mergeCell ref="C18:C23"/>
    <mergeCell ref="D18:D23"/>
    <mergeCell ref="E18:E23"/>
    <mergeCell ref="A79:A92"/>
    <mergeCell ref="B79:B92"/>
    <mergeCell ref="A34:A39"/>
    <mergeCell ref="B34:B39"/>
    <mergeCell ref="D45:D49"/>
    <mergeCell ref="E45:E49"/>
    <mergeCell ref="F45:F49"/>
    <mergeCell ref="C50:C54"/>
    <mergeCell ref="D50:D54"/>
    <mergeCell ref="E50:E54"/>
    <mergeCell ref="A1:I1"/>
    <mergeCell ref="C2:D2"/>
    <mergeCell ref="E2:F2"/>
    <mergeCell ref="C3:D3"/>
    <mergeCell ref="E3:F3"/>
    <mergeCell ref="A107:A112"/>
    <mergeCell ref="B107:B112"/>
    <mergeCell ref="F34:F39"/>
    <mergeCell ref="F107:F112"/>
    <mergeCell ref="A4:A5"/>
    <mergeCell ref="B4:B5"/>
    <mergeCell ref="A24:A33"/>
    <mergeCell ref="B24:B33"/>
    <mergeCell ref="C24:C28"/>
    <mergeCell ref="D24:D28"/>
    <mergeCell ref="E24:E28"/>
    <mergeCell ref="F24:F28"/>
    <mergeCell ref="C29:C33"/>
    <mergeCell ref="D29:D33"/>
    <mergeCell ref="E29:E33"/>
    <mergeCell ref="F29:F33"/>
    <mergeCell ref="A45:A49"/>
    <mergeCell ref="B45:B49"/>
    <mergeCell ref="C45:C49"/>
    <mergeCell ref="V4:V5"/>
    <mergeCell ref="W4:W5"/>
    <mergeCell ref="X4:X5"/>
    <mergeCell ref="C12:C17"/>
    <mergeCell ref="D12:D17"/>
    <mergeCell ref="E12:E17"/>
    <mergeCell ref="F12:F17"/>
    <mergeCell ref="J12:J17"/>
    <mergeCell ref="J4:K4"/>
    <mergeCell ref="L4:N4"/>
    <mergeCell ref="R4:R5"/>
    <mergeCell ref="S4:S5"/>
    <mergeCell ref="T4:T5"/>
    <mergeCell ref="U4:U5"/>
    <mergeCell ref="V12:V17"/>
    <mergeCell ref="C4:E4"/>
    <mergeCell ref="F4:F5"/>
    <mergeCell ref="G4:I4"/>
    <mergeCell ref="F6:F11"/>
    <mergeCell ref="A93:A99"/>
    <mergeCell ref="B93:B99"/>
    <mergeCell ref="C93:C99"/>
    <mergeCell ref="D93:D99"/>
    <mergeCell ref="E93:E99"/>
    <mergeCell ref="F93:F99"/>
    <mergeCell ref="A65:A78"/>
    <mergeCell ref="B65:B78"/>
    <mergeCell ref="J79:J85"/>
    <mergeCell ref="C86:C92"/>
    <mergeCell ref="D86:D92"/>
    <mergeCell ref="E86:E92"/>
    <mergeCell ref="F86:F92"/>
    <mergeCell ref="J86:J92"/>
    <mergeCell ref="V65:V71"/>
    <mergeCell ref="C72:C78"/>
    <mergeCell ref="D72:D78"/>
    <mergeCell ref="E72:E78"/>
    <mergeCell ref="F72:F78"/>
    <mergeCell ref="J72:J78"/>
    <mergeCell ref="V72:V78"/>
    <mergeCell ref="J93:J99"/>
    <mergeCell ref="V93:V99"/>
    <mergeCell ref="C65:C71"/>
    <mergeCell ref="D65:D71"/>
    <mergeCell ref="E65:E71"/>
    <mergeCell ref="F65:F71"/>
    <mergeCell ref="J65:J71"/>
    <mergeCell ref="V79:V85"/>
    <mergeCell ref="V86:V92"/>
  </mergeCells>
  <phoneticPr fontId="20" type="noConversion"/>
  <pageMargins left="0.70866141732283472" right="0.70866141732283472" top="0.74803149606299213" bottom="0.74803149606299213" header="0.31496062992125984" footer="0.31496062992125984"/>
  <pageSetup paperSize="9" scale="69" orientation="portrait" r:id="rId1"/>
  <rowBreaks count="1" manualBreakCount="1">
    <brk id="64" max="8" man="1"/>
  </rowBreaks>
  <drawing r:id="rId2"/>
  <legacyDrawing r:id="rId3"/>
</worksheet>
</file>

<file path=xl/worksheets/sheet4.xml><?xml version="1.0" encoding="utf-8"?>
<worksheet xmlns="http://schemas.openxmlformats.org/spreadsheetml/2006/main" xmlns:r="http://schemas.openxmlformats.org/officeDocument/2006/relationships">
  <sheetPr>
    <tabColor rgb="FF92D050"/>
  </sheetPr>
  <dimension ref="A1:V765"/>
  <sheetViews>
    <sheetView tabSelected="1" view="pageBreakPreview" topLeftCell="A4" zoomScale="85" zoomScaleSheetLayoutView="85" workbookViewId="0">
      <selection activeCell="A35" sqref="A35:K35"/>
    </sheetView>
  </sheetViews>
  <sheetFormatPr defaultRowHeight="14.25"/>
  <cols>
    <col min="1" max="1" width="8.125" style="427" customWidth="1"/>
    <col min="2" max="2" width="6.25" style="427" customWidth="1"/>
    <col min="3" max="3" width="6.375" style="427" customWidth="1"/>
    <col min="4" max="4" width="5.375" style="427" customWidth="1"/>
    <col min="5" max="5" width="5.5" style="427" customWidth="1"/>
    <col min="6" max="6" width="6.375" style="427" customWidth="1"/>
    <col min="7" max="7" width="7" style="427" customWidth="1"/>
    <col min="8" max="8" width="5.625" style="427" customWidth="1"/>
    <col min="9" max="9" width="15.625" style="427" customWidth="1"/>
    <col min="10" max="10" width="11.125" style="427" customWidth="1"/>
    <col min="11" max="11" width="12.25" style="427" customWidth="1"/>
    <col min="12" max="12" width="7.875" style="427" customWidth="1"/>
    <col min="13" max="13" width="9.875" style="427" customWidth="1"/>
    <col min="14" max="14" width="9.625" style="427" customWidth="1"/>
    <col min="15" max="16" width="8.75" style="427" customWidth="1"/>
    <col min="17" max="17" width="8.375" style="427" customWidth="1"/>
    <col min="18" max="18" width="9.75" style="427" customWidth="1"/>
    <col min="19" max="20" width="9" style="427"/>
    <col min="21" max="21" width="5.375" style="427" customWidth="1"/>
    <col min="22" max="22" width="18.25" style="427" customWidth="1"/>
    <col min="23" max="16384" width="9" style="427"/>
  </cols>
  <sheetData>
    <row r="1" spans="1:22" ht="12.95" customHeight="1">
      <c r="A1" s="426"/>
      <c r="B1" s="426"/>
      <c r="C1" s="426"/>
      <c r="D1" s="426"/>
      <c r="E1" s="426"/>
      <c r="M1" s="799" t="s">
        <v>1482</v>
      </c>
      <c r="N1" s="799" t="s">
        <v>1483</v>
      </c>
      <c r="O1" s="799" t="s">
        <v>1484</v>
      </c>
    </row>
    <row r="2" spans="1:22" ht="12.95" customHeight="1">
      <c r="A2" s="428"/>
      <c r="B2" s="428"/>
      <c r="C2" s="428"/>
      <c r="D2" s="428"/>
      <c r="E2" s="426"/>
      <c r="F2" s="944"/>
      <c r="G2" s="944"/>
      <c r="H2" s="944"/>
      <c r="I2" s="944"/>
      <c r="J2" s="944"/>
      <c r="K2" s="944"/>
      <c r="M2" s="249">
        <f>VLOOKUP(B6,N2:O6,2,FALSE)</f>
        <v>35.5</v>
      </c>
      <c r="N2" s="798" t="s">
        <v>1485</v>
      </c>
      <c r="O2" s="798">
        <f>0.5+0.5</f>
        <v>1</v>
      </c>
      <c r="V2" s="805" t="s">
        <v>1301</v>
      </c>
    </row>
    <row r="3" spans="1:22" ht="18.75">
      <c r="A3" s="945" t="s">
        <v>628</v>
      </c>
      <c r="B3" s="945"/>
      <c r="C3" s="945"/>
      <c r="D3" s="945"/>
      <c r="E3" s="945"/>
      <c r="F3" s="945"/>
      <c r="G3" s="945"/>
      <c r="H3" s="945"/>
      <c r="I3" s="945"/>
      <c r="J3" s="945"/>
      <c r="K3" s="945"/>
      <c r="M3" s="249"/>
      <c r="N3" s="798" t="s">
        <v>1486</v>
      </c>
      <c r="O3" s="798">
        <f>0.5+35</f>
        <v>35.5</v>
      </c>
      <c r="V3" s="809" t="s">
        <v>1305</v>
      </c>
    </row>
    <row r="4" spans="1:22" ht="18" customHeight="1">
      <c r="A4" s="930" t="s">
        <v>629</v>
      </c>
      <c r="B4" s="930"/>
      <c r="C4" s="946" t="str">
        <f>[7]下料单!$C$2</f>
        <v>黑丹丹</v>
      </c>
      <c r="D4" s="946"/>
      <c r="E4" s="946"/>
      <c r="F4" s="942" t="s">
        <v>1299</v>
      </c>
      <c r="G4" s="942"/>
      <c r="H4" s="946" t="str">
        <f>[7]下料单!$N$2</f>
        <v>161116-2.1</v>
      </c>
      <c r="I4" s="946"/>
      <c r="J4" s="638" t="s">
        <v>1300</v>
      </c>
      <c r="K4" s="754">
        <f>SUM(G10:G47)</f>
        <v>18</v>
      </c>
      <c r="M4" s="249"/>
      <c r="N4" s="798" t="s">
        <v>1487</v>
      </c>
      <c r="O4" s="798">
        <f>0.5+3</f>
        <v>3.5</v>
      </c>
      <c r="S4" s="639"/>
      <c r="V4" s="758" t="s">
        <v>1308</v>
      </c>
    </row>
    <row r="5" spans="1:22" ht="19.5" customHeight="1">
      <c r="A5" s="942" t="s">
        <v>1302</v>
      </c>
      <c r="B5" s="942"/>
      <c r="C5" s="947" t="str">
        <f>[7]下料单!$H$2</f>
        <v>S400332724</v>
      </c>
      <c r="D5" s="947"/>
      <c r="E5" s="947"/>
      <c r="F5" s="942" t="s">
        <v>1303</v>
      </c>
      <c r="G5" s="942"/>
      <c r="H5" s="948">
        <f>[7]领料单!$M$3</f>
        <v>0</v>
      </c>
      <c r="I5" s="948"/>
      <c r="J5" s="647" t="s">
        <v>1304</v>
      </c>
      <c r="K5" s="648" t="str">
        <f>[7]柜体!$I$4</f>
        <v>2017.2.20</v>
      </c>
      <c r="M5" s="249"/>
      <c r="N5" s="798" t="s">
        <v>1488</v>
      </c>
      <c r="O5" s="798">
        <f>0.5+32</f>
        <v>32.5</v>
      </c>
      <c r="S5" s="649"/>
      <c r="V5" s="758" t="s">
        <v>1310</v>
      </c>
    </row>
    <row r="6" spans="1:22" ht="26.25" customHeight="1">
      <c r="A6" s="801" t="s">
        <v>1491</v>
      </c>
      <c r="B6" s="942" t="s">
        <v>1552</v>
      </c>
      <c r="C6" s="942"/>
      <c r="D6" s="800" t="s">
        <v>1489</v>
      </c>
      <c r="E6" s="800" t="s">
        <v>1490</v>
      </c>
      <c r="F6" s="949" t="s">
        <v>1475</v>
      </c>
      <c r="G6" s="949"/>
      <c r="H6" s="751" t="str">
        <f>"+"</f>
        <v>+</v>
      </c>
      <c r="I6" s="793"/>
      <c r="J6" s="638" t="s">
        <v>1306</v>
      </c>
      <c r="K6" s="753" t="s">
        <v>1307</v>
      </c>
      <c r="S6" s="649"/>
      <c r="V6" s="758" t="s">
        <v>1314</v>
      </c>
    </row>
    <row r="7" spans="1:22" ht="21" customHeight="1" thickBot="1">
      <c r="A7" s="640"/>
      <c r="B7" s="950" t="s">
        <v>1309</v>
      </c>
      <c r="C7" s="950"/>
      <c r="D7" s="950"/>
      <c r="E7" s="950"/>
      <c r="F7" s="950"/>
      <c r="G7" s="950"/>
      <c r="H7" s="950"/>
      <c r="I7" s="950"/>
      <c r="J7" s="950"/>
      <c r="K7" s="950"/>
      <c r="S7" s="650"/>
      <c r="V7" s="810" t="s">
        <v>1320</v>
      </c>
    </row>
    <row r="8" spans="1:22" ht="18" customHeight="1">
      <c r="A8" s="651" t="s">
        <v>1311</v>
      </c>
      <c r="B8" s="951" t="s">
        <v>1312</v>
      </c>
      <c r="C8" s="951"/>
      <c r="D8" s="951"/>
      <c r="E8" s="952" t="s">
        <v>1313</v>
      </c>
      <c r="F8" s="952"/>
      <c r="G8" s="952"/>
      <c r="H8" s="752" t="s">
        <v>1395</v>
      </c>
      <c r="I8" s="938" t="s">
        <v>1396</v>
      </c>
      <c r="J8" s="938"/>
      <c r="K8" s="939"/>
      <c r="S8" s="650"/>
      <c r="V8" s="758" t="s">
        <v>1321</v>
      </c>
    </row>
    <row r="9" spans="1:22" ht="22.5" customHeight="1">
      <c r="A9" s="652" t="s">
        <v>1315</v>
      </c>
      <c r="B9" s="653" t="s">
        <v>491</v>
      </c>
      <c r="C9" s="653" t="s">
        <v>1316</v>
      </c>
      <c r="D9" s="653" t="s">
        <v>1317</v>
      </c>
      <c r="E9" s="653" t="s">
        <v>1318</v>
      </c>
      <c r="F9" s="653" t="s">
        <v>1316</v>
      </c>
      <c r="G9" s="653" t="s">
        <v>1317</v>
      </c>
      <c r="H9" s="940" t="s">
        <v>1319</v>
      </c>
      <c r="I9" s="940"/>
      <c r="J9" s="940" t="s">
        <v>1388</v>
      </c>
      <c r="K9" s="941"/>
      <c r="L9" s="735" t="s">
        <v>1499</v>
      </c>
      <c r="M9" s="735" t="s">
        <v>1500</v>
      </c>
      <c r="N9" s="735" t="s">
        <v>1501</v>
      </c>
      <c r="O9" s="814" t="s">
        <v>1502</v>
      </c>
      <c r="P9" s="814" t="s">
        <v>1390</v>
      </c>
      <c r="Q9" s="814" t="s">
        <v>1503</v>
      </c>
      <c r="R9" s="814" t="s">
        <v>1504</v>
      </c>
      <c r="S9" s="815" t="s">
        <v>1505</v>
      </c>
      <c r="V9" s="810" t="s">
        <v>1322</v>
      </c>
    </row>
    <row r="10" spans="1:22" ht="17.100000000000001" customHeight="1">
      <c r="A10" s="654">
        <v>1</v>
      </c>
      <c r="B10" s="655">
        <v>397</v>
      </c>
      <c r="C10" s="655">
        <v>715</v>
      </c>
      <c r="D10" s="656">
        <v>4</v>
      </c>
      <c r="E10" s="656">
        <f>B10-1</f>
        <v>396</v>
      </c>
      <c r="F10" s="656">
        <f>C10-$M$2</f>
        <v>679.5</v>
      </c>
      <c r="G10" s="656">
        <f t="shared" ref="G10:G46" si="0">D10</f>
        <v>4</v>
      </c>
      <c r="H10" s="932"/>
      <c r="I10" s="933"/>
      <c r="J10" s="727" t="s">
        <v>1475</v>
      </c>
      <c r="K10" s="812"/>
      <c r="L10" s="738">
        <f>((B10+C10)*2+240)*G10/1000</f>
        <v>9.8559999999999999</v>
      </c>
      <c r="M10" s="738">
        <f>B10*C10*D10/1000000</f>
        <v>1.1354200000000001</v>
      </c>
      <c r="N10" s="738">
        <f>B10*C10*D10/1000000/2.88/0.85</f>
        <v>0.46381535947712427</v>
      </c>
      <c r="O10" s="738">
        <f>IF(J10="",0,(B10*C10*D10/1000000)+((B10+C10)*2*D10/1000)*0.02)</f>
        <v>1.3133400000000002</v>
      </c>
      <c r="P10" s="738">
        <f>IF(K10="",0,(B10*C10*D10/1000000)+((B10+C10)*2*D10/1000)*0.02)</f>
        <v>0</v>
      </c>
      <c r="Q10" s="738">
        <f>IF(J10="",0,(B10*C10*D10/1000000)*2+((B10+C10)*2*D10/1000)*0.02)</f>
        <v>2.44876</v>
      </c>
      <c r="R10" s="738">
        <f>IF(K10="",0,(B10*C10*D10/1000000)*2+((B10+C10)*2*D10/1000)*0.02)</f>
        <v>0</v>
      </c>
      <c r="S10" s="813">
        <f>IF($B$6&lt;&gt;"外置拉手",B10/1000*D10)</f>
        <v>1.5880000000000001</v>
      </c>
      <c r="V10" s="758" t="s">
        <v>1320</v>
      </c>
    </row>
    <row r="11" spans="1:22" ht="17.100000000000001" customHeight="1">
      <c r="A11" s="654">
        <v>2</v>
      </c>
      <c r="B11" s="655">
        <v>447</v>
      </c>
      <c r="C11" s="655">
        <v>356</v>
      </c>
      <c r="D11" s="656">
        <v>2</v>
      </c>
      <c r="E11" s="656">
        <f t="shared" ref="E11:E46" si="1">B11-1</f>
        <v>446</v>
      </c>
      <c r="F11" s="656">
        <f t="shared" ref="F11:F34" si="2">C11-$M$2</f>
        <v>320.5</v>
      </c>
      <c r="G11" s="656">
        <f t="shared" si="0"/>
        <v>2</v>
      </c>
      <c r="H11" s="932"/>
      <c r="I11" s="933"/>
      <c r="J11" s="727" t="s">
        <v>1475</v>
      </c>
      <c r="K11" s="812"/>
      <c r="L11" s="738">
        <f t="shared" ref="L11:L46" si="3">((B11+C11)*2+240)*G11/1000</f>
        <v>3.6920000000000002</v>
      </c>
      <c r="M11" s="738">
        <f t="shared" ref="M11:M46" si="4">B11*C11*D11/1000000</f>
        <v>0.31826399999999999</v>
      </c>
      <c r="N11" s="738">
        <f t="shared" ref="N11:N46" si="5">B11*C11*D11/1000000/2.88/0.85</f>
        <v>0.13000980392156863</v>
      </c>
      <c r="O11" s="738">
        <f t="shared" ref="O11:O46" si="6">IF(J11="",0,(B11*C11*D11/1000000)+((B11+C11)*2*D11/1000)*0.02)</f>
        <v>0.38250400000000001</v>
      </c>
      <c r="P11" s="738">
        <f t="shared" ref="P11:P46" si="7">IF(K11="",0,(B11*C11*D11/1000000)+((B11+C11)*2*D11/1000)*0.02)</f>
        <v>0</v>
      </c>
      <c r="Q11" s="738">
        <f t="shared" ref="Q11:Q46" si="8">IF(J11="",0,(B11*C11*D11/1000000)*2+((B11+C11)*2*D11/1000)*0.02)</f>
        <v>0.70076799999999995</v>
      </c>
      <c r="R11" s="738">
        <f t="shared" ref="R11:R46" si="9">IF(K11="",0,(B11*C11*D11/1000000)*2+((B11+C11)*2*D11/1000)*0.02)</f>
        <v>0</v>
      </c>
      <c r="S11" s="813">
        <f t="shared" ref="S11:S34" si="10">IF($B$6&lt;&gt;"外置拉手",B11/1000*D11)</f>
        <v>0.89400000000000002</v>
      </c>
      <c r="V11" s="758" t="s">
        <v>1323</v>
      </c>
    </row>
    <row r="12" spans="1:22" ht="17.100000000000001" customHeight="1">
      <c r="A12" s="654">
        <v>3</v>
      </c>
      <c r="B12" s="655">
        <v>597</v>
      </c>
      <c r="C12" s="655">
        <v>257</v>
      </c>
      <c r="D12" s="656">
        <v>1</v>
      </c>
      <c r="E12" s="656">
        <f t="shared" si="1"/>
        <v>596</v>
      </c>
      <c r="F12" s="656">
        <f t="shared" si="2"/>
        <v>221.5</v>
      </c>
      <c r="G12" s="656">
        <f t="shared" si="0"/>
        <v>1</v>
      </c>
      <c r="H12" s="932"/>
      <c r="I12" s="933"/>
      <c r="J12" s="727" t="s">
        <v>1475</v>
      </c>
      <c r="K12" s="812"/>
      <c r="L12" s="738">
        <f t="shared" si="3"/>
        <v>1.948</v>
      </c>
      <c r="M12" s="738">
        <f t="shared" si="4"/>
        <v>0.15342900000000001</v>
      </c>
      <c r="N12" s="738">
        <f t="shared" si="5"/>
        <v>6.267524509803922E-2</v>
      </c>
      <c r="O12" s="738">
        <f t="shared" si="6"/>
        <v>0.18758900000000001</v>
      </c>
      <c r="P12" s="738">
        <f t="shared" si="7"/>
        <v>0</v>
      </c>
      <c r="Q12" s="738">
        <f t="shared" si="8"/>
        <v>0.34101800000000004</v>
      </c>
      <c r="R12" s="738">
        <f t="shared" si="9"/>
        <v>0</v>
      </c>
      <c r="S12" s="813">
        <f t="shared" si="10"/>
        <v>0.59699999999999998</v>
      </c>
      <c r="V12" s="758" t="s">
        <v>1322</v>
      </c>
    </row>
    <row r="13" spans="1:22" ht="17.100000000000001" customHeight="1">
      <c r="A13" s="654">
        <v>4</v>
      </c>
      <c r="B13" s="655">
        <v>297</v>
      </c>
      <c r="C13" s="655">
        <v>715</v>
      </c>
      <c r="D13" s="656">
        <v>1</v>
      </c>
      <c r="E13" s="656">
        <f t="shared" si="1"/>
        <v>296</v>
      </c>
      <c r="F13" s="656">
        <f t="shared" si="2"/>
        <v>679.5</v>
      </c>
      <c r="G13" s="656">
        <f t="shared" si="0"/>
        <v>1</v>
      </c>
      <c r="H13" s="932"/>
      <c r="I13" s="933"/>
      <c r="J13" s="727" t="s">
        <v>1475</v>
      </c>
      <c r="K13" s="812"/>
      <c r="L13" s="738">
        <f t="shared" si="3"/>
        <v>2.2639999999999998</v>
      </c>
      <c r="M13" s="738">
        <f t="shared" si="4"/>
        <v>0.21235499999999999</v>
      </c>
      <c r="N13" s="738">
        <f t="shared" si="5"/>
        <v>8.6746323529411778E-2</v>
      </c>
      <c r="O13" s="738">
        <f t="shared" si="6"/>
        <v>0.25283499999999998</v>
      </c>
      <c r="P13" s="738">
        <f t="shared" si="7"/>
        <v>0</v>
      </c>
      <c r="Q13" s="738">
        <f t="shared" si="8"/>
        <v>0.46518999999999999</v>
      </c>
      <c r="R13" s="738">
        <f t="shared" si="9"/>
        <v>0</v>
      </c>
      <c r="S13" s="813">
        <f t="shared" si="10"/>
        <v>0.29699999999999999</v>
      </c>
      <c r="V13" s="805" t="s">
        <v>1475</v>
      </c>
    </row>
    <row r="14" spans="1:22" ht="17.100000000000001" customHeight="1">
      <c r="A14" s="654">
        <v>5</v>
      </c>
      <c r="B14" s="655">
        <v>297</v>
      </c>
      <c r="C14" s="655">
        <v>715</v>
      </c>
      <c r="D14" s="656">
        <v>1</v>
      </c>
      <c r="E14" s="656">
        <f t="shared" si="1"/>
        <v>296</v>
      </c>
      <c r="F14" s="656">
        <f t="shared" si="2"/>
        <v>679.5</v>
      </c>
      <c r="G14" s="656">
        <f t="shared" si="0"/>
        <v>1</v>
      </c>
      <c r="H14" s="932"/>
      <c r="I14" s="933"/>
      <c r="J14" s="727" t="s">
        <v>1475</v>
      </c>
      <c r="K14" s="812"/>
      <c r="L14" s="738">
        <f t="shared" si="3"/>
        <v>2.2639999999999998</v>
      </c>
      <c r="M14" s="738">
        <f t="shared" si="4"/>
        <v>0.21235499999999999</v>
      </c>
      <c r="N14" s="738">
        <f t="shared" si="5"/>
        <v>8.6746323529411778E-2</v>
      </c>
      <c r="O14" s="738">
        <f t="shared" si="6"/>
        <v>0.25283499999999998</v>
      </c>
      <c r="P14" s="738">
        <f t="shared" si="7"/>
        <v>0</v>
      </c>
      <c r="Q14" s="738">
        <f t="shared" si="8"/>
        <v>0.46518999999999999</v>
      </c>
      <c r="R14" s="738">
        <f t="shared" si="9"/>
        <v>0</v>
      </c>
      <c r="S14" s="813">
        <f t="shared" si="10"/>
        <v>0.29699999999999999</v>
      </c>
      <c r="V14" s="811" t="s">
        <v>1496</v>
      </c>
    </row>
    <row r="15" spans="1:22" ht="17.100000000000001" customHeight="1">
      <c r="A15" s="654">
        <v>6</v>
      </c>
      <c r="B15" s="655">
        <v>497</v>
      </c>
      <c r="C15" s="655">
        <v>715</v>
      </c>
      <c r="D15" s="656">
        <v>2</v>
      </c>
      <c r="E15" s="656">
        <f t="shared" si="1"/>
        <v>496</v>
      </c>
      <c r="F15" s="656">
        <f t="shared" si="2"/>
        <v>679.5</v>
      </c>
      <c r="G15" s="656">
        <f t="shared" si="0"/>
        <v>2</v>
      </c>
      <c r="H15" s="932"/>
      <c r="I15" s="933"/>
      <c r="J15" s="727" t="s">
        <v>1475</v>
      </c>
      <c r="K15" s="812"/>
      <c r="L15" s="738">
        <f t="shared" si="3"/>
        <v>5.3280000000000003</v>
      </c>
      <c r="M15" s="738">
        <f t="shared" si="4"/>
        <v>0.71070999999999995</v>
      </c>
      <c r="N15" s="738">
        <f t="shared" si="5"/>
        <v>0.29032271241830065</v>
      </c>
      <c r="O15" s="738">
        <f t="shared" si="6"/>
        <v>0.80767</v>
      </c>
      <c r="P15" s="738">
        <f t="shared" si="7"/>
        <v>0</v>
      </c>
      <c r="Q15" s="738">
        <f t="shared" si="8"/>
        <v>1.5183799999999998</v>
      </c>
      <c r="R15" s="738">
        <f t="shared" si="9"/>
        <v>0</v>
      </c>
      <c r="S15" s="813">
        <f t="shared" si="10"/>
        <v>0.99399999999999999</v>
      </c>
    </row>
    <row r="16" spans="1:22" ht="17.100000000000001" customHeight="1">
      <c r="A16" s="654">
        <v>7</v>
      </c>
      <c r="B16" s="655">
        <v>897</v>
      </c>
      <c r="C16" s="655">
        <v>356</v>
      </c>
      <c r="D16" s="656">
        <v>2</v>
      </c>
      <c r="E16" s="656">
        <f t="shared" si="1"/>
        <v>896</v>
      </c>
      <c r="F16" s="656">
        <f t="shared" si="2"/>
        <v>320.5</v>
      </c>
      <c r="G16" s="656">
        <f>D16</f>
        <v>2</v>
      </c>
      <c r="H16" s="932"/>
      <c r="I16" s="933"/>
      <c r="J16" s="727" t="s">
        <v>1475</v>
      </c>
      <c r="K16" s="812"/>
      <c r="L16" s="738">
        <f t="shared" si="3"/>
        <v>5.492</v>
      </c>
      <c r="M16" s="738">
        <f t="shared" si="4"/>
        <v>0.63866400000000001</v>
      </c>
      <c r="N16" s="738">
        <f t="shared" si="5"/>
        <v>0.26089215686274508</v>
      </c>
      <c r="O16" s="738">
        <f t="shared" si="6"/>
        <v>0.73890400000000001</v>
      </c>
      <c r="P16" s="738">
        <f t="shared" si="7"/>
        <v>0</v>
      </c>
      <c r="Q16" s="738">
        <f t="shared" si="8"/>
        <v>1.3775680000000001</v>
      </c>
      <c r="R16" s="738">
        <f t="shared" si="9"/>
        <v>0</v>
      </c>
      <c r="S16" s="813">
        <f t="shared" si="10"/>
        <v>1.794</v>
      </c>
    </row>
    <row r="17" spans="1:19" ht="17.100000000000001" customHeight="1">
      <c r="A17" s="654">
        <v>8</v>
      </c>
      <c r="B17" s="655">
        <v>217</v>
      </c>
      <c r="C17" s="655">
        <v>715</v>
      </c>
      <c r="D17" s="656">
        <v>1</v>
      </c>
      <c r="E17" s="656">
        <f t="shared" si="1"/>
        <v>216</v>
      </c>
      <c r="F17" s="656">
        <f t="shared" si="2"/>
        <v>679.5</v>
      </c>
      <c r="G17" s="656">
        <f t="shared" si="0"/>
        <v>1</v>
      </c>
      <c r="H17" s="932"/>
      <c r="I17" s="933"/>
      <c r="J17" s="727" t="s">
        <v>1475</v>
      </c>
      <c r="K17" s="812"/>
      <c r="L17" s="738">
        <f t="shared" si="3"/>
        <v>2.1040000000000001</v>
      </c>
      <c r="M17" s="739">
        <f t="shared" si="4"/>
        <v>0.15515499999999999</v>
      </c>
      <c r="N17" s="738">
        <f t="shared" si="5"/>
        <v>6.338031045751634E-2</v>
      </c>
      <c r="O17" s="738">
        <f t="shared" si="6"/>
        <v>0.19243499999999999</v>
      </c>
      <c r="P17" s="738">
        <f t="shared" si="7"/>
        <v>0</v>
      </c>
      <c r="Q17" s="738">
        <f t="shared" si="8"/>
        <v>0.34758999999999995</v>
      </c>
      <c r="R17" s="738">
        <f t="shared" si="9"/>
        <v>0</v>
      </c>
      <c r="S17" s="813">
        <f t="shared" si="10"/>
        <v>0.217</v>
      </c>
    </row>
    <row r="18" spans="1:19" ht="17.100000000000001" hidden="1" customHeight="1">
      <c r="A18" s="654"/>
      <c r="B18" s="655"/>
      <c r="C18" s="655"/>
      <c r="D18" s="656"/>
      <c r="E18" s="656">
        <f t="shared" si="1"/>
        <v>-1</v>
      </c>
      <c r="F18" s="656">
        <f t="shared" si="2"/>
        <v>-35.5</v>
      </c>
      <c r="G18" s="656">
        <f t="shared" si="0"/>
        <v>0</v>
      </c>
      <c r="H18" s="932"/>
      <c r="I18" s="933"/>
      <c r="J18" s="727" t="s">
        <v>1475</v>
      </c>
      <c r="K18" s="812"/>
      <c r="L18" s="738">
        <f t="shared" si="3"/>
        <v>0</v>
      </c>
      <c r="M18" s="739">
        <f t="shared" si="4"/>
        <v>0</v>
      </c>
      <c r="N18" s="738">
        <f t="shared" si="5"/>
        <v>0</v>
      </c>
      <c r="O18" s="738">
        <f t="shared" si="6"/>
        <v>0</v>
      </c>
      <c r="P18" s="738">
        <f t="shared" si="7"/>
        <v>0</v>
      </c>
      <c r="Q18" s="738">
        <f t="shared" si="8"/>
        <v>0</v>
      </c>
      <c r="R18" s="738">
        <f t="shared" si="9"/>
        <v>0</v>
      </c>
      <c r="S18" s="813">
        <f t="shared" si="10"/>
        <v>0</v>
      </c>
    </row>
    <row r="19" spans="1:19" ht="17.100000000000001" hidden="1" customHeight="1">
      <c r="A19" s="654"/>
      <c r="B19" s="655"/>
      <c r="C19" s="655"/>
      <c r="D19" s="656"/>
      <c r="E19" s="656">
        <f t="shared" si="1"/>
        <v>-1</v>
      </c>
      <c r="F19" s="656">
        <f t="shared" si="2"/>
        <v>-35.5</v>
      </c>
      <c r="G19" s="656">
        <f t="shared" si="0"/>
        <v>0</v>
      </c>
      <c r="H19" s="932"/>
      <c r="I19" s="933"/>
      <c r="J19" s="727" t="s">
        <v>1475</v>
      </c>
      <c r="K19" s="812"/>
      <c r="L19" s="738">
        <f t="shared" si="3"/>
        <v>0</v>
      </c>
      <c r="M19" s="739">
        <f t="shared" si="4"/>
        <v>0</v>
      </c>
      <c r="N19" s="738">
        <f t="shared" si="5"/>
        <v>0</v>
      </c>
      <c r="O19" s="738">
        <f t="shared" si="6"/>
        <v>0</v>
      </c>
      <c r="P19" s="738">
        <f t="shared" si="7"/>
        <v>0</v>
      </c>
      <c r="Q19" s="738">
        <f t="shared" si="8"/>
        <v>0</v>
      </c>
      <c r="R19" s="738">
        <f t="shared" si="9"/>
        <v>0</v>
      </c>
      <c r="S19" s="813">
        <f t="shared" si="10"/>
        <v>0</v>
      </c>
    </row>
    <row r="20" spans="1:19" ht="17.100000000000001" hidden="1" customHeight="1">
      <c r="A20" s="654"/>
      <c r="B20" s="655"/>
      <c r="C20" s="655"/>
      <c r="D20" s="656"/>
      <c r="E20" s="656">
        <f t="shared" si="1"/>
        <v>-1</v>
      </c>
      <c r="F20" s="656">
        <f t="shared" si="2"/>
        <v>-35.5</v>
      </c>
      <c r="G20" s="656">
        <f t="shared" si="0"/>
        <v>0</v>
      </c>
      <c r="H20" s="932"/>
      <c r="I20" s="933"/>
      <c r="J20" s="727" t="s">
        <v>1475</v>
      </c>
      <c r="K20" s="812"/>
      <c r="L20" s="738">
        <f t="shared" si="3"/>
        <v>0</v>
      </c>
      <c r="M20" s="739">
        <f t="shared" si="4"/>
        <v>0</v>
      </c>
      <c r="N20" s="738">
        <f t="shared" si="5"/>
        <v>0</v>
      </c>
      <c r="O20" s="738">
        <f t="shared" si="6"/>
        <v>0</v>
      </c>
      <c r="P20" s="738">
        <f t="shared" si="7"/>
        <v>0</v>
      </c>
      <c r="Q20" s="738">
        <f t="shared" si="8"/>
        <v>0</v>
      </c>
      <c r="R20" s="738">
        <f t="shared" si="9"/>
        <v>0</v>
      </c>
      <c r="S20" s="813">
        <f t="shared" si="10"/>
        <v>0</v>
      </c>
    </row>
    <row r="21" spans="1:19" ht="17.100000000000001" hidden="1" customHeight="1">
      <c r="A21" s="654"/>
      <c r="B21" s="655"/>
      <c r="C21" s="655"/>
      <c r="D21" s="656"/>
      <c r="E21" s="656">
        <f t="shared" si="1"/>
        <v>-1</v>
      </c>
      <c r="F21" s="656">
        <f t="shared" si="2"/>
        <v>-35.5</v>
      </c>
      <c r="G21" s="656">
        <f t="shared" si="0"/>
        <v>0</v>
      </c>
      <c r="H21" s="932"/>
      <c r="I21" s="933"/>
      <c r="J21" s="727" t="s">
        <v>1475</v>
      </c>
      <c r="K21" s="812"/>
      <c r="L21" s="738">
        <f t="shared" si="3"/>
        <v>0</v>
      </c>
      <c r="M21" s="739">
        <f t="shared" si="4"/>
        <v>0</v>
      </c>
      <c r="N21" s="738">
        <f t="shared" si="5"/>
        <v>0</v>
      </c>
      <c r="O21" s="738">
        <f t="shared" si="6"/>
        <v>0</v>
      </c>
      <c r="P21" s="738">
        <f t="shared" si="7"/>
        <v>0</v>
      </c>
      <c r="Q21" s="738">
        <f t="shared" si="8"/>
        <v>0</v>
      </c>
      <c r="R21" s="738">
        <f t="shared" si="9"/>
        <v>0</v>
      </c>
      <c r="S21" s="813">
        <f t="shared" si="10"/>
        <v>0</v>
      </c>
    </row>
    <row r="22" spans="1:19" ht="17.100000000000001" hidden="1" customHeight="1">
      <c r="A22" s="657"/>
      <c r="B22" s="655"/>
      <c r="C22" s="655"/>
      <c r="D22" s="656"/>
      <c r="E22" s="656">
        <f t="shared" si="1"/>
        <v>-1</v>
      </c>
      <c r="F22" s="656">
        <f t="shared" si="2"/>
        <v>-35.5</v>
      </c>
      <c r="G22" s="656">
        <f t="shared" si="0"/>
        <v>0</v>
      </c>
      <c r="H22" s="932"/>
      <c r="I22" s="933"/>
      <c r="J22" s="727" t="s">
        <v>1475</v>
      </c>
      <c r="K22" s="812"/>
      <c r="L22" s="738">
        <f t="shared" si="3"/>
        <v>0</v>
      </c>
      <c r="M22" s="738">
        <f t="shared" si="4"/>
        <v>0</v>
      </c>
      <c r="N22" s="738">
        <f t="shared" si="5"/>
        <v>0</v>
      </c>
      <c r="O22" s="738">
        <f t="shared" si="6"/>
        <v>0</v>
      </c>
      <c r="P22" s="738">
        <f t="shared" si="7"/>
        <v>0</v>
      </c>
      <c r="Q22" s="738">
        <f t="shared" si="8"/>
        <v>0</v>
      </c>
      <c r="R22" s="738">
        <f t="shared" si="9"/>
        <v>0</v>
      </c>
      <c r="S22" s="813">
        <f t="shared" si="10"/>
        <v>0</v>
      </c>
    </row>
    <row r="23" spans="1:19" ht="17.100000000000001" hidden="1" customHeight="1">
      <c r="A23" s="657"/>
      <c r="B23" s="655"/>
      <c r="C23" s="655"/>
      <c r="D23" s="656"/>
      <c r="E23" s="656">
        <f t="shared" si="1"/>
        <v>-1</v>
      </c>
      <c r="F23" s="656">
        <f t="shared" si="2"/>
        <v>-35.5</v>
      </c>
      <c r="G23" s="656">
        <f t="shared" si="0"/>
        <v>0</v>
      </c>
      <c r="H23" s="932"/>
      <c r="I23" s="933"/>
      <c r="J23" s="727" t="s">
        <v>1475</v>
      </c>
      <c r="K23" s="812"/>
      <c r="L23" s="738">
        <f t="shared" si="3"/>
        <v>0</v>
      </c>
      <c r="M23" s="738">
        <f t="shared" si="4"/>
        <v>0</v>
      </c>
      <c r="N23" s="738">
        <f t="shared" si="5"/>
        <v>0</v>
      </c>
      <c r="O23" s="738">
        <f t="shared" si="6"/>
        <v>0</v>
      </c>
      <c r="P23" s="738">
        <f t="shared" si="7"/>
        <v>0</v>
      </c>
      <c r="Q23" s="738">
        <f t="shared" si="8"/>
        <v>0</v>
      </c>
      <c r="R23" s="738">
        <f t="shared" si="9"/>
        <v>0</v>
      </c>
      <c r="S23" s="813">
        <f t="shared" si="10"/>
        <v>0</v>
      </c>
    </row>
    <row r="24" spans="1:19" ht="17.100000000000001" hidden="1" customHeight="1">
      <c r="A24" s="657"/>
      <c r="B24" s="655"/>
      <c r="C24" s="655"/>
      <c r="D24" s="656"/>
      <c r="E24" s="656">
        <f t="shared" si="1"/>
        <v>-1</v>
      </c>
      <c r="F24" s="656">
        <f t="shared" si="2"/>
        <v>-35.5</v>
      </c>
      <c r="G24" s="656">
        <f t="shared" si="0"/>
        <v>0</v>
      </c>
      <c r="H24" s="932"/>
      <c r="I24" s="933"/>
      <c r="J24" s="727" t="s">
        <v>1475</v>
      </c>
      <c r="K24" s="812"/>
      <c r="L24" s="738">
        <f t="shared" si="3"/>
        <v>0</v>
      </c>
      <c r="M24" s="738">
        <f t="shared" si="4"/>
        <v>0</v>
      </c>
      <c r="N24" s="738">
        <f t="shared" si="5"/>
        <v>0</v>
      </c>
      <c r="O24" s="738">
        <f t="shared" si="6"/>
        <v>0</v>
      </c>
      <c r="P24" s="738">
        <f t="shared" si="7"/>
        <v>0</v>
      </c>
      <c r="Q24" s="738">
        <f t="shared" si="8"/>
        <v>0</v>
      </c>
      <c r="R24" s="738">
        <f t="shared" si="9"/>
        <v>0</v>
      </c>
      <c r="S24" s="813">
        <f t="shared" si="10"/>
        <v>0</v>
      </c>
    </row>
    <row r="25" spans="1:19" ht="17.100000000000001" hidden="1" customHeight="1">
      <c r="A25" s="657"/>
      <c r="B25" s="655"/>
      <c r="C25" s="655"/>
      <c r="D25" s="656"/>
      <c r="E25" s="656">
        <f t="shared" si="1"/>
        <v>-1</v>
      </c>
      <c r="F25" s="656">
        <f t="shared" si="2"/>
        <v>-35.5</v>
      </c>
      <c r="G25" s="656">
        <f t="shared" si="0"/>
        <v>0</v>
      </c>
      <c r="H25" s="932"/>
      <c r="I25" s="933"/>
      <c r="J25" s="727" t="s">
        <v>1475</v>
      </c>
      <c r="K25" s="812"/>
      <c r="L25" s="738">
        <f t="shared" si="3"/>
        <v>0</v>
      </c>
      <c r="M25" s="738">
        <f t="shared" si="4"/>
        <v>0</v>
      </c>
      <c r="N25" s="738">
        <f t="shared" si="5"/>
        <v>0</v>
      </c>
      <c r="O25" s="738">
        <f t="shared" si="6"/>
        <v>0</v>
      </c>
      <c r="P25" s="738">
        <f t="shared" si="7"/>
        <v>0</v>
      </c>
      <c r="Q25" s="738">
        <f t="shared" si="8"/>
        <v>0</v>
      </c>
      <c r="R25" s="738">
        <f t="shared" si="9"/>
        <v>0</v>
      </c>
      <c r="S25" s="813">
        <f t="shared" si="10"/>
        <v>0</v>
      </c>
    </row>
    <row r="26" spans="1:19" ht="17.100000000000001" hidden="1" customHeight="1">
      <c r="A26" s="657"/>
      <c r="B26" s="655"/>
      <c r="C26" s="655"/>
      <c r="D26" s="656"/>
      <c r="E26" s="656">
        <f t="shared" si="1"/>
        <v>-1</v>
      </c>
      <c r="F26" s="656">
        <f t="shared" si="2"/>
        <v>-35.5</v>
      </c>
      <c r="G26" s="656">
        <f t="shared" si="0"/>
        <v>0</v>
      </c>
      <c r="H26" s="932"/>
      <c r="I26" s="933"/>
      <c r="J26" s="727"/>
      <c r="K26" s="812"/>
      <c r="L26" s="738">
        <f t="shared" si="3"/>
        <v>0</v>
      </c>
      <c r="M26" s="738">
        <f t="shared" si="4"/>
        <v>0</v>
      </c>
      <c r="N26" s="738">
        <f t="shared" si="5"/>
        <v>0</v>
      </c>
      <c r="O26" s="738">
        <f t="shared" si="6"/>
        <v>0</v>
      </c>
      <c r="P26" s="738">
        <f t="shared" si="7"/>
        <v>0</v>
      </c>
      <c r="Q26" s="738">
        <f t="shared" si="8"/>
        <v>0</v>
      </c>
      <c r="R26" s="738">
        <f t="shared" si="9"/>
        <v>0</v>
      </c>
      <c r="S26" s="813">
        <f t="shared" si="10"/>
        <v>0</v>
      </c>
    </row>
    <row r="27" spans="1:19" ht="17.100000000000001" hidden="1" customHeight="1">
      <c r="A27" s="657"/>
      <c r="B27" s="655"/>
      <c r="C27" s="655"/>
      <c r="D27" s="656"/>
      <c r="E27" s="656">
        <f t="shared" si="1"/>
        <v>-1</v>
      </c>
      <c r="F27" s="656">
        <f t="shared" si="2"/>
        <v>-35.5</v>
      </c>
      <c r="G27" s="656">
        <f t="shared" si="0"/>
        <v>0</v>
      </c>
      <c r="H27" s="932"/>
      <c r="I27" s="933"/>
      <c r="J27" s="727"/>
      <c r="K27" s="812"/>
      <c r="L27" s="738">
        <f t="shared" si="3"/>
        <v>0</v>
      </c>
      <c r="M27" s="738">
        <f t="shared" si="4"/>
        <v>0</v>
      </c>
      <c r="N27" s="738">
        <f t="shared" si="5"/>
        <v>0</v>
      </c>
      <c r="O27" s="738">
        <f t="shared" si="6"/>
        <v>0</v>
      </c>
      <c r="P27" s="738">
        <f t="shared" si="7"/>
        <v>0</v>
      </c>
      <c r="Q27" s="738">
        <f t="shared" si="8"/>
        <v>0</v>
      </c>
      <c r="R27" s="738">
        <f t="shared" si="9"/>
        <v>0</v>
      </c>
      <c r="S27" s="813">
        <f t="shared" si="10"/>
        <v>0</v>
      </c>
    </row>
    <row r="28" spans="1:19" ht="17.100000000000001" hidden="1" customHeight="1">
      <c r="A28" s="658"/>
      <c r="B28" s="655"/>
      <c r="C28" s="655"/>
      <c r="D28" s="656"/>
      <c r="E28" s="656">
        <f t="shared" si="1"/>
        <v>-1</v>
      </c>
      <c r="F28" s="656">
        <f t="shared" si="2"/>
        <v>-35.5</v>
      </c>
      <c r="G28" s="656">
        <f t="shared" si="0"/>
        <v>0</v>
      </c>
      <c r="H28" s="932"/>
      <c r="I28" s="933"/>
      <c r="J28" s="727"/>
      <c r="K28" s="812"/>
      <c r="L28" s="738">
        <f t="shared" si="3"/>
        <v>0</v>
      </c>
      <c r="M28" s="738">
        <f t="shared" si="4"/>
        <v>0</v>
      </c>
      <c r="N28" s="738">
        <f t="shared" si="5"/>
        <v>0</v>
      </c>
      <c r="O28" s="738">
        <f t="shared" si="6"/>
        <v>0</v>
      </c>
      <c r="P28" s="738">
        <f t="shared" si="7"/>
        <v>0</v>
      </c>
      <c r="Q28" s="738">
        <f t="shared" si="8"/>
        <v>0</v>
      </c>
      <c r="R28" s="738">
        <f t="shared" si="9"/>
        <v>0</v>
      </c>
      <c r="S28" s="813">
        <f t="shared" si="10"/>
        <v>0</v>
      </c>
    </row>
    <row r="29" spans="1:19" ht="17.100000000000001" hidden="1" customHeight="1">
      <c r="A29" s="658"/>
      <c r="B29" s="655"/>
      <c r="C29" s="655"/>
      <c r="D29" s="656"/>
      <c r="E29" s="656">
        <f t="shared" si="1"/>
        <v>-1</v>
      </c>
      <c r="F29" s="656">
        <f t="shared" si="2"/>
        <v>-35.5</v>
      </c>
      <c r="G29" s="656">
        <f t="shared" si="0"/>
        <v>0</v>
      </c>
      <c r="H29" s="932"/>
      <c r="I29" s="933"/>
      <c r="J29" s="727"/>
      <c r="K29" s="812"/>
      <c r="L29" s="738">
        <f t="shared" si="3"/>
        <v>0</v>
      </c>
      <c r="M29" s="738">
        <f t="shared" si="4"/>
        <v>0</v>
      </c>
      <c r="N29" s="738">
        <f t="shared" si="5"/>
        <v>0</v>
      </c>
      <c r="O29" s="738">
        <f t="shared" si="6"/>
        <v>0</v>
      </c>
      <c r="P29" s="738">
        <f t="shared" si="7"/>
        <v>0</v>
      </c>
      <c r="Q29" s="738">
        <f t="shared" si="8"/>
        <v>0</v>
      </c>
      <c r="R29" s="738">
        <f t="shared" si="9"/>
        <v>0</v>
      </c>
      <c r="S29" s="813">
        <f t="shared" si="10"/>
        <v>0</v>
      </c>
    </row>
    <row r="30" spans="1:19" ht="17.100000000000001" hidden="1" customHeight="1">
      <c r="A30" s="659"/>
      <c r="B30" s="655"/>
      <c r="C30" s="655"/>
      <c r="D30" s="656"/>
      <c r="E30" s="656">
        <f t="shared" si="1"/>
        <v>-1</v>
      </c>
      <c r="F30" s="656">
        <f t="shared" si="2"/>
        <v>-35.5</v>
      </c>
      <c r="G30" s="656">
        <f t="shared" si="0"/>
        <v>0</v>
      </c>
      <c r="H30" s="932"/>
      <c r="I30" s="933"/>
      <c r="J30" s="727"/>
      <c r="K30" s="812"/>
      <c r="L30" s="738">
        <f t="shared" si="3"/>
        <v>0</v>
      </c>
      <c r="M30" s="738">
        <f t="shared" si="4"/>
        <v>0</v>
      </c>
      <c r="N30" s="738">
        <f t="shared" si="5"/>
        <v>0</v>
      </c>
      <c r="O30" s="738">
        <f t="shared" si="6"/>
        <v>0</v>
      </c>
      <c r="P30" s="738">
        <f t="shared" si="7"/>
        <v>0</v>
      </c>
      <c r="Q30" s="738">
        <f t="shared" si="8"/>
        <v>0</v>
      </c>
      <c r="R30" s="738">
        <f t="shared" si="9"/>
        <v>0</v>
      </c>
      <c r="S30" s="813">
        <f t="shared" si="10"/>
        <v>0</v>
      </c>
    </row>
    <row r="31" spans="1:19" ht="17.100000000000001" hidden="1" customHeight="1">
      <c r="A31" s="654"/>
      <c r="B31" s="655"/>
      <c r="C31" s="655"/>
      <c r="D31" s="656"/>
      <c r="E31" s="656">
        <f t="shared" si="1"/>
        <v>-1</v>
      </c>
      <c r="F31" s="656">
        <f t="shared" si="2"/>
        <v>-35.5</v>
      </c>
      <c r="G31" s="656">
        <f t="shared" si="0"/>
        <v>0</v>
      </c>
      <c r="H31" s="932"/>
      <c r="I31" s="933"/>
      <c r="J31" s="727"/>
      <c r="K31" s="812"/>
      <c r="L31" s="738">
        <f t="shared" si="3"/>
        <v>0</v>
      </c>
      <c r="M31" s="739">
        <f t="shared" si="4"/>
        <v>0</v>
      </c>
      <c r="N31" s="738">
        <f t="shared" si="5"/>
        <v>0</v>
      </c>
      <c r="O31" s="738">
        <f t="shared" si="6"/>
        <v>0</v>
      </c>
      <c r="P31" s="738">
        <f t="shared" si="7"/>
        <v>0</v>
      </c>
      <c r="Q31" s="738">
        <f t="shared" si="8"/>
        <v>0</v>
      </c>
      <c r="R31" s="738">
        <f t="shared" si="9"/>
        <v>0</v>
      </c>
      <c r="S31" s="813">
        <f t="shared" si="10"/>
        <v>0</v>
      </c>
    </row>
    <row r="32" spans="1:19" ht="17.100000000000001" hidden="1" customHeight="1">
      <c r="A32" s="654"/>
      <c r="B32" s="655"/>
      <c r="C32" s="655"/>
      <c r="D32" s="656"/>
      <c r="E32" s="656">
        <f t="shared" si="1"/>
        <v>-1</v>
      </c>
      <c r="F32" s="656">
        <f t="shared" si="2"/>
        <v>-35.5</v>
      </c>
      <c r="G32" s="656">
        <f t="shared" si="0"/>
        <v>0</v>
      </c>
      <c r="H32" s="932"/>
      <c r="I32" s="933"/>
      <c r="J32" s="727"/>
      <c r="K32" s="812"/>
      <c r="L32" s="738">
        <f t="shared" si="3"/>
        <v>0</v>
      </c>
      <c r="M32" s="739">
        <f t="shared" si="4"/>
        <v>0</v>
      </c>
      <c r="N32" s="738">
        <f t="shared" si="5"/>
        <v>0</v>
      </c>
      <c r="O32" s="738">
        <f t="shared" si="6"/>
        <v>0</v>
      </c>
      <c r="P32" s="738">
        <f t="shared" si="7"/>
        <v>0</v>
      </c>
      <c r="Q32" s="738">
        <f t="shared" si="8"/>
        <v>0</v>
      </c>
      <c r="R32" s="738">
        <f t="shared" si="9"/>
        <v>0</v>
      </c>
      <c r="S32" s="813">
        <f t="shared" si="10"/>
        <v>0</v>
      </c>
    </row>
    <row r="33" spans="1:20" ht="17.100000000000001" hidden="1" customHeight="1">
      <c r="A33" s="657"/>
      <c r="B33" s="655"/>
      <c r="C33" s="655"/>
      <c r="D33" s="656"/>
      <c r="E33" s="656">
        <f t="shared" si="1"/>
        <v>-1</v>
      </c>
      <c r="F33" s="656">
        <f t="shared" si="2"/>
        <v>-35.5</v>
      </c>
      <c r="G33" s="656">
        <f t="shared" si="0"/>
        <v>0</v>
      </c>
      <c r="H33" s="932"/>
      <c r="I33" s="933"/>
      <c r="J33" s="727"/>
      <c r="K33" s="812"/>
      <c r="L33" s="738">
        <f t="shared" si="3"/>
        <v>0</v>
      </c>
      <c r="M33" s="738">
        <f t="shared" si="4"/>
        <v>0</v>
      </c>
      <c r="N33" s="738">
        <f t="shared" si="5"/>
        <v>0</v>
      </c>
      <c r="O33" s="738">
        <f t="shared" si="6"/>
        <v>0</v>
      </c>
      <c r="P33" s="738">
        <f t="shared" si="7"/>
        <v>0</v>
      </c>
      <c r="Q33" s="738">
        <f t="shared" si="8"/>
        <v>0</v>
      </c>
      <c r="R33" s="738">
        <f t="shared" si="9"/>
        <v>0</v>
      </c>
      <c r="S33" s="813">
        <f t="shared" si="10"/>
        <v>0</v>
      </c>
    </row>
    <row r="34" spans="1:20" ht="17.100000000000001" hidden="1" customHeight="1">
      <c r="A34" s="657"/>
      <c r="B34" s="655"/>
      <c r="C34" s="655"/>
      <c r="D34" s="656"/>
      <c r="E34" s="656">
        <f t="shared" si="1"/>
        <v>-1</v>
      </c>
      <c r="F34" s="656">
        <f t="shared" si="2"/>
        <v>-35.5</v>
      </c>
      <c r="G34" s="656">
        <f t="shared" si="0"/>
        <v>0</v>
      </c>
      <c r="H34" s="932"/>
      <c r="I34" s="933"/>
      <c r="J34" s="727"/>
      <c r="K34" s="812"/>
      <c r="L34" s="738">
        <f t="shared" si="3"/>
        <v>0</v>
      </c>
      <c r="M34" s="738">
        <f t="shared" si="4"/>
        <v>0</v>
      </c>
      <c r="N34" s="738">
        <f t="shared" si="5"/>
        <v>0</v>
      </c>
      <c r="O34" s="738">
        <f t="shared" si="6"/>
        <v>0</v>
      </c>
      <c r="P34" s="738">
        <f t="shared" si="7"/>
        <v>0</v>
      </c>
      <c r="Q34" s="738">
        <f t="shared" si="8"/>
        <v>0</v>
      </c>
      <c r="R34" s="738">
        <f t="shared" si="9"/>
        <v>0</v>
      </c>
      <c r="S34" s="813">
        <f t="shared" si="10"/>
        <v>0</v>
      </c>
    </row>
    <row r="35" spans="1:20" ht="17.100000000000001" customHeight="1">
      <c r="A35" s="936" t="s">
        <v>1497</v>
      </c>
      <c r="B35" s="937"/>
      <c r="C35" s="937"/>
      <c r="D35" s="937"/>
      <c r="E35" s="937"/>
      <c r="F35" s="937"/>
      <c r="G35" s="937"/>
      <c r="H35" s="937"/>
      <c r="I35" s="937"/>
      <c r="J35" s="937"/>
      <c r="K35" s="937"/>
      <c r="L35" s="738">
        <f t="shared" si="3"/>
        <v>0</v>
      </c>
      <c r="M35" s="738">
        <f t="shared" si="4"/>
        <v>0</v>
      </c>
      <c r="N35" s="738">
        <f t="shared" si="5"/>
        <v>0</v>
      </c>
      <c r="O35" s="738">
        <f t="shared" si="6"/>
        <v>0</v>
      </c>
      <c r="P35" s="738">
        <f t="shared" si="7"/>
        <v>0</v>
      </c>
      <c r="Q35" s="738">
        <f t="shared" si="8"/>
        <v>0</v>
      </c>
      <c r="R35" s="738">
        <f t="shared" si="9"/>
        <v>0</v>
      </c>
      <c r="S35" s="813"/>
    </row>
    <row r="36" spans="1:20" ht="17.100000000000001" customHeight="1">
      <c r="A36" s="657"/>
      <c r="B36" s="655">
        <v>30</v>
      </c>
      <c r="C36" s="655">
        <v>715</v>
      </c>
      <c r="D36" s="656">
        <v>1</v>
      </c>
      <c r="E36" s="656">
        <f t="shared" si="1"/>
        <v>29</v>
      </c>
      <c r="F36" s="656">
        <f>C36-1</f>
        <v>714</v>
      </c>
      <c r="G36" s="656">
        <f t="shared" si="0"/>
        <v>1</v>
      </c>
      <c r="H36" s="932"/>
      <c r="I36" s="933"/>
      <c r="J36" s="727" t="s">
        <v>1475</v>
      </c>
      <c r="K36" s="812"/>
      <c r="L36" s="738">
        <f t="shared" si="3"/>
        <v>1.73</v>
      </c>
      <c r="M36" s="738">
        <f t="shared" si="4"/>
        <v>2.145E-2</v>
      </c>
      <c r="N36" s="738">
        <f t="shared" si="5"/>
        <v>8.7622549019607844E-3</v>
      </c>
      <c r="O36" s="738">
        <f t="shared" si="6"/>
        <v>5.1250000000000004E-2</v>
      </c>
      <c r="P36" s="738">
        <f t="shared" si="7"/>
        <v>0</v>
      </c>
      <c r="Q36" s="738">
        <f t="shared" si="8"/>
        <v>7.2700000000000001E-2</v>
      </c>
      <c r="R36" s="738">
        <f t="shared" si="9"/>
        <v>0</v>
      </c>
      <c r="S36" s="813"/>
    </row>
    <row r="37" spans="1:20" ht="17.100000000000001" hidden="1" customHeight="1">
      <c r="A37" s="657"/>
      <c r="B37" s="655"/>
      <c r="C37" s="655"/>
      <c r="D37" s="656"/>
      <c r="E37" s="656">
        <f t="shared" si="1"/>
        <v>-1</v>
      </c>
      <c r="F37" s="656">
        <f t="shared" ref="F37:F46" si="11">C37-1</f>
        <v>-1</v>
      </c>
      <c r="G37" s="656">
        <f t="shared" si="0"/>
        <v>0</v>
      </c>
      <c r="H37" s="932"/>
      <c r="I37" s="933"/>
      <c r="J37" s="727" t="s">
        <v>1475</v>
      </c>
      <c r="K37" s="812"/>
      <c r="L37" s="738">
        <f t="shared" si="3"/>
        <v>0</v>
      </c>
      <c r="M37" s="738">
        <f t="shared" si="4"/>
        <v>0</v>
      </c>
      <c r="N37" s="738">
        <f t="shared" si="5"/>
        <v>0</v>
      </c>
      <c r="O37" s="738">
        <f t="shared" si="6"/>
        <v>0</v>
      </c>
      <c r="P37" s="738">
        <f t="shared" si="7"/>
        <v>0</v>
      </c>
      <c r="Q37" s="738">
        <f t="shared" si="8"/>
        <v>0</v>
      </c>
      <c r="R37" s="738">
        <f t="shared" si="9"/>
        <v>0</v>
      </c>
      <c r="S37" s="813"/>
    </row>
    <row r="38" spans="1:20" ht="17.100000000000001" hidden="1" customHeight="1">
      <c r="A38" s="657"/>
      <c r="B38" s="655"/>
      <c r="C38" s="655"/>
      <c r="D38" s="656"/>
      <c r="E38" s="656">
        <f t="shared" si="1"/>
        <v>-1</v>
      </c>
      <c r="F38" s="656">
        <f t="shared" si="11"/>
        <v>-1</v>
      </c>
      <c r="G38" s="656">
        <f t="shared" si="0"/>
        <v>0</v>
      </c>
      <c r="H38" s="932"/>
      <c r="I38" s="933"/>
      <c r="J38" s="727" t="s">
        <v>1475</v>
      </c>
      <c r="K38" s="812"/>
      <c r="L38" s="738">
        <f t="shared" si="3"/>
        <v>0</v>
      </c>
      <c r="M38" s="738">
        <f t="shared" si="4"/>
        <v>0</v>
      </c>
      <c r="N38" s="738">
        <f t="shared" si="5"/>
        <v>0</v>
      </c>
      <c r="O38" s="738">
        <f t="shared" si="6"/>
        <v>0</v>
      </c>
      <c r="P38" s="738">
        <f t="shared" si="7"/>
        <v>0</v>
      </c>
      <c r="Q38" s="738">
        <f t="shared" si="8"/>
        <v>0</v>
      </c>
      <c r="R38" s="738">
        <f t="shared" si="9"/>
        <v>0</v>
      </c>
      <c r="S38" s="813"/>
    </row>
    <row r="39" spans="1:20" ht="17.100000000000001" hidden="1" customHeight="1">
      <c r="A39" s="658"/>
      <c r="B39" s="655"/>
      <c r="C39" s="655"/>
      <c r="D39" s="656"/>
      <c r="E39" s="656">
        <f t="shared" si="1"/>
        <v>-1</v>
      </c>
      <c r="F39" s="656">
        <f t="shared" si="11"/>
        <v>-1</v>
      </c>
      <c r="G39" s="656">
        <f t="shared" si="0"/>
        <v>0</v>
      </c>
      <c r="H39" s="932"/>
      <c r="I39" s="933"/>
      <c r="J39" s="727" t="s">
        <v>1475</v>
      </c>
      <c r="K39" s="812"/>
      <c r="L39" s="738">
        <f t="shared" si="3"/>
        <v>0</v>
      </c>
      <c r="M39" s="738">
        <f t="shared" si="4"/>
        <v>0</v>
      </c>
      <c r="N39" s="738">
        <f t="shared" si="5"/>
        <v>0</v>
      </c>
      <c r="O39" s="738">
        <f t="shared" si="6"/>
        <v>0</v>
      </c>
      <c r="P39" s="738">
        <f t="shared" si="7"/>
        <v>0</v>
      </c>
      <c r="Q39" s="738">
        <f t="shared" si="8"/>
        <v>0</v>
      </c>
      <c r="R39" s="738">
        <f t="shared" si="9"/>
        <v>0</v>
      </c>
      <c r="S39" s="813"/>
    </row>
    <row r="40" spans="1:20" ht="17.100000000000001" hidden="1" customHeight="1">
      <c r="A40" s="658"/>
      <c r="B40" s="655"/>
      <c r="C40" s="655"/>
      <c r="D40" s="656"/>
      <c r="E40" s="656">
        <f t="shared" si="1"/>
        <v>-1</v>
      </c>
      <c r="F40" s="656">
        <f t="shared" si="11"/>
        <v>-1</v>
      </c>
      <c r="G40" s="656">
        <f t="shared" si="0"/>
        <v>0</v>
      </c>
      <c r="H40" s="932"/>
      <c r="I40" s="933"/>
      <c r="J40" s="727" t="s">
        <v>1475</v>
      </c>
      <c r="K40" s="812"/>
      <c r="L40" s="738">
        <f t="shared" si="3"/>
        <v>0</v>
      </c>
      <c r="M40" s="738">
        <f t="shared" si="4"/>
        <v>0</v>
      </c>
      <c r="N40" s="738">
        <f t="shared" si="5"/>
        <v>0</v>
      </c>
      <c r="O40" s="738">
        <f t="shared" si="6"/>
        <v>0</v>
      </c>
      <c r="P40" s="738">
        <f t="shared" si="7"/>
        <v>0</v>
      </c>
      <c r="Q40" s="738">
        <f t="shared" si="8"/>
        <v>0</v>
      </c>
      <c r="R40" s="738">
        <f t="shared" si="9"/>
        <v>0</v>
      </c>
      <c r="S40" s="813"/>
    </row>
    <row r="41" spans="1:20" ht="17.100000000000001" customHeight="1">
      <c r="A41" s="659"/>
      <c r="B41" s="655">
        <v>580</v>
      </c>
      <c r="C41" s="655">
        <v>720</v>
      </c>
      <c r="D41" s="656">
        <v>1</v>
      </c>
      <c r="E41" s="656">
        <f t="shared" si="1"/>
        <v>579</v>
      </c>
      <c r="F41" s="656">
        <f t="shared" si="11"/>
        <v>719</v>
      </c>
      <c r="G41" s="656">
        <f t="shared" si="0"/>
        <v>1</v>
      </c>
      <c r="H41" s="932"/>
      <c r="I41" s="933"/>
      <c r="J41" s="727" t="s">
        <v>1475</v>
      </c>
      <c r="K41" s="812"/>
      <c r="L41" s="738">
        <f t="shared" si="3"/>
        <v>2.84</v>
      </c>
      <c r="M41" s="738">
        <f t="shared" si="4"/>
        <v>0.41760000000000003</v>
      </c>
      <c r="N41" s="738">
        <f t="shared" si="5"/>
        <v>0.17058823529411768</v>
      </c>
      <c r="O41" s="738">
        <f t="shared" si="6"/>
        <v>0.46960000000000002</v>
      </c>
      <c r="P41" s="738">
        <f t="shared" si="7"/>
        <v>0</v>
      </c>
      <c r="Q41" s="738">
        <f t="shared" si="8"/>
        <v>0.8872000000000001</v>
      </c>
      <c r="R41" s="738">
        <f t="shared" si="9"/>
        <v>0</v>
      </c>
      <c r="S41" s="813"/>
    </row>
    <row r="42" spans="1:20" ht="17.100000000000001" customHeight="1">
      <c r="A42" s="659"/>
      <c r="B42" s="655">
        <v>320</v>
      </c>
      <c r="C42" s="655">
        <v>720</v>
      </c>
      <c r="D42" s="656">
        <v>2</v>
      </c>
      <c r="E42" s="656">
        <f t="shared" si="1"/>
        <v>319</v>
      </c>
      <c r="F42" s="656">
        <f t="shared" si="11"/>
        <v>719</v>
      </c>
      <c r="G42" s="656">
        <f t="shared" si="0"/>
        <v>2</v>
      </c>
      <c r="H42" s="932"/>
      <c r="I42" s="933"/>
      <c r="J42" s="727" t="s">
        <v>1475</v>
      </c>
      <c r="K42" s="812"/>
      <c r="L42" s="738">
        <f t="shared" si="3"/>
        <v>4.6399999999999997</v>
      </c>
      <c r="M42" s="738">
        <f t="shared" si="4"/>
        <v>0.46079999999999999</v>
      </c>
      <c r="N42" s="738">
        <f t="shared" si="5"/>
        <v>0.18823529411764706</v>
      </c>
      <c r="O42" s="738">
        <f t="shared" si="6"/>
        <v>0.54400000000000004</v>
      </c>
      <c r="P42" s="738">
        <f t="shared" si="7"/>
        <v>0</v>
      </c>
      <c r="Q42" s="738">
        <f t="shared" si="8"/>
        <v>1.0047999999999999</v>
      </c>
      <c r="R42" s="738">
        <f t="shared" si="9"/>
        <v>0</v>
      </c>
      <c r="S42" s="813"/>
    </row>
    <row r="43" spans="1:20" ht="17.100000000000001" hidden="1" customHeight="1">
      <c r="A43" s="659"/>
      <c r="B43" s="655"/>
      <c r="C43" s="655"/>
      <c r="D43" s="656"/>
      <c r="E43" s="656">
        <f t="shared" si="1"/>
        <v>-1</v>
      </c>
      <c r="F43" s="656">
        <f t="shared" si="11"/>
        <v>-1</v>
      </c>
      <c r="G43" s="656">
        <f t="shared" si="0"/>
        <v>0</v>
      </c>
      <c r="H43" s="932"/>
      <c r="I43" s="933"/>
      <c r="J43" s="727" t="s">
        <v>1475</v>
      </c>
      <c r="K43" s="812"/>
      <c r="L43" s="738">
        <f t="shared" si="3"/>
        <v>0</v>
      </c>
      <c r="M43" s="738">
        <f t="shared" si="4"/>
        <v>0</v>
      </c>
      <c r="N43" s="738">
        <f t="shared" si="5"/>
        <v>0</v>
      </c>
      <c r="O43" s="738">
        <f t="shared" si="6"/>
        <v>0</v>
      </c>
      <c r="P43" s="738">
        <f t="shared" si="7"/>
        <v>0</v>
      </c>
      <c r="Q43" s="738">
        <f t="shared" si="8"/>
        <v>0</v>
      </c>
      <c r="R43" s="738">
        <f t="shared" si="9"/>
        <v>0</v>
      </c>
      <c r="S43" s="813"/>
    </row>
    <row r="44" spans="1:20" ht="17.100000000000001" hidden="1" customHeight="1">
      <c r="A44" s="658"/>
      <c r="B44" s="655"/>
      <c r="C44" s="655"/>
      <c r="D44" s="656"/>
      <c r="E44" s="656">
        <f t="shared" si="1"/>
        <v>-1</v>
      </c>
      <c r="F44" s="656">
        <f t="shared" si="11"/>
        <v>-1</v>
      </c>
      <c r="G44" s="656">
        <f t="shared" si="0"/>
        <v>0</v>
      </c>
      <c r="H44" s="932"/>
      <c r="I44" s="933"/>
      <c r="J44" s="727" t="s">
        <v>1475</v>
      </c>
      <c r="K44" s="812"/>
      <c r="L44" s="738">
        <f t="shared" si="3"/>
        <v>0</v>
      </c>
      <c r="M44" s="738">
        <f t="shared" si="4"/>
        <v>0</v>
      </c>
      <c r="N44" s="738">
        <f t="shared" si="5"/>
        <v>0</v>
      </c>
      <c r="O44" s="738">
        <f t="shared" si="6"/>
        <v>0</v>
      </c>
      <c r="P44" s="738">
        <f t="shared" si="7"/>
        <v>0</v>
      </c>
      <c r="Q44" s="738">
        <f t="shared" si="8"/>
        <v>0</v>
      </c>
      <c r="R44" s="738">
        <f t="shared" si="9"/>
        <v>0</v>
      </c>
      <c r="S44" s="813"/>
    </row>
    <row r="45" spans="1:20" ht="17.100000000000001" hidden="1" customHeight="1">
      <c r="A45" s="658"/>
      <c r="B45" s="655"/>
      <c r="C45" s="655"/>
      <c r="D45" s="656"/>
      <c r="E45" s="656">
        <f t="shared" si="1"/>
        <v>-1</v>
      </c>
      <c r="F45" s="656">
        <f t="shared" si="11"/>
        <v>-1</v>
      </c>
      <c r="G45" s="656">
        <f t="shared" si="0"/>
        <v>0</v>
      </c>
      <c r="H45" s="932"/>
      <c r="I45" s="933"/>
      <c r="J45" s="727" t="s">
        <v>1475</v>
      </c>
      <c r="K45" s="812"/>
      <c r="L45" s="738">
        <f t="shared" si="3"/>
        <v>0</v>
      </c>
      <c r="M45" s="738">
        <f t="shared" si="4"/>
        <v>0</v>
      </c>
      <c r="N45" s="738">
        <f t="shared" si="5"/>
        <v>0</v>
      </c>
      <c r="O45" s="738">
        <f t="shared" si="6"/>
        <v>0</v>
      </c>
      <c r="P45" s="738">
        <f t="shared" si="7"/>
        <v>0</v>
      </c>
      <c r="Q45" s="738">
        <f t="shared" si="8"/>
        <v>0</v>
      </c>
      <c r="R45" s="738">
        <f t="shared" si="9"/>
        <v>0</v>
      </c>
      <c r="S45" s="813"/>
    </row>
    <row r="46" spans="1:20" ht="17.100000000000001" hidden="1" customHeight="1">
      <c r="A46" s="660"/>
      <c r="B46" s="655"/>
      <c r="C46" s="655"/>
      <c r="D46" s="656"/>
      <c r="E46" s="656">
        <f t="shared" si="1"/>
        <v>-1</v>
      </c>
      <c r="F46" s="656">
        <f t="shared" si="11"/>
        <v>-1</v>
      </c>
      <c r="G46" s="656">
        <f t="shared" si="0"/>
        <v>0</v>
      </c>
      <c r="H46" s="932"/>
      <c r="I46" s="933"/>
      <c r="J46" s="727" t="s">
        <v>1475</v>
      </c>
      <c r="K46" s="812"/>
      <c r="L46" s="738">
        <f t="shared" si="3"/>
        <v>0</v>
      </c>
      <c r="M46" s="738">
        <f t="shared" si="4"/>
        <v>0</v>
      </c>
      <c r="N46" s="738">
        <f t="shared" si="5"/>
        <v>0</v>
      </c>
      <c r="O46" s="738">
        <f t="shared" si="6"/>
        <v>0</v>
      </c>
      <c r="P46" s="738">
        <f t="shared" si="7"/>
        <v>0</v>
      </c>
      <c r="Q46" s="738">
        <f t="shared" si="8"/>
        <v>0</v>
      </c>
      <c r="R46" s="738">
        <f t="shared" si="9"/>
        <v>0</v>
      </c>
      <c r="S46" s="813"/>
    </row>
    <row r="47" spans="1:20" ht="17.100000000000001" customHeight="1" thickBot="1">
      <c r="A47" s="661"/>
      <c r="B47" s="662"/>
      <c r="C47" s="662"/>
      <c r="D47" s="663"/>
      <c r="E47" s="663"/>
      <c r="F47" s="663"/>
      <c r="G47" s="663"/>
      <c r="H47" s="934" t="s">
        <v>1324</v>
      </c>
      <c r="I47" s="934"/>
      <c r="J47" s="934"/>
      <c r="K47" s="664">
        <f>+O47+P47</f>
        <v>5.1929619999999996</v>
      </c>
      <c r="L47" s="733">
        <f t="shared" ref="L47:R47" si="12">SUM(L10:L46)</f>
        <v>42.158000000000001</v>
      </c>
      <c r="M47" s="733">
        <f t="shared" si="12"/>
        <v>4.4362020000000006</v>
      </c>
      <c r="N47" s="733">
        <f t="shared" si="12"/>
        <v>1.8121740196078433</v>
      </c>
      <c r="O47" s="733">
        <f t="shared" si="12"/>
        <v>5.1929619999999996</v>
      </c>
      <c r="P47" s="733">
        <f t="shared" si="12"/>
        <v>0</v>
      </c>
      <c r="Q47" s="733">
        <f t="shared" si="12"/>
        <v>9.6291639999999994</v>
      </c>
      <c r="R47" s="733">
        <f t="shared" si="12"/>
        <v>0</v>
      </c>
      <c r="S47" s="791">
        <f>SUM(S10:S46)</f>
        <v>6.6779999999999999</v>
      </c>
    </row>
    <row r="48" spans="1:20" ht="17.100000000000001" customHeight="1">
      <c r="A48" s="935"/>
      <c r="B48" s="935"/>
      <c r="C48" s="935"/>
      <c r="D48" s="935"/>
      <c r="E48" s="935"/>
      <c r="F48" s="935"/>
      <c r="G48" s="935"/>
      <c r="H48" s="935"/>
      <c r="I48" s="935"/>
      <c r="J48" s="935"/>
      <c r="K48" s="935"/>
      <c r="S48" s="808">
        <f>S47/0.9</f>
        <v>7.42</v>
      </c>
      <c r="T48" s="427" t="s">
        <v>1495</v>
      </c>
    </row>
    <row r="49" spans="1:12" s="463" customFormat="1" ht="20.100000000000001" customHeight="1">
      <c r="A49" s="468"/>
      <c r="B49" s="930" t="s">
        <v>1325</v>
      </c>
      <c r="C49" s="930"/>
      <c r="D49" s="930"/>
      <c r="E49" s="930"/>
      <c r="F49" s="930"/>
      <c r="G49" s="930"/>
      <c r="H49" s="930"/>
      <c r="I49" s="930"/>
      <c r="J49" s="638"/>
      <c r="K49" s="466"/>
      <c r="L49" s="459"/>
    </row>
    <row r="50" spans="1:12" ht="21" customHeight="1">
      <c r="A50" s="935" t="s">
        <v>1326</v>
      </c>
      <c r="B50" s="935"/>
      <c r="C50" s="935"/>
      <c r="D50" s="935"/>
      <c r="E50" s="935"/>
      <c r="F50" s="935"/>
      <c r="G50" s="935"/>
      <c r="H50" s="935"/>
      <c r="I50" s="935"/>
      <c r="J50" s="935"/>
      <c r="K50" s="935"/>
      <c r="L50" s="441"/>
    </row>
    <row r="51" spans="1:12" ht="13.5" customHeight="1">
      <c r="A51" s="461"/>
      <c r="B51" s="462"/>
      <c r="C51" s="463"/>
      <c r="D51" s="463"/>
      <c r="E51" s="463"/>
      <c r="F51" s="637"/>
      <c r="G51" s="465"/>
      <c r="H51" s="637"/>
      <c r="I51" s="466"/>
      <c r="J51" s="466"/>
      <c r="K51" s="467"/>
    </row>
    <row r="52" spans="1:12" ht="18" customHeight="1">
      <c r="A52" s="468" t="s">
        <v>1327</v>
      </c>
      <c r="B52" s="929"/>
      <c r="C52" s="929"/>
      <c r="D52" s="638"/>
      <c r="E52" s="469"/>
      <c r="F52" s="930"/>
      <c r="G52" s="930"/>
      <c r="H52" s="638"/>
      <c r="I52" s="466"/>
      <c r="J52" s="466"/>
    </row>
    <row r="53" spans="1:12" ht="21">
      <c r="A53" s="665"/>
      <c r="B53" s="931"/>
      <c r="C53" s="931"/>
      <c r="D53" s="666"/>
      <c r="E53" s="466"/>
      <c r="F53" s="666"/>
      <c r="G53" s="667"/>
      <c r="H53" s="666"/>
      <c r="I53" s="668"/>
      <c r="J53" s="668"/>
      <c r="K53" s="467"/>
    </row>
    <row r="54" spans="1:12" ht="20.25">
      <c r="A54" s="943" t="s">
        <v>1464</v>
      </c>
      <c r="B54" s="943"/>
      <c r="C54" s="943"/>
      <c r="D54" s="943"/>
      <c r="E54" s="943"/>
      <c r="F54" s="943"/>
      <c r="G54" s="943"/>
      <c r="H54" s="943"/>
      <c r="I54" s="943"/>
      <c r="J54" s="943"/>
      <c r="K54" s="943"/>
    </row>
    <row r="55" spans="1:12" ht="20.25">
      <c r="A55" s="467"/>
      <c r="B55" s="467"/>
      <c r="C55" s="467"/>
      <c r="D55" s="467"/>
      <c r="E55" s="467"/>
      <c r="F55" s="467"/>
      <c r="G55" s="467"/>
      <c r="H55" s="467"/>
      <c r="I55" s="467"/>
      <c r="J55" s="467"/>
      <c r="K55" s="467"/>
    </row>
    <row r="56" spans="1:12" ht="20.25">
      <c r="A56" s="467"/>
      <c r="B56" s="467"/>
      <c r="C56" s="467"/>
      <c r="D56" s="467"/>
      <c r="E56" s="467"/>
      <c r="F56" s="467"/>
      <c r="G56" s="467"/>
      <c r="H56" s="467"/>
      <c r="I56" s="467"/>
      <c r="J56" s="467"/>
      <c r="K56" s="467"/>
    </row>
    <row r="57" spans="1:12" ht="20.25">
      <c r="A57" s="467"/>
      <c r="B57" s="467"/>
      <c r="C57" s="467"/>
      <c r="D57" s="467"/>
      <c r="E57" s="467"/>
      <c r="F57" s="467"/>
      <c r="G57" s="467"/>
      <c r="H57" s="467"/>
      <c r="I57" s="467"/>
      <c r="J57" s="467"/>
      <c r="K57" s="467"/>
    </row>
    <row r="58" spans="1:12" ht="20.25">
      <c r="A58" s="467"/>
      <c r="B58" s="467"/>
      <c r="C58" s="467"/>
      <c r="D58" s="467"/>
      <c r="E58" s="467"/>
      <c r="F58" s="467"/>
      <c r="G58" s="467"/>
      <c r="H58" s="467"/>
      <c r="I58" s="467"/>
      <c r="J58" s="467"/>
      <c r="K58" s="467"/>
    </row>
    <row r="59" spans="1:12" ht="20.25">
      <c r="A59" s="467"/>
      <c r="B59" s="467"/>
      <c r="C59" s="467"/>
      <c r="D59" s="467"/>
      <c r="E59" s="467"/>
      <c r="F59" s="467"/>
      <c r="G59" s="467"/>
      <c r="H59" s="467"/>
      <c r="I59" s="467"/>
      <c r="J59" s="467"/>
      <c r="K59" s="467"/>
    </row>
    <row r="60" spans="1:12" ht="20.25">
      <c r="A60" s="467"/>
      <c r="B60" s="467"/>
      <c r="C60" s="467"/>
      <c r="D60" s="467"/>
      <c r="E60" s="467"/>
      <c r="F60" s="467"/>
      <c r="G60" s="467"/>
      <c r="H60" s="467"/>
      <c r="I60" s="467"/>
      <c r="J60" s="467"/>
      <c r="K60" s="467"/>
    </row>
    <row r="61" spans="1:12" ht="20.25">
      <c r="A61" s="467"/>
      <c r="B61" s="467"/>
      <c r="C61" s="467"/>
      <c r="D61" s="467"/>
      <c r="E61" s="467"/>
      <c r="F61" s="467"/>
      <c r="G61" s="467"/>
      <c r="H61" s="467"/>
      <c r="I61" s="467"/>
      <c r="J61" s="467"/>
      <c r="K61" s="467"/>
    </row>
    <row r="62" spans="1:12" ht="20.25">
      <c r="A62" s="467"/>
      <c r="B62" s="467"/>
      <c r="C62" s="467"/>
      <c r="D62" s="467"/>
      <c r="E62" s="467"/>
      <c r="F62" s="467"/>
      <c r="G62" s="467"/>
      <c r="H62" s="467"/>
      <c r="I62" s="467"/>
      <c r="J62" s="467"/>
      <c r="K62" s="467"/>
    </row>
    <row r="63" spans="1:12" ht="20.25">
      <c r="A63" s="467"/>
      <c r="B63" s="467"/>
      <c r="C63" s="467"/>
      <c r="D63" s="467"/>
      <c r="E63" s="467"/>
      <c r="F63" s="467"/>
      <c r="G63" s="467"/>
      <c r="H63" s="467"/>
      <c r="I63" s="467"/>
      <c r="J63" s="467"/>
      <c r="K63" s="467"/>
    </row>
    <row r="64" spans="1:12" ht="20.25">
      <c r="A64" s="467"/>
      <c r="B64" s="467"/>
      <c r="C64" s="467"/>
      <c r="D64" s="467"/>
      <c r="E64" s="467"/>
      <c r="F64" s="467"/>
      <c r="G64" s="467"/>
      <c r="H64" s="467"/>
      <c r="I64" s="467"/>
      <c r="J64" s="467"/>
      <c r="K64" s="467"/>
    </row>
    <row r="65" spans="1:11" ht="20.25">
      <c r="A65" s="467"/>
      <c r="B65" s="467"/>
      <c r="C65" s="467"/>
      <c r="D65" s="467"/>
      <c r="E65" s="467"/>
      <c r="F65" s="467"/>
      <c r="G65" s="467"/>
      <c r="H65" s="467"/>
      <c r="I65" s="467"/>
      <c r="J65" s="467"/>
      <c r="K65" s="467"/>
    </row>
    <row r="66" spans="1:11" ht="20.25">
      <c r="A66" s="467"/>
      <c r="B66" s="467"/>
      <c r="C66" s="467"/>
      <c r="D66" s="467"/>
      <c r="E66" s="467"/>
      <c r="F66" s="467"/>
      <c r="G66" s="467"/>
      <c r="H66" s="467"/>
      <c r="I66" s="467"/>
      <c r="J66" s="467"/>
      <c r="K66" s="467"/>
    </row>
    <row r="67" spans="1:11" ht="20.25">
      <c r="A67" s="467"/>
      <c r="B67" s="467"/>
      <c r="C67" s="467"/>
      <c r="D67" s="467"/>
      <c r="E67" s="467"/>
      <c r="F67" s="467"/>
      <c r="G67" s="467"/>
      <c r="H67" s="467"/>
      <c r="I67" s="467"/>
      <c r="J67" s="467"/>
      <c r="K67" s="467"/>
    </row>
    <row r="68" spans="1:11" ht="20.25">
      <c r="A68" s="467"/>
      <c r="B68" s="467"/>
      <c r="C68" s="467"/>
      <c r="D68" s="467"/>
      <c r="E68" s="467"/>
      <c r="F68" s="467"/>
      <c r="G68" s="467"/>
      <c r="H68" s="467"/>
      <c r="I68" s="467"/>
      <c r="J68" s="467"/>
      <c r="K68" s="467"/>
    </row>
    <row r="69" spans="1:11" ht="20.25">
      <c r="A69" s="467"/>
      <c r="B69" s="467"/>
      <c r="C69" s="467"/>
      <c r="D69" s="467"/>
      <c r="E69" s="467"/>
      <c r="F69" s="467"/>
      <c r="G69" s="467"/>
      <c r="H69" s="467"/>
      <c r="I69" s="467"/>
      <c r="J69" s="467"/>
      <c r="K69" s="467"/>
    </row>
    <row r="70" spans="1:11" ht="20.25">
      <c r="A70" s="467"/>
      <c r="B70" s="467"/>
      <c r="C70" s="467"/>
      <c r="D70" s="467"/>
      <c r="E70" s="467"/>
      <c r="F70" s="467"/>
      <c r="G70" s="467"/>
      <c r="H70" s="467"/>
      <c r="I70" s="467"/>
      <c r="J70" s="467"/>
      <c r="K70" s="467"/>
    </row>
    <row r="71" spans="1:11" ht="20.25">
      <c r="A71" s="467"/>
      <c r="B71" s="467"/>
      <c r="C71" s="467"/>
      <c r="D71" s="467"/>
      <c r="E71" s="467"/>
      <c r="F71" s="467"/>
      <c r="G71" s="467"/>
      <c r="H71" s="467"/>
      <c r="I71" s="467"/>
      <c r="J71" s="467"/>
      <c r="K71" s="467"/>
    </row>
    <row r="72" spans="1:11" ht="20.25">
      <c r="A72" s="467"/>
      <c r="B72" s="467"/>
      <c r="C72" s="467"/>
      <c r="D72" s="467"/>
      <c r="E72" s="467"/>
      <c r="F72" s="467"/>
      <c r="G72" s="467"/>
      <c r="H72" s="467"/>
      <c r="I72" s="467"/>
      <c r="J72" s="467"/>
      <c r="K72" s="467"/>
    </row>
    <row r="73" spans="1:11" ht="20.25">
      <c r="A73" s="467"/>
      <c r="B73" s="467"/>
      <c r="C73" s="467"/>
      <c r="D73" s="467"/>
      <c r="E73" s="467"/>
      <c r="F73" s="467"/>
      <c r="G73" s="467"/>
      <c r="H73" s="467"/>
      <c r="I73" s="467"/>
      <c r="J73" s="467"/>
      <c r="K73" s="467"/>
    </row>
    <row r="74" spans="1:11" ht="20.25">
      <c r="A74" s="467"/>
      <c r="B74" s="467"/>
      <c r="C74" s="467"/>
      <c r="D74" s="467"/>
      <c r="E74" s="467"/>
      <c r="F74" s="467"/>
      <c r="G74" s="467"/>
      <c r="H74" s="467"/>
      <c r="I74" s="467"/>
      <c r="J74" s="467"/>
      <c r="K74" s="467"/>
    </row>
    <row r="75" spans="1:11" ht="20.25">
      <c r="A75" s="467"/>
      <c r="B75" s="467"/>
      <c r="C75" s="467"/>
      <c r="D75" s="467"/>
      <c r="E75" s="467"/>
      <c r="F75" s="467"/>
      <c r="G75" s="467"/>
      <c r="H75" s="467"/>
      <c r="I75" s="467"/>
      <c r="J75" s="467"/>
      <c r="K75" s="467"/>
    </row>
    <row r="76" spans="1:11" ht="20.25">
      <c r="A76" s="467"/>
      <c r="B76" s="467"/>
      <c r="C76" s="467"/>
      <c r="D76" s="467"/>
      <c r="E76" s="467"/>
      <c r="F76" s="467"/>
      <c r="G76" s="467"/>
      <c r="H76" s="467"/>
      <c r="I76" s="467"/>
      <c r="J76" s="467"/>
      <c r="K76" s="467"/>
    </row>
    <row r="77" spans="1:11" ht="20.25">
      <c r="A77" s="467"/>
      <c r="B77" s="467"/>
      <c r="C77" s="467"/>
      <c r="D77" s="467"/>
      <c r="E77" s="467"/>
      <c r="F77" s="467"/>
      <c r="G77" s="467"/>
      <c r="H77" s="467"/>
      <c r="I77" s="467"/>
      <c r="J77" s="467"/>
      <c r="K77" s="467"/>
    </row>
    <row r="78" spans="1:11" ht="20.25">
      <c r="A78" s="467"/>
      <c r="B78" s="467"/>
      <c r="C78" s="467"/>
      <c r="D78" s="467"/>
      <c r="E78" s="467"/>
      <c r="F78" s="467"/>
      <c r="G78" s="467"/>
      <c r="H78" s="467"/>
      <c r="I78" s="467"/>
      <c r="J78" s="467"/>
      <c r="K78" s="467"/>
    </row>
    <row r="79" spans="1:11" ht="20.25">
      <c r="A79" s="467"/>
      <c r="B79" s="467"/>
      <c r="C79" s="467"/>
      <c r="D79" s="467"/>
      <c r="E79" s="467"/>
      <c r="F79" s="467"/>
      <c r="G79" s="467"/>
      <c r="H79" s="467"/>
      <c r="I79" s="467"/>
      <c r="J79" s="467"/>
      <c r="K79" s="467"/>
    </row>
    <row r="80" spans="1:11" ht="20.25">
      <c r="A80" s="467"/>
      <c r="B80" s="467"/>
      <c r="C80" s="467"/>
      <c r="D80" s="467"/>
      <c r="E80" s="467"/>
      <c r="F80" s="467"/>
      <c r="G80" s="467"/>
      <c r="H80" s="467"/>
      <c r="I80" s="467"/>
      <c r="J80" s="467"/>
      <c r="K80" s="467"/>
    </row>
    <row r="81" spans="1:11" ht="20.25">
      <c r="A81" s="467"/>
      <c r="B81" s="467"/>
      <c r="C81" s="467"/>
      <c r="D81" s="467"/>
      <c r="E81" s="467"/>
      <c r="F81" s="467"/>
      <c r="G81" s="467"/>
      <c r="H81" s="467"/>
      <c r="I81" s="467"/>
      <c r="J81" s="467"/>
      <c r="K81" s="467"/>
    </row>
    <row r="82" spans="1:11" ht="20.25">
      <c r="A82" s="467"/>
      <c r="B82" s="467"/>
      <c r="C82" s="467"/>
      <c r="D82" s="467"/>
      <c r="E82" s="467"/>
      <c r="F82" s="467"/>
      <c r="G82" s="467"/>
      <c r="H82" s="467"/>
      <c r="I82" s="467"/>
      <c r="J82" s="467"/>
      <c r="K82" s="467"/>
    </row>
    <row r="83" spans="1:11" ht="20.25">
      <c r="A83" s="467"/>
      <c r="B83" s="467"/>
      <c r="C83" s="467"/>
      <c r="D83" s="467"/>
      <c r="E83" s="467"/>
      <c r="F83" s="467"/>
      <c r="G83" s="467"/>
      <c r="H83" s="467"/>
      <c r="I83" s="467"/>
      <c r="J83" s="467"/>
      <c r="K83" s="467"/>
    </row>
    <row r="84" spans="1:11" ht="20.25">
      <c r="A84" s="467"/>
      <c r="B84" s="467"/>
      <c r="C84" s="467"/>
      <c r="D84" s="467"/>
      <c r="E84" s="467"/>
      <c r="F84" s="467"/>
      <c r="G84" s="467"/>
      <c r="H84" s="467"/>
      <c r="I84" s="467"/>
      <c r="J84" s="467"/>
      <c r="K84" s="467"/>
    </row>
    <row r="85" spans="1:11" ht="20.25">
      <c r="A85" s="467"/>
      <c r="B85" s="467"/>
      <c r="C85" s="467"/>
      <c r="D85" s="467"/>
      <c r="E85" s="467"/>
      <c r="F85" s="467"/>
      <c r="G85" s="467"/>
      <c r="H85" s="467"/>
      <c r="I85" s="467"/>
      <c r="J85" s="467"/>
      <c r="K85" s="467"/>
    </row>
    <row r="86" spans="1:11" ht="20.25">
      <c r="A86" s="467"/>
      <c r="B86" s="467"/>
      <c r="C86" s="467"/>
      <c r="D86" s="467"/>
      <c r="E86" s="467"/>
      <c r="F86" s="467"/>
      <c r="G86" s="467"/>
      <c r="H86" s="467"/>
      <c r="I86" s="467"/>
      <c r="J86" s="467"/>
      <c r="K86" s="467"/>
    </row>
    <row r="87" spans="1:11" ht="20.25">
      <c r="A87" s="467"/>
      <c r="B87" s="467"/>
      <c r="C87" s="467"/>
      <c r="D87" s="467"/>
      <c r="E87" s="467"/>
      <c r="F87" s="467"/>
      <c r="G87" s="467"/>
      <c r="H87" s="467"/>
      <c r="I87" s="467"/>
      <c r="J87" s="467"/>
      <c r="K87" s="467"/>
    </row>
    <row r="88" spans="1:11" ht="20.25">
      <c r="A88" s="467"/>
      <c r="B88" s="467"/>
      <c r="C88" s="467"/>
      <c r="D88" s="467"/>
      <c r="E88" s="467"/>
      <c r="F88" s="467"/>
      <c r="G88" s="467"/>
      <c r="H88" s="467"/>
      <c r="I88" s="467"/>
      <c r="J88" s="467"/>
      <c r="K88" s="467"/>
    </row>
    <row r="89" spans="1:11" ht="20.25">
      <c r="A89" s="467"/>
      <c r="B89" s="467"/>
      <c r="C89" s="467"/>
      <c r="D89" s="467"/>
      <c r="E89" s="467"/>
      <c r="F89" s="467"/>
      <c r="G89" s="467"/>
      <c r="H89" s="467"/>
      <c r="I89" s="467"/>
      <c r="J89" s="467"/>
      <c r="K89" s="467"/>
    </row>
    <row r="90" spans="1:11" ht="20.25">
      <c r="A90" s="467"/>
      <c r="B90" s="467"/>
      <c r="C90" s="467"/>
      <c r="D90" s="467"/>
      <c r="E90" s="467"/>
      <c r="F90" s="467"/>
      <c r="G90" s="467"/>
      <c r="H90" s="467"/>
      <c r="I90" s="467"/>
      <c r="J90" s="467"/>
      <c r="K90" s="467"/>
    </row>
    <row r="91" spans="1:11" ht="20.25">
      <c r="A91" s="467"/>
      <c r="B91" s="467"/>
      <c r="C91" s="467"/>
      <c r="D91" s="467"/>
      <c r="E91" s="467"/>
      <c r="F91" s="467"/>
      <c r="G91" s="467"/>
      <c r="H91" s="467"/>
      <c r="I91" s="467"/>
      <c r="J91" s="467"/>
      <c r="K91" s="467"/>
    </row>
    <row r="92" spans="1:11" ht="20.25">
      <c r="A92" s="467"/>
      <c r="B92" s="467"/>
      <c r="C92" s="467"/>
      <c r="D92" s="467"/>
      <c r="E92" s="467"/>
      <c r="F92" s="467"/>
      <c r="G92" s="467"/>
      <c r="H92" s="467"/>
      <c r="I92" s="467"/>
      <c r="J92" s="467"/>
      <c r="K92" s="467"/>
    </row>
    <row r="93" spans="1:11" ht="20.25">
      <c r="A93" s="467"/>
      <c r="B93" s="467"/>
      <c r="C93" s="467"/>
      <c r="D93" s="467"/>
      <c r="E93" s="467"/>
      <c r="F93" s="467"/>
      <c r="G93" s="467"/>
      <c r="H93" s="467"/>
      <c r="I93" s="467"/>
      <c r="J93" s="467"/>
      <c r="K93" s="467"/>
    </row>
    <row r="94" spans="1:11" ht="20.25">
      <c r="A94" s="467"/>
      <c r="B94" s="467"/>
      <c r="C94" s="467"/>
      <c r="D94" s="467"/>
      <c r="E94" s="467"/>
      <c r="F94" s="467"/>
      <c r="G94" s="467"/>
      <c r="H94" s="467"/>
      <c r="I94" s="467"/>
      <c r="J94" s="467"/>
      <c r="K94" s="467"/>
    </row>
    <row r="95" spans="1:11" ht="20.25">
      <c r="A95" s="467"/>
      <c r="B95" s="467"/>
      <c r="C95" s="467"/>
      <c r="D95" s="467"/>
      <c r="E95" s="467"/>
      <c r="F95" s="467"/>
      <c r="G95" s="467"/>
      <c r="H95" s="467"/>
      <c r="I95" s="467"/>
      <c r="J95" s="467"/>
      <c r="K95" s="467"/>
    </row>
    <row r="96" spans="1:11" ht="20.25">
      <c r="A96" s="467"/>
      <c r="B96" s="467"/>
      <c r="C96" s="467"/>
      <c r="D96" s="467"/>
      <c r="E96" s="467"/>
      <c r="F96" s="467"/>
      <c r="G96" s="467"/>
      <c r="H96" s="467"/>
      <c r="I96" s="467"/>
      <c r="J96" s="467"/>
      <c r="K96" s="467"/>
    </row>
    <row r="97" spans="1:11" ht="20.25">
      <c r="A97" s="467"/>
      <c r="B97" s="467"/>
      <c r="C97" s="467"/>
      <c r="D97" s="467"/>
      <c r="E97" s="467"/>
      <c r="F97" s="467"/>
      <c r="G97" s="467"/>
      <c r="H97" s="467"/>
      <c r="I97" s="467"/>
      <c r="J97" s="467"/>
      <c r="K97" s="467"/>
    </row>
    <row r="98" spans="1:11" ht="20.25">
      <c r="A98" s="467"/>
      <c r="B98" s="467"/>
      <c r="C98" s="467"/>
      <c r="D98" s="467"/>
      <c r="E98" s="467"/>
      <c r="F98" s="467"/>
      <c r="G98" s="467"/>
      <c r="H98" s="467"/>
      <c r="I98" s="467"/>
      <c r="J98" s="467"/>
      <c r="K98" s="467"/>
    </row>
    <row r="99" spans="1:11" ht="20.25">
      <c r="A99" s="467"/>
      <c r="B99" s="467"/>
      <c r="C99" s="467"/>
      <c r="D99" s="467"/>
      <c r="E99" s="467"/>
      <c r="F99" s="467"/>
      <c r="G99" s="467"/>
      <c r="H99" s="467"/>
      <c r="I99" s="467"/>
      <c r="J99" s="467"/>
      <c r="K99" s="467"/>
    </row>
    <row r="100" spans="1:11" ht="20.25">
      <c r="A100" s="467"/>
      <c r="B100" s="467"/>
      <c r="C100" s="467"/>
      <c r="D100" s="467"/>
      <c r="E100" s="467"/>
      <c r="F100" s="467"/>
      <c r="G100" s="467"/>
      <c r="H100" s="467"/>
      <c r="I100" s="467"/>
      <c r="J100" s="467"/>
      <c r="K100" s="467"/>
    </row>
    <row r="101" spans="1:11" ht="20.25">
      <c r="A101" s="467"/>
      <c r="B101" s="467"/>
      <c r="C101" s="467"/>
      <c r="D101" s="467"/>
      <c r="E101" s="467"/>
      <c r="F101" s="467"/>
      <c r="G101" s="467"/>
      <c r="H101" s="467"/>
      <c r="I101" s="467"/>
      <c r="J101" s="467"/>
      <c r="K101" s="467"/>
    </row>
    <row r="102" spans="1:11" ht="20.25">
      <c r="A102" s="467"/>
      <c r="B102" s="467"/>
      <c r="C102" s="467"/>
      <c r="D102" s="467"/>
      <c r="E102" s="467"/>
      <c r="F102" s="467"/>
      <c r="G102" s="467"/>
      <c r="H102" s="467"/>
      <c r="I102" s="467"/>
      <c r="J102" s="467"/>
      <c r="K102" s="467"/>
    </row>
    <row r="103" spans="1:11" ht="20.25">
      <c r="A103" s="467"/>
      <c r="B103" s="467"/>
      <c r="C103" s="467"/>
      <c r="D103" s="467"/>
      <c r="E103" s="467"/>
      <c r="F103" s="467"/>
      <c r="G103" s="467"/>
      <c r="H103" s="467"/>
      <c r="I103" s="467"/>
      <c r="J103" s="467"/>
      <c r="K103" s="467"/>
    </row>
    <row r="104" spans="1:11" ht="20.25">
      <c r="A104" s="467"/>
      <c r="B104" s="467"/>
      <c r="C104" s="467"/>
      <c r="D104" s="467"/>
      <c r="E104" s="467"/>
      <c r="F104" s="467"/>
      <c r="G104" s="467"/>
      <c r="H104" s="467"/>
      <c r="I104" s="467"/>
      <c r="J104" s="467"/>
      <c r="K104" s="467"/>
    </row>
    <row r="105" spans="1:11" ht="20.25">
      <c r="A105" s="467"/>
      <c r="B105" s="467"/>
      <c r="C105" s="467"/>
      <c r="D105" s="467"/>
      <c r="E105" s="467"/>
      <c r="F105" s="467"/>
      <c r="G105" s="467"/>
      <c r="H105" s="467"/>
      <c r="I105" s="467"/>
      <c r="J105" s="467"/>
      <c r="K105" s="467"/>
    </row>
    <row r="106" spans="1:11" ht="20.25">
      <c r="A106" s="467"/>
      <c r="B106" s="467"/>
      <c r="C106" s="467"/>
      <c r="D106" s="467"/>
      <c r="E106" s="467"/>
      <c r="F106" s="467"/>
      <c r="G106" s="467"/>
      <c r="H106" s="467"/>
      <c r="I106" s="467"/>
      <c r="J106" s="467"/>
      <c r="K106" s="467"/>
    </row>
    <row r="107" spans="1:11" ht="20.25">
      <c r="A107" s="467"/>
      <c r="B107" s="467"/>
      <c r="C107" s="467"/>
      <c r="D107" s="467"/>
      <c r="E107" s="467"/>
      <c r="F107" s="467"/>
      <c r="G107" s="467"/>
      <c r="H107" s="467"/>
      <c r="I107" s="467"/>
      <c r="J107" s="467"/>
      <c r="K107" s="467"/>
    </row>
    <row r="108" spans="1:11" ht="20.25">
      <c r="A108" s="467"/>
      <c r="B108" s="467"/>
      <c r="C108" s="467"/>
      <c r="D108" s="467"/>
      <c r="E108" s="467"/>
      <c r="F108" s="467"/>
      <c r="G108" s="467"/>
      <c r="H108" s="467"/>
      <c r="I108" s="467"/>
      <c r="J108" s="467"/>
      <c r="K108" s="467"/>
    </row>
    <row r="109" spans="1:11" ht="20.25">
      <c r="A109" s="467"/>
      <c r="B109" s="467"/>
      <c r="C109" s="467"/>
      <c r="D109" s="467"/>
      <c r="E109" s="467"/>
      <c r="F109" s="467"/>
      <c r="G109" s="467"/>
      <c r="H109" s="467"/>
      <c r="I109" s="467"/>
      <c r="J109" s="467"/>
      <c r="K109" s="467"/>
    </row>
    <row r="110" spans="1:11" ht="20.25">
      <c r="A110" s="467"/>
      <c r="B110" s="467"/>
      <c r="C110" s="467"/>
      <c r="D110" s="467"/>
      <c r="E110" s="467"/>
      <c r="F110" s="467"/>
      <c r="G110" s="467"/>
      <c r="H110" s="467"/>
      <c r="I110" s="467"/>
      <c r="J110" s="467"/>
      <c r="K110" s="467"/>
    </row>
    <row r="111" spans="1:11" ht="20.25">
      <c r="A111" s="467"/>
      <c r="B111" s="467"/>
      <c r="C111" s="467"/>
      <c r="D111" s="467"/>
      <c r="E111" s="467"/>
      <c r="F111" s="467"/>
      <c r="G111" s="467"/>
      <c r="H111" s="467"/>
      <c r="I111" s="467"/>
      <c r="J111" s="467"/>
      <c r="K111" s="467"/>
    </row>
    <row r="112" spans="1:11" ht="20.25">
      <c r="A112" s="467"/>
      <c r="B112" s="467"/>
      <c r="C112" s="467"/>
      <c r="D112" s="467"/>
      <c r="E112" s="467"/>
      <c r="F112" s="467"/>
      <c r="G112" s="467"/>
      <c r="H112" s="467"/>
      <c r="I112" s="467"/>
      <c r="J112" s="467"/>
      <c r="K112" s="467"/>
    </row>
    <row r="113" spans="1:11" ht="20.25">
      <c r="A113" s="467"/>
      <c r="B113" s="467"/>
      <c r="C113" s="467"/>
      <c r="D113" s="467"/>
      <c r="E113" s="467"/>
      <c r="F113" s="467"/>
      <c r="G113" s="467"/>
      <c r="H113" s="467"/>
      <c r="I113" s="467"/>
      <c r="J113" s="467"/>
      <c r="K113" s="467"/>
    </row>
    <row r="114" spans="1:11" ht="20.25">
      <c r="A114" s="467"/>
      <c r="B114" s="467"/>
      <c r="C114" s="467"/>
      <c r="D114" s="467"/>
      <c r="E114" s="467"/>
      <c r="F114" s="467"/>
      <c r="G114" s="467"/>
      <c r="H114" s="467"/>
      <c r="I114" s="467"/>
      <c r="J114" s="467"/>
      <c r="K114" s="467"/>
    </row>
    <row r="115" spans="1:11" ht="20.25">
      <c r="A115" s="467"/>
      <c r="B115" s="467"/>
      <c r="C115" s="467"/>
      <c r="D115" s="467"/>
      <c r="E115" s="467"/>
      <c r="F115" s="467"/>
      <c r="G115" s="467"/>
      <c r="H115" s="467"/>
      <c r="I115" s="467"/>
      <c r="J115" s="467"/>
      <c r="K115" s="467"/>
    </row>
    <row r="116" spans="1:11" ht="20.25">
      <c r="A116" s="467"/>
      <c r="B116" s="467"/>
      <c r="C116" s="467"/>
      <c r="D116" s="467"/>
      <c r="E116" s="467"/>
      <c r="F116" s="467"/>
      <c r="G116" s="467"/>
      <c r="H116" s="467"/>
      <c r="I116" s="467"/>
      <c r="J116" s="467"/>
      <c r="K116" s="467"/>
    </row>
    <row r="117" spans="1:11" ht="20.25">
      <c r="A117" s="467"/>
      <c r="B117" s="467"/>
      <c r="C117" s="467"/>
      <c r="D117" s="467"/>
      <c r="E117" s="467"/>
      <c r="F117" s="467"/>
      <c r="G117" s="467"/>
      <c r="H117" s="467"/>
      <c r="I117" s="467"/>
      <c r="J117" s="467"/>
      <c r="K117" s="467"/>
    </row>
    <row r="118" spans="1:11" ht="20.25">
      <c r="A118" s="467"/>
      <c r="B118" s="467"/>
      <c r="C118" s="467"/>
      <c r="D118" s="467"/>
      <c r="E118" s="467"/>
      <c r="F118" s="467"/>
      <c r="G118" s="467"/>
      <c r="H118" s="467"/>
      <c r="I118" s="467"/>
      <c r="J118" s="467"/>
      <c r="K118" s="467"/>
    </row>
    <row r="119" spans="1:11" ht="20.25">
      <c r="A119" s="467"/>
      <c r="B119" s="467"/>
      <c r="C119" s="467"/>
      <c r="D119" s="467"/>
      <c r="E119" s="467"/>
      <c r="F119" s="467"/>
      <c r="G119" s="467"/>
      <c r="H119" s="467"/>
      <c r="I119" s="467"/>
      <c r="J119" s="467"/>
      <c r="K119" s="467"/>
    </row>
    <row r="120" spans="1:11" ht="20.25">
      <c r="A120" s="467"/>
      <c r="B120" s="467"/>
      <c r="C120" s="467"/>
      <c r="D120" s="467"/>
      <c r="E120" s="467"/>
      <c r="F120" s="467"/>
      <c r="G120" s="467"/>
      <c r="H120" s="467"/>
      <c r="I120" s="467"/>
      <c r="J120" s="467"/>
      <c r="K120" s="467"/>
    </row>
    <row r="121" spans="1:11" ht="20.25">
      <c r="A121" s="467"/>
      <c r="B121" s="467"/>
      <c r="C121" s="467"/>
      <c r="D121" s="467"/>
      <c r="E121" s="467"/>
      <c r="F121" s="467"/>
      <c r="G121" s="467"/>
      <c r="H121" s="467"/>
      <c r="I121" s="467"/>
      <c r="J121" s="467"/>
      <c r="K121" s="467"/>
    </row>
    <row r="122" spans="1:11" ht="20.25">
      <c r="A122" s="467"/>
      <c r="B122" s="467"/>
      <c r="C122" s="467"/>
      <c r="D122" s="467"/>
      <c r="E122" s="467"/>
      <c r="F122" s="467"/>
      <c r="G122" s="467"/>
      <c r="H122" s="467"/>
      <c r="I122" s="467"/>
      <c r="J122" s="467"/>
      <c r="K122" s="467"/>
    </row>
    <row r="123" spans="1:11" ht="20.25">
      <c r="A123" s="467"/>
      <c r="B123" s="467"/>
      <c r="C123" s="467"/>
      <c r="D123" s="467"/>
      <c r="E123" s="467"/>
      <c r="F123" s="467"/>
      <c r="G123" s="467"/>
      <c r="H123" s="467"/>
      <c r="I123" s="467"/>
      <c r="J123" s="467"/>
      <c r="K123" s="467"/>
    </row>
    <row r="124" spans="1:11" ht="20.25">
      <c r="A124" s="467"/>
      <c r="B124" s="467"/>
      <c r="C124" s="467"/>
      <c r="D124" s="467"/>
      <c r="E124" s="467"/>
      <c r="F124" s="467"/>
      <c r="G124" s="467"/>
      <c r="H124" s="467"/>
      <c r="I124" s="467"/>
      <c r="J124" s="467"/>
      <c r="K124" s="467"/>
    </row>
    <row r="125" spans="1:11" ht="20.25">
      <c r="A125" s="467"/>
      <c r="B125" s="467"/>
      <c r="C125" s="467"/>
      <c r="D125" s="467"/>
      <c r="E125" s="467"/>
      <c r="F125" s="467"/>
      <c r="G125" s="467"/>
      <c r="H125" s="467"/>
      <c r="I125" s="467"/>
      <c r="J125" s="467"/>
      <c r="K125" s="467"/>
    </row>
    <row r="126" spans="1:11" ht="20.25">
      <c r="A126" s="467"/>
      <c r="B126" s="467"/>
      <c r="C126" s="467"/>
      <c r="D126" s="467"/>
      <c r="E126" s="467"/>
      <c r="F126" s="467"/>
      <c r="G126" s="467"/>
      <c r="H126" s="467"/>
      <c r="I126" s="467"/>
      <c r="J126" s="467"/>
      <c r="K126" s="467"/>
    </row>
    <row r="127" spans="1:11" ht="20.25">
      <c r="A127" s="467"/>
      <c r="B127" s="467"/>
      <c r="C127" s="467"/>
      <c r="D127" s="467"/>
      <c r="E127" s="467"/>
      <c r="F127" s="467"/>
      <c r="G127" s="467"/>
      <c r="H127" s="467"/>
      <c r="I127" s="467"/>
      <c r="J127" s="467"/>
      <c r="K127" s="467"/>
    </row>
    <row r="128" spans="1:11" ht="20.25">
      <c r="A128" s="467"/>
      <c r="B128" s="467"/>
      <c r="C128" s="467"/>
      <c r="D128" s="467"/>
      <c r="E128" s="467"/>
      <c r="F128" s="467"/>
      <c r="G128" s="467"/>
      <c r="H128" s="467"/>
      <c r="I128" s="467"/>
      <c r="J128" s="467"/>
      <c r="K128" s="467"/>
    </row>
    <row r="129" spans="1:11" ht="20.25">
      <c r="A129" s="467"/>
      <c r="B129" s="467"/>
      <c r="C129" s="467"/>
      <c r="D129" s="467"/>
      <c r="E129" s="467"/>
      <c r="F129" s="467"/>
      <c r="G129" s="467"/>
      <c r="H129" s="467"/>
      <c r="I129" s="467"/>
      <c r="J129" s="467"/>
      <c r="K129" s="467"/>
    </row>
    <row r="130" spans="1:11" ht="20.25">
      <c r="A130" s="467"/>
      <c r="B130" s="467"/>
      <c r="C130" s="467"/>
      <c r="D130" s="467"/>
      <c r="E130" s="467"/>
      <c r="F130" s="467"/>
      <c r="G130" s="467"/>
      <c r="H130" s="467"/>
      <c r="I130" s="467"/>
      <c r="J130" s="467"/>
      <c r="K130" s="467"/>
    </row>
    <row r="131" spans="1:11" ht="20.25">
      <c r="A131" s="467"/>
      <c r="B131" s="467"/>
      <c r="C131" s="467"/>
      <c r="D131" s="467"/>
      <c r="E131" s="467"/>
      <c r="F131" s="467"/>
      <c r="G131" s="467"/>
      <c r="H131" s="467"/>
      <c r="I131" s="467"/>
      <c r="J131" s="467"/>
      <c r="K131" s="467"/>
    </row>
    <row r="132" spans="1:11" ht="20.25">
      <c r="A132" s="467"/>
      <c r="B132" s="467"/>
      <c r="C132" s="467"/>
      <c r="D132" s="467"/>
      <c r="E132" s="467"/>
      <c r="F132" s="467"/>
      <c r="G132" s="467"/>
      <c r="H132" s="467"/>
      <c r="I132" s="467"/>
      <c r="J132" s="467"/>
      <c r="K132" s="467"/>
    </row>
    <row r="133" spans="1:11" ht="20.25">
      <c r="A133" s="467"/>
      <c r="B133" s="467"/>
      <c r="C133" s="467"/>
      <c r="D133" s="467"/>
      <c r="E133" s="467"/>
      <c r="F133" s="467"/>
      <c r="G133" s="467"/>
      <c r="H133" s="467"/>
      <c r="I133" s="467"/>
      <c r="J133" s="467"/>
      <c r="K133" s="467"/>
    </row>
    <row r="134" spans="1:11" ht="20.25">
      <c r="A134" s="467"/>
      <c r="B134" s="467"/>
      <c r="C134" s="467"/>
      <c r="D134" s="467"/>
      <c r="E134" s="467"/>
      <c r="F134" s="467"/>
      <c r="G134" s="467"/>
      <c r="H134" s="467"/>
      <c r="I134" s="467"/>
      <c r="J134" s="467"/>
      <c r="K134" s="467"/>
    </row>
    <row r="135" spans="1:11" ht="20.25">
      <c r="A135" s="467"/>
      <c r="B135" s="467"/>
      <c r="C135" s="467"/>
      <c r="D135" s="467"/>
      <c r="E135" s="467"/>
      <c r="F135" s="467"/>
      <c r="G135" s="467"/>
      <c r="H135" s="467"/>
      <c r="I135" s="467"/>
      <c r="J135" s="467"/>
      <c r="K135" s="467"/>
    </row>
    <row r="136" spans="1:11" ht="20.25">
      <c r="A136" s="467"/>
      <c r="B136" s="467"/>
      <c r="C136" s="467"/>
      <c r="D136" s="467"/>
      <c r="E136" s="467"/>
      <c r="F136" s="467"/>
      <c r="G136" s="467"/>
      <c r="H136" s="467"/>
      <c r="I136" s="467"/>
      <c r="J136" s="467"/>
      <c r="K136" s="467"/>
    </row>
    <row r="137" spans="1:11" ht="20.25">
      <c r="A137" s="467"/>
      <c r="B137" s="467"/>
      <c r="C137" s="467"/>
      <c r="D137" s="467"/>
      <c r="E137" s="467"/>
      <c r="F137" s="467"/>
      <c r="G137" s="467"/>
      <c r="H137" s="467"/>
      <c r="I137" s="467"/>
      <c r="J137" s="467"/>
      <c r="K137" s="467"/>
    </row>
    <row r="138" spans="1:11" ht="20.25">
      <c r="A138" s="467"/>
      <c r="B138" s="467"/>
      <c r="C138" s="467"/>
      <c r="D138" s="467"/>
      <c r="E138" s="467"/>
      <c r="F138" s="467"/>
      <c r="G138" s="467"/>
      <c r="H138" s="467"/>
      <c r="I138" s="467"/>
      <c r="J138" s="467"/>
      <c r="K138" s="467"/>
    </row>
    <row r="139" spans="1:11" ht="20.25">
      <c r="A139" s="467"/>
      <c r="B139" s="467"/>
      <c r="C139" s="467"/>
      <c r="D139" s="467"/>
      <c r="E139" s="467"/>
      <c r="F139" s="467"/>
      <c r="G139" s="467"/>
      <c r="H139" s="467"/>
      <c r="I139" s="467"/>
      <c r="J139" s="467"/>
      <c r="K139" s="467"/>
    </row>
    <row r="140" spans="1:11" ht="20.25">
      <c r="A140" s="467"/>
      <c r="B140" s="467"/>
      <c r="C140" s="467"/>
      <c r="D140" s="467"/>
      <c r="E140" s="467"/>
      <c r="F140" s="467"/>
      <c r="G140" s="467"/>
      <c r="H140" s="467"/>
      <c r="I140" s="467"/>
      <c r="J140" s="467"/>
      <c r="K140" s="467"/>
    </row>
    <row r="141" spans="1:11" ht="20.25">
      <c r="A141" s="467"/>
      <c r="B141" s="467"/>
      <c r="C141" s="467"/>
      <c r="D141" s="467"/>
      <c r="E141" s="467"/>
      <c r="F141" s="467"/>
      <c r="G141" s="467"/>
      <c r="H141" s="467"/>
      <c r="I141" s="467"/>
      <c r="J141" s="467"/>
      <c r="K141" s="467"/>
    </row>
    <row r="142" spans="1:11" ht="20.25">
      <c r="A142" s="467"/>
      <c r="B142" s="467"/>
      <c r="C142" s="467"/>
      <c r="D142" s="467"/>
      <c r="E142" s="467"/>
      <c r="F142" s="467"/>
      <c r="G142" s="467"/>
      <c r="H142" s="467"/>
      <c r="I142" s="467"/>
      <c r="J142" s="467"/>
      <c r="K142" s="467"/>
    </row>
    <row r="143" spans="1:11" ht="20.25">
      <c r="A143" s="467"/>
      <c r="B143" s="467"/>
      <c r="C143" s="467"/>
      <c r="D143" s="467"/>
      <c r="E143" s="467"/>
      <c r="F143" s="467"/>
      <c r="G143" s="467"/>
      <c r="H143" s="467"/>
      <c r="I143" s="467"/>
      <c r="J143" s="467"/>
      <c r="K143" s="467"/>
    </row>
    <row r="144" spans="1:11" ht="20.25">
      <c r="A144" s="467"/>
      <c r="B144" s="467"/>
      <c r="C144" s="467"/>
      <c r="D144" s="467"/>
      <c r="E144" s="467"/>
      <c r="F144" s="467"/>
      <c r="G144" s="467"/>
      <c r="H144" s="467"/>
      <c r="I144" s="467"/>
      <c r="J144" s="467"/>
      <c r="K144" s="467"/>
    </row>
    <row r="145" spans="1:11" ht="20.25">
      <c r="A145" s="467"/>
      <c r="B145" s="467"/>
      <c r="C145" s="467"/>
      <c r="D145" s="467"/>
      <c r="E145" s="467"/>
      <c r="F145" s="467"/>
      <c r="G145" s="467"/>
      <c r="H145" s="467"/>
      <c r="I145" s="467"/>
      <c r="J145" s="467"/>
      <c r="K145" s="467"/>
    </row>
    <row r="146" spans="1:11" ht="20.25">
      <c r="A146" s="467"/>
      <c r="B146" s="467"/>
      <c r="C146" s="467"/>
      <c r="D146" s="467"/>
      <c r="E146" s="467"/>
      <c r="F146" s="467"/>
      <c r="G146" s="467"/>
      <c r="H146" s="467"/>
      <c r="I146" s="467"/>
      <c r="J146" s="467"/>
      <c r="K146" s="467"/>
    </row>
    <row r="147" spans="1:11" ht="20.25">
      <c r="A147" s="467"/>
      <c r="B147" s="467"/>
      <c r="C147" s="467"/>
      <c r="D147" s="467"/>
      <c r="E147" s="467"/>
      <c r="F147" s="467"/>
      <c r="G147" s="467"/>
      <c r="H147" s="467"/>
      <c r="I147" s="467"/>
      <c r="J147" s="467"/>
      <c r="K147" s="467"/>
    </row>
    <row r="148" spans="1:11" ht="20.25">
      <c r="A148" s="467"/>
      <c r="B148" s="467"/>
      <c r="C148" s="467"/>
      <c r="D148" s="467"/>
      <c r="E148" s="467"/>
      <c r="F148" s="467"/>
      <c r="G148" s="467"/>
      <c r="H148" s="467"/>
      <c r="I148" s="467"/>
      <c r="J148" s="467"/>
      <c r="K148" s="467"/>
    </row>
    <row r="149" spans="1:11" ht="20.25">
      <c r="A149" s="467"/>
      <c r="B149" s="467"/>
      <c r="C149" s="467"/>
      <c r="D149" s="467"/>
      <c r="E149" s="467"/>
      <c r="F149" s="467"/>
      <c r="G149" s="467"/>
      <c r="H149" s="467"/>
      <c r="I149" s="467"/>
      <c r="J149" s="467"/>
      <c r="K149" s="467"/>
    </row>
    <row r="150" spans="1:11" ht="20.25">
      <c r="A150" s="467"/>
      <c r="B150" s="467"/>
      <c r="C150" s="467"/>
      <c r="D150" s="467"/>
      <c r="E150" s="467"/>
      <c r="F150" s="467"/>
      <c r="G150" s="467"/>
      <c r="H150" s="467"/>
      <c r="I150" s="467"/>
      <c r="J150" s="467"/>
      <c r="K150" s="467"/>
    </row>
    <row r="151" spans="1:11" ht="20.25">
      <c r="A151" s="467"/>
      <c r="B151" s="467"/>
      <c r="C151" s="467"/>
      <c r="D151" s="467"/>
      <c r="E151" s="467"/>
      <c r="F151" s="467"/>
      <c r="G151" s="467"/>
      <c r="H151" s="467"/>
      <c r="I151" s="467"/>
      <c r="J151" s="467"/>
      <c r="K151" s="467"/>
    </row>
    <row r="152" spans="1:11" ht="20.25">
      <c r="A152" s="467"/>
      <c r="B152" s="467"/>
      <c r="C152" s="467"/>
      <c r="D152" s="467"/>
      <c r="E152" s="467"/>
      <c r="F152" s="467"/>
      <c r="G152" s="467"/>
      <c r="H152" s="467"/>
      <c r="I152" s="467"/>
      <c r="J152" s="467"/>
      <c r="K152" s="467"/>
    </row>
    <row r="153" spans="1:11" ht="20.25">
      <c r="A153" s="467"/>
      <c r="B153" s="467"/>
      <c r="C153" s="467"/>
      <c r="D153" s="467"/>
      <c r="E153" s="467"/>
      <c r="F153" s="467"/>
      <c r="G153" s="467"/>
      <c r="H153" s="467"/>
      <c r="I153" s="467"/>
      <c r="J153" s="467"/>
      <c r="K153" s="467"/>
    </row>
    <row r="154" spans="1:11" ht="20.25">
      <c r="A154" s="467"/>
      <c r="B154" s="467"/>
      <c r="C154" s="467"/>
      <c r="D154" s="467"/>
      <c r="E154" s="467"/>
      <c r="F154" s="467"/>
      <c r="G154" s="467"/>
      <c r="H154" s="467"/>
      <c r="I154" s="467"/>
      <c r="J154" s="467"/>
      <c r="K154" s="467"/>
    </row>
    <row r="155" spans="1:11" ht="20.25">
      <c r="A155" s="467"/>
      <c r="B155" s="467"/>
      <c r="C155" s="467"/>
      <c r="D155" s="467"/>
      <c r="E155" s="467"/>
      <c r="F155" s="467"/>
      <c r="G155" s="467"/>
      <c r="H155" s="467"/>
      <c r="I155" s="467"/>
      <c r="J155" s="467"/>
      <c r="K155" s="467"/>
    </row>
    <row r="156" spans="1:11" ht="20.25">
      <c r="A156" s="467"/>
      <c r="B156" s="467"/>
      <c r="C156" s="467"/>
      <c r="D156" s="467"/>
      <c r="E156" s="467"/>
      <c r="F156" s="467"/>
      <c r="G156" s="467"/>
      <c r="H156" s="467"/>
      <c r="I156" s="467"/>
      <c r="J156" s="467"/>
      <c r="K156" s="467"/>
    </row>
    <row r="157" spans="1:11" ht="20.25">
      <c r="A157" s="467"/>
      <c r="B157" s="467"/>
      <c r="C157" s="467"/>
      <c r="D157" s="467"/>
      <c r="E157" s="467"/>
      <c r="F157" s="467"/>
      <c r="G157" s="467"/>
      <c r="H157" s="467"/>
      <c r="I157" s="467"/>
      <c r="J157" s="467"/>
      <c r="K157" s="467"/>
    </row>
    <row r="158" spans="1:11" ht="20.25">
      <c r="A158" s="467"/>
      <c r="B158" s="467"/>
      <c r="C158" s="467"/>
      <c r="D158" s="467"/>
      <c r="E158" s="467"/>
      <c r="F158" s="467"/>
      <c r="G158" s="467"/>
      <c r="H158" s="467"/>
      <c r="I158" s="467"/>
      <c r="J158" s="467"/>
      <c r="K158" s="467"/>
    </row>
    <row r="159" spans="1:11" ht="20.25">
      <c r="A159" s="467"/>
      <c r="B159" s="467"/>
      <c r="C159" s="467"/>
      <c r="D159" s="467"/>
      <c r="E159" s="467"/>
      <c r="F159" s="467"/>
      <c r="G159" s="467"/>
      <c r="H159" s="467"/>
      <c r="I159" s="467"/>
      <c r="J159" s="467"/>
      <c r="K159" s="467"/>
    </row>
    <row r="160" spans="1:11" ht="20.25">
      <c r="A160" s="467"/>
      <c r="B160" s="467"/>
      <c r="C160" s="467"/>
      <c r="D160" s="467"/>
      <c r="E160" s="467"/>
      <c r="F160" s="467"/>
      <c r="G160" s="467"/>
      <c r="H160" s="467"/>
      <c r="I160" s="467"/>
      <c r="J160" s="467"/>
      <c r="K160" s="467"/>
    </row>
    <row r="161" spans="1:11" ht="20.25">
      <c r="A161" s="467"/>
      <c r="B161" s="467"/>
      <c r="C161" s="467"/>
      <c r="D161" s="467"/>
      <c r="E161" s="467"/>
      <c r="F161" s="467"/>
      <c r="G161" s="467"/>
      <c r="H161" s="467"/>
      <c r="I161" s="467"/>
      <c r="J161" s="467"/>
      <c r="K161" s="467"/>
    </row>
    <row r="162" spans="1:11" ht="20.25">
      <c r="A162" s="467"/>
      <c r="B162" s="467"/>
      <c r="C162" s="467"/>
      <c r="D162" s="467"/>
      <c r="E162" s="467"/>
      <c r="F162" s="467"/>
      <c r="G162" s="467"/>
      <c r="H162" s="467"/>
      <c r="I162" s="467"/>
      <c r="J162" s="467"/>
      <c r="K162" s="467"/>
    </row>
    <row r="163" spans="1:11" ht="20.25">
      <c r="A163" s="467"/>
      <c r="B163" s="467"/>
      <c r="C163" s="467"/>
      <c r="D163" s="467"/>
      <c r="E163" s="467"/>
      <c r="F163" s="467"/>
      <c r="G163" s="467"/>
      <c r="H163" s="467"/>
      <c r="I163" s="467"/>
      <c r="J163" s="467"/>
      <c r="K163" s="467"/>
    </row>
    <row r="164" spans="1:11" ht="20.25">
      <c r="A164" s="467"/>
      <c r="B164" s="467"/>
      <c r="C164" s="467"/>
      <c r="D164" s="467"/>
      <c r="E164" s="467"/>
      <c r="F164" s="467"/>
      <c r="G164" s="467"/>
      <c r="H164" s="467"/>
      <c r="I164" s="467"/>
      <c r="J164" s="467"/>
      <c r="K164" s="467"/>
    </row>
    <row r="165" spans="1:11" ht="20.25">
      <c r="A165" s="467"/>
      <c r="B165" s="467"/>
      <c r="C165" s="467"/>
      <c r="D165" s="467"/>
      <c r="E165" s="467"/>
      <c r="F165" s="467"/>
      <c r="G165" s="467"/>
      <c r="H165" s="467"/>
      <c r="I165" s="467"/>
      <c r="J165" s="467"/>
      <c r="K165" s="467"/>
    </row>
    <row r="166" spans="1:11" ht="20.25">
      <c r="A166" s="467"/>
      <c r="B166" s="467"/>
      <c r="C166" s="467"/>
      <c r="D166" s="467"/>
      <c r="E166" s="467"/>
      <c r="F166" s="467"/>
      <c r="G166" s="467"/>
      <c r="H166" s="467"/>
      <c r="I166" s="467"/>
      <c r="J166" s="467"/>
      <c r="K166" s="467"/>
    </row>
    <row r="167" spans="1:11" ht="20.25">
      <c r="A167" s="467"/>
      <c r="B167" s="467"/>
      <c r="C167" s="467"/>
      <c r="D167" s="467"/>
      <c r="E167" s="467"/>
      <c r="F167" s="467"/>
      <c r="G167" s="467"/>
      <c r="H167" s="467"/>
      <c r="I167" s="467"/>
      <c r="J167" s="467"/>
      <c r="K167" s="467"/>
    </row>
    <row r="168" spans="1:11" ht="20.25">
      <c r="A168" s="467"/>
      <c r="B168" s="467"/>
      <c r="C168" s="467"/>
      <c r="D168" s="467"/>
      <c r="E168" s="467"/>
      <c r="F168" s="467"/>
      <c r="G168" s="467"/>
      <c r="H168" s="467"/>
      <c r="I168" s="467"/>
      <c r="J168" s="467"/>
      <c r="K168" s="467"/>
    </row>
    <row r="169" spans="1:11" ht="20.25">
      <c r="A169" s="467"/>
      <c r="B169" s="467"/>
      <c r="C169" s="467"/>
      <c r="D169" s="467"/>
      <c r="E169" s="467"/>
      <c r="F169" s="467"/>
      <c r="G169" s="467"/>
      <c r="H169" s="467"/>
      <c r="I169" s="467"/>
      <c r="J169" s="467"/>
      <c r="K169" s="467"/>
    </row>
    <row r="170" spans="1:11" ht="20.25">
      <c r="A170" s="467"/>
      <c r="B170" s="467"/>
      <c r="C170" s="467"/>
      <c r="D170" s="467"/>
      <c r="E170" s="467"/>
      <c r="F170" s="467"/>
      <c r="G170" s="467"/>
      <c r="H170" s="467"/>
      <c r="I170" s="467"/>
      <c r="J170" s="467"/>
      <c r="K170" s="467"/>
    </row>
    <row r="171" spans="1:11" ht="20.25">
      <c r="A171" s="467"/>
      <c r="B171" s="467"/>
      <c r="C171" s="467"/>
      <c r="D171" s="467"/>
      <c r="E171" s="467"/>
      <c r="F171" s="467"/>
      <c r="G171" s="467"/>
      <c r="H171" s="467"/>
      <c r="I171" s="467"/>
      <c r="J171" s="467"/>
      <c r="K171" s="467"/>
    </row>
    <row r="172" spans="1:11" ht="20.25">
      <c r="A172" s="467"/>
      <c r="B172" s="467"/>
      <c r="C172" s="467"/>
      <c r="D172" s="467"/>
      <c r="E172" s="467"/>
      <c r="F172" s="467"/>
      <c r="G172" s="467"/>
      <c r="H172" s="467"/>
      <c r="I172" s="467"/>
      <c r="J172" s="467"/>
      <c r="K172" s="467"/>
    </row>
    <row r="173" spans="1:11" ht="20.25">
      <c r="A173" s="467"/>
      <c r="B173" s="467"/>
      <c r="C173" s="467"/>
      <c r="D173" s="467"/>
      <c r="E173" s="467"/>
      <c r="F173" s="467"/>
      <c r="G173" s="467"/>
      <c r="H173" s="467"/>
      <c r="I173" s="467"/>
      <c r="J173" s="467"/>
      <c r="K173" s="467"/>
    </row>
    <row r="174" spans="1:11" ht="20.25">
      <c r="A174" s="467"/>
      <c r="B174" s="467"/>
      <c r="C174" s="467"/>
      <c r="D174" s="467"/>
      <c r="E174" s="467"/>
      <c r="F174" s="467"/>
      <c r="G174" s="467"/>
      <c r="H174" s="467"/>
      <c r="I174" s="467"/>
      <c r="J174" s="467"/>
      <c r="K174" s="467"/>
    </row>
    <row r="175" spans="1:11" ht="20.25">
      <c r="A175" s="467"/>
      <c r="B175" s="467"/>
      <c r="C175" s="467"/>
      <c r="D175" s="467"/>
      <c r="E175" s="467"/>
      <c r="F175" s="467"/>
      <c r="G175" s="467"/>
      <c r="H175" s="467"/>
      <c r="I175" s="467"/>
      <c r="J175" s="467"/>
      <c r="K175" s="467"/>
    </row>
    <row r="176" spans="1:11" ht="20.25">
      <c r="A176" s="467"/>
      <c r="B176" s="467"/>
      <c r="C176" s="467"/>
      <c r="D176" s="467"/>
      <c r="E176" s="467"/>
      <c r="F176" s="467"/>
      <c r="G176" s="467"/>
      <c r="H176" s="467"/>
      <c r="I176" s="467"/>
      <c r="J176" s="467"/>
      <c r="K176" s="467"/>
    </row>
    <row r="177" spans="1:11" ht="20.25">
      <c r="A177" s="467"/>
      <c r="B177" s="467"/>
      <c r="C177" s="467"/>
      <c r="D177" s="467"/>
      <c r="E177" s="467"/>
      <c r="F177" s="467"/>
      <c r="G177" s="467"/>
      <c r="H177" s="467"/>
      <c r="I177" s="467"/>
      <c r="J177" s="467"/>
      <c r="K177" s="467"/>
    </row>
    <row r="178" spans="1:11" ht="20.25">
      <c r="A178" s="467"/>
      <c r="B178" s="467"/>
      <c r="C178" s="467"/>
      <c r="D178" s="467"/>
      <c r="E178" s="467"/>
      <c r="F178" s="467"/>
      <c r="G178" s="467"/>
      <c r="H178" s="467"/>
      <c r="I178" s="467"/>
      <c r="J178" s="467"/>
      <c r="K178" s="467"/>
    </row>
    <row r="179" spans="1:11" ht="20.25">
      <c r="A179" s="467"/>
      <c r="B179" s="467"/>
      <c r="C179" s="467"/>
      <c r="D179" s="467"/>
      <c r="E179" s="467"/>
      <c r="F179" s="467"/>
      <c r="G179" s="467"/>
      <c r="H179" s="467"/>
      <c r="I179" s="467"/>
      <c r="J179" s="467"/>
      <c r="K179" s="467"/>
    </row>
    <row r="180" spans="1:11" ht="20.25">
      <c r="A180" s="467"/>
      <c r="B180" s="467"/>
      <c r="C180" s="467"/>
      <c r="D180" s="467"/>
      <c r="E180" s="467"/>
      <c r="F180" s="467"/>
      <c r="G180" s="467"/>
      <c r="H180" s="467"/>
      <c r="I180" s="467"/>
      <c r="J180" s="467"/>
      <c r="K180" s="467"/>
    </row>
    <row r="181" spans="1:11" ht="20.25">
      <c r="A181" s="467"/>
      <c r="B181" s="467"/>
      <c r="C181" s="467"/>
      <c r="D181" s="467"/>
      <c r="E181" s="467"/>
      <c r="F181" s="467"/>
      <c r="G181" s="467"/>
      <c r="H181" s="467"/>
      <c r="I181" s="467"/>
      <c r="J181" s="467"/>
      <c r="K181" s="467"/>
    </row>
    <row r="182" spans="1:11" ht="20.25">
      <c r="A182" s="467"/>
      <c r="B182" s="467"/>
      <c r="C182" s="467"/>
      <c r="D182" s="467"/>
      <c r="E182" s="467"/>
      <c r="F182" s="467"/>
      <c r="G182" s="467"/>
      <c r="H182" s="467"/>
      <c r="I182" s="467"/>
      <c r="J182" s="467"/>
      <c r="K182" s="467"/>
    </row>
    <row r="183" spans="1:11" ht="20.25">
      <c r="A183" s="467"/>
      <c r="B183" s="467"/>
      <c r="C183" s="467"/>
      <c r="D183" s="467"/>
      <c r="E183" s="467"/>
      <c r="F183" s="467"/>
      <c r="G183" s="467"/>
      <c r="H183" s="467"/>
      <c r="I183" s="467"/>
      <c r="J183" s="467"/>
      <c r="K183" s="467"/>
    </row>
    <row r="184" spans="1:11" ht="20.25">
      <c r="A184" s="467"/>
      <c r="B184" s="467"/>
      <c r="C184" s="467"/>
      <c r="D184" s="467"/>
      <c r="E184" s="467"/>
      <c r="F184" s="467"/>
      <c r="G184" s="467"/>
      <c r="H184" s="467"/>
      <c r="I184" s="467"/>
      <c r="J184" s="467"/>
      <c r="K184" s="467"/>
    </row>
    <row r="185" spans="1:11" ht="20.25">
      <c r="A185" s="467"/>
      <c r="B185" s="467"/>
      <c r="C185" s="467"/>
      <c r="D185" s="467"/>
      <c r="E185" s="467"/>
      <c r="F185" s="467"/>
      <c r="G185" s="467"/>
      <c r="H185" s="467"/>
      <c r="I185" s="467"/>
      <c r="J185" s="467"/>
      <c r="K185" s="467"/>
    </row>
    <row r="186" spans="1:11" ht="20.25">
      <c r="A186" s="467"/>
      <c r="B186" s="467"/>
      <c r="C186" s="467"/>
      <c r="D186" s="467"/>
      <c r="E186" s="467"/>
      <c r="F186" s="467"/>
      <c r="G186" s="467"/>
      <c r="H186" s="467"/>
      <c r="I186" s="467"/>
      <c r="J186" s="467"/>
      <c r="K186" s="467"/>
    </row>
    <row r="187" spans="1:11" ht="20.25">
      <c r="A187" s="467"/>
      <c r="B187" s="467"/>
      <c r="C187" s="467"/>
      <c r="D187" s="467"/>
      <c r="E187" s="467"/>
      <c r="F187" s="467"/>
      <c r="G187" s="467"/>
      <c r="H187" s="467"/>
      <c r="I187" s="467"/>
      <c r="J187" s="467"/>
      <c r="K187" s="467"/>
    </row>
    <row r="188" spans="1:11" ht="20.25">
      <c r="A188" s="467"/>
      <c r="B188" s="467"/>
      <c r="C188" s="467"/>
      <c r="D188" s="467"/>
      <c r="E188" s="467"/>
      <c r="F188" s="467"/>
      <c r="G188" s="467"/>
      <c r="H188" s="467"/>
      <c r="I188" s="467"/>
      <c r="J188" s="467"/>
      <c r="K188" s="467"/>
    </row>
    <row r="189" spans="1:11" ht="20.25">
      <c r="A189" s="467"/>
      <c r="B189" s="467"/>
      <c r="C189" s="467"/>
      <c r="D189" s="467"/>
      <c r="E189" s="467"/>
      <c r="F189" s="467"/>
      <c r="G189" s="467"/>
      <c r="H189" s="467"/>
      <c r="I189" s="467"/>
      <c r="J189" s="467"/>
      <c r="K189" s="467"/>
    </row>
    <row r="190" spans="1:11" ht="20.25">
      <c r="A190" s="467"/>
      <c r="B190" s="467"/>
      <c r="C190" s="467"/>
      <c r="D190" s="467"/>
      <c r="E190" s="467"/>
      <c r="F190" s="467"/>
      <c r="G190" s="467"/>
      <c r="H190" s="467"/>
      <c r="I190" s="467"/>
      <c r="J190" s="467"/>
      <c r="K190" s="467"/>
    </row>
    <row r="191" spans="1:11" ht="20.25">
      <c r="A191" s="467"/>
      <c r="B191" s="467"/>
      <c r="C191" s="467"/>
      <c r="D191" s="467"/>
      <c r="E191" s="467"/>
      <c r="F191" s="467"/>
      <c r="G191" s="467"/>
      <c r="H191" s="467"/>
      <c r="I191" s="467"/>
      <c r="J191" s="467"/>
      <c r="K191" s="467"/>
    </row>
    <row r="192" spans="1:11" ht="20.25">
      <c r="A192" s="467"/>
      <c r="B192" s="467"/>
      <c r="C192" s="467"/>
      <c r="D192" s="467"/>
      <c r="E192" s="467"/>
      <c r="F192" s="467"/>
      <c r="G192" s="467"/>
      <c r="H192" s="467"/>
      <c r="I192" s="467"/>
      <c r="J192" s="467"/>
      <c r="K192" s="467"/>
    </row>
    <row r="193" spans="1:11" ht="20.25">
      <c r="A193" s="467"/>
      <c r="B193" s="467"/>
      <c r="C193" s="467"/>
      <c r="D193" s="467"/>
      <c r="E193" s="467"/>
      <c r="F193" s="467"/>
      <c r="G193" s="467"/>
      <c r="H193" s="467"/>
      <c r="I193" s="467"/>
      <c r="J193" s="467"/>
      <c r="K193" s="467"/>
    </row>
    <row r="194" spans="1:11" ht="20.25">
      <c r="A194" s="467"/>
      <c r="B194" s="467"/>
      <c r="C194" s="467"/>
      <c r="D194" s="467"/>
      <c r="E194" s="467"/>
      <c r="F194" s="467"/>
      <c r="G194" s="467"/>
      <c r="H194" s="467"/>
      <c r="I194" s="467"/>
      <c r="J194" s="467"/>
      <c r="K194" s="467"/>
    </row>
    <row r="195" spans="1:11" ht="20.25">
      <c r="A195" s="467"/>
      <c r="B195" s="467"/>
      <c r="C195" s="467"/>
      <c r="D195" s="467"/>
      <c r="E195" s="467"/>
      <c r="F195" s="467"/>
      <c r="G195" s="467"/>
      <c r="H195" s="467"/>
      <c r="I195" s="467"/>
      <c r="J195" s="467"/>
      <c r="K195" s="467"/>
    </row>
    <row r="196" spans="1:11" ht="20.25">
      <c r="A196" s="467"/>
      <c r="B196" s="467"/>
      <c r="C196" s="467"/>
      <c r="D196" s="467"/>
      <c r="E196" s="467"/>
      <c r="F196" s="467"/>
      <c r="G196" s="467"/>
      <c r="H196" s="467"/>
      <c r="I196" s="467"/>
      <c r="J196" s="467"/>
      <c r="K196" s="467"/>
    </row>
    <row r="197" spans="1:11" ht="20.25">
      <c r="A197" s="467"/>
      <c r="B197" s="467"/>
      <c r="C197" s="467"/>
      <c r="D197" s="467"/>
      <c r="E197" s="467"/>
      <c r="F197" s="467"/>
      <c r="G197" s="467"/>
      <c r="H197" s="467"/>
      <c r="I197" s="467"/>
      <c r="J197" s="467"/>
      <c r="K197" s="467"/>
    </row>
    <row r="198" spans="1:11" ht="20.25">
      <c r="A198" s="467"/>
      <c r="B198" s="467"/>
      <c r="C198" s="467"/>
      <c r="D198" s="467"/>
      <c r="E198" s="467"/>
      <c r="F198" s="467"/>
      <c r="G198" s="467"/>
      <c r="H198" s="467"/>
      <c r="I198" s="467"/>
      <c r="J198" s="467"/>
      <c r="K198" s="467"/>
    </row>
    <row r="199" spans="1:11" ht="20.25">
      <c r="A199" s="467"/>
      <c r="B199" s="467"/>
      <c r="C199" s="467"/>
      <c r="D199" s="467"/>
      <c r="E199" s="467"/>
      <c r="F199" s="467"/>
      <c r="G199" s="467"/>
      <c r="H199" s="467"/>
      <c r="I199" s="467"/>
      <c r="J199" s="467"/>
      <c r="K199" s="467"/>
    </row>
    <row r="200" spans="1:11" ht="20.25">
      <c r="A200" s="467"/>
      <c r="B200" s="467"/>
      <c r="C200" s="467"/>
      <c r="D200" s="467"/>
      <c r="E200" s="467"/>
      <c r="F200" s="467"/>
      <c r="G200" s="467"/>
      <c r="H200" s="467"/>
      <c r="I200" s="467"/>
      <c r="J200" s="467"/>
      <c r="K200" s="467"/>
    </row>
    <row r="201" spans="1:11" ht="20.25">
      <c r="A201" s="467"/>
      <c r="B201" s="467"/>
      <c r="C201" s="467"/>
      <c r="D201" s="467"/>
      <c r="E201" s="467"/>
      <c r="F201" s="467"/>
      <c r="G201" s="467"/>
      <c r="H201" s="467"/>
      <c r="I201" s="467"/>
      <c r="J201" s="467"/>
      <c r="K201" s="467"/>
    </row>
    <row r="202" spans="1:11" ht="20.25">
      <c r="A202" s="467"/>
      <c r="B202" s="467"/>
      <c r="C202" s="467"/>
      <c r="D202" s="467"/>
      <c r="E202" s="467"/>
      <c r="F202" s="467"/>
      <c r="G202" s="467"/>
      <c r="H202" s="467"/>
      <c r="I202" s="467"/>
      <c r="J202" s="467"/>
      <c r="K202" s="467"/>
    </row>
    <row r="203" spans="1:11" ht="20.25">
      <c r="A203" s="467"/>
      <c r="B203" s="467"/>
      <c r="C203" s="467"/>
      <c r="D203" s="467"/>
      <c r="E203" s="467"/>
      <c r="F203" s="467"/>
      <c r="G203" s="467"/>
      <c r="H203" s="467"/>
      <c r="I203" s="467"/>
      <c r="J203" s="467"/>
      <c r="K203" s="467"/>
    </row>
    <row r="204" spans="1:11" ht="20.25">
      <c r="A204" s="467"/>
      <c r="B204" s="467"/>
      <c r="C204" s="467"/>
      <c r="D204" s="467"/>
      <c r="E204" s="467"/>
      <c r="F204" s="467"/>
      <c r="G204" s="467"/>
      <c r="H204" s="467"/>
      <c r="I204" s="467"/>
      <c r="J204" s="467"/>
      <c r="K204" s="467"/>
    </row>
    <row r="205" spans="1:11" ht="20.25">
      <c r="A205" s="467"/>
      <c r="B205" s="467"/>
      <c r="C205" s="467"/>
      <c r="D205" s="467"/>
      <c r="E205" s="467"/>
      <c r="F205" s="467"/>
      <c r="G205" s="467"/>
      <c r="H205" s="467"/>
      <c r="I205" s="467"/>
      <c r="J205" s="467"/>
      <c r="K205" s="467"/>
    </row>
    <row r="206" spans="1:11" ht="20.25">
      <c r="A206" s="467"/>
      <c r="B206" s="467"/>
      <c r="C206" s="467"/>
      <c r="D206" s="467"/>
      <c r="E206" s="467"/>
      <c r="F206" s="467"/>
      <c r="G206" s="467"/>
      <c r="H206" s="467"/>
      <c r="I206" s="467"/>
      <c r="J206" s="467"/>
      <c r="K206" s="467"/>
    </row>
    <row r="207" spans="1:11" ht="20.25">
      <c r="A207" s="467"/>
      <c r="B207" s="467"/>
      <c r="C207" s="467"/>
      <c r="D207" s="467"/>
      <c r="E207" s="467"/>
      <c r="F207" s="467"/>
      <c r="G207" s="467"/>
      <c r="H207" s="467"/>
      <c r="I207" s="467"/>
      <c r="J207" s="467"/>
      <c r="K207" s="467"/>
    </row>
    <row r="208" spans="1:11" ht="20.25">
      <c r="A208" s="467"/>
      <c r="B208" s="467"/>
      <c r="C208" s="467"/>
      <c r="D208" s="467"/>
      <c r="E208" s="467"/>
      <c r="F208" s="467"/>
      <c r="G208" s="467"/>
      <c r="H208" s="467"/>
      <c r="I208" s="467"/>
      <c r="J208" s="467"/>
      <c r="K208" s="467"/>
    </row>
    <row r="209" spans="1:11" ht="20.25">
      <c r="A209" s="467"/>
      <c r="B209" s="467"/>
      <c r="C209" s="467"/>
      <c r="D209" s="467"/>
      <c r="E209" s="467"/>
      <c r="F209" s="467"/>
      <c r="G209" s="467"/>
      <c r="H209" s="467"/>
      <c r="I209" s="467"/>
      <c r="J209" s="467"/>
      <c r="K209" s="467"/>
    </row>
    <row r="210" spans="1:11" ht="20.25">
      <c r="A210" s="467"/>
      <c r="B210" s="467"/>
      <c r="C210" s="467"/>
      <c r="D210" s="467"/>
      <c r="E210" s="467"/>
      <c r="F210" s="467"/>
      <c r="G210" s="467"/>
      <c r="H210" s="467"/>
      <c r="I210" s="467"/>
      <c r="J210" s="467"/>
      <c r="K210" s="467"/>
    </row>
    <row r="211" spans="1:11" ht="20.25">
      <c r="A211" s="467"/>
      <c r="B211" s="467"/>
      <c r="C211" s="467"/>
      <c r="D211" s="467"/>
      <c r="E211" s="467"/>
      <c r="F211" s="467"/>
      <c r="G211" s="467"/>
      <c r="H211" s="467"/>
      <c r="I211" s="467"/>
      <c r="J211" s="467"/>
      <c r="K211" s="467"/>
    </row>
    <row r="212" spans="1:11" ht="20.25">
      <c r="A212" s="467"/>
      <c r="B212" s="467"/>
      <c r="C212" s="467"/>
      <c r="D212" s="467"/>
      <c r="E212" s="467"/>
      <c r="F212" s="467"/>
      <c r="G212" s="467"/>
      <c r="H212" s="467"/>
      <c r="I212" s="467"/>
      <c r="J212" s="467"/>
      <c r="K212" s="467"/>
    </row>
    <row r="213" spans="1:11" ht="20.25">
      <c r="A213" s="467"/>
      <c r="B213" s="467"/>
      <c r="C213" s="467"/>
      <c r="D213" s="467"/>
      <c r="E213" s="467"/>
      <c r="F213" s="467"/>
      <c r="G213" s="467"/>
      <c r="H213" s="467"/>
      <c r="I213" s="467"/>
      <c r="J213" s="467"/>
      <c r="K213" s="467"/>
    </row>
    <row r="214" spans="1:11" ht="20.25">
      <c r="A214" s="467"/>
      <c r="B214" s="467"/>
      <c r="C214" s="467"/>
      <c r="D214" s="467"/>
      <c r="E214" s="467"/>
      <c r="F214" s="467"/>
      <c r="G214" s="467"/>
      <c r="H214" s="467"/>
      <c r="I214" s="467"/>
      <c r="J214" s="467"/>
      <c r="K214" s="467"/>
    </row>
    <row r="215" spans="1:11" ht="20.25">
      <c r="A215" s="467"/>
      <c r="B215" s="467"/>
      <c r="C215" s="467"/>
      <c r="D215" s="467"/>
      <c r="E215" s="467"/>
      <c r="F215" s="467"/>
      <c r="G215" s="467"/>
      <c r="H215" s="467"/>
      <c r="I215" s="467"/>
      <c r="J215" s="467"/>
      <c r="K215" s="467"/>
    </row>
    <row r="216" spans="1:11" ht="20.25">
      <c r="A216" s="467"/>
      <c r="B216" s="467"/>
      <c r="C216" s="467"/>
      <c r="D216" s="467"/>
      <c r="E216" s="467"/>
      <c r="F216" s="467"/>
      <c r="G216" s="467"/>
      <c r="H216" s="467"/>
      <c r="I216" s="467"/>
      <c r="J216" s="467"/>
      <c r="K216" s="467"/>
    </row>
    <row r="217" spans="1:11" ht="20.25">
      <c r="A217" s="467"/>
      <c r="B217" s="467"/>
      <c r="C217" s="467"/>
      <c r="D217" s="467"/>
      <c r="E217" s="467"/>
      <c r="F217" s="467"/>
      <c r="G217" s="467"/>
      <c r="H217" s="467"/>
      <c r="I217" s="467"/>
      <c r="J217" s="467"/>
      <c r="K217" s="467"/>
    </row>
    <row r="218" spans="1:11" ht="20.25">
      <c r="A218" s="467"/>
      <c r="B218" s="467"/>
      <c r="C218" s="467"/>
      <c r="D218" s="467"/>
      <c r="E218" s="467"/>
      <c r="F218" s="467"/>
      <c r="G218" s="467"/>
      <c r="H218" s="467"/>
      <c r="I218" s="467"/>
      <c r="J218" s="467"/>
      <c r="K218" s="467"/>
    </row>
    <row r="219" spans="1:11" ht="20.25">
      <c r="A219" s="467"/>
      <c r="B219" s="467"/>
      <c r="C219" s="467"/>
      <c r="D219" s="467"/>
      <c r="E219" s="467"/>
      <c r="F219" s="467"/>
      <c r="G219" s="467"/>
      <c r="H219" s="467"/>
      <c r="I219" s="467"/>
      <c r="J219" s="467"/>
      <c r="K219" s="467"/>
    </row>
    <row r="220" spans="1:11" ht="20.25">
      <c r="A220" s="467"/>
      <c r="B220" s="467"/>
      <c r="C220" s="467"/>
      <c r="D220" s="467"/>
      <c r="E220" s="467"/>
      <c r="F220" s="467"/>
      <c r="G220" s="467"/>
      <c r="H220" s="467"/>
      <c r="I220" s="467"/>
      <c r="J220" s="467"/>
      <c r="K220" s="467"/>
    </row>
    <row r="221" spans="1:11" ht="20.25">
      <c r="A221" s="467"/>
      <c r="B221" s="467"/>
      <c r="C221" s="467"/>
      <c r="D221" s="467"/>
      <c r="E221" s="467"/>
      <c r="F221" s="467"/>
      <c r="G221" s="467"/>
      <c r="H221" s="467"/>
      <c r="I221" s="467"/>
      <c r="J221" s="467"/>
      <c r="K221" s="467"/>
    </row>
    <row r="222" spans="1:11" ht="20.25">
      <c r="A222" s="467"/>
      <c r="B222" s="467"/>
      <c r="C222" s="467"/>
      <c r="D222" s="467"/>
      <c r="E222" s="467"/>
      <c r="F222" s="467"/>
      <c r="G222" s="467"/>
      <c r="H222" s="467"/>
      <c r="I222" s="467"/>
      <c r="J222" s="467"/>
      <c r="K222" s="467"/>
    </row>
    <row r="223" spans="1:11" ht="20.25">
      <c r="A223" s="467"/>
      <c r="B223" s="467"/>
      <c r="C223" s="467"/>
      <c r="D223" s="467"/>
      <c r="E223" s="467"/>
      <c r="F223" s="467"/>
      <c r="G223" s="467"/>
      <c r="H223" s="467"/>
      <c r="I223" s="467"/>
      <c r="J223" s="467"/>
      <c r="K223" s="467"/>
    </row>
    <row r="224" spans="1:11" ht="20.25">
      <c r="A224" s="467"/>
      <c r="B224" s="467"/>
      <c r="C224" s="467"/>
      <c r="D224" s="467"/>
      <c r="E224" s="467"/>
      <c r="F224" s="467"/>
      <c r="G224" s="467"/>
      <c r="H224" s="467"/>
      <c r="I224" s="467"/>
      <c r="J224" s="467"/>
      <c r="K224" s="467"/>
    </row>
    <row r="225" spans="1:11" ht="20.25">
      <c r="A225" s="467"/>
      <c r="B225" s="467"/>
      <c r="C225" s="467"/>
      <c r="D225" s="467"/>
      <c r="E225" s="467"/>
      <c r="F225" s="467"/>
      <c r="G225" s="467"/>
      <c r="H225" s="467"/>
      <c r="I225" s="467"/>
      <c r="J225" s="467"/>
      <c r="K225" s="467"/>
    </row>
    <row r="226" spans="1:11" ht="20.25">
      <c r="A226" s="467"/>
      <c r="B226" s="467"/>
      <c r="C226" s="467"/>
      <c r="D226" s="467"/>
      <c r="E226" s="467"/>
      <c r="F226" s="467"/>
      <c r="G226" s="467"/>
      <c r="H226" s="467"/>
      <c r="I226" s="467"/>
      <c r="J226" s="467"/>
      <c r="K226" s="467"/>
    </row>
    <row r="227" spans="1:11" ht="20.25">
      <c r="A227" s="467"/>
      <c r="B227" s="467"/>
      <c r="C227" s="467"/>
      <c r="D227" s="467"/>
      <c r="E227" s="467"/>
      <c r="F227" s="467"/>
      <c r="G227" s="467"/>
      <c r="H227" s="467"/>
      <c r="I227" s="467"/>
      <c r="J227" s="467"/>
      <c r="K227" s="467"/>
    </row>
    <row r="228" spans="1:11" ht="20.25">
      <c r="A228" s="467"/>
      <c r="B228" s="467"/>
      <c r="C228" s="467"/>
      <c r="D228" s="467"/>
      <c r="E228" s="467"/>
      <c r="F228" s="467"/>
      <c r="G228" s="467"/>
      <c r="H228" s="467"/>
      <c r="I228" s="467"/>
      <c r="J228" s="467"/>
      <c r="K228" s="467"/>
    </row>
    <row r="229" spans="1:11" ht="20.25">
      <c r="A229" s="467"/>
      <c r="B229" s="467"/>
      <c r="C229" s="467"/>
      <c r="D229" s="467"/>
      <c r="E229" s="467"/>
      <c r="F229" s="467"/>
      <c r="G229" s="467"/>
      <c r="H229" s="467"/>
      <c r="I229" s="467"/>
      <c r="J229" s="467"/>
      <c r="K229" s="467"/>
    </row>
    <row r="230" spans="1:11" ht="20.25">
      <c r="A230" s="467"/>
      <c r="B230" s="467"/>
      <c r="C230" s="467"/>
      <c r="D230" s="467"/>
      <c r="E230" s="467"/>
      <c r="F230" s="467"/>
      <c r="G230" s="467"/>
      <c r="H230" s="467"/>
      <c r="I230" s="467"/>
      <c r="J230" s="467"/>
      <c r="K230" s="467"/>
    </row>
    <row r="231" spans="1:11" ht="20.25">
      <c r="A231" s="467"/>
      <c r="B231" s="467"/>
      <c r="C231" s="467"/>
      <c r="D231" s="467"/>
      <c r="E231" s="467"/>
      <c r="F231" s="467"/>
      <c r="G231" s="467"/>
      <c r="H231" s="467"/>
      <c r="I231" s="467"/>
      <c r="J231" s="467"/>
      <c r="K231" s="467"/>
    </row>
    <row r="232" spans="1:11" ht="20.25">
      <c r="A232" s="467"/>
      <c r="B232" s="467"/>
      <c r="C232" s="467"/>
      <c r="D232" s="467"/>
      <c r="E232" s="467"/>
      <c r="F232" s="467"/>
      <c r="G232" s="467"/>
      <c r="H232" s="467"/>
      <c r="I232" s="467"/>
      <c r="J232" s="467"/>
      <c r="K232" s="467"/>
    </row>
    <row r="233" spans="1:11" ht="20.25">
      <c r="A233" s="467"/>
      <c r="B233" s="467"/>
      <c r="C233" s="467"/>
      <c r="D233" s="467"/>
      <c r="E233" s="467"/>
      <c r="F233" s="467"/>
      <c r="G233" s="467"/>
      <c r="H233" s="467"/>
      <c r="I233" s="467"/>
      <c r="J233" s="467"/>
      <c r="K233" s="467"/>
    </row>
    <row r="234" spans="1:11" ht="20.25">
      <c r="A234" s="467"/>
      <c r="B234" s="467"/>
      <c r="C234" s="467"/>
      <c r="D234" s="467"/>
      <c r="E234" s="467"/>
      <c r="F234" s="467"/>
      <c r="G234" s="467"/>
      <c r="H234" s="467"/>
      <c r="I234" s="467"/>
      <c r="J234" s="467"/>
      <c r="K234" s="467"/>
    </row>
    <row r="235" spans="1:11" ht="20.25">
      <c r="A235" s="467"/>
      <c r="B235" s="467"/>
      <c r="C235" s="467"/>
      <c r="D235" s="467"/>
      <c r="E235" s="467"/>
      <c r="F235" s="467"/>
      <c r="G235" s="467"/>
      <c r="H235" s="467"/>
      <c r="I235" s="467"/>
      <c r="J235" s="467"/>
      <c r="K235" s="467"/>
    </row>
    <row r="236" spans="1:11" ht="20.25">
      <c r="A236" s="467"/>
      <c r="B236" s="467"/>
      <c r="C236" s="467"/>
      <c r="D236" s="467"/>
      <c r="E236" s="467"/>
      <c r="F236" s="467"/>
      <c r="G236" s="467"/>
      <c r="H236" s="467"/>
      <c r="I236" s="467"/>
      <c r="J236" s="467"/>
      <c r="K236" s="467"/>
    </row>
    <row r="237" spans="1:11" ht="20.25">
      <c r="A237" s="467"/>
      <c r="B237" s="467"/>
      <c r="C237" s="467"/>
      <c r="D237" s="467"/>
      <c r="E237" s="467"/>
      <c r="F237" s="467"/>
      <c r="G237" s="467"/>
      <c r="H237" s="467"/>
      <c r="I237" s="467"/>
      <c r="J237" s="467"/>
      <c r="K237" s="467"/>
    </row>
    <row r="238" spans="1:11" ht="20.25">
      <c r="A238" s="467"/>
      <c r="B238" s="467"/>
      <c r="C238" s="467"/>
      <c r="D238" s="467"/>
      <c r="E238" s="467"/>
      <c r="F238" s="467"/>
      <c r="G238" s="467"/>
      <c r="H238" s="467"/>
      <c r="I238" s="467"/>
      <c r="J238" s="467"/>
      <c r="K238" s="467"/>
    </row>
    <row r="239" spans="1:11" ht="20.25">
      <c r="A239" s="467"/>
      <c r="B239" s="467"/>
      <c r="C239" s="467"/>
      <c r="D239" s="467"/>
      <c r="E239" s="467"/>
      <c r="F239" s="467"/>
      <c r="G239" s="467"/>
      <c r="H239" s="467"/>
      <c r="I239" s="467"/>
      <c r="J239" s="467"/>
      <c r="K239" s="467"/>
    </row>
    <row r="240" spans="1:11" ht="20.25">
      <c r="A240" s="467"/>
      <c r="B240" s="467"/>
      <c r="C240" s="467"/>
      <c r="D240" s="467"/>
      <c r="E240" s="467"/>
      <c r="F240" s="467"/>
      <c r="G240" s="467"/>
      <c r="H240" s="467"/>
      <c r="I240" s="467"/>
      <c r="J240" s="467"/>
      <c r="K240" s="467"/>
    </row>
    <row r="241" spans="1:11" ht="20.25">
      <c r="A241" s="467"/>
      <c r="B241" s="467"/>
      <c r="C241" s="467"/>
      <c r="D241" s="467"/>
      <c r="E241" s="467"/>
      <c r="F241" s="467"/>
      <c r="G241" s="467"/>
      <c r="H241" s="467"/>
      <c r="I241" s="467"/>
      <c r="J241" s="467"/>
      <c r="K241" s="467"/>
    </row>
    <row r="242" spans="1:11" ht="20.25">
      <c r="A242" s="467"/>
      <c r="B242" s="467"/>
      <c r="C242" s="467"/>
      <c r="D242" s="467"/>
      <c r="E242" s="467"/>
      <c r="F242" s="467"/>
      <c r="G242" s="467"/>
      <c r="H242" s="467"/>
      <c r="I242" s="467"/>
      <c r="J242" s="467"/>
      <c r="K242" s="467"/>
    </row>
    <row r="243" spans="1:11" ht="20.25">
      <c r="A243" s="467"/>
      <c r="B243" s="467"/>
      <c r="C243" s="467"/>
      <c r="D243" s="467"/>
      <c r="E243" s="467"/>
      <c r="F243" s="467"/>
      <c r="G243" s="467"/>
      <c r="H243" s="467"/>
      <c r="I243" s="467"/>
      <c r="J243" s="467"/>
      <c r="K243" s="467"/>
    </row>
    <row r="244" spans="1:11" ht="20.25">
      <c r="A244" s="467"/>
      <c r="B244" s="467"/>
      <c r="C244" s="467"/>
      <c r="D244" s="467"/>
      <c r="E244" s="467"/>
      <c r="F244" s="467"/>
      <c r="G244" s="467"/>
      <c r="H244" s="467"/>
      <c r="I244" s="467"/>
      <c r="J244" s="467"/>
      <c r="K244" s="467"/>
    </row>
    <row r="245" spans="1:11" ht="20.25">
      <c r="A245" s="467"/>
      <c r="B245" s="467"/>
      <c r="C245" s="467"/>
      <c r="D245" s="467"/>
      <c r="E245" s="467"/>
      <c r="F245" s="467"/>
      <c r="G245" s="467"/>
      <c r="H245" s="467"/>
      <c r="I245" s="467"/>
      <c r="J245" s="467"/>
      <c r="K245" s="467"/>
    </row>
    <row r="246" spans="1:11" ht="20.25">
      <c r="A246" s="467"/>
      <c r="B246" s="467"/>
      <c r="C246" s="467"/>
      <c r="D246" s="467"/>
      <c r="E246" s="467"/>
      <c r="F246" s="467"/>
      <c r="G246" s="467"/>
      <c r="H246" s="467"/>
      <c r="I246" s="467"/>
      <c r="J246" s="467"/>
      <c r="K246" s="467"/>
    </row>
    <row r="247" spans="1:11" ht="20.25">
      <c r="A247" s="467"/>
      <c r="B247" s="467"/>
      <c r="C247" s="467"/>
      <c r="D247" s="467"/>
      <c r="E247" s="467"/>
      <c r="F247" s="467"/>
      <c r="G247" s="467"/>
      <c r="H247" s="467"/>
      <c r="I247" s="467"/>
      <c r="J247" s="467"/>
      <c r="K247" s="467"/>
    </row>
    <row r="248" spans="1:11" ht="20.25">
      <c r="A248" s="467"/>
      <c r="B248" s="467"/>
      <c r="C248" s="467"/>
      <c r="D248" s="467"/>
      <c r="E248" s="467"/>
      <c r="F248" s="467"/>
      <c r="G248" s="467"/>
      <c r="H248" s="467"/>
      <c r="I248" s="467"/>
      <c r="J248" s="467"/>
      <c r="K248" s="467"/>
    </row>
    <row r="249" spans="1:11" ht="20.25">
      <c r="A249" s="467"/>
      <c r="B249" s="467"/>
      <c r="C249" s="467"/>
      <c r="D249" s="467"/>
      <c r="E249" s="467"/>
      <c r="F249" s="467"/>
      <c r="G249" s="467"/>
      <c r="H249" s="467"/>
      <c r="I249" s="467"/>
      <c r="J249" s="467"/>
      <c r="K249" s="467"/>
    </row>
    <row r="250" spans="1:11" ht="20.25">
      <c r="A250" s="467"/>
      <c r="B250" s="467"/>
      <c r="C250" s="467"/>
      <c r="D250" s="467"/>
      <c r="E250" s="467"/>
      <c r="F250" s="467"/>
      <c r="G250" s="467"/>
      <c r="H250" s="467"/>
      <c r="I250" s="467"/>
      <c r="J250" s="467"/>
      <c r="K250" s="467"/>
    </row>
    <row r="251" spans="1:11" ht="20.25">
      <c r="A251" s="467"/>
      <c r="B251" s="467"/>
      <c r="C251" s="467"/>
      <c r="D251" s="467"/>
      <c r="E251" s="467"/>
      <c r="F251" s="467"/>
      <c r="G251" s="467"/>
      <c r="H251" s="467"/>
      <c r="I251" s="467"/>
      <c r="J251" s="467"/>
      <c r="K251" s="467"/>
    </row>
    <row r="252" spans="1:11" ht="20.25">
      <c r="A252" s="467"/>
      <c r="B252" s="467"/>
      <c r="C252" s="467"/>
      <c r="D252" s="467"/>
      <c r="E252" s="467"/>
      <c r="F252" s="467"/>
      <c r="G252" s="467"/>
      <c r="H252" s="467"/>
      <c r="I252" s="467"/>
      <c r="J252" s="467"/>
      <c r="K252" s="467"/>
    </row>
    <row r="253" spans="1:11" ht="20.25">
      <c r="A253" s="467"/>
      <c r="B253" s="467"/>
      <c r="C253" s="467"/>
      <c r="D253" s="467"/>
      <c r="E253" s="467"/>
      <c r="F253" s="467"/>
      <c r="G253" s="467"/>
      <c r="H253" s="467"/>
      <c r="I253" s="467"/>
      <c r="J253" s="467"/>
      <c r="K253" s="467"/>
    </row>
    <row r="254" spans="1:11" ht="20.25">
      <c r="A254" s="467"/>
      <c r="B254" s="467"/>
      <c r="C254" s="467"/>
      <c r="D254" s="467"/>
      <c r="E254" s="467"/>
      <c r="F254" s="467"/>
      <c r="G254" s="467"/>
      <c r="H254" s="467"/>
      <c r="I254" s="467"/>
      <c r="J254" s="467"/>
      <c r="K254" s="467"/>
    </row>
    <row r="255" spans="1:11" ht="20.25">
      <c r="A255" s="467"/>
      <c r="B255" s="467"/>
      <c r="C255" s="467"/>
      <c r="D255" s="467"/>
      <c r="E255" s="467"/>
      <c r="F255" s="467"/>
      <c r="G255" s="467"/>
      <c r="H255" s="467"/>
      <c r="I255" s="467"/>
      <c r="J255" s="467"/>
      <c r="K255" s="467"/>
    </row>
    <row r="256" spans="1:11" ht="20.25">
      <c r="A256" s="467"/>
      <c r="B256" s="467"/>
      <c r="C256" s="467"/>
      <c r="D256" s="467"/>
      <c r="E256" s="467"/>
      <c r="F256" s="467"/>
      <c r="G256" s="467"/>
      <c r="H256" s="467"/>
      <c r="I256" s="467"/>
      <c r="J256" s="467"/>
      <c r="K256" s="467"/>
    </row>
    <row r="257" spans="1:11" ht="20.25">
      <c r="A257" s="467"/>
      <c r="B257" s="467"/>
      <c r="C257" s="467"/>
      <c r="D257" s="467"/>
      <c r="E257" s="467"/>
      <c r="F257" s="467"/>
      <c r="G257" s="467"/>
      <c r="H257" s="467"/>
      <c r="I257" s="467"/>
      <c r="J257" s="467"/>
      <c r="K257" s="467"/>
    </row>
    <row r="258" spans="1:11" ht="20.25">
      <c r="A258" s="467"/>
      <c r="B258" s="467"/>
      <c r="C258" s="467"/>
      <c r="D258" s="467"/>
      <c r="E258" s="467"/>
      <c r="F258" s="467"/>
      <c r="G258" s="467"/>
      <c r="H258" s="467"/>
      <c r="I258" s="467"/>
      <c r="J258" s="467"/>
      <c r="K258" s="467"/>
    </row>
    <row r="259" spans="1:11" ht="20.25">
      <c r="A259" s="467"/>
      <c r="B259" s="467"/>
      <c r="C259" s="467"/>
      <c r="D259" s="467"/>
      <c r="E259" s="467"/>
      <c r="F259" s="467"/>
      <c r="G259" s="467"/>
      <c r="H259" s="467"/>
      <c r="I259" s="467"/>
      <c r="J259" s="467"/>
      <c r="K259" s="467"/>
    </row>
    <row r="260" spans="1:11" ht="20.25">
      <c r="A260" s="467"/>
      <c r="B260" s="467"/>
      <c r="C260" s="467"/>
      <c r="D260" s="467"/>
      <c r="E260" s="467"/>
      <c r="F260" s="467"/>
      <c r="G260" s="467"/>
      <c r="H260" s="467"/>
      <c r="I260" s="467"/>
      <c r="J260" s="467"/>
      <c r="K260" s="467"/>
    </row>
    <row r="261" spans="1:11" ht="20.25">
      <c r="A261" s="467"/>
      <c r="B261" s="467"/>
      <c r="C261" s="467"/>
      <c r="D261" s="467"/>
      <c r="E261" s="467"/>
      <c r="F261" s="467"/>
      <c r="G261" s="467"/>
      <c r="H261" s="467"/>
      <c r="I261" s="467"/>
      <c r="J261" s="467"/>
      <c r="K261" s="467"/>
    </row>
    <row r="262" spans="1:11" ht="20.25">
      <c r="A262" s="467"/>
      <c r="B262" s="467"/>
      <c r="C262" s="467"/>
      <c r="D262" s="467"/>
      <c r="E262" s="467"/>
      <c r="F262" s="467"/>
      <c r="G262" s="467"/>
      <c r="H262" s="467"/>
      <c r="I262" s="467"/>
      <c r="J262" s="467"/>
      <c r="K262" s="467"/>
    </row>
    <row r="263" spans="1:11" ht="20.25">
      <c r="A263" s="467"/>
      <c r="B263" s="467"/>
      <c r="C263" s="467"/>
      <c r="D263" s="467"/>
      <c r="E263" s="467"/>
      <c r="F263" s="467"/>
      <c r="G263" s="467"/>
      <c r="H263" s="467"/>
      <c r="I263" s="467"/>
      <c r="J263" s="467"/>
      <c r="K263" s="467"/>
    </row>
    <row r="264" spans="1:11" ht="20.25">
      <c r="A264" s="467"/>
      <c r="B264" s="467"/>
      <c r="C264" s="467"/>
      <c r="D264" s="467"/>
      <c r="E264" s="467"/>
      <c r="F264" s="467"/>
      <c r="G264" s="467"/>
      <c r="H264" s="467"/>
      <c r="I264" s="467"/>
      <c r="J264" s="467"/>
      <c r="K264" s="467"/>
    </row>
    <row r="265" spans="1:11" ht="20.25">
      <c r="A265" s="467"/>
      <c r="B265" s="467"/>
      <c r="C265" s="467"/>
      <c r="D265" s="467"/>
      <c r="E265" s="467"/>
      <c r="F265" s="467"/>
      <c r="G265" s="467"/>
      <c r="H265" s="467"/>
      <c r="I265" s="467"/>
      <c r="J265" s="467"/>
      <c r="K265" s="467"/>
    </row>
    <row r="266" spans="1:11" ht="20.25">
      <c r="A266" s="467"/>
      <c r="B266" s="467"/>
      <c r="C266" s="467"/>
      <c r="D266" s="467"/>
      <c r="E266" s="467"/>
      <c r="F266" s="467"/>
      <c r="G266" s="467"/>
      <c r="H266" s="467"/>
      <c r="I266" s="467"/>
      <c r="J266" s="467"/>
      <c r="K266" s="467"/>
    </row>
    <row r="267" spans="1:11" ht="20.25">
      <c r="A267" s="467"/>
      <c r="B267" s="467"/>
      <c r="C267" s="467"/>
      <c r="D267" s="467"/>
      <c r="E267" s="467"/>
      <c r="F267" s="467"/>
      <c r="G267" s="467"/>
      <c r="H267" s="467"/>
      <c r="I267" s="467"/>
      <c r="J267" s="467"/>
      <c r="K267" s="467"/>
    </row>
    <row r="268" spans="1:11" ht="20.25">
      <c r="A268" s="467"/>
      <c r="B268" s="467"/>
      <c r="C268" s="467"/>
      <c r="D268" s="467"/>
      <c r="E268" s="467"/>
      <c r="F268" s="467"/>
      <c r="G268" s="467"/>
      <c r="H268" s="467"/>
      <c r="I268" s="467"/>
      <c r="J268" s="467"/>
      <c r="K268" s="467"/>
    </row>
    <row r="269" spans="1:11" ht="20.25">
      <c r="A269" s="467"/>
      <c r="B269" s="467"/>
      <c r="C269" s="467"/>
      <c r="D269" s="467"/>
      <c r="E269" s="467"/>
      <c r="F269" s="467"/>
      <c r="G269" s="467"/>
      <c r="H269" s="467"/>
      <c r="I269" s="467"/>
      <c r="J269" s="467"/>
      <c r="K269" s="467"/>
    </row>
    <row r="270" spans="1:11" ht="20.25">
      <c r="A270" s="467"/>
      <c r="B270" s="467"/>
      <c r="C270" s="467"/>
      <c r="D270" s="467"/>
      <c r="E270" s="467"/>
      <c r="F270" s="467"/>
      <c r="G270" s="467"/>
      <c r="H270" s="467"/>
      <c r="I270" s="467"/>
      <c r="J270" s="467"/>
      <c r="K270" s="467"/>
    </row>
    <row r="271" spans="1:11" ht="20.25">
      <c r="A271" s="467"/>
      <c r="B271" s="467"/>
      <c r="C271" s="467"/>
      <c r="D271" s="467"/>
      <c r="E271" s="467"/>
      <c r="F271" s="467"/>
      <c r="G271" s="467"/>
      <c r="H271" s="467"/>
      <c r="I271" s="467"/>
      <c r="J271" s="467"/>
      <c r="K271" s="467"/>
    </row>
    <row r="272" spans="1:11" ht="20.25">
      <c r="A272" s="467"/>
      <c r="B272" s="467"/>
      <c r="C272" s="467"/>
      <c r="D272" s="467"/>
      <c r="E272" s="467"/>
      <c r="F272" s="467"/>
      <c r="G272" s="467"/>
      <c r="H272" s="467"/>
      <c r="I272" s="467"/>
      <c r="J272" s="467"/>
      <c r="K272" s="467"/>
    </row>
    <row r="273" spans="1:11" ht="20.25">
      <c r="A273" s="467"/>
      <c r="B273" s="467"/>
      <c r="C273" s="467"/>
      <c r="D273" s="467"/>
      <c r="E273" s="467"/>
      <c r="F273" s="467"/>
      <c r="G273" s="467"/>
      <c r="H273" s="467"/>
      <c r="I273" s="467"/>
      <c r="J273" s="467"/>
      <c r="K273" s="467"/>
    </row>
    <row r="274" spans="1:11" ht="20.25">
      <c r="A274" s="467"/>
      <c r="B274" s="467"/>
      <c r="C274" s="467"/>
      <c r="D274" s="467"/>
      <c r="E274" s="467"/>
      <c r="F274" s="467"/>
      <c r="G274" s="467"/>
      <c r="H274" s="467"/>
      <c r="I274" s="467"/>
      <c r="J274" s="467"/>
      <c r="K274" s="467"/>
    </row>
    <row r="275" spans="1:11" ht="20.25">
      <c r="A275" s="467"/>
      <c r="B275" s="467"/>
      <c r="C275" s="467"/>
      <c r="D275" s="467"/>
      <c r="E275" s="467"/>
      <c r="F275" s="467"/>
      <c r="G275" s="467"/>
      <c r="H275" s="467"/>
      <c r="I275" s="467"/>
      <c r="J275" s="467"/>
      <c r="K275" s="467"/>
    </row>
    <row r="276" spans="1:11" ht="20.25">
      <c r="A276" s="467"/>
      <c r="B276" s="467"/>
      <c r="C276" s="467"/>
      <c r="D276" s="467"/>
      <c r="E276" s="467"/>
      <c r="F276" s="467"/>
      <c r="G276" s="467"/>
      <c r="H276" s="467"/>
      <c r="I276" s="467"/>
      <c r="J276" s="467"/>
      <c r="K276" s="467"/>
    </row>
    <row r="277" spans="1:11" ht="20.25">
      <c r="A277" s="467"/>
      <c r="B277" s="467"/>
      <c r="C277" s="467"/>
      <c r="D277" s="467"/>
      <c r="E277" s="467"/>
      <c r="F277" s="467"/>
      <c r="G277" s="467"/>
      <c r="H277" s="467"/>
      <c r="I277" s="467"/>
      <c r="J277" s="467"/>
      <c r="K277" s="467"/>
    </row>
    <row r="278" spans="1:11" ht="20.25">
      <c r="A278" s="467"/>
      <c r="B278" s="467"/>
      <c r="C278" s="467"/>
      <c r="D278" s="467"/>
      <c r="E278" s="467"/>
      <c r="F278" s="467"/>
      <c r="G278" s="467"/>
      <c r="H278" s="467"/>
      <c r="I278" s="467"/>
      <c r="J278" s="467"/>
      <c r="K278" s="467"/>
    </row>
    <row r="279" spans="1:11" ht="20.25">
      <c r="A279" s="467"/>
      <c r="B279" s="467"/>
      <c r="C279" s="467"/>
      <c r="D279" s="467"/>
      <c r="E279" s="467"/>
      <c r="F279" s="467"/>
      <c r="G279" s="467"/>
      <c r="H279" s="467"/>
      <c r="I279" s="467"/>
      <c r="J279" s="467"/>
      <c r="K279" s="467"/>
    </row>
    <row r="280" spans="1:11" ht="20.25">
      <c r="A280" s="467"/>
      <c r="B280" s="467"/>
      <c r="C280" s="467"/>
      <c r="D280" s="467"/>
      <c r="E280" s="467"/>
      <c r="F280" s="467"/>
      <c r="G280" s="467"/>
      <c r="H280" s="467"/>
      <c r="I280" s="467"/>
      <c r="J280" s="467"/>
      <c r="K280" s="467"/>
    </row>
    <row r="281" spans="1:11" ht="20.25">
      <c r="A281" s="467"/>
      <c r="B281" s="467"/>
      <c r="C281" s="467"/>
      <c r="D281" s="467"/>
      <c r="E281" s="467"/>
      <c r="F281" s="467"/>
      <c r="G281" s="467"/>
      <c r="H281" s="467"/>
      <c r="I281" s="467"/>
      <c r="J281" s="467"/>
      <c r="K281" s="467"/>
    </row>
    <row r="282" spans="1:11" ht="20.25">
      <c r="A282" s="467"/>
      <c r="B282" s="467"/>
      <c r="C282" s="467"/>
      <c r="D282" s="467"/>
      <c r="E282" s="467"/>
      <c r="F282" s="467"/>
      <c r="G282" s="467"/>
      <c r="H282" s="467"/>
      <c r="I282" s="467"/>
      <c r="J282" s="467"/>
      <c r="K282" s="467"/>
    </row>
    <row r="283" spans="1:11" ht="20.25">
      <c r="A283" s="467"/>
      <c r="B283" s="467"/>
      <c r="C283" s="467"/>
      <c r="D283" s="467"/>
      <c r="E283" s="467"/>
      <c r="F283" s="467"/>
      <c r="G283" s="467"/>
      <c r="H283" s="467"/>
      <c r="I283" s="467"/>
      <c r="J283" s="467"/>
      <c r="K283" s="467"/>
    </row>
    <row r="284" spans="1:11" ht="20.25">
      <c r="A284" s="467"/>
      <c r="B284" s="467"/>
      <c r="C284" s="467"/>
      <c r="D284" s="467"/>
      <c r="E284" s="467"/>
      <c r="F284" s="467"/>
      <c r="G284" s="467"/>
      <c r="H284" s="467"/>
      <c r="I284" s="467"/>
      <c r="J284" s="467"/>
      <c r="K284" s="467"/>
    </row>
    <row r="285" spans="1:11" ht="20.25">
      <c r="A285" s="467"/>
      <c r="B285" s="467"/>
      <c r="C285" s="467"/>
      <c r="D285" s="467"/>
      <c r="E285" s="467"/>
      <c r="F285" s="467"/>
      <c r="G285" s="467"/>
      <c r="H285" s="467"/>
      <c r="I285" s="467"/>
      <c r="J285" s="467"/>
      <c r="K285" s="467"/>
    </row>
    <row r="286" spans="1:11" ht="20.25">
      <c r="A286" s="467"/>
      <c r="B286" s="467"/>
      <c r="C286" s="467"/>
      <c r="D286" s="467"/>
      <c r="E286" s="467"/>
      <c r="F286" s="467"/>
      <c r="G286" s="467"/>
      <c r="H286" s="467"/>
      <c r="I286" s="467"/>
      <c r="J286" s="467"/>
      <c r="K286" s="467"/>
    </row>
    <row r="287" spans="1:11" ht="20.25">
      <c r="A287" s="467"/>
      <c r="B287" s="467"/>
      <c r="C287" s="467"/>
      <c r="D287" s="467"/>
      <c r="E287" s="467"/>
      <c r="F287" s="467"/>
      <c r="G287" s="467"/>
      <c r="H287" s="467"/>
      <c r="I287" s="467"/>
      <c r="J287" s="467"/>
      <c r="K287" s="467"/>
    </row>
    <row r="288" spans="1:11" ht="20.25">
      <c r="A288" s="467"/>
      <c r="B288" s="467"/>
      <c r="C288" s="467"/>
      <c r="D288" s="467"/>
      <c r="E288" s="467"/>
      <c r="F288" s="467"/>
      <c r="G288" s="467"/>
      <c r="H288" s="467"/>
      <c r="I288" s="467"/>
      <c r="J288" s="467"/>
      <c r="K288" s="467"/>
    </row>
    <row r="289" spans="1:11" ht="20.25">
      <c r="A289" s="467"/>
      <c r="B289" s="467"/>
      <c r="C289" s="467"/>
      <c r="D289" s="467"/>
      <c r="E289" s="467"/>
      <c r="F289" s="467"/>
      <c r="G289" s="467"/>
      <c r="H289" s="467"/>
      <c r="I289" s="467"/>
      <c r="J289" s="467"/>
      <c r="K289" s="467"/>
    </row>
    <row r="290" spans="1:11" ht="20.25">
      <c r="A290" s="467"/>
      <c r="B290" s="467"/>
      <c r="C290" s="467"/>
      <c r="D290" s="467"/>
      <c r="E290" s="467"/>
      <c r="F290" s="467"/>
      <c r="G290" s="467"/>
      <c r="H290" s="467"/>
      <c r="I290" s="467"/>
      <c r="J290" s="467"/>
      <c r="K290" s="467"/>
    </row>
    <row r="291" spans="1:11" ht="20.25">
      <c r="A291" s="467"/>
      <c r="B291" s="467"/>
      <c r="C291" s="467"/>
      <c r="D291" s="467"/>
      <c r="E291" s="467"/>
      <c r="F291" s="467"/>
      <c r="G291" s="467"/>
      <c r="H291" s="467"/>
      <c r="I291" s="467"/>
      <c r="J291" s="467"/>
      <c r="K291" s="467"/>
    </row>
    <row r="292" spans="1:11" ht="20.25">
      <c r="A292" s="467"/>
      <c r="B292" s="467"/>
      <c r="C292" s="467"/>
      <c r="D292" s="467"/>
      <c r="E292" s="467"/>
      <c r="F292" s="467"/>
      <c r="G292" s="467"/>
      <c r="H292" s="467"/>
      <c r="I292" s="467"/>
      <c r="J292" s="467"/>
      <c r="K292" s="467"/>
    </row>
    <row r="293" spans="1:11" ht="20.25">
      <c r="A293" s="467"/>
      <c r="B293" s="467"/>
      <c r="C293" s="467"/>
      <c r="D293" s="467"/>
      <c r="E293" s="467"/>
      <c r="F293" s="467"/>
      <c r="G293" s="467"/>
      <c r="H293" s="467"/>
      <c r="I293" s="467"/>
      <c r="J293" s="467"/>
      <c r="K293" s="467"/>
    </row>
    <row r="294" spans="1:11" ht="20.25">
      <c r="A294" s="467"/>
      <c r="B294" s="467"/>
      <c r="C294" s="467"/>
      <c r="D294" s="467"/>
      <c r="E294" s="467"/>
      <c r="F294" s="467"/>
      <c r="G294" s="467"/>
      <c r="H294" s="467"/>
      <c r="I294" s="467"/>
      <c r="J294" s="467"/>
      <c r="K294" s="467"/>
    </row>
    <row r="295" spans="1:11" ht="20.25">
      <c r="A295" s="467"/>
      <c r="B295" s="467"/>
      <c r="C295" s="467"/>
      <c r="D295" s="467"/>
      <c r="E295" s="467"/>
      <c r="F295" s="467"/>
      <c r="G295" s="467"/>
      <c r="H295" s="467"/>
      <c r="I295" s="467"/>
      <c r="J295" s="467"/>
      <c r="K295" s="467"/>
    </row>
    <row r="296" spans="1:11" ht="20.25">
      <c r="A296" s="467"/>
      <c r="B296" s="467"/>
      <c r="C296" s="467"/>
      <c r="D296" s="467"/>
      <c r="E296" s="467"/>
      <c r="F296" s="467"/>
      <c r="G296" s="467"/>
      <c r="H296" s="467"/>
      <c r="I296" s="467"/>
      <c r="J296" s="467"/>
      <c r="K296" s="467"/>
    </row>
    <row r="297" spans="1:11" ht="20.25">
      <c r="A297" s="467"/>
      <c r="B297" s="467"/>
      <c r="C297" s="467"/>
      <c r="D297" s="467"/>
      <c r="E297" s="467"/>
      <c r="F297" s="467"/>
      <c r="G297" s="467"/>
      <c r="H297" s="467"/>
      <c r="I297" s="467"/>
      <c r="J297" s="467"/>
      <c r="K297" s="467"/>
    </row>
    <row r="298" spans="1:11" ht="20.25">
      <c r="A298" s="467"/>
      <c r="B298" s="467"/>
      <c r="C298" s="467"/>
      <c r="D298" s="467"/>
      <c r="E298" s="467"/>
      <c r="F298" s="467"/>
      <c r="G298" s="467"/>
      <c r="H298" s="467"/>
      <c r="I298" s="467"/>
      <c r="J298" s="467"/>
      <c r="K298" s="467"/>
    </row>
    <row r="299" spans="1:11" ht="20.25">
      <c r="A299" s="467"/>
      <c r="B299" s="467"/>
      <c r="C299" s="467"/>
      <c r="D299" s="467"/>
      <c r="E299" s="467"/>
      <c r="F299" s="467"/>
      <c r="G299" s="467"/>
      <c r="H299" s="467"/>
      <c r="I299" s="467"/>
      <c r="J299" s="467"/>
      <c r="K299" s="467"/>
    </row>
    <row r="300" spans="1:11" ht="20.25">
      <c r="A300" s="467"/>
      <c r="B300" s="467"/>
      <c r="C300" s="467"/>
      <c r="D300" s="467"/>
      <c r="E300" s="467"/>
      <c r="F300" s="467"/>
      <c r="G300" s="467"/>
      <c r="H300" s="467"/>
      <c r="I300" s="467"/>
      <c r="J300" s="467"/>
      <c r="K300" s="467"/>
    </row>
    <row r="301" spans="1:11" ht="20.25">
      <c r="A301" s="467"/>
      <c r="B301" s="467"/>
      <c r="C301" s="467"/>
      <c r="D301" s="467"/>
      <c r="E301" s="467"/>
      <c r="F301" s="467"/>
      <c r="G301" s="467"/>
      <c r="H301" s="467"/>
      <c r="I301" s="467"/>
      <c r="J301" s="467"/>
      <c r="K301" s="467"/>
    </row>
    <row r="302" spans="1:11" ht="20.25">
      <c r="A302" s="467"/>
      <c r="B302" s="467"/>
      <c r="C302" s="467"/>
      <c r="D302" s="467"/>
      <c r="E302" s="467"/>
      <c r="F302" s="467"/>
      <c r="G302" s="467"/>
      <c r="H302" s="467"/>
      <c r="I302" s="467"/>
      <c r="J302" s="467"/>
      <c r="K302" s="467"/>
    </row>
    <row r="303" spans="1:11" ht="20.25">
      <c r="A303" s="467"/>
      <c r="B303" s="467"/>
      <c r="C303" s="467"/>
      <c r="D303" s="467"/>
      <c r="E303" s="467"/>
      <c r="F303" s="467"/>
      <c r="G303" s="467"/>
      <c r="H303" s="467"/>
      <c r="I303" s="467"/>
      <c r="J303" s="467"/>
      <c r="K303" s="467"/>
    </row>
    <row r="304" spans="1:11" ht="20.25">
      <c r="A304" s="467"/>
      <c r="B304" s="467"/>
      <c r="C304" s="467"/>
      <c r="D304" s="467"/>
      <c r="E304" s="467"/>
      <c r="F304" s="467"/>
      <c r="G304" s="467"/>
      <c r="H304" s="467"/>
      <c r="I304" s="467"/>
      <c r="J304" s="467"/>
      <c r="K304" s="467"/>
    </row>
    <row r="305" spans="1:11" ht="20.25">
      <c r="A305" s="467"/>
      <c r="B305" s="467"/>
      <c r="C305" s="467"/>
      <c r="D305" s="467"/>
      <c r="E305" s="467"/>
      <c r="F305" s="467"/>
      <c r="G305" s="467"/>
      <c r="H305" s="467"/>
      <c r="I305" s="467"/>
      <c r="J305" s="467"/>
      <c r="K305" s="467"/>
    </row>
    <row r="306" spans="1:11" ht="20.25">
      <c r="A306" s="467"/>
      <c r="B306" s="467"/>
      <c r="C306" s="467"/>
      <c r="D306" s="467"/>
      <c r="E306" s="467"/>
      <c r="F306" s="467"/>
      <c r="G306" s="467"/>
      <c r="H306" s="467"/>
      <c r="I306" s="467"/>
      <c r="J306" s="467"/>
      <c r="K306" s="467"/>
    </row>
    <row r="307" spans="1:11" ht="20.25">
      <c r="A307" s="467"/>
      <c r="B307" s="467"/>
      <c r="C307" s="467"/>
      <c r="D307" s="467"/>
      <c r="E307" s="467"/>
      <c r="F307" s="467"/>
      <c r="G307" s="467"/>
      <c r="H307" s="467"/>
      <c r="I307" s="467"/>
      <c r="J307" s="467"/>
      <c r="K307" s="467"/>
    </row>
    <row r="308" spans="1:11" ht="20.25">
      <c r="A308" s="467"/>
      <c r="B308" s="467"/>
      <c r="C308" s="467"/>
      <c r="D308" s="467"/>
      <c r="E308" s="467"/>
      <c r="F308" s="467"/>
      <c r="G308" s="467"/>
      <c r="H308" s="467"/>
      <c r="I308" s="467"/>
      <c r="J308" s="467"/>
      <c r="K308" s="467"/>
    </row>
    <row r="309" spans="1:11" ht="20.25">
      <c r="A309" s="467"/>
      <c r="B309" s="467"/>
      <c r="C309" s="467"/>
      <c r="D309" s="467"/>
      <c r="E309" s="467"/>
      <c r="F309" s="467"/>
      <c r="G309" s="467"/>
      <c r="H309" s="467"/>
      <c r="I309" s="467"/>
      <c r="J309" s="467"/>
      <c r="K309" s="467"/>
    </row>
    <row r="310" spans="1:11" ht="20.25">
      <c r="A310" s="467"/>
      <c r="B310" s="467"/>
      <c r="C310" s="467"/>
      <c r="D310" s="467"/>
      <c r="E310" s="467"/>
      <c r="F310" s="467"/>
      <c r="G310" s="467"/>
      <c r="H310" s="467"/>
      <c r="I310" s="467"/>
      <c r="J310" s="467"/>
      <c r="K310" s="467"/>
    </row>
    <row r="311" spans="1:11" ht="20.25">
      <c r="A311" s="467"/>
      <c r="B311" s="467"/>
      <c r="C311" s="467"/>
      <c r="D311" s="467"/>
      <c r="E311" s="467"/>
      <c r="F311" s="467"/>
      <c r="G311" s="467"/>
      <c r="H311" s="467"/>
      <c r="I311" s="467"/>
      <c r="J311" s="467"/>
      <c r="K311" s="467"/>
    </row>
    <row r="312" spans="1:11" ht="20.25">
      <c r="A312" s="467"/>
      <c r="B312" s="467"/>
      <c r="C312" s="467"/>
      <c r="D312" s="467"/>
      <c r="E312" s="467"/>
      <c r="F312" s="467"/>
      <c r="G312" s="467"/>
      <c r="H312" s="467"/>
      <c r="I312" s="467"/>
      <c r="J312" s="467"/>
      <c r="K312" s="467"/>
    </row>
    <row r="313" spans="1:11" ht="20.25">
      <c r="A313" s="467"/>
      <c r="B313" s="467"/>
      <c r="C313" s="467"/>
      <c r="D313" s="467"/>
      <c r="E313" s="467"/>
      <c r="F313" s="467"/>
      <c r="G313" s="467"/>
      <c r="H313" s="467"/>
      <c r="I313" s="467"/>
      <c r="J313" s="467"/>
      <c r="K313" s="467"/>
    </row>
    <row r="314" spans="1:11" ht="20.25">
      <c r="A314" s="467"/>
      <c r="B314" s="467"/>
      <c r="C314" s="467"/>
      <c r="D314" s="467"/>
      <c r="E314" s="467"/>
      <c r="F314" s="467"/>
      <c r="G314" s="467"/>
      <c r="H314" s="467"/>
      <c r="I314" s="467"/>
      <c r="J314" s="467"/>
      <c r="K314" s="467"/>
    </row>
    <row r="315" spans="1:11" ht="20.25">
      <c r="A315" s="467"/>
      <c r="B315" s="467"/>
      <c r="C315" s="467"/>
      <c r="D315" s="467"/>
      <c r="E315" s="467"/>
      <c r="F315" s="467"/>
      <c r="G315" s="467"/>
      <c r="H315" s="467"/>
      <c r="I315" s="467"/>
      <c r="J315" s="467"/>
      <c r="K315" s="467"/>
    </row>
    <row r="316" spans="1:11" ht="20.25">
      <c r="A316" s="467"/>
      <c r="B316" s="467"/>
      <c r="C316" s="467"/>
      <c r="D316" s="467"/>
      <c r="E316" s="467"/>
      <c r="F316" s="467"/>
      <c r="G316" s="467"/>
      <c r="H316" s="467"/>
      <c r="I316" s="467"/>
      <c r="J316" s="467"/>
      <c r="K316" s="467"/>
    </row>
    <row r="317" spans="1:11" ht="20.25">
      <c r="A317" s="467"/>
      <c r="B317" s="467"/>
      <c r="C317" s="467"/>
      <c r="D317" s="467"/>
      <c r="E317" s="467"/>
      <c r="F317" s="467"/>
      <c r="G317" s="467"/>
      <c r="H317" s="467"/>
      <c r="I317" s="467"/>
      <c r="J317" s="467"/>
      <c r="K317" s="467"/>
    </row>
    <row r="318" spans="1:11" ht="20.25">
      <c r="A318" s="467"/>
      <c r="B318" s="467"/>
      <c r="C318" s="467"/>
      <c r="D318" s="467"/>
      <c r="E318" s="467"/>
      <c r="F318" s="467"/>
      <c r="G318" s="467"/>
      <c r="H318" s="467"/>
      <c r="I318" s="467"/>
      <c r="J318" s="467"/>
      <c r="K318" s="467"/>
    </row>
    <row r="319" spans="1:11" ht="20.25">
      <c r="A319" s="467"/>
      <c r="B319" s="467"/>
      <c r="C319" s="467"/>
      <c r="D319" s="467"/>
      <c r="E319" s="467"/>
      <c r="F319" s="467"/>
      <c r="G319" s="467"/>
      <c r="H319" s="467"/>
      <c r="I319" s="467"/>
      <c r="J319" s="467"/>
      <c r="K319" s="467"/>
    </row>
    <row r="320" spans="1:11" ht="20.25">
      <c r="A320" s="467"/>
      <c r="B320" s="467"/>
      <c r="C320" s="467"/>
      <c r="D320" s="467"/>
      <c r="E320" s="467"/>
      <c r="F320" s="467"/>
      <c r="G320" s="467"/>
      <c r="H320" s="467"/>
      <c r="I320" s="467"/>
      <c r="J320" s="467"/>
      <c r="K320" s="467"/>
    </row>
    <row r="321" spans="1:11" ht="20.25">
      <c r="A321" s="467"/>
      <c r="B321" s="467"/>
      <c r="C321" s="467"/>
      <c r="D321" s="467"/>
      <c r="E321" s="467"/>
      <c r="F321" s="467"/>
      <c r="G321" s="467"/>
      <c r="H321" s="467"/>
      <c r="I321" s="467"/>
      <c r="J321" s="467"/>
      <c r="K321" s="467"/>
    </row>
    <row r="322" spans="1:11" ht="20.25">
      <c r="A322" s="467"/>
      <c r="B322" s="467"/>
      <c r="C322" s="467"/>
      <c r="D322" s="467"/>
      <c r="E322" s="467"/>
      <c r="F322" s="467"/>
      <c r="G322" s="467"/>
      <c r="H322" s="467"/>
      <c r="I322" s="467"/>
      <c r="J322" s="467"/>
      <c r="K322" s="467"/>
    </row>
    <row r="323" spans="1:11" ht="20.25">
      <c r="A323" s="467"/>
      <c r="B323" s="467"/>
      <c r="C323" s="467"/>
      <c r="D323" s="467"/>
      <c r="E323" s="467"/>
      <c r="F323" s="467"/>
      <c r="G323" s="467"/>
      <c r="H323" s="467"/>
      <c r="I323" s="467"/>
      <c r="J323" s="467"/>
      <c r="K323" s="467"/>
    </row>
    <row r="324" spans="1:11" ht="20.25">
      <c r="A324" s="467"/>
      <c r="B324" s="467"/>
      <c r="C324" s="467"/>
      <c r="D324" s="467"/>
      <c r="E324" s="467"/>
      <c r="F324" s="467"/>
      <c r="G324" s="467"/>
      <c r="H324" s="467"/>
      <c r="I324" s="467"/>
      <c r="J324" s="467"/>
      <c r="K324" s="467"/>
    </row>
    <row r="325" spans="1:11" ht="20.25">
      <c r="A325" s="467"/>
      <c r="B325" s="467"/>
      <c r="C325" s="467"/>
      <c r="D325" s="467"/>
      <c r="E325" s="467"/>
      <c r="F325" s="467"/>
      <c r="G325" s="467"/>
      <c r="H325" s="467"/>
      <c r="I325" s="467"/>
      <c r="J325" s="467"/>
      <c r="K325" s="467"/>
    </row>
    <row r="326" spans="1:11" ht="20.25">
      <c r="A326" s="467"/>
      <c r="B326" s="467"/>
      <c r="C326" s="467"/>
      <c r="D326" s="467"/>
      <c r="E326" s="467"/>
      <c r="F326" s="467"/>
      <c r="G326" s="467"/>
      <c r="H326" s="467"/>
      <c r="I326" s="467"/>
      <c r="J326" s="467"/>
      <c r="K326" s="467"/>
    </row>
    <row r="327" spans="1:11" ht="20.25">
      <c r="A327" s="467"/>
      <c r="B327" s="467"/>
      <c r="C327" s="467"/>
      <c r="D327" s="467"/>
      <c r="E327" s="467"/>
      <c r="F327" s="467"/>
      <c r="G327" s="467"/>
      <c r="H327" s="467"/>
      <c r="I327" s="467"/>
      <c r="J327" s="467"/>
      <c r="K327" s="467"/>
    </row>
    <row r="328" spans="1:11" ht="20.25">
      <c r="A328" s="467"/>
      <c r="B328" s="467"/>
      <c r="C328" s="467"/>
      <c r="D328" s="467"/>
      <c r="E328" s="467"/>
      <c r="F328" s="467"/>
      <c r="G328" s="467"/>
      <c r="H328" s="467"/>
      <c r="I328" s="467"/>
      <c r="J328" s="467"/>
      <c r="K328" s="467"/>
    </row>
    <row r="329" spans="1:11" ht="20.25">
      <c r="A329" s="467"/>
      <c r="B329" s="467"/>
      <c r="C329" s="467"/>
      <c r="D329" s="467"/>
      <c r="E329" s="467"/>
      <c r="F329" s="467"/>
      <c r="G329" s="467"/>
      <c r="H329" s="467"/>
      <c r="I329" s="467"/>
      <c r="J329" s="467"/>
      <c r="K329" s="467"/>
    </row>
    <row r="330" spans="1:11" ht="20.25">
      <c r="A330" s="467"/>
      <c r="B330" s="467"/>
      <c r="C330" s="467"/>
      <c r="D330" s="467"/>
      <c r="E330" s="467"/>
      <c r="F330" s="467"/>
      <c r="G330" s="467"/>
      <c r="H330" s="467"/>
      <c r="I330" s="467"/>
      <c r="J330" s="467"/>
      <c r="K330" s="467"/>
    </row>
    <row r="331" spans="1:11" ht="20.25">
      <c r="A331" s="467"/>
      <c r="B331" s="467"/>
      <c r="C331" s="467"/>
      <c r="D331" s="467"/>
      <c r="E331" s="467"/>
      <c r="F331" s="467"/>
      <c r="G331" s="467"/>
      <c r="H331" s="467"/>
      <c r="I331" s="467"/>
      <c r="J331" s="467"/>
      <c r="K331" s="467"/>
    </row>
    <row r="332" spans="1:11" ht="20.25">
      <c r="A332" s="467"/>
      <c r="B332" s="467"/>
      <c r="C332" s="467"/>
      <c r="D332" s="467"/>
      <c r="E332" s="467"/>
      <c r="F332" s="467"/>
      <c r="G332" s="467"/>
      <c r="H332" s="467"/>
      <c r="I332" s="467"/>
      <c r="J332" s="467"/>
      <c r="K332" s="467"/>
    </row>
    <row r="333" spans="1:11" ht="20.25">
      <c r="A333" s="467"/>
      <c r="B333" s="467"/>
      <c r="C333" s="467"/>
      <c r="D333" s="467"/>
      <c r="E333" s="467"/>
      <c r="F333" s="467"/>
      <c r="G333" s="467"/>
      <c r="H333" s="467"/>
      <c r="I333" s="467"/>
      <c r="J333" s="467"/>
      <c r="K333" s="467"/>
    </row>
    <row r="334" spans="1:11" ht="20.25">
      <c r="A334" s="467"/>
      <c r="B334" s="467"/>
      <c r="C334" s="467"/>
      <c r="D334" s="467"/>
      <c r="E334" s="467"/>
      <c r="F334" s="467"/>
      <c r="G334" s="467"/>
      <c r="H334" s="467"/>
      <c r="I334" s="467"/>
      <c r="J334" s="467"/>
      <c r="K334" s="467"/>
    </row>
    <row r="335" spans="1:11" ht="20.25">
      <c r="A335" s="467"/>
      <c r="B335" s="467"/>
      <c r="C335" s="467"/>
      <c r="D335" s="467"/>
      <c r="E335" s="467"/>
      <c r="F335" s="467"/>
      <c r="G335" s="467"/>
      <c r="H335" s="467"/>
      <c r="I335" s="467"/>
      <c r="J335" s="467"/>
      <c r="K335" s="467"/>
    </row>
    <row r="336" spans="1:11" ht="20.25">
      <c r="A336" s="467"/>
      <c r="B336" s="467"/>
      <c r="C336" s="467"/>
      <c r="D336" s="467"/>
      <c r="E336" s="467"/>
      <c r="F336" s="467"/>
      <c r="G336" s="467"/>
      <c r="H336" s="467"/>
      <c r="I336" s="467"/>
      <c r="J336" s="467"/>
      <c r="K336" s="467"/>
    </row>
    <row r="337" spans="1:11" ht="20.25">
      <c r="A337" s="467"/>
      <c r="B337" s="467"/>
      <c r="C337" s="467"/>
      <c r="D337" s="467"/>
      <c r="E337" s="467"/>
      <c r="F337" s="467"/>
      <c r="G337" s="467"/>
      <c r="H337" s="467"/>
      <c r="I337" s="467"/>
      <c r="J337" s="467"/>
      <c r="K337" s="467"/>
    </row>
    <row r="338" spans="1:11" ht="20.25">
      <c r="A338" s="467"/>
      <c r="B338" s="467"/>
      <c r="C338" s="467"/>
      <c r="D338" s="467"/>
      <c r="E338" s="467"/>
      <c r="F338" s="467"/>
      <c r="G338" s="467"/>
      <c r="H338" s="467"/>
      <c r="I338" s="467"/>
      <c r="J338" s="467"/>
      <c r="K338" s="467"/>
    </row>
    <row r="339" spans="1:11" ht="20.25">
      <c r="A339" s="467"/>
      <c r="B339" s="467"/>
      <c r="C339" s="467"/>
      <c r="D339" s="467"/>
      <c r="E339" s="467"/>
      <c r="F339" s="467"/>
      <c r="G339" s="467"/>
      <c r="H339" s="467"/>
      <c r="I339" s="467"/>
      <c r="J339" s="467"/>
      <c r="K339" s="467"/>
    </row>
    <row r="340" spans="1:11" ht="20.25">
      <c r="A340" s="467"/>
      <c r="B340" s="467"/>
      <c r="C340" s="467"/>
      <c r="D340" s="467"/>
      <c r="E340" s="467"/>
      <c r="F340" s="467"/>
      <c r="G340" s="467"/>
      <c r="H340" s="467"/>
      <c r="I340" s="467"/>
      <c r="J340" s="467"/>
      <c r="K340" s="467"/>
    </row>
    <row r="341" spans="1:11" ht="20.25">
      <c r="A341" s="467"/>
      <c r="B341" s="467"/>
      <c r="C341" s="467"/>
      <c r="D341" s="467"/>
      <c r="E341" s="467"/>
      <c r="F341" s="467"/>
      <c r="G341" s="467"/>
      <c r="H341" s="467"/>
      <c r="I341" s="467"/>
      <c r="J341" s="467"/>
      <c r="K341" s="467"/>
    </row>
    <row r="342" spans="1:11" ht="20.25">
      <c r="A342" s="467"/>
      <c r="B342" s="467"/>
      <c r="C342" s="467"/>
      <c r="D342" s="467"/>
      <c r="E342" s="467"/>
      <c r="F342" s="467"/>
      <c r="G342" s="467"/>
      <c r="H342" s="467"/>
      <c r="I342" s="467"/>
      <c r="J342" s="467"/>
      <c r="K342" s="467"/>
    </row>
    <row r="343" spans="1:11" ht="20.25">
      <c r="A343" s="467"/>
      <c r="B343" s="467"/>
      <c r="C343" s="467"/>
      <c r="D343" s="467"/>
      <c r="E343" s="467"/>
      <c r="F343" s="467"/>
      <c r="G343" s="467"/>
      <c r="H343" s="467"/>
      <c r="I343" s="467"/>
      <c r="J343" s="467"/>
      <c r="K343" s="467"/>
    </row>
    <row r="344" spans="1:11" ht="20.25">
      <c r="A344" s="467"/>
      <c r="B344" s="467"/>
      <c r="C344" s="467"/>
      <c r="D344" s="467"/>
      <c r="E344" s="467"/>
      <c r="F344" s="467"/>
      <c r="G344" s="467"/>
      <c r="H344" s="467"/>
      <c r="I344" s="467"/>
      <c r="J344" s="467"/>
      <c r="K344" s="467"/>
    </row>
    <row r="345" spans="1:11" ht="20.25">
      <c r="A345" s="467"/>
      <c r="B345" s="467"/>
      <c r="C345" s="467"/>
      <c r="D345" s="467"/>
      <c r="E345" s="467"/>
      <c r="F345" s="467"/>
      <c r="G345" s="467"/>
      <c r="H345" s="467"/>
      <c r="I345" s="467"/>
      <c r="J345" s="467"/>
      <c r="K345" s="467"/>
    </row>
    <row r="346" spans="1:11" ht="20.25">
      <c r="A346" s="467"/>
      <c r="B346" s="467"/>
      <c r="C346" s="467"/>
      <c r="D346" s="467"/>
      <c r="E346" s="467"/>
      <c r="F346" s="467"/>
      <c r="G346" s="467"/>
      <c r="H346" s="467"/>
      <c r="I346" s="467"/>
      <c r="J346" s="467"/>
      <c r="K346" s="467"/>
    </row>
    <row r="347" spans="1:11" ht="20.25">
      <c r="A347" s="467"/>
      <c r="B347" s="467"/>
      <c r="C347" s="467"/>
      <c r="D347" s="467"/>
      <c r="E347" s="467"/>
      <c r="F347" s="467"/>
      <c r="G347" s="467"/>
      <c r="H347" s="467"/>
      <c r="I347" s="467"/>
      <c r="J347" s="467"/>
      <c r="K347" s="467"/>
    </row>
    <row r="348" spans="1:11" ht="20.25">
      <c r="A348" s="467"/>
      <c r="B348" s="467"/>
      <c r="C348" s="467"/>
      <c r="D348" s="467"/>
      <c r="E348" s="467"/>
      <c r="F348" s="467"/>
      <c r="G348" s="467"/>
      <c r="H348" s="467"/>
      <c r="I348" s="467"/>
      <c r="J348" s="467"/>
      <c r="K348" s="467"/>
    </row>
    <row r="349" spans="1:11" ht="20.25">
      <c r="A349" s="467"/>
      <c r="B349" s="467"/>
      <c r="C349" s="467"/>
      <c r="D349" s="467"/>
      <c r="E349" s="467"/>
      <c r="F349" s="467"/>
      <c r="G349" s="467"/>
      <c r="H349" s="467"/>
      <c r="I349" s="467"/>
      <c r="J349" s="467"/>
      <c r="K349" s="467"/>
    </row>
    <row r="350" spans="1:11" ht="20.25">
      <c r="A350" s="467"/>
      <c r="B350" s="467"/>
      <c r="C350" s="467"/>
      <c r="D350" s="467"/>
      <c r="E350" s="467"/>
      <c r="F350" s="467"/>
      <c r="G350" s="467"/>
      <c r="H350" s="467"/>
      <c r="I350" s="467"/>
      <c r="J350" s="467"/>
      <c r="K350" s="467"/>
    </row>
    <row r="351" spans="1:11" ht="20.25">
      <c r="A351" s="467"/>
      <c r="B351" s="467"/>
      <c r="C351" s="467"/>
      <c r="D351" s="467"/>
      <c r="E351" s="467"/>
      <c r="F351" s="467"/>
      <c r="G351" s="467"/>
      <c r="H351" s="467"/>
      <c r="I351" s="467"/>
      <c r="J351" s="467"/>
      <c r="K351" s="467"/>
    </row>
    <row r="352" spans="1:11" ht="20.25">
      <c r="A352" s="467"/>
      <c r="B352" s="467"/>
      <c r="C352" s="467"/>
      <c r="D352" s="467"/>
      <c r="E352" s="467"/>
      <c r="F352" s="467"/>
      <c r="G352" s="467"/>
      <c r="H352" s="467"/>
      <c r="I352" s="467"/>
      <c r="J352" s="467"/>
      <c r="K352" s="467"/>
    </row>
    <row r="353" spans="1:11" ht="20.25">
      <c r="A353" s="467"/>
      <c r="B353" s="467"/>
      <c r="C353" s="467"/>
      <c r="D353" s="467"/>
      <c r="E353" s="467"/>
      <c r="F353" s="467"/>
      <c r="G353" s="467"/>
      <c r="H353" s="467"/>
      <c r="I353" s="467"/>
      <c r="J353" s="467"/>
      <c r="K353" s="467"/>
    </row>
    <row r="354" spans="1:11" ht="20.25">
      <c r="A354" s="467"/>
      <c r="B354" s="467"/>
      <c r="C354" s="467"/>
      <c r="D354" s="467"/>
      <c r="E354" s="467"/>
      <c r="F354" s="467"/>
      <c r="G354" s="467"/>
      <c r="H354" s="467"/>
      <c r="I354" s="467"/>
      <c r="J354" s="467"/>
      <c r="K354" s="467"/>
    </row>
    <row r="355" spans="1:11" ht="20.25">
      <c r="A355" s="467"/>
      <c r="B355" s="467"/>
      <c r="C355" s="467"/>
      <c r="D355" s="467"/>
      <c r="E355" s="467"/>
      <c r="F355" s="467"/>
      <c r="G355" s="467"/>
      <c r="H355" s="467"/>
      <c r="I355" s="467"/>
      <c r="J355" s="467"/>
      <c r="K355" s="467"/>
    </row>
    <row r="356" spans="1:11" ht="20.25">
      <c r="A356" s="467"/>
      <c r="B356" s="467"/>
      <c r="C356" s="467"/>
      <c r="D356" s="467"/>
      <c r="E356" s="467"/>
      <c r="F356" s="467"/>
      <c r="G356" s="467"/>
      <c r="H356" s="467"/>
      <c r="I356" s="467"/>
      <c r="J356" s="467"/>
      <c r="K356" s="467"/>
    </row>
    <row r="357" spans="1:11" ht="20.25">
      <c r="A357" s="467"/>
      <c r="B357" s="467"/>
      <c r="C357" s="467"/>
      <c r="D357" s="467"/>
      <c r="E357" s="467"/>
      <c r="F357" s="467"/>
      <c r="G357" s="467"/>
      <c r="H357" s="467"/>
      <c r="I357" s="467"/>
      <c r="J357" s="467"/>
      <c r="K357" s="467"/>
    </row>
    <row r="358" spans="1:11" ht="20.25">
      <c r="A358" s="467"/>
      <c r="B358" s="467"/>
      <c r="C358" s="467"/>
      <c r="D358" s="467"/>
      <c r="E358" s="467"/>
      <c r="F358" s="467"/>
      <c r="G358" s="467"/>
      <c r="H358" s="467"/>
      <c r="I358" s="467"/>
      <c r="J358" s="467"/>
      <c r="K358" s="467"/>
    </row>
    <row r="359" spans="1:11" ht="20.25">
      <c r="A359" s="467"/>
      <c r="B359" s="467"/>
      <c r="C359" s="467"/>
      <c r="D359" s="467"/>
      <c r="E359" s="467"/>
      <c r="F359" s="467"/>
      <c r="G359" s="467"/>
      <c r="H359" s="467"/>
      <c r="I359" s="467"/>
      <c r="J359" s="467"/>
      <c r="K359" s="467"/>
    </row>
    <row r="360" spans="1:11" ht="20.25">
      <c r="A360" s="467"/>
      <c r="B360" s="467"/>
      <c r="C360" s="467"/>
      <c r="D360" s="467"/>
      <c r="E360" s="467"/>
      <c r="F360" s="467"/>
      <c r="G360" s="467"/>
      <c r="H360" s="467"/>
      <c r="I360" s="467"/>
      <c r="J360" s="467"/>
      <c r="K360" s="467"/>
    </row>
    <row r="361" spans="1:11" ht="20.25">
      <c r="A361" s="467"/>
      <c r="B361" s="467"/>
      <c r="C361" s="467"/>
      <c r="D361" s="467"/>
      <c r="E361" s="467"/>
      <c r="F361" s="467"/>
      <c r="G361" s="467"/>
      <c r="H361" s="467"/>
      <c r="I361" s="467"/>
      <c r="J361" s="467"/>
      <c r="K361" s="467"/>
    </row>
    <row r="362" spans="1:11" ht="20.25">
      <c r="A362" s="467"/>
      <c r="B362" s="467"/>
      <c r="C362" s="467"/>
      <c r="D362" s="467"/>
      <c r="E362" s="467"/>
      <c r="F362" s="467"/>
      <c r="G362" s="467"/>
      <c r="H362" s="467"/>
      <c r="I362" s="467"/>
      <c r="J362" s="467"/>
      <c r="K362" s="467"/>
    </row>
    <row r="363" spans="1:11" ht="20.25">
      <c r="A363" s="467"/>
      <c r="B363" s="467"/>
      <c r="C363" s="467"/>
      <c r="D363" s="467"/>
      <c r="E363" s="467"/>
      <c r="F363" s="467"/>
      <c r="G363" s="467"/>
      <c r="H363" s="467"/>
      <c r="I363" s="467"/>
      <c r="J363" s="467"/>
      <c r="K363" s="467"/>
    </row>
    <row r="364" spans="1:11" ht="20.25">
      <c r="A364" s="467"/>
      <c r="B364" s="467"/>
      <c r="C364" s="467"/>
      <c r="D364" s="467"/>
      <c r="E364" s="467"/>
      <c r="F364" s="467"/>
      <c r="G364" s="467"/>
      <c r="H364" s="467"/>
      <c r="I364" s="467"/>
      <c r="J364" s="467"/>
      <c r="K364" s="467"/>
    </row>
    <row r="365" spans="1:11" ht="20.25">
      <c r="A365" s="467"/>
      <c r="B365" s="467"/>
      <c r="C365" s="467"/>
      <c r="D365" s="467"/>
      <c r="E365" s="467"/>
      <c r="F365" s="467"/>
      <c r="G365" s="467"/>
      <c r="H365" s="467"/>
      <c r="I365" s="467"/>
      <c r="J365" s="467"/>
      <c r="K365" s="467"/>
    </row>
    <row r="366" spans="1:11" ht="20.25">
      <c r="A366" s="467"/>
      <c r="B366" s="467"/>
      <c r="C366" s="467"/>
      <c r="D366" s="467"/>
      <c r="E366" s="467"/>
      <c r="F366" s="467"/>
      <c r="G366" s="467"/>
      <c r="H366" s="467"/>
      <c r="I366" s="467"/>
      <c r="J366" s="467"/>
      <c r="K366" s="467"/>
    </row>
    <row r="367" spans="1:11" ht="20.25">
      <c r="A367" s="467"/>
      <c r="B367" s="467"/>
      <c r="C367" s="467"/>
      <c r="D367" s="467"/>
      <c r="E367" s="467"/>
      <c r="F367" s="467"/>
      <c r="G367" s="467"/>
      <c r="H367" s="467"/>
      <c r="I367" s="467"/>
      <c r="J367" s="467"/>
      <c r="K367" s="467"/>
    </row>
    <row r="368" spans="1:11" ht="20.25">
      <c r="A368" s="467"/>
      <c r="B368" s="467"/>
      <c r="C368" s="467"/>
      <c r="D368" s="467"/>
      <c r="E368" s="467"/>
      <c r="F368" s="467"/>
      <c r="G368" s="467"/>
      <c r="H368" s="467"/>
      <c r="I368" s="467"/>
      <c r="J368" s="467"/>
      <c r="K368" s="467"/>
    </row>
    <row r="369" spans="1:11" ht="20.25">
      <c r="A369" s="467"/>
      <c r="B369" s="467"/>
      <c r="C369" s="467"/>
      <c r="D369" s="467"/>
      <c r="E369" s="467"/>
      <c r="F369" s="467"/>
      <c r="G369" s="467"/>
      <c r="H369" s="467"/>
      <c r="I369" s="467"/>
      <c r="J369" s="467"/>
      <c r="K369" s="467"/>
    </row>
    <row r="370" spans="1:11" ht="20.25">
      <c r="A370" s="467"/>
      <c r="B370" s="467"/>
      <c r="C370" s="467"/>
      <c r="D370" s="467"/>
      <c r="E370" s="467"/>
      <c r="F370" s="467"/>
      <c r="G370" s="467"/>
      <c r="H370" s="467"/>
      <c r="I370" s="467"/>
      <c r="J370" s="467"/>
      <c r="K370" s="467"/>
    </row>
    <row r="371" spans="1:11" ht="20.25">
      <c r="A371" s="467"/>
      <c r="B371" s="467"/>
      <c r="C371" s="467"/>
      <c r="D371" s="467"/>
      <c r="E371" s="467"/>
      <c r="F371" s="467"/>
      <c r="G371" s="467"/>
      <c r="H371" s="467"/>
      <c r="I371" s="467"/>
      <c r="J371" s="467"/>
      <c r="K371" s="467"/>
    </row>
    <row r="372" spans="1:11" ht="20.25">
      <c r="A372" s="467"/>
      <c r="B372" s="467"/>
      <c r="C372" s="467"/>
      <c r="D372" s="467"/>
      <c r="E372" s="467"/>
      <c r="F372" s="467"/>
      <c r="G372" s="467"/>
      <c r="H372" s="467"/>
      <c r="I372" s="467"/>
      <c r="J372" s="467"/>
      <c r="K372" s="467"/>
    </row>
    <row r="373" spans="1:11" ht="20.25">
      <c r="A373" s="467"/>
      <c r="B373" s="467"/>
      <c r="C373" s="467"/>
      <c r="D373" s="467"/>
      <c r="E373" s="467"/>
      <c r="F373" s="467"/>
      <c r="G373" s="467"/>
      <c r="H373" s="467"/>
      <c r="I373" s="467"/>
      <c r="J373" s="467"/>
      <c r="K373" s="467"/>
    </row>
    <row r="374" spans="1:11" ht="20.25">
      <c r="A374" s="467"/>
      <c r="B374" s="467"/>
      <c r="C374" s="467"/>
      <c r="D374" s="467"/>
      <c r="E374" s="467"/>
      <c r="F374" s="467"/>
      <c r="G374" s="467"/>
      <c r="H374" s="467"/>
      <c r="I374" s="467"/>
      <c r="J374" s="467"/>
      <c r="K374" s="467"/>
    </row>
    <row r="375" spans="1:11" ht="20.25">
      <c r="A375" s="467"/>
      <c r="B375" s="467"/>
      <c r="C375" s="467"/>
      <c r="D375" s="467"/>
      <c r="E375" s="467"/>
      <c r="F375" s="467"/>
      <c r="G375" s="467"/>
      <c r="H375" s="467"/>
      <c r="I375" s="467"/>
      <c r="J375" s="467"/>
      <c r="K375" s="467"/>
    </row>
    <row r="376" spans="1:11" ht="20.25">
      <c r="A376" s="467"/>
      <c r="B376" s="467"/>
      <c r="C376" s="467"/>
      <c r="D376" s="467"/>
      <c r="E376" s="467"/>
      <c r="F376" s="467"/>
      <c r="G376" s="467"/>
      <c r="H376" s="467"/>
      <c r="I376" s="467"/>
      <c r="J376" s="467"/>
      <c r="K376" s="467"/>
    </row>
    <row r="377" spans="1:11" ht="20.25">
      <c r="A377" s="467"/>
      <c r="B377" s="467"/>
      <c r="C377" s="467"/>
      <c r="D377" s="467"/>
      <c r="E377" s="467"/>
      <c r="F377" s="467"/>
      <c r="G377" s="467"/>
      <c r="H377" s="467"/>
      <c r="I377" s="467"/>
      <c r="J377" s="467"/>
      <c r="K377" s="467"/>
    </row>
    <row r="378" spans="1:11" ht="20.25">
      <c r="A378" s="467"/>
      <c r="B378" s="467"/>
      <c r="C378" s="467"/>
      <c r="D378" s="467"/>
      <c r="E378" s="467"/>
      <c r="F378" s="467"/>
      <c r="G378" s="467"/>
      <c r="H378" s="467"/>
      <c r="I378" s="467"/>
      <c r="J378" s="467"/>
      <c r="K378" s="467"/>
    </row>
    <row r="379" spans="1:11" ht="20.25">
      <c r="A379" s="467"/>
      <c r="B379" s="467"/>
      <c r="C379" s="467"/>
      <c r="D379" s="467"/>
      <c r="E379" s="467"/>
      <c r="F379" s="467"/>
      <c r="G379" s="467"/>
      <c r="H379" s="467"/>
      <c r="I379" s="467"/>
      <c r="J379" s="467"/>
      <c r="K379" s="467"/>
    </row>
    <row r="380" spans="1:11" ht="20.25">
      <c r="A380" s="467"/>
      <c r="B380" s="467"/>
      <c r="C380" s="467"/>
      <c r="D380" s="467"/>
      <c r="E380" s="467"/>
      <c r="F380" s="467"/>
      <c r="G380" s="467"/>
      <c r="H380" s="467"/>
      <c r="I380" s="467"/>
      <c r="J380" s="467"/>
      <c r="K380" s="467"/>
    </row>
    <row r="381" spans="1:11" ht="20.25">
      <c r="A381" s="467"/>
      <c r="B381" s="467"/>
      <c r="C381" s="467"/>
      <c r="D381" s="467"/>
      <c r="E381" s="467"/>
      <c r="F381" s="467"/>
      <c r="G381" s="467"/>
      <c r="H381" s="467"/>
      <c r="I381" s="467"/>
      <c r="J381" s="467"/>
      <c r="K381" s="467"/>
    </row>
    <row r="382" spans="1:11" ht="20.25">
      <c r="A382" s="467"/>
      <c r="B382" s="467"/>
      <c r="C382" s="467"/>
      <c r="D382" s="467"/>
      <c r="E382" s="467"/>
      <c r="F382" s="467"/>
      <c r="G382" s="467"/>
      <c r="H382" s="467"/>
      <c r="I382" s="467"/>
      <c r="J382" s="467"/>
      <c r="K382" s="467"/>
    </row>
    <row r="383" spans="1:11" ht="20.25">
      <c r="A383" s="467"/>
      <c r="B383" s="467"/>
      <c r="C383" s="467"/>
      <c r="D383" s="467"/>
      <c r="E383" s="467"/>
      <c r="F383" s="467"/>
      <c r="G383" s="467"/>
      <c r="H383" s="467"/>
      <c r="I383" s="467"/>
      <c r="J383" s="467"/>
      <c r="K383" s="467"/>
    </row>
    <row r="384" spans="1:11" ht="20.25">
      <c r="A384" s="467"/>
      <c r="B384" s="467"/>
      <c r="C384" s="467"/>
      <c r="D384" s="467"/>
      <c r="E384" s="467"/>
      <c r="F384" s="467"/>
      <c r="G384" s="467"/>
      <c r="H384" s="467"/>
      <c r="I384" s="467"/>
      <c r="J384" s="467"/>
      <c r="K384" s="467"/>
    </row>
    <row r="385" spans="1:11" ht="20.25">
      <c r="A385" s="467"/>
      <c r="B385" s="467"/>
      <c r="C385" s="467"/>
      <c r="D385" s="467"/>
      <c r="E385" s="467"/>
      <c r="F385" s="467"/>
      <c r="G385" s="467"/>
      <c r="H385" s="467"/>
      <c r="I385" s="467"/>
      <c r="J385" s="467"/>
      <c r="K385" s="467"/>
    </row>
    <row r="386" spans="1:11" ht="20.25">
      <c r="A386" s="467"/>
      <c r="B386" s="467"/>
      <c r="C386" s="467"/>
      <c r="D386" s="467"/>
      <c r="E386" s="467"/>
      <c r="F386" s="467"/>
      <c r="G386" s="467"/>
      <c r="H386" s="467"/>
      <c r="I386" s="467"/>
      <c r="J386" s="467"/>
      <c r="K386" s="467"/>
    </row>
    <row r="387" spans="1:11" ht="20.25">
      <c r="A387" s="467"/>
      <c r="B387" s="467"/>
      <c r="C387" s="467"/>
      <c r="D387" s="467"/>
      <c r="E387" s="467"/>
      <c r="F387" s="467"/>
      <c r="G387" s="467"/>
      <c r="H387" s="467"/>
      <c r="I387" s="467"/>
      <c r="J387" s="467"/>
      <c r="K387" s="467"/>
    </row>
    <row r="388" spans="1:11" ht="20.25">
      <c r="A388" s="467"/>
      <c r="B388" s="467"/>
      <c r="C388" s="467"/>
      <c r="D388" s="467"/>
      <c r="E388" s="467"/>
      <c r="F388" s="467"/>
      <c r="G388" s="467"/>
      <c r="H388" s="467"/>
      <c r="I388" s="467"/>
      <c r="J388" s="467"/>
      <c r="K388" s="467"/>
    </row>
    <row r="389" spans="1:11" ht="20.25">
      <c r="A389" s="467"/>
      <c r="B389" s="467"/>
      <c r="C389" s="467"/>
      <c r="D389" s="467"/>
      <c r="E389" s="467"/>
      <c r="F389" s="467"/>
      <c r="G389" s="467"/>
      <c r="H389" s="467"/>
      <c r="I389" s="467"/>
      <c r="J389" s="467"/>
      <c r="K389" s="467"/>
    </row>
    <row r="390" spans="1:11" ht="20.25">
      <c r="A390" s="467"/>
      <c r="B390" s="467"/>
      <c r="C390" s="467"/>
      <c r="D390" s="467"/>
      <c r="E390" s="467"/>
      <c r="F390" s="467"/>
      <c r="G390" s="467"/>
      <c r="H390" s="467"/>
      <c r="I390" s="467"/>
      <c r="J390" s="467"/>
      <c r="K390" s="467"/>
    </row>
    <row r="391" spans="1:11" ht="20.25">
      <c r="A391" s="467"/>
      <c r="B391" s="467"/>
      <c r="C391" s="467"/>
      <c r="D391" s="467"/>
      <c r="E391" s="467"/>
      <c r="F391" s="467"/>
      <c r="G391" s="467"/>
      <c r="H391" s="467"/>
      <c r="I391" s="467"/>
      <c r="J391" s="467"/>
      <c r="K391" s="467"/>
    </row>
    <row r="392" spans="1:11" ht="20.25">
      <c r="A392" s="467"/>
      <c r="B392" s="467"/>
      <c r="C392" s="467"/>
      <c r="D392" s="467"/>
      <c r="E392" s="467"/>
      <c r="F392" s="467"/>
      <c r="G392" s="467"/>
      <c r="H392" s="467"/>
      <c r="I392" s="467"/>
      <c r="J392" s="467"/>
      <c r="K392" s="467"/>
    </row>
    <row r="393" spans="1:11" ht="20.25">
      <c r="A393" s="467"/>
      <c r="B393" s="467"/>
      <c r="C393" s="467"/>
      <c r="D393" s="467"/>
      <c r="E393" s="467"/>
      <c r="F393" s="467"/>
      <c r="G393" s="467"/>
      <c r="H393" s="467"/>
      <c r="I393" s="467"/>
      <c r="J393" s="467"/>
      <c r="K393" s="467"/>
    </row>
    <row r="394" spans="1:11" ht="20.25">
      <c r="A394" s="467"/>
      <c r="B394" s="467"/>
      <c r="C394" s="467"/>
      <c r="D394" s="467"/>
      <c r="E394" s="467"/>
      <c r="F394" s="467"/>
      <c r="G394" s="467"/>
      <c r="H394" s="467"/>
      <c r="I394" s="467"/>
      <c r="J394" s="467"/>
      <c r="K394" s="467"/>
    </row>
    <row r="395" spans="1:11" ht="20.25">
      <c r="A395" s="467"/>
      <c r="B395" s="467"/>
      <c r="C395" s="467"/>
      <c r="D395" s="467"/>
      <c r="E395" s="467"/>
      <c r="F395" s="467"/>
      <c r="G395" s="467"/>
      <c r="H395" s="467"/>
      <c r="I395" s="467"/>
      <c r="J395" s="467"/>
      <c r="K395" s="467"/>
    </row>
    <row r="396" spans="1:11" ht="20.25">
      <c r="A396" s="467"/>
      <c r="B396" s="467"/>
      <c r="C396" s="467"/>
      <c r="D396" s="467"/>
      <c r="E396" s="467"/>
      <c r="F396" s="467"/>
      <c r="G396" s="467"/>
      <c r="H396" s="467"/>
      <c r="I396" s="467"/>
      <c r="J396" s="467"/>
      <c r="K396" s="467"/>
    </row>
    <row r="397" spans="1:11" ht="20.25">
      <c r="A397" s="467"/>
      <c r="B397" s="467"/>
      <c r="C397" s="467"/>
      <c r="D397" s="467"/>
      <c r="E397" s="467"/>
      <c r="F397" s="467"/>
      <c r="G397" s="467"/>
      <c r="H397" s="467"/>
      <c r="I397" s="467"/>
      <c r="J397" s="467"/>
      <c r="K397" s="467"/>
    </row>
    <row r="398" spans="1:11" ht="20.25">
      <c r="A398" s="467"/>
      <c r="B398" s="467"/>
      <c r="C398" s="467"/>
      <c r="D398" s="467"/>
      <c r="E398" s="467"/>
      <c r="F398" s="467"/>
      <c r="G398" s="467"/>
      <c r="H398" s="467"/>
      <c r="I398" s="467"/>
      <c r="J398" s="467"/>
      <c r="K398" s="467"/>
    </row>
    <row r="399" spans="1:11" ht="20.25">
      <c r="A399" s="467"/>
      <c r="B399" s="467"/>
      <c r="C399" s="467"/>
      <c r="D399" s="467"/>
      <c r="E399" s="467"/>
      <c r="F399" s="467"/>
      <c r="G399" s="467"/>
      <c r="H399" s="467"/>
      <c r="I399" s="467"/>
      <c r="J399" s="467"/>
      <c r="K399" s="467"/>
    </row>
    <row r="400" spans="1:11" ht="20.25">
      <c r="A400" s="467"/>
      <c r="B400" s="467"/>
      <c r="C400" s="467"/>
      <c r="D400" s="467"/>
      <c r="E400" s="467"/>
      <c r="F400" s="467"/>
      <c r="G400" s="467"/>
      <c r="H400" s="467"/>
      <c r="I400" s="467"/>
      <c r="J400" s="467"/>
      <c r="K400" s="467"/>
    </row>
    <row r="401" spans="1:11" ht="20.25">
      <c r="A401" s="467"/>
      <c r="B401" s="467"/>
      <c r="C401" s="467"/>
      <c r="D401" s="467"/>
      <c r="E401" s="467"/>
      <c r="F401" s="467"/>
      <c r="G401" s="467"/>
      <c r="H401" s="467"/>
      <c r="I401" s="467"/>
      <c r="J401" s="467"/>
      <c r="K401" s="467"/>
    </row>
    <row r="402" spans="1:11" ht="20.25">
      <c r="A402" s="467"/>
      <c r="B402" s="467"/>
      <c r="C402" s="467"/>
      <c r="D402" s="467"/>
      <c r="E402" s="467"/>
      <c r="F402" s="467"/>
      <c r="G402" s="467"/>
      <c r="H402" s="467"/>
      <c r="I402" s="467"/>
      <c r="J402" s="467"/>
      <c r="K402" s="467"/>
    </row>
    <row r="403" spans="1:11" ht="20.25">
      <c r="A403" s="467"/>
      <c r="B403" s="467"/>
      <c r="C403" s="467"/>
      <c r="D403" s="467"/>
      <c r="E403" s="467"/>
      <c r="F403" s="467"/>
      <c r="G403" s="467"/>
      <c r="H403" s="467"/>
      <c r="I403" s="467"/>
      <c r="J403" s="467"/>
      <c r="K403" s="467"/>
    </row>
    <row r="404" spans="1:11" ht="20.25">
      <c r="A404" s="467"/>
      <c r="B404" s="467"/>
      <c r="C404" s="467"/>
      <c r="D404" s="467"/>
      <c r="E404" s="467"/>
      <c r="F404" s="467"/>
      <c r="G404" s="467"/>
      <c r="H404" s="467"/>
      <c r="I404" s="467"/>
      <c r="J404" s="467"/>
      <c r="K404" s="467"/>
    </row>
    <row r="405" spans="1:11" ht="20.25">
      <c r="A405" s="467"/>
      <c r="B405" s="467"/>
      <c r="C405" s="467"/>
      <c r="D405" s="467"/>
      <c r="E405" s="467"/>
      <c r="F405" s="467"/>
      <c r="G405" s="467"/>
      <c r="H405" s="467"/>
      <c r="I405" s="467"/>
      <c r="J405" s="467"/>
      <c r="K405" s="467"/>
    </row>
    <row r="406" spans="1:11" ht="20.25">
      <c r="A406" s="467"/>
      <c r="B406" s="467"/>
      <c r="C406" s="467"/>
      <c r="D406" s="467"/>
      <c r="E406" s="467"/>
      <c r="F406" s="467"/>
      <c r="G406" s="467"/>
      <c r="H406" s="467"/>
      <c r="I406" s="467"/>
      <c r="J406" s="467"/>
      <c r="K406" s="467"/>
    </row>
    <row r="407" spans="1:11" ht="20.25">
      <c r="A407" s="467"/>
      <c r="B407" s="467"/>
      <c r="C407" s="467"/>
      <c r="D407" s="467"/>
      <c r="E407" s="467"/>
      <c r="F407" s="467"/>
      <c r="G407" s="467"/>
      <c r="H407" s="467"/>
      <c r="I407" s="467"/>
      <c r="J407" s="467"/>
      <c r="K407" s="467"/>
    </row>
    <row r="408" spans="1:11" ht="20.25">
      <c r="A408" s="467"/>
      <c r="B408" s="467"/>
      <c r="C408" s="467"/>
      <c r="D408" s="467"/>
      <c r="E408" s="467"/>
      <c r="F408" s="467"/>
      <c r="G408" s="467"/>
      <c r="H408" s="467"/>
      <c r="I408" s="467"/>
      <c r="J408" s="467"/>
      <c r="K408" s="467"/>
    </row>
    <row r="409" spans="1:11" ht="20.25">
      <c r="A409" s="467"/>
      <c r="B409" s="467"/>
      <c r="C409" s="467"/>
      <c r="D409" s="467"/>
      <c r="E409" s="467"/>
      <c r="F409" s="467"/>
      <c r="G409" s="467"/>
      <c r="H409" s="467"/>
      <c r="I409" s="467"/>
      <c r="J409" s="467"/>
      <c r="K409" s="467"/>
    </row>
    <row r="410" spans="1:11" ht="20.25">
      <c r="A410" s="467"/>
      <c r="B410" s="467"/>
      <c r="C410" s="467"/>
      <c r="D410" s="467"/>
      <c r="E410" s="467"/>
      <c r="F410" s="467"/>
      <c r="G410" s="467"/>
      <c r="H410" s="467"/>
      <c r="I410" s="467"/>
      <c r="J410" s="467"/>
      <c r="K410" s="467"/>
    </row>
    <row r="411" spans="1:11" ht="20.25">
      <c r="A411" s="467"/>
      <c r="B411" s="467"/>
      <c r="C411" s="467"/>
      <c r="D411" s="467"/>
      <c r="E411" s="467"/>
      <c r="F411" s="467"/>
      <c r="G411" s="467"/>
      <c r="H411" s="467"/>
      <c r="I411" s="467"/>
      <c r="J411" s="467"/>
      <c r="K411" s="467"/>
    </row>
    <row r="412" spans="1:11" ht="20.25">
      <c r="A412" s="467"/>
      <c r="B412" s="467"/>
      <c r="C412" s="467"/>
      <c r="D412" s="467"/>
      <c r="E412" s="467"/>
      <c r="F412" s="467"/>
      <c r="G412" s="467"/>
      <c r="H412" s="467"/>
      <c r="I412" s="467"/>
      <c r="J412" s="467"/>
      <c r="K412" s="467"/>
    </row>
    <row r="413" spans="1:11" ht="20.25">
      <c r="A413" s="467"/>
      <c r="B413" s="467"/>
      <c r="C413" s="467"/>
      <c r="D413" s="467"/>
      <c r="E413" s="467"/>
      <c r="F413" s="467"/>
      <c r="G413" s="467"/>
      <c r="H413" s="467"/>
      <c r="I413" s="467"/>
      <c r="J413" s="467"/>
      <c r="K413" s="467"/>
    </row>
    <row r="414" spans="1:11" ht="20.25">
      <c r="A414" s="467"/>
      <c r="B414" s="467"/>
      <c r="C414" s="467"/>
      <c r="D414" s="467"/>
      <c r="E414" s="467"/>
      <c r="F414" s="467"/>
      <c r="G414" s="467"/>
      <c r="H414" s="467"/>
      <c r="I414" s="467"/>
      <c r="J414" s="467"/>
      <c r="K414" s="467"/>
    </row>
    <row r="415" spans="1:11" ht="20.25">
      <c r="A415" s="467"/>
      <c r="B415" s="467"/>
      <c r="C415" s="467"/>
      <c r="D415" s="467"/>
      <c r="E415" s="467"/>
      <c r="F415" s="467"/>
      <c r="G415" s="467"/>
      <c r="H415" s="467"/>
      <c r="I415" s="467"/>
      <c r="J415" s="467"/>
      <c r="K415" s="467"/>
    </row>
    <row r="416" spans="1:11" ht="20.25">
      <c r="A416" s="467"/>
      <c r="B416" s="467"/>
      <c r="C416" s="467"/>
      <c r="D416" s="467"/>
      <c r="E416" s="467"/>
      <c r="F416" s="467"/>
      <c r="G416" s="467"/>
      <c r="H416" s="467"/>
      <c r="I416" s="467"/>
      <c r="J416" s="467"/>
      <c r="K416" s="467"/>
    </row>
    <row r="417" spans="1:11" ht="20.25">
      <c r="A417" s="467"/>
      <c r="B417" s="467"/>
      <c r="C417" s="467"/>
      <c r="D417" s="467"/>
      <c r="E417" s="467"/>
      <c r="F417" s="467"/>
      <c r="G417" s="467"/>
      <c r="H417" s="467"/>
      <c r="I417" s="467"/>
      <c r="J417" s="467"/>
      <c r="K417" s="467"/>
    </row>
    <row r="418" spans="1:11" ht="20.25">
      <c r="A418" s="467"/>
      <c r="B418" s="467"/>
      <c r="C418" s="467"/>
      <c r="D418" s="467"/>
      <c r="E418" s="467"/>
      <c r="F418" s="467"/>
      <c r="G418" s="467"/>
      <c r="H418" s="467"/>
      <c r="I418" s="467"/>
      <c r="J418" s="467"/>
      <c r="K418" s="467"/>
    </row>
    <row r="419" spans="1:11" ht="20.25">
      <c r="A419" s="467"/>
      <c r="B419" s="467"/>
      <c r="C419" s="467"/>
      <c r="D419" s="467"/>
      <c r="E419" s="467"/>
      <c r="F419" s="467"/>
      <c r="G419" s="467"/>
      <c r="H419" s="467"/>
      <c r="I419" s="467"/>
      <c r="J419" s="467"/>
      <c r="K419" s="467"/>
    </row>
    <row r="420" spans="1:11" ht="20.25">
      <c r="A420" s="467"/>
      <c r="B420" s="467"/>
      <c r="C420" s="467"/>
      <c r="D420" s="467"/>
      <c r="E420" s="467"/>
      <c r="F420" s="467"/>
      <c r="G420" s="467"/>
      <c r="H420" s="467"/>
      <c r="I420" s="467"/>
      <c r="J420" s="467"/>
      <c r="K420" s="467"/>
    </row>
    <row r="421" spans="1:11" ht="20.25">
      <c r="A421" s="467"/>
      <c r="B421" s="467"/>
      <c r="C421" s="467"/>
      <c r="D421" s="467"/>
      <c r="E421" s="467"/>
      <c r="F421" s="467"/>
      <c r="G421" s="467"/>
      <c r="H421" s="467"/>
      <c r="I421" s="467"/>
      <c r="J421" s="467"/>
      <c r="K421" s="467"/>
    </row>
    <row r="422" spans="1:11" ht="20.25">
      <c r="A422" s="467"/>
      <c r="B422" s="467"/>
      <c r="C422" s="467"/>
      <c r="D422" s="467"/>
      <c r="E422" s="467"/>
      <c r="F422" s="467"/>
      <c r="G422" s="467"/>
      <c r="H422" s="467"/>
      <c r="I422" s="467"/>
      <c r="J422" s="467"/>
      <c r="K422" s="467"/>
    </row>
    <row r="423" spans="1:11" ht="20.25">
      <c r="A423" s="467"/>
      <c r="B423" s="467"/>
      <c r="C423" s="467"/>
      <c r="D423" s="467"/>
      <c r="E423" s="467"/>
      <c r="F423" s="467"/>
      <c r="G423" s="467"/>
      <c r="H423" s="467"/>
      <c r="I423" s="467"/>
      <c r="J423" s="467"/>
      <c r="K423" s="467"/>
    </row>
    <row r="424" spans="1:11" ht="20.25">
      <c r="A424" s="467"/>
      <c r="B424" s="467"/>
      <c r="C424" s="467"/>
      <c r="D424" s="467"/>
      <c r="E424" s="467"/>
      <c r="F424" s="467"/>
      <c r="G424" s="467"/>
      <c r="H424" s="467"/>
      <c r="I424" s="467"/>
      <c r="J424" s="467"/>
      <c r="K424" s="467"/>
    </row>
    <row r="425" spans="1:11" ht="20.25">
      <c r="A425" s="467"/>
      <c r="B425" s="467"/>
      <c r="C425" s="467"/>
      <c r="D425" s="467"/>
      <c r="E425" s="467"/>
      <c r="F425" s="467"/>
      <c r="G425" s="467"/>
      <c r="H425" s="467"/>
      <c r="I425" s="467"/>
      <c r="J425" s="467"/>
      <c r="K425" s="467"/>
    </row>
    <row r="426" spans="1:11" ht="20.25">
      <c r="A426" s="467"/>
      <c r="B426" s="467"/>
      <c r="C426" s="467"/>
      <c r="D426" s="467"/>
      <c r="E426" s="467"/>
      <c r="F426" s="467"/>
      <c r="G426" s="467"/>
      <c r="H426" s="467"/>
      <c r="I426" s="467"/>
      <c r="J426" s="467"/>
      <c r="K426" s="467"/>
    </row>
    <row r="427" spans="1:11" ht="20.25">
      <c r="A427" s="467"/>
      <c r="B427" s="467"/>
      <c r="C427" s="467"/>
      <c r="D427" s="467"/>
      <c r="E427" s="467"/>
      <c r="F427" s="467"/>
      <c r="G427" s="467"/>
      <c r="H427" s="467"/>
      <c r="I427" s="467"/>
      <c r="J427" s="467"/>
      <c r="K427" s="467"/>
    </row>
    <row r="428" spans="1:11" ht="20.25">
      <c r="A428" s="467"/>
      <c r="B428" s="467"/>
      <c r="C428" s="467"/>
      <c r="D428" s="467"/>
      <c r="E428" s="467"/>
      <c r="F428" s="467"/>
      <c r="G428" s="467"/>
      <c r="H428" s="467"/>
      <c r="I428" s="467"/>
      <c r="J428" s="467"/>
      <c r="K428" s="467"/>
    </row>
    <row r="429" spans="1:11" ht="20.25">
      <c r="A429" s="467"/>
      <c r="B429" s="467"/>
      <c r="C429" s="467"/>
      <c r="D429" s="467"/>
      <c r="E429" s="467"/>
      <c r="F429" s="467"/>
      <c r="G429" s="467"/>
      <c r="H429" s="467"/>
      <c r="I429" s="467"/>
      <c r="J429" s="467"/>
      <c r="K429" s="467"/>
    </row>
    <row r="430" spans="1:11" ht="20.25">
      <c r="A430" s="467"/>
      <c r="B430" s="467"/>
      <c r="C430" s="467"/>
      <c r="D430" s="467"/>
      <c r="E430" s="467"/>
      <c r="F430" s="467"/>
      <c r="G430" s="467"/>
      <c r="H430" s="467"/>
      <c r="I430" s="467"/>
      <c r="J430" s="467"/>
      <c r="K430" s="467"/>
    </row>
    <row r="431" spans="1:11" ht="20.25">
      <c r="A431" s="467"/>
      <c r="B431" s="467"/>
      <c r="C431" s="467"/>
      <c r="D431" s="467"/>
      <c r="E431" s="467"/>
      <c r="F431" s="467"/>
      <c r="G431" s="467"/>
      <c r="H431" s="467"/>
      <c r="I431" s="467"/>
      <c r="J431" s="467"/>
      <c r="K431" s="467"/>
    </row>
    <row r="432" spans="1:11" ht="20.25">
      <c r="A432" s="467"/>
      <c r="B432" s="467"/>
      <c r="C432" s="467"/>
      <c r="D432" s="467"/>
      <c r="E432" s="467"/>
      <c r="F432" s="467"/>
      <c r="G432" s="467"/>
      <c r="H432" s="467"/>
      <c r="I432" s="467"/>
      <c r="J432" s="467"/>
      <c r="K432" s="467"/>
    </row>
    <row r="433" spans="1:11" ht="20.25">
      <c r="A433" s="467"/>
      <c r="B433" s="467"/>
      <c r="C433" s="467"/>
      <c r="D433" s="467"/>
      <c r="E433" s="467"/>
      <c r="F433" s="467"/>
      <c r="G433" s="467"/>
      <c r="H433" s="467"/>
      <c r="I433" s="467"/>
      <c r="J433" s="467"/>
      <c r="K433" s="467"/>
    </row>
    <row r="434" spans="1:11" ht="20.25">
      <c r="A434" s="467"/>
      <c r="B434" s="467"/>
      <c r="C434" s="467"/>
      <c r="D434" s="467"/>
      <c r="E434" s="467"/>
      <c r="F434" s="467"/>
      <c r="G434" s="467"/>
      <c r="H434" s="467"/>
      <c r="I434" s="467"/>
      <c r="J434" s="467"/>
      <c r="K434" s="467"/>
    </row>
    <row r="435" spans="1:11" ht="20.25">
      <c r="A435" s="467"/>
      <c r="B435" s="467"/>
      <c r="C435" s="467"/>
      <c r="D435" s="467"/>
      <c r="E435" s="467"/>
      <c r="F435" s="467"/>
      <c r="G435" s="467"/>
      <c r="H435" s="467"/>
      <c r="I435" s="467"/>
      <c r="J435" s="467"/>
      <c r="K435" s="467"/>
    </row>
    <row r="436" spans="1:11" ht="20.25">
      <c r="A436" s="467"/>
      <c r="B436" s="467"/>
      <c r="C436" s="467"/>
      <c r="D436" s="467"/>
      <c r="E436" s="467"/>
      <c r="F436" s="467"/>
      <c r="G436" s="467"/>
      <c r="H436" s="467"/>
      <c r="I436" s="467"/>
      <c r="J436" s="467"/>
      <c r="K436" s="467"/>
    </row>
    <row r="437" spans="1:11" ht="20.25">
      <c r="A437" s="467"/>
      <c r="B437" s="467"/>
      <c r="C437" s="467"/>
      <c r="D437" s="467"/>
      <c r="E437" s="467"/>
      <c r="F437" s="467"/>
      <c r="G437" s="467"/>
      <c r="H437" s="467"/>
      <c r="I437" s="467"/>
      <c r="J437" s="467"/>
      <c r="K437" s="467"/>
    </row>
    <row r="438" spans="1:11" ht="20.25">
      <c r="A438" s="467"/>
      <c r="B438" s="467"/>
      <c r="C438" s="467"/>
      <c r="D438" s="467"/>
      <c r="E438" s="467"/>
      <c r="F438" s="467"/>
      <c r="G438" s="467"/>
      <c r="H438" s="467"/>
      <c r="I438" s="467"/>
      <c r="J438" s="467"/>
      <c r="K438" s="467"/>
    </row>
    <row r="439" spans="1:11" ht="20.25">
      <c r="A439" s="467"/>
      <c r="B439" s="467"/>
      <c r="C439" s="467"/>
      <c r="D439" s="467"/>
      <c r="E439" s="467"/>
      <c r="F439" s="467"/>
      <c r="G439" s="467"/>
      <c r="H439" s="467"/>
      <c r="I439" s="467"/>
      <c r="J439" s="467"/>
      <c r="K439" s="467"/>
    </row>
    <row r="440" spans="1:11" ht="20.25">
      <c r="A440" s="467"/>
      <c r="B440" s="467"/>
      <c r="C440" s="467"/>
      <c r="D440" s="467"/>
      <c r="E440" s="467"/>
      <c r="F440" s="467"/>
      <c r="G440" s="467"/>
      <c r="H440" s="467"/>
      <c r="I440" s="467"/>
      <c r="J440" s="467"/>
      <c r="K440" s="467"/>
    </row>
    <row r="441" spans="1:11" ht="20.25">
      <c r="A441" s="467"/>
      <c r="B441" s="467"/>
      <c r="C441" s="467"/>
      <c r="D441" s="467"/>
      <c r="E441" s="467"/>
      <c r="F441" s="467"/>
      <c r="G441" s="467"/>
      <c r="H441" s="467"/>
      <c r="I441" s="467"/>
      <c r="J441" s="467"/>
      <c r="K441" s="467"/>
    </row>
    <row r="442" spans="1:11" ht="20.25">
      <c r="A442" s="467"/>
      <c r="B442" s="467"/>
      <c r="C442" s="467"/>
      <c r="D442" s="467"/>
      <c r="E442" s="467"/>
      <c r="F442" s="467"/>
      <c r="G442" s="467"/>
      <c r="H442" s="467"/>
      <c r="I442" s="467"/>
      <c r="J442" s="467"/>
      <c r="K442" s="467"/>
    </row>
    <row r="443" spans="1:11" ht="20.25">
      <c r="A443" s="467"/>
      <c r="B443" s="467"/>
      <c r="C443" s="467"/>
      <c r="D443" s="467"/>
      <c r="E443" s="467"/>
      <c r="F443" s="467"/>
      <c r="G443" s="467"/>
      <c r="H443" s="467"/>
      <c r="I443" s="467"/>
      <c r="J443" s="467"/>
      <c r="K443" s="467"/>
    </row>
    <row r="444" spans="1:11" ht="20.25">
      <c r="A444" s="467"/>
      <c r="B444" s="467"/>
      <c r="C444" s="467"/>
      <c r="D444" s="467"/>
      <c r="E444" s="467"/>
      <c r="F444" s="467"/>
      <c r="G444" s="467"/>
      <c r="H444" s="467"/>
      <c r="I444" s="467"/>
      <c r="J444" s="467"/>
      <c r="K444" s="467"/>
    </row>
    <row r="445" spans="1:11" ht="20.25">
      <c r="A445" s="467"/>
      <c r="B445" s="467"/>
      <c r="C445" s="467"/>
      <c r="D445" s="467"/>
      <c r="E445" s="467"/>
      <c r="F445" s="467"/>
      <c r="G445" s="467"/>
      <c r="H445" s="467"/>
      <c r="I445" s="467"/>
      <c r="J445" s="467"/>
      <c r="K445" s="467"/>
    </row>
    <row r="446" spans="1:11" ht="20.25">
      <c r="A446" s="467"/>
      <c r="B446" s="467"/>
      <c r="C446" s="467"/>
      <c r="D446" s="467"/>
      <c r="E446" s="467"/>
      <c r="F446" s="467"/>
      <c r="G446" s="467"/>
      <c r="H446" s="467"/>
      <c r="I446" s="467"/>
      <c r="J446" s="467"/>
      <c r="K446" s="467"/>
    </row>
    <row r="447" spans="1:11" ht="20.25">
      <c r="A447" s="467"/>
      <c r="B447" s="467"/>
      <c r="C447" s="467"/>
      <c r="D447" s="467"/>
      <c r="E447" s="467"/>
      <c r="F447" s="467"/>
      <c r="G447" s="467"/>
      <c r="H447" s="467"/>
      <c r="I447" s="467"/>
      <c r="J447" s="467"/>
      <c r="K447" s="467"/>
    </row>
    <row r="448" spans="1:11" ht="20.25">
      <c r="A448" s="467"/>
      <c r="B448" s="467"/>
      <c r="C448" s="467"/>
      <c r="D448" s="467"/>
      <c r="E448" s="467"/>
      <c r="F448" s="467"/>
      <c r="G448" s="467"/>
      <c r="H448" s="467"/>
      <c r="I448" s="467"/>
      <c r="J448" s="467"/>
      <c r="K448" s="467"/>
    </row>
    <row r="449" spans="1:11" ht="20.25">
      <c r="A449" s="467"/>
      <c r="B449" s="467"/>
      <c r="C449" s="467"/>
      <c r="D449" s="467"/>
      <c r="E449" s="467"/>
      <c r="F449" s="467"/>
      <c r="G449" s="467"/>
      <c r="H449" s="467"/>
      <c r="I449" s="467"/>
      <c r="J449" s="467"/>
      <c r="K449" s="467"/>
    </row>
    <row r="450" spans="1:11" ht="20.25">
      <c r="A450" s="467"/>
      <c r="B450" s="467"/>
      <c r="C450" s="467"/>
      <c r="D450" s="467"/>
      <c r="E450" s="467"/>
      <c r="F450" s="467"/>
      <c r="G450" s="467"/>
      <c r="H450" s="467"/>
      <c r="I450" s="467"/>
      <c r="J450" s="467"/>
      <c r="K450" s="467"/>
    </row>
    <row r="451" spans="1:11" ht="20.25">
      <c r="A451" s="467"/>
      <c r="B451" s="467"/>
      <c r="C451" s="467"/>
      <c r="D451" s="467"/>
      <c r="E451" s="467"/>
      <c r="F451" s="467"/>
      <c r="G451" s="467"/>
      <c r="H451" s="467"/>
      <c r="I451" s="467"/>
      <c r="J451" s="467"/>
      <c r="K451" s="467"/>
    </row>
    <row r="452" spans="1:11" ht="20.25">
      <c r="A452" s="467"/>
      <c r="B452" s="467"/>
      <c r="C452" s="467"/>
      <c r="D452" s="467"/>
      <c r="E452" s="467"/>
      <c r="F452" s="467"/>
      <c r="G452" s="467"/>
      <c r="H452" s="467"/>
      <c r="I452" s="467"/>
      <c r="J452" s="467"/>
      <c r="K452" s="467"/>
    </row>
    <row r="453" spans="1:11" ht="20.25">
      <c r="A453" s="467"/>
      <c r="B453" s="467"/>
      <c r="C453" s="467"/>
      <c r="D453" s="467"/>
      <c r="E453" s="467"/>
      <c r="F453" s="467"/>
      <c r="G453" s="467"/>
      <c r="H453" s="467"/>
      <c r="I453" s="467"/>
      <c r="J453" s="467"/>
      <c r="K453" s="467"/>
    </row>
    <row r="454" spans="1:11" ht="20.25">
      <c r="A454" s="467"/>
      <c r="B454" s="467"/>
      <c r="C454" s="467"/>
      <c r="D454" s="467"/>
      <c r="E454" s="467"/>
      <c r="F454" s="467"/>
      <c r="G454" s="467"/>
      <c r="H454" s="467"/>
      <c r="I454" s="467"/>
      <c r="J454" s="467"/>
      <c r="K454" s="467"/>
    </row>
    <row r="455" spans="1:11" ht="20.25">
      <c r="A455" s="467"/>
      <c r="B455" s="467"/>
      <c r="C455" s="467"/>
      <c r="D455" s="467"/>
      <c r="E455" s="467"/>
      <c r="F455" s="467"/>
      <c r="G455" s="467"/>
      <c r="H455" s="467"/>
      <c r="I455" s="467"/>
      <c r="J455" s="467"/>
      <c r="K455" s="467"/>
    </row>
    <row r="456" spans="1:11" ht="20.25">
      <c r="A456" s="467"/>
      <c r="B456" s="467"/>
      <c r="C456" s="467"/>
      <c r="D456" s="467"/>
      <c r="E456" s="467"/>
      <c r="F456" s="467"/>
      <c r="G456" s="467"/>
      <c r="H456" s="467"/>
      <c r="I456" s="467"/>
      <c r="J456" s="467"/>
      <c r="K456" s="467"/>
    </row>
    <row r="457" spans="1:11" ht="20.25">
      <c r="A457" s="467"/>
      <c r="B457" s="467"/>
      <c r="C457" s="467"/>
      <c r="D457" s="467"/>
      <c r="E457" s="467"/>
      <c r="F457" s="467"/>
      <c r="G457" s="467"/>
      <c r="H457" s="467"/>
      <c r="I457" s="467"/>
      <c r="J457" s="467"/>
      <c r="K457" s="467"/>
    </row>
    <row r="458" spans="1:11" ht="20.25">
      <c r="A458" s="467"/>
      <c r="B458" s="467"/>
      <c r="C458" s="467"/>
      <c r="D458" s="467"/>
      <c r="E458" s="467"/>
      <c r="F458" s="467"/>
      <c r="G458" s="467"/>
      <c r="H458" s="467"/>
      <c r="I458" s="467"/>
      <c r="J458" s="467"/>
      <c r="K458" s="467"/>
    </row>
    <row r="459" spans="1:11" ht="20.25">
      <c r="A459" s="467"/>
      <c r="B459" s="467"/>
      <c r="C459" s="467"/>
      <c r="D459" s="467"/>
      <c r="E459" s="467"/>
      <c r="F459" s="467"/>
      <c r="G459" s="467"/>
      <c r="H459" s="467"/>
      <c r="I459" s="467"/>
      <c r="J459" s="467"/>
      <c r="K459" s="467"/>
    </row>
    <row r="460" spans="1:11" ht="20.25">
      <c r="A460" s="467"/>
      <c r="B460" s="467"/>
      <c r="C460" s="467"/>
      <c r="D460" s="467"/>
      <c r="E460" s="467"/>
      <c r="F460" s="467"/>
      <c r="G460" s="467"/>
      <c r="H460" s="467"/>
      <c r="I460" s="467"/>
      <c r="J460" s="467"/>
      <c r="K460" s="467"/>
    </row>
    <row r="461" spans="1:11" ht="20.25">
      <c r="A461" s="467"/>
      <c r="B461" s="467"/>
      <c r="C461" s="467"/>
      <c r="D461" s="467"/>
      <c r="E461" s="467"/>
      <c r="F461" s="467"/>
      <c r="G461" s="467"/>
      <c r="H461" s="467"/>
      <c r="I461" s="467"/>
      <c r="J461" s="467"/>
      <c r="K461" s="467"/>
    </row>
    <row r="462" spans="1:11" ht="20.25">
      <c r="A462" s="467"/>
      <c r="B462" s="467"/>
      <c r="C462" s="467"/>
      <c r="D462" s="467"/>
      <c r="E462" s="467"/>
      <c r="F462" s="467"/>
      <c r="G462" s="467"/>
      <c r="H462" s="467"/>
      <c r="I462" s="467"/>
      <c r="J462" s="467"/>
      <c r="K462" s="467"/>
    </row>
    <row r="463" spans="1:11" ht="20.25">
      <c r="A463" s="467"/>
      <c r="B463" s="467"/>
      <c r="C463" s="467"/>
      <c r="D463" s="467"/>
      <c r="E463" s="467"/>
      <c r="F463" s="467"/>
      <c r="G463" s="467"/>
      <c r="H463" s="467"/>
      <c r="I463" s="467"/>
      <c r="J463" s="467"/>
      <c r="K463" s="467"/>
    </row>
    <row r="464" spans="1:11" ht="20.25">
      <c r="A464" s="467"/>
      <c r="B464" s="467"/>
      <c r="C464" s="467"/>
      <c r="D464" s="467"/>
      <c r="E464" s="467"/>
      <c r="F464" s="467"/>
      <c r="G464" s="467"/>
      <c r="H464" s="467"/>
      <c r="I464" s="467"/>
      <c r="J464" s="467"/>
      <c r="K464" s="467"/>
    </row>
    <row r="465" spans="1:11" ht="20.25">
      <c r="A465" s="467"/>
      <c r="B465" s="467"/>
      <c r="C465" s="467"/>
      <c r="D465" s="467"/>
      <c r="E465" s="467"/>
      <c r="F465" s="467"/>
      <c r="G465" s="467"/>
      <c r="H465" s="467"/>
      <c r="I465" s="467"/>
      <c r="J465" s="467"/>
      <c r="K465" s="467"/>
    </row>
    <row r="466" spans="1:11" ht="20.25">
      <c r="A466" s="467"/>
      <c r="B466" s="467"/>
      <c r="C466" s="467"/>
      <c r="D466" s="467"/>
      <c r="E466" s="467"/>
      <c r="F466" s="467"/>
      <c r="G466" s="467"/>
      <c r="H466" s="467"/>
      <c r="I466" s="467"/>
      <c r="J466" s="467"/>
      <c r="K466" s="467"/>
    </row>
    <row r="467" spans="1:11" ht="20.25">
      <c r="A467" s="467"/>
      <c r="B467" s="467"/>
      <c r="C467" s="467"/>
      <c r="D467" s="467"/>
      <c r="E467" s="467"/>
      <c r="F467" s="467"/>
      <c r="G467" s="467"/>
      <c r="H467" s="467"/>
      <c r="I467" s="467"/>
      <c r="J467" s="467"/>
      <c r="K467" s="467"/>
    </row>
    <row r="468" spans="1:11" ht="20.25">
      <c r="A468" s="467"/>
      <c r="B468" s="467"/>
      <c r="C468" s="467"/>
      <c r="D468" s="467"/>
      <c r="E468" s="467"/>
      <c r="F468" s="467"/>
      <c r="G468" s="467"/>
      <c r="H468" s="467"/>
      <c r="I468" s="467"/>
      <c r="J468" s="467"/>
      <c r="K468" s="467"/>
    </row>
    <row r="469" spans="1:11" ht="20.25">
      <c r="A469" s="467"/>
      <c r="B469" s="467"/>
      <c r="C469" s="467"/>
      <c r="D469" s="467"/>
      <c r="E469" s="467"/>
      <c r="F469" s="467"/>
      <c r="G469" s="467"/>
      <c r="H469" s="467"/>
      <c r="I469" s="467"/>
      <c r="J469" s="467"/>
      <c r="K469" s="467"/>
    </row>
    <row r="470" spans="1:11" ht="20.25">
      <c r="A470" s="467"/>
      <c r="B470" s="467"/>
      <c r="C470" s="467"/>
      <c r="D470" s="467"/>
      <c r="E470" s="467"/>
      <c r="F470" s="467"/>
      <c r="G470" s="467"/>
      <c r="H470" s="467"/>
      <c r="I470" s="467"/>
      <c r="J470" s="467"/>
      <c r="K470" s="467"/>
    </row>
    <row r="471" spans="1:11" ht="20.25">
      <c r="A471" s="467"/>
      <c r="B471" s="467"/>
      <c r="C471" s="467"/>
      <c r="D471" s="467"/>
      <c r="E471" s="467"/>
      <c r="F471" s="467"/>
      <c r="G471" s="467"/>
      <c r="H471" s="467"/>
      <c r="I471" s="467"/>
      <c r="J471" s="467"/>
      <c r="K471" s="467"/>
    </row>
    <row r="472" spans="1:11" ht="20.25">
      <c r="A472" s="467"/>
      <c r="B472" s="467"/>
      <c r="C472" s="467"/>
      <c r="D472" s="467"/>
      <c r="E472" s="467"/>
      <c r="F472" s="467"/>
      <c r="G472" s="467"/>
      <c r="H472" s="467"/>
      <c r="I472" s="467"/>
      <c r="J472" s="467"/>
      <c r="K472" s="467"/>
    </row>
    <row r="473" spans="1:11" ht="20.25">
      <c r="A473" s="467"/>
      <c r="B473" s="467"/>
      <c r="C473" s="467"/>
      <c r="D473" s="467"/>
      <c r="E473" s="467"/>
      <c r="F473" s="467"/>
      <c r="G473" s="467"/>
      <c r="H473" s="467"/>
      <c r="I473" s="467"/>
      <c r="J473" s="467"/>
      <c r="K473" s="467"/>
    </row>
    <row r="474" spans="1:11" ht="20.25">
      <c r="A474" s="467"/>
      <c r="B474" s="467"/>
      <c r="C474" s="467"/>
      <c r="D474" s="467"/>
      <c r="E474" s="467"/>
      <c r="F474" s="467"/>
      <c r="G474" s="467"/>
      <c r="H474" s="467"/>
      <c r="I474" s="467"/>
      <c r="J474" s="467"/>
      <c r="K474" s="467"/>
    </row>
    <row r="475" spans="1:11" ht="20.25">
      <c r="A475" s="467"/>
      <c r="B475" s="467"/>
      <c r="C475" s="467"/>
      <c r="D475" s="467"/>
      <c r="E475" s="467"/>
      <c r="F475" s="467"/>
      <c r="G475" s="467"/>
      <c r="H475" s="467"/>
      <c r="I475" s="467"/>
      <c r="J475" s="467"/>
      <c r="K475" s="467"/>
    </row>
    <row r="476" spans="1:11" ht="20.25">
      <c r="A476" s="467"/>
      <c r="B476" s="467"/>
      <c r="C476" s="467"/>
      <c r="D476" s="467"/>
      <c r="E476" s="467"/>
      <c r="F476" s="467"/>
      <c r="G476" s="467"/>
      <c r="H476" s="467"/>
      <c r="I476" s="467"/>
      <c r="J476" s="467"/>
      <c r="K476" s="467"/>
    </row>
    <row r="477" spans="1:11" ht="20.25">
      <c r="A477" s="467"/>
      <c r="B477" s="467"/>
      <c r="C477" s="467"/>
      <c r="D477" s="467"/>
      <c r="E477" s="467"/>
      <c r="F477" s="467"/>
      <c r="G477" s="467"/>
      <c r="H477" s="467"/>
      <c r="I477" s="467"/>
      <c r="J477" s="467"/>
      <c r="K477" s="467"/>
    </row>
    <row r="478" spans="1:11" ht="20.25">
      <c r="A478" s="467"/>
      <c r="B478" s="467"/>
      <c r="C478" s="467"/>
      <c r="D478" s="467"/>
      <c r="E478" s="467"/>
      <c r="F478" s="467"/>
      <c r="G478" s="467"/>
      <c r="H478" s="467"/>
      <c r="I478" s="467"/>
      <c r="J478" s="467"/>
      <c r="K478" s="467"/>
    </row>
    <row r="479" spans="1:11" ht="20.25">
      <c r="A479" s="467"/>
      <c r="B479" s="467"/>
      <c r="C479" s="467"/>
      <c r="D479" s="467"/>
      <c r="E479" s="467"/>
      <c r="F479" s="467"/>
      <c r="G479" s="467"/>
      <c r="H479" s="467"/>
      <c r="I479" s="467"/>
      <c r="J479" s="467"/>
      <c r="K479" s="467"/>
    </row>
    <row r="480" spans="1:11" ht="20.25">
      <c r="A480" s="467"/>
      <c r="B480" s="467"/>
      <c r="C480" s="467"/>
      <c r="D480" s="467"/>
      <c r="E480" s="467"/>
      <c r="F480" s="467"/>
      <c r="G480" s="467"/>
      <c r="H480" s="467"/>
      <c r="I480" s="467"/>
      <c r="J480" s="467"/>
      <c r="K480" s="467"/>
    </row>
    <row r="481" spans="1:11" ht="20.25">
      <c r="A481" s="467"/>
      <c r="B481" s="467"/>
      <c r="C481" s="467"/>
      <c r="D481" s="467"/>
      <c r="E481" s="467"/>
      <c r="F481" s="467"/>
      <c r="G481" s="467"/>
      <c r="H481" s="467"/>
      <c r="I481" s="467"/>
      <c r="J481" s="467"/>
      <c r="K481" s="467"/>
    </row>
    <row r="482" spans="1:11" ht="20.25">
      <c r="A482" s="467"/>
      <c r="B482" s="467"/>
      <c r="C482" s="467"/>
      <c r="D482" s="467"/>
      <c r="E482" s="467"/>
      <c r="F482" s="467"/>
      <c r="G482" s="467"/>
      <c r="H482" s="467"/>
      <c r="I482" s="467"/>
      <c r="J482" s="467"/>
      <c r="K482" s="467"/>
    </row>
    <row r="483" spans="1:11" ht="20.25">
      <c r="A483" s="467"/>
      <c r="B483" s="467"/>
      <c r="C483" s="467"/>
      <c r="D483" s="467"/>
      <c r="E483" s="467"/>
      <c r="F483" s="467"/>
      <c r="G483" s="467"/>
      <c r="H483" s="467"/>
      <c r="I483" s="467"/>
      <c r="J483" s="467"/>
      <c r="K483" s="467"/>
    </row>
    <row r="484" spans="1:11" ht="20.25">
      <c r="A484" s="467"/>
      <c r="B484" s="467"/>
      <c r="C484" s="467"/>
      <c r="D484" s="467"/>
      <c r="E484" s="467"/>
      <c r="F484" s="467"/>
      <c r="G484" s="467"/>
      <c r="H484" s="467"/>
      <c r="I484" s="467"/>
      <c r="J484" s="467"/>
      <c r="K484" s="467"/>
    </row>
    <row r="485" spans="1:11" ht="20.25">
      <c r="A485" s="467"/>
      <c r="B485" s="467"/>
      <c r="C485" s="467"/>
      <c r="D485" s="467"/>
      <c r="E485" s="467"/>
      <c r="F485" s="467"/>
      <c r="G485" s="467"/>
      <c r="H485" s="467"/>
      <c r="I485" s="467"/>
      <c r="J485" s="467"/>
      <c r="K485" s="467"/>
    </row>
    <row r="486" spans="1:11" ht="20.25">
      <c r="A486" s="467"/>
      <c r="B486" s="467"/>
      <c r="C486" s="467"/>
      <c r="D486" s="467"/>
      <c r="E486" s="467"/>
      <c r="F486" s="467"/>
      <c r="G486" s="467"/>
      <c r="H486" s="467"/>
      <c r="I486" s="467"/>
      <c r="J486" s="467"/>
      <c r="K486" s="467"/>
    </row>
    <row r="487" spans="1:11" ht="20.25">
      <c r="A487" s="467"/>
      <c r="B487" s="467"/>
      <c r="C487" s="467"/>
      <c r="D487" s="467"/>
      <c r="E487" s="467"/>
      <c r="F487" s="467"/>
      <c r="G487" s="467"/>
      <c r="H487" s="467"/>
      <c r="I487" s="467"/>
      <c r="J487" s="467"/>
      <c r="K487" s="467"/>
    </row>
    <row r="488" spans="1:11" ht="20.25">
      <c r="A488" s="467"/>
      <c r="B488" s="467"/>
      <c r="C488" s="467"/>
      <c r="D488" s="467"/>
      <c r="E488" s="467"/>
      <c r="F488" s="467"/>
      <c r="G488" s="467"/>
      <c r="H488" s="467"/>
      <c r="I488" s="467"/>
      <c r="J488" s="467"/>
      <c r="K488" s="467"/>
    </row>
    <row r="489" spans="1:11" ht="20.25">
      <c r="A489" s="467"/>
      <c r="B489" s="467"/>
      <c r="C489" s="467"/>
      <c r="D489" s="467"/>
      <c r="E489" s="467"/>
      <c r="F489" s="467"/>
      <c r="G489" s="467"/>
      <c r="H489" s="467"/>
      <c r="I489" s="467"/>
      <c r="J489" s="467"/>
      <c r="K489" s="467"/>
    </row>
    <row r="490" spans="1:11" ht="20.25">
      <c r="A490" s="467"/>
      <c r="B490" s="467"/>
      <c r="C490" s="467"/>
      <c r="D490" s="467"/>
      <c r="E490" s="467"/>
      <c r="F490" s="467"/>
      <c r="G490" s="467"/>
      <c r="H490" s="467"/>
      <c r="I490" s="467"/>
      <c r="J490" s="467"/>
      <c r="K490" s="467"/>
    </row>
    <row r="491" spans="1:11" ht="20.25">
      <c r="A491" s="467"/>
      <c r="B491" s="467"/>
      <c r="C491" s="467"/>
      <c r="D491" s="467"/>
      <c r="E491" s="467"/>
      <c r="F491" s="467"/>
      <c r="G491" s="467"/>
      <c r="H491" s="467"/>
      <c r="I491" s="467"/>
      <c r="J491" s="467"/>
      <c r="K491" s="467"/>
    </row>
    <row r="492" spans="1:11" ht="20.25">
      <c r="A492" s="467"/>
      <c r="B492" s="467"/>
      <c r="C492" s="467"/>
      <c r="D492" s="467"/>
      <c r="E492" s="467"/>
      <c r="F492" s="467"/>
      <c r="G492" s="467"/>
      <c r="H492" s="467"/>
      <c r="I492" s="467"/>
      <c r="J492" s="467"/>
      <c r="K492" s="467"/>
    </row>
    <row r="493" spans="1:11" ht="20.25">
      <c r="A493" s="467"/>
      <c r="B493" s="467"/>
      <c r="C493" s="467"/>
      <c r="D493" s="467"/>
      <c r="E493" s="467"/>
      <c r="F493" s="467"/>
      <c r="G493" s="467"/>
      <c r="H493" s="467"/>
      <c r="I493" s="467"/>
      <c r="J493" s="467"/>
      <c r="K493" s="467"/>
    </row>
    <row r="494" spans="1:11" ht="20.25">
      <c r="A494" s="467"/>
      <c r="B494" s="467"/>
      <c r="C494" s="467"/>
      <c r="D494" s="467"/>
      <c r="E494" s="467"/>
      <c r="F494" s="467"/>
      <c r="G494" s="467"/>
      <c r="H494" s="467"/>
      <c r="I494" s="467"/>
      <c r="J494" s="467"/>
      <c r="K494" s="467"/>
    </row>
    <row r="495" spans="1:11" ht="20.25">
      <c r="A495" s="467"/>
      <c r="B495" s="467"/>
      <c r="C495" s="467"/>
      <c r="D495" s="467"/>
      <c r="E495" s="467"/>
      <c r="F495" s="467"/>
      <c r="G495" s="467"/>
      <c r="H495" s="467"/>
      <c r="I495" s="467"/>
      <c r="J495" s="467"/>
      <c r="K495" s="467"/>
    </row>
    <row r="496" spans="1:11" ht="20.25">
      <c r="A496" s="467"/>
      <c r="B496" s="467"/>
      <c r="C496" s="467"/>
      <c r="D496" s="467"/>
      <c r="E496" s="467"/>
      <c r="F496" s="467"/>
      <c r="G496" s="467"/>
      <c r="H496" s="467"/>
      <c r="I496" s="467"/>
      <c r="J496" s="467"/>
      <c r="K496" s="467"/>
    </row>
    <row r="497" spans="1:11" ht="20.25">
      <c r="A497" s="467"/>
      <c r="B497" s="467"/>
      <c r="C497" s="467"/>
      <c r="D497" s="467"/>
      <c r="E497" s="467"/>
      <c r="F497" s="467"/>
      <c r="G497" s="467"/>
      <c r="H497" s="467"/>
      <c r="I497" s="467"/>
      <c r="J497" s="467"/>
      <c r="K497" s="467"/>
    </row>
    <row r="498" spans="1:11" ht="20.25">
      <c r="A498" s="467"/>
      <c r="B498" s="467"/>
      <c r="C498" s="467"/>
      <c r="D498" s="467"/>
      <c r="E498" s="467"/>
      <c r="F498" s="467"/>
      <c r="G498" s="467"/>
      <c r="H498" s="467"/>
      <c r="I498" s="467"/>
      <c r="J498" s="467"/>
      <c r="K498" s="467"/>
    </row>
    <row r="499" spans="1:11" ht="20.25">
      <c r="A499" s="467"/>
      <c r="B499" s="467"/>
      <c r="C499" s="467"/>
      <c r="D499" s="467"/>
      <c r="E499" s="467"/>
      <c r="F499" s="467"/>
      <c r="G499" s="467"/>
      <c r="H499" s="467"/>
      <c r="I499" s="467"/>
      <c r="J499" s="467"/>
      <c r="K499" s="467"/>
    </row>
    <row r="500" spans="1:11" ht="20.25">
      <c r="A500" s="467"/>
      <c r="B500" s="467"/>
      <c r="C500" s="467"/>
      <c r="D500" s="467"/>
      <c r="E500" s="467"/>
      <c r="F500" s="467"/>
      <c r="G500" s="467"/>
      <c r="H500" s="467"/>
      <c r="I500" s="467"/>
      <c r="J500" s="467"/>
      <c r="K500" s="467"/>
    </row>
    <row r="501" spans="1:11" ht="20.25">
      <c r="A501" s="467"/>
      <c r="B501" s="467"/>
      <c r="C501" s="467"/>
      <c r="D501" s="467"/>
      <c r="E501" s="467"/>
      <c r="F501" s="467"/>
      <c r="G501" s="467"/>
      <c r="H501" s="467"/>
      <c r="I501" s="467"/>
      <c r="J501" s="467"/>
      <c r="K501" s="467"/>
    </row>
    <row r="502" spans="1:11" ht="20.25">
      <c r="A502" s="467"/>
      <c r="B502" s="467"/>
      <c r="C502" s="467"/>
      <c r="D502" s="467"/>
      <c r="E502" s="467"/>
      <c r="F502" s="467"/>
      <c r="G502" s="467"/>
      <c r="H502" s="467"/>
      <c r="I502" s="467"/>
      <c r="J502" s="467"/>
      <c r="K502" s="467"/>
    </row>
    <row r="503" spans="1:11" ht="20.25">
      <c r="A503" s="467"/>
      <c r="B503" s="467"/>
      <c r="C503" s="467"/>
      <c r="D503" s="467"/>
      <c r="E503" s="467"/>
      <c r="F503" s="467"/>
      <c r="G503" s="467"/>
      <c r="H503" s="467"/>
      <c r="I503" s="467"/>
      <c r="J503" s="467"/>
      <c r="K503" s="467"/>
    </row>
    <row r="504" spans="1:11" ht="20.25">
      <c r="A504" s="467"/>
      <c r="B504" s="467"/>
      <c r="C504" s="467"/>
      <c r="D504" s="467"/>
      <c r="E504" s="467"/>
      <c r="F504" s="467"/>
      <c r="G504" s="467"/>
      <c r="H504" s="467"/>
      <c r="I504" s="467"/>
      <c r="J504" s="467"/>
      <c r="K504" s="467"/>
    </row>
    <row r="505" spans="1:11" ht="20.25">
      <c r="A505" s="467"/>
      <c r="B505" s="467"/>
      <c r="C505" s="467"/>
      <c r="D505" s="467"/>
      <c r="E505" s="467"/>
      <c r="F505" s="467"/>
      <c r="G505" s="467"/>
      <c r="H505" s="467"/>
      <c r="I505" s="467"/>
      <c r="J505" s="467"/>
      <c r="K505" s="467"/>
    </row>
    <row r="506" spans="1:11" ht="20.25">
      <c r="A506" s="467"/>
      <c r="B506" s="467"/>
      <c r="C506" s="467"/>
      <c r="D506" s="467"/>
      <c r="E506" s="467"/>
      <c r="F506" s="467"/>
      <c r="G506" s="467"/>
      <c r="H506" s="467"/>
      <c r="I506" s="467"/>
      <c r="J506" s="467"/>
      <c r="K506" s="467"/>
    </row>
    <row r="507" spans="1:11" ht="20.25">
      <c r="A507" s="467"/>
      <c r="B507" s="467"/>
      <c r="C507" s="467"/>
      <c r="D507" s="467"/>
      <c r="E507" s="467"/>
      <c r="F507" s="467"/>
      <c r="G507" s="467"/>
      <c r="H507" s="467"/>
      <c r="I507" s="467"/>
      <c r="J507" s="467"/>
      <c r="K507" s="467"/>
    </row>
    <row r="508" spans="1:11" ht="20.25">
      <c r="A508" s="467"/>
      <c r="B508" s="467"/>
      <c r="C508" s="467"/>
      <c r="D508" s="467"/>
      <c r="E508" s="467"/>
      <c r="F508" s="467"/>
      <c r="G508" s="467"/>
      <c r="H508" s="467"/>
      <c r="I508" s="467"/>
      <c r="J508" s="467"/>
      <c r="K508" s="467"/>
    </row>
    <row r="509" spans="1:11" ht="20.25">
      <c r="A509" s="467"/>
      <c r="B509" s="467"/>
      <c r="C509" s="467"/>
      <c r="D509" s="467"/>
      <c r="E509" s="467"/>
      <c r="F509" s="467"/>
      <c r="G509" s="467"/>
      <c r="H509" s="467"/>
      <c r="I509" s="467"/>
      <c r="J509" s="467"/>
      <c r="K509" s="467"/>
    </row>
    <row r="510" spans="1:11" ht="20.25">
      <c r="A510" s="467"/>
      <c r="B510" s="467"/>
      <c r="C510" s="467"/>
      <c r="D510" s="467"/>
      <c r="E510" s="467"/>
      <c r="F510" s="467"/>
      <c r="G510" s="467"/>
      <c r="H510" s="467"/>
      <c r="I510" s="467"/>
      <c r="J510" s="467"/>
      <c r="K510" s="467"/>
    </row>
    <row r="511" spans="1:11" ht="20.25">
      <c r="A511" s="467"/>
      <c r="B511" s="467"/>
      <c r="C511" s="467"/>
      <c r="D511" s="467"/>
      <c r="E511" s="467"/>
      <c r="F511" s="467"/>
      <c r="G511" s="467"/>
      <c r="H511" s="467"/>
      <c r="I511" s="467"/>
      <c r="J511" s="467"/>
      <c r="K511" s="467"/>
    </row>
    <row r="512" spans="1:11" ht="20.25">
      <c r="A512" s="467"/>
      <c r="B512" s="467"/>
      <c r="C512" s="467"/>
      <c r="D512" s="467"/>
      <c r="E512" s="467"/>
      <c r="F512" s="467"/>
      <c r="G512" s="467"/>
      <c r="H512" s="467"/>
      <c r="I512" s="467"/>
      <c r="J512" s="467"/>
      <c r="K512" s="467"/>
    </row>
    <row r="513" spans="1:11" ht="20.25">
      <c r="A513" s="467"/>
      <c r="B513" s="467"/>
      <c r="C513" s="467"/>
      <c r="D513" s="467"/>
      <c r="E513" s="467"/>
      <c r="F513" s="467"/>
      <c r="G513" s="467"/>
      <c r="H513" s="467"/>
      <c r="I513" s="467"/>
      <c r="J513" s="467"/>
      <c r="K513" s="467"/>
    </row>
    <row r="514" spans="1:11" ht="20.25">
      <c r="A514" s="467"/>
      <c r="B514" s="467"/>
      <c r="C514" s="467"/>
      <c r="D514" s="467"/>
      <c r="E514" s="467"/>
      <c r="F514" s="467"/>
      <c r="G514" s="467"/>
      <c r="H514" s="467"/>
      <c r="I514" s="467"/>
      <c r="J514" s="467"/>
      <c r="K514" s="467"/>
    </row>
    <row r="515" spans="1:11" ht="20.25">
      <c r="A515" s="467"/>
      <c r="B515" s="467"/>
      <c r="C515" s="467"/>
      <c r="D515" s="467"/>
      <c r="E515" s="467"/>
      <c r="F515" s="467"/>
      <c r="G515" s="467"/>
      <c r="H515" s="467"/>
      <c r="I515" s="467"/>
      <c r="J515" s="467"/>
      <c r="K515" s="467"/>
    </row>
    <row r="516" spans="1:11" ht="20.25">
      <c r="A516" s="467"/>
      <c r="B516" s="467"/>
      <c r="C516" s="467"/>
      <c r="D516" s="467"/>
      <c r="E516" s="467"/>
      <c r="F516" s="467"/>
      <c r="G516" s="467"/>
      <c r="H516" s="467"/>
      <c r="I516" s="467"/>
      <c r="J516" s="467"/>
      <c r="K516" s="467"/>
    </row>
    <row r="517" spans="1:11" ht="20.25">
      <c r="A517" s="467"/>
      <c r="B517" s="467"/>
      <c r="C517" s="467"/>
      <c r="D517" s="467"/>
      <c r="E517" s="467"/>
      <c r="F517" s="467"/>
      <c r="G517" s="467"/>
      <c r="H517" s="467"/>
      <c r="I517" s="467"/>
      <c r="J517" s="467"/>
      <c r="K517" s="467"/>
    </row>
    <row r="518" spans="1:11" ht="20.25">
      <c r="A518" s="467"/>
      <c r="B518" s="467"/>
      <c r="C518" s="467"/>
      <c r="D518" s="467"/>
      <c r="E518" s="467"/>
      <c r="F518" s="467"/>
      <c r="G518" s="467"/>
      <c r="H518" s="467"/>
      <c r="I518" s="467"/>
      <c r="J518" s="467"/>
      <c r="K518" s="467"/>
    </row>
    <row r="519" spans="1:11" ht="20.25">
      <c r="A519" s="467"/>
      <c r="B519" s="467"/>
      <c r="C519" s="467"/>
      <c r="D519" s="467"/>
      <c r="E519" s="467"/>
      <c r="F519" s="467"/>
      <c r="G519" s="467"/>
      <c r="H519" s="467"/>
      <c r="I519" s="467"/>
      <c r="J519" s="467"/>
      <c r="K519" s="467"/>
    </row>
    <row r="520" spans="1:11" ht="20.25">
      <c r="A520" s="467"/>
      <c r="B520" s="467"/>
      <c r="C520" s="467"/>
      <c r="D520" s="467"/>
      <c r="E520" s="467"/>
      <c r="F520" s="467"/>
      <c r="G520" s="467"/>
      <c r="H520" s="467"/>
      <c r="I520" s="467"/>
      <c r="J520" s="467"/>
      <c r="K520" s="467"/>
    </row>
    <row r="521" spans="1:11" ht="20.25">
      <c r="A521" s="467"/>
      <c r="B521" s="467"/>
      <c r="C521" s="467"/>
      <c r="D521" s="467"/>
      <c r="E521" s="467"/>
      <c r="F521" s="467"/>
      <c r="G521" s="467"/>
      <c r="H521" s="467"/>
      <c r="I521" s="467"/>
      <c r="J521" s="467"/>
      <c r="K521" s="467"/>
    </row>
    <row r="522" spans="1:11" ht="20.25">
      <c r="A522" s="467"/>
      <c r="B522" s="467"/>
      <c r="C522" s="467"/>
      <c r="D522" s="467"/>
      <c r="E522" s="467"/>
      <c r="F522" s="467"/>
      <c r="G522" s="467"/>
      <c r="H522" s="467"/>
      <c r="I522" s="467"/>
      <c r="J522" s="467"/>
      <c r="K522" s="467"/>
    </row>
    <row r="523" spans="1:11" ht="20.25">
      <c r="A523" s="467"/>
      <c r="B523" s="467"/>
      <c r="C523" s="467"/>
      <c r="D523" s="467"/>
      <c r="E523" s="467"/>
      <c r="F523" s="467"/>
      <c r="G523" s="467"/>
      <c r="H523" s="467"/>
      <c r="I523" s="467"/>
      <c r="J523" s="467"/>
      <c r="K523" s="467"/>
    </row>
    <row r="524" spans="1:11" ht="20.25">
      <c r="A524" s="467"/>
      <c r="B524" s="467"/>
      <c r="C524" s="467"/>
      <c r="D524" s="467"/>
      <c r="E524" s="467"/>
      <c r="F524" s="467"/>
      <c r="G524" s="467"/>
      <c r="H524" s="467"/>
      <c r="I524" s="467"/>
      <c r="J524" s="467"/>
      <c r="K524" s="467"/>
    </row>
    <row r="525" spans="1:11" ht="20.25">
      <c r="A525" s="467"/>
      <c r="B525" s="467"/>
      <c r="C525" s="467"/>
      <c r="D525" s="467"/>
      <c r="E525" s="467"/>
      <c r="F525" s="467"/>
      <c r="G525" s="467"/>
      <c r="H525" s="467"/>
      <c r="I525" s="467"/>
      <c r="J525" s="467"/>
      <c r="K525" s="467"/>
    </row>
    <row r="526" spans="1:11" ht="20.25">
      <c r="A526" s="467"/>
      <c r="B526" s="467"/>
      <c r="C526" s="467"/>
      <c r="D526" s="467"/>
      <c r="E526" s="467"/>
      <c r="F526" s="467"/>
      <c r="G526" s="467"/>
      <c r="H526" s="467"/>
      <c r="I526" s="467"/>
      <c r="J526" s="467"/>
      <c r="K526" s="467"/>
    </row>
    <row r="527" spans="1:11" ht="20.25">
      <c r="A527" s="467"/>
      <c r="B527" s="467"/>
      <c r="C527" s="467"/>
      <c r="D527" s="467"/>
      <c r="E527" s="467"/>
      <c r="F527" s="467"/>
      <c r="G527" s="467"/>
      <c r="H527" s="467"/>
      <c r="I527" s="467"/>
      <c r="J527" s="467"/>
      <c r="K527" s="467"/>
    </row>
    <row r="528" spans="1:11" ht="20.25">
      <c r="A528" s="467"/>
      <c r="B528" s="467"/>
      <c r="C528" s="467"/>
      <c r="D528" s="467"/>
      <c r="E528" s="467"/>
      <c r="F528" s="467"/>
      <c r="G528" s="467"/>
      <c r="H528" s="467"/>
      <c r="I528" s="467"/>
      <c r="J528" s="467"/>
      <c r="K528" s="467"/>
    </row>
    <row r="529" spans="1:11" ht="20.25">
      <c r="A529" s="467"/>
      <c r="B529" s="467"/>
      <c r="C529" s="467"/>
      <c r="D529" s="467"/>
      <c r="E529" s="467"/>
      <c r="F529" s="467"/>
      <c r="G529" s="467"/>
      <c r="H529" s="467"/>
      <c r="I529" s="467"/>
      <c r="J529" s="467"/>
      <c r="K529" s="467"/>
    </row>
    <row r="530" spans="1:11" ht="20.25">
      <c r="A530" s="467"/>
      <c r="B530" s="467"/>
      <c r="C530" s="467"/>
      <c r="D530" s="467"/>
      <c r="E530" s="467"/>
      <c r="F530" s="467"/>
      <c r="G530" s="467"/>
      <c r="H530" s="467"/>
      <c r="I530" s="467"/>
      <c r="J530" s="467"/>
      <c r="K530" s="467"/>
    </row>
    <row r="531" spans="1:11" ht="20.25">
      <c r="A531" s="467"/>
      <c r="B531" s="467"/>
      <c r="C531" s="467"/>
      <c r="D531" s="467"/>
      <c r="E531" s="467"/>
      <c r="F531" s="467"/>
      <c r="G531" s="467"/>
      <c r="H531" s="467"/>
      <c r="I531" s="467"/>
      <c r="J531" s="467"/>
      <c r="K531" s="467"/>
    </row>
    <row r="532" spans="1:11" ht="20.25">
      <c r="A532" s="467"/>
      <c r="B532" s="467"/>
      <c r="C532" s="467"/>
      <c r="D532" s="467"/>
      <c r="E532" s="467"/>
      <c r="F532" s="467"/>
      <c r="G532" s="467"/>
      <c r="H532" s="467"/>
      <c r="I532" s="467"/>
      <c r="J532" s="467"/>
      <c r="K532" s="467"/>
    </row>
    <row r="533" spans="1:11" ht="20.25">
      <c r="A533" s="467"/>
      <c r="B533" s="467"/>
      <c r="C533" s="467"/>
      <c r="D533" s="467"/>
      <c r="E533" s="467"/>
      <c r="F533" s="467"/>
      <c r="G533" s="467"/>
      <c r="H533" s="467"/>
      <c r="I533" s="467"/>
      <c r="J533" s="467"/>
      <c r="K533" s="467"/>
    </row>
    <row r="534" spans="1:11" ht="20.25">
      <c r="A534" s="467"/>
      <c r="B534" s="467"/>
      <c r="C534" s="467"/>
      <c r="D534" s="467"/>
      <c r="E534" s="467"/>
      <c r="F534" s="467"/>
      <c r="G534" s="467"/>
      <c r="H534" s="467"/>
      <c r="I534" s="467"/>
      <c r="J534" s="467"/>
      <c r="K534" s="467"/>
    </row>
    <row r="535" spans="1:11" ht="20.25">
      <c r="A535" s="467"/>
      <c r="B535" s="467"/>
      <c r="C535" s="467"/>
      <c r="D535" s="467"/>
      <c r="E535" s="467"/>
      <c r="F535" s="467"/>
      <c r="G535" s="467"/>
      <c r="H535" s="467"/>
      <c r="I535" s="467"/>
      <c r="J535" s="467"/>
      <c r="K535" s="467"/>
    </row>
    <row r="536" spans="1:11" ht="20.25">
      <c r="A536" s="467"/>
      <c r="B536" s="467"/>
      <c r="C536" s="467"/>
      <c r="D536" s="467"/>
      <c r="E536" s="467"/>
      <c r="F536" s="467"/>
      <c r="G536" s="467"/>
      <c r="H536" s="467"/>
      <c r="I536" s="467"/>
      <c r="J536" s="467"/>
      <c r="K536" s="467"/>
    </row>
    <row r="537" spans="1:11" ht="20.25">
      <c r="A537" s="467"/>
      <c r="B537" s="467"/>
      <c r="C537" s="467"/>
      <c r="D537" s="467"/>
      <c r="E537" s="467"/>
      <c r="F537" s="467"/>
      <c r="G537" s="467"/>
      <c r="H537" s="467"/>
      <c r="I537" s="467"/>
      <c r="J537" s="467"/>
      <c r="K537" s="467"/>
    </row>
    <row r="538" spans="1:11" ht="20.25">
      <c r="A538" s="467"/>
      <c r="B538" s="467"/>
      <c r="C538" s="467"/>
      <c r="D538" s="467"/>
      <c r="E538" s="467"/>
      <c r="F538" s="467"/>
      <c r="G538" s="467"/>
      <c r="H538" s="467"/>
      <c r="I538" s="467"/>
      <c r="J538" s="467"/>
      <c r="K538" s="467"/>
    </row>
    <row r="539" spans="1:11" ht="20.25">
      <c r="A539" s="467"/>
      <c r="B539" s="467"/>
      <c r="C539" s="467"/>
      <c r="D539" s="467"/>
      <c r="E539" s="467"/>
      <c r="F539" s="467"/>
      <c r="G539" s="467"/>
      <c r="H539" s="467"/>
      <c r="I539" s="467"/>
      <c r="J539" s="467"/>
      <c r="K539" s="467"/>
    </row>
    <row r="540" spans="1:11" ht="20.25">
      <c r="A540" s="467"/>
      <c r="B540" s="467"/>
      <c r="C540" s="467"/>
      <c r="D540" s="467"/>
      <c r="E540" s="467"/>
      <c r="F540" s="467"/>
      <c r="G540" s="467"/>
      <c r="H540" s="467"/>
      <c r="I540" s="467"/>
      <c r="J540" s="467"/>
      <c r="K540" s="467"/>
    </row>
    <row r="541" spans="1:11" ht="20.25">
      <c r="A541" s="467"/>
      <c r="B541" s="467"/>
      <c r="C541" s="467"/>
      <c r="D541" s="467"/>
      <c r="E541" s="467"/>
      <c r="F541" s="467"/>
      <c r="G541" s="467"/>
      <c r="H541" s="467"/>
      <c r="I541" s="467"/>
      <c r="J541" s="467"/>
      <c r="K541" s="467"/>
    </row>
    <row r="542" spans="1:11" ht="20.25">
      <c r="A542" s="467"/>
      <c r="B542" s="467"/>
      <c r="C542" s="467"/>
      <c r="D542" s="467"/>
      <c r="E542" s="467"/>
      <c r="F542" s="467"/>
      <c r="G542" s="467"/>
      <c r="H542" s="467"/>
      <c r="I542" s="467"/>
      <c r="J542" s="467"/>
      <c r="K542" s="467"/>
    </row>
    <row r="543" spans="1:11" ht="20.25">
      <c r="A543" s="467"/>
      <c r="B543" s="467"/>
      <c r="C543" s="467"/>
      <c r="D543" s="467"/>
      <c r="E543" s="467"/>
      <c r="F543" s="467"/>
      <c r="G543" s="467"/>
      <c r="H543" s="467"/>
      <c r="I543" s="467"/>
      <c r="J543" s="467"/>
      <c r="K543" s="467"/>
    </row>
    <row r="544" spans="1:11" ht="20.25">
      <c r="A544" s="467"/>
      <c r="B544" s="467"/>
      <c r="C544" s="467"/>
      <c r="D544" s="467"/>
      <c r="E544" s="467"/>
      <c r="F544" s="467"/>
      <c r="G544" s="467"/>
      <c r="H544" s="467"/>
      <c r="I544" s="467"/>
      <c r="J544" s="467"/>
      <c r="K544" s="467"/>
    </row>
    <row r="545" spans="1:11" ht="20.25">
      <c r="A545" s="467"/>
      <c r="B545" s="467"/>
      <c r="C545" s="467"/>
      <c r="D545" s="467"/>
      <c r="E545" s="467"/>
      <c r="F545" s="467"/>
      <c r="G545" s="467"/>
      <c r="H545" s="467"/>
      <c r="I545" s="467"/>
      <c r="J545" s="467"/>
      <c r="K545" s="467"/>
    </row>
    <row r="546" spans="1:11" ht="20.25">
      <c r="A546" s="467"/>
      <c r="B546" s="467"/>
      <c r="C546" s="467"/>
      <c r="D546" s="467"/>
      <c r="E546" s="467"/>
      <c r="F546" s="467"/>
      <c r="G546" s="467"/>
      <c r="H546" s="467"/>
      <c r="I546" s="467"/>
      <c r="J546" s="467"/>
      <c r="K546" s="467"/>
    </row>
    <row r="547" spans="1:11" ht="20.25">
      <c r="A547" s="467"/>
      <c r="B547" s="467"/>
      <c r="C547" s="467"/>
      <c r="D547" s="467"/>
      <c r="E547" s="467"/>
      <c r="F547" s="467"/>
      <c r="G547" s="467"/>
      <c r="H547" s="467"/>
      <c r="I547" s="467"/>
      <c r="J547" s="467"/>
      <c r="K547" s="467"/>
    </row>
    <row r="548" spans="1:11" ht="20.25">
      <c r="A548" s="467"/>
      <c r="B548" s="467"/>
      <c r="C548" s="467"/>
      <c r="D548" s="467"/>
      <c r="E548" s="467"/>
      <c r="F548" s="467"/>
      <c r="G548" s="467"/>
      <c r="H548" s="467"/>
      <c r="I548" s="467"/>
      <c r="J548" s="467"/>
      <c r="K548" s="467"/>
    </row>
    <row r="549" spans="1:11" ht="20.25">
      <c r="A549" s="467"/>
      <c r="B549" s="467"/>
      <c r="C549" s="467"/>
      <c r="D549" s="467"/>
      <c r="E549" s="467"/>
      <c r="F549" s="467"/>
      <c r="G549" s="467"/>
      <c r="H549" s="467"/>
      <c r="I549" s="467"/>
      <c r="J549" s="467"/>
      <c r="K549" s="467"/>
    </row>
    <row r="550" spans="1:11" ht="20.25">
      <c r="A550" s="467"/>
      <c r="B550" s="467"/>
      <c r="C550" s="467"/>
      <c r="D550" s="467"/>
      <c r="E550" s="467"/>
      <c r="F550" s="467"/>
      <c r="G550" s="467"/>
      <c r="H550" s="467"/>
      <c r="I550" s="467"/>
      <c r="J550" s="467"/>
      <c r="K550" s="467"/>
    </row>
    <row r="551" spans="1:11" ht="20.25">
      <c r="A551" s="467"/>
      <c r="B551" s="467"/>
      <c r="C551" s="467"/>
      <c r="D551" s="467"/>
      <c r="E551" s="467"/>
      <c r="F551" s="467"/>
      <c r="G551" s="467"/>
      <c r="H551" s="467"/>
      <c r="I551" s="467"/>
      <c r="J551" s="467"/>
      <c r="K551" s="467"/>
    </row>
    <row r="552" spans="1:11" ht="20.25">
      <c r="A552" s="467"/>
      <c r="B552" s="467"/>
      <c r="C552" s="467"/>
      <c r="D552" s="467"/>
      <c r="E552" s="467"/>
      <c r="F552" s="467"/>
      <c r="G552" s="467"/>
      <c r="H552" s="467"/>
      <c r="I552" s="467"/>
      <c r="J552" s="467"/>
      <c r="K552" s="467"/>
    </row>
    <row r="553" spans="1:11" ht="20.25">
      <c r="A553" s="467"/>
      <c r="B553" s="467"/>
      <c r="C553" s="467"/>
      <c r="D553" s="467"/>
      <c r="E553" s="467"/>
      <c r="F553" s="467"/>
      <c r="G553" s="467"/>
      <c r="H553" s="467"/>
      <c r="I553" s="467"/>
      <c r="J553" s="467"/>
      <c r="K553" s="467"/>
    </row>
    <row r="554" spans="1:11" ht="20.25">
      <c r="A554" s="467"/>
      <c r="B554" s="467"/>
      <c r="C554" s="467"/>
      <c r="D554" s="467"/>
      <c r="E554" s="467"/>
      <c r="F554" s="467"/>
      <c r="G554" s="467"/>
      <c r="H554" s="467"/>
      <c r="I554" s="467"/>
      <c r="J554" s="467"/>
      <c r="K554" s="467"/>
    </row>
    <row r="555" spans="1:11" ht="20.25">
      <c r="A555" s="467"/>
      <c r="B555" s="467"/>
      <c r="C555" s="467"/>
      <c r="D555" s="467"/>
      <c r="E555" s="467"/>
      <c r="F555" s="467"/>
      <c r="G555" s="467"/>
      <c r="H555" s="467"/>
      <c r="I555" s="467"/>
      <c r="J555" s="467"/>
      <c r="K555" s="467"/>
    </row>
    <row r="556" spans="1:11" ht="20.25">
      <c r="A556" s="467"/>
      <c r="B556" s="467"/>
      <c r="C556" s="467"/>
      <c r="D556" s="467"/>
      <c r="E556" s="467"/>
      <c r="F556" s="467"/>
      <c r="G556" s="467"/>
      <c r="H556" s="467"/>
      <c r="I556" s="467"/>
      <c r="J556" s="467"/>
      <c r="K556" s="467"/>
    </row>
    <row r="557" spans="1:11" ht="20.25">
      <c r="A557" s="467"/>
      <c r="B557" s="467"/>
      <c r="C557" s="467"/>
      <c r="D557" s="467"/>
      <c r="E557" s="467"/>
      <c r="F557" s="467"/>
      <c r="G557" s="467"/>
      <c r="H557" s="467"/>
      <c r="I557" s="467"/>
      <c r="J557" s="467"/>
      <c r="K557" s="467"/>
    </row>
    <row r="558" spans="1:11" ht="20.25">
      <c r="A558" s="467"/>
      <c r="B558" s="467"/>
      <c r="C558" s="467"/>
      <c r="D558" s="467"/>
      <c r="E558" s="467"/>
      <c r="F558" s="467"/>
      <c r="G558" s="467"/>
      <c r="H558" s="467"/>
      <c r="I558" s="467"/>
      <c r="J558" s="467"/>
      <c r="K558" s="467"/>
    </row>
    <row r="559" spans="1:11" ht="20.25">
      <c r="A559" s="467"/>
      <c r="B559" s="467"/>
      <c r="C559" s="467"/>
      <c r="D559" s="467"/>
      <c r="E559" s="467"/>
      <c r="F559" s="467"/>
      <c r="G559" s="467"/>
      <c r="H559" s="467"/>
      <c r="I559" s="467"/>
      <c r="J559" s="467"/>
      <c r="K559" s="467"/>
    </row>
    <row r="560" spans="1:11" ht="20.25">
      <c r="A560" s="467"/>
      <c r="B560" s="467"/>
      <c r="C560" s="467"/>
      <c r="D560" s="467"/>
      <c r="E560" s="467"/>
      <c r="F560" s="467"/>
      <c r="G560" s="467"/>
      <c r="H560" s="467"/>
      <c r="I560" s="467"/>
      <c r="J560" s="467"/>
      <c r="K560" s="467"/>
    </row>
    <row r="561" spans="1:11" ht="20.25">
      <c r="A561" s="467"/>
      <c r="B561" s="467"/>
      <c r="C561" s="467"/>
      <c r="D561" s="467"/>
      <c r="E561" s="467"/>
      <c r="F561" s="467"/>
      <c r="G561" s="467"/>
      <c r="H561" s="467"/>
      <c r="I561" s="467"/>
      <c r="J561" s="467"/>
      <c r="K561" s="467"/>
    </row>
    <row r="562" spans="1:11" ht="20.25">
      <c r="A562" s="467"/>
      <c r="B562" s="467"/>
      <c r="C562" s="467"/>
      <c r="D562" s="467"/>
      <c r="E562" s="467"/>
      <c r="F562" s="467"/>
      <c r="G562" s="467"/>
      <c r="H562" s="467"/>
      <c r="I562" s="467"/>
      <c r="J562" s="467"/>
      <c r="K562" s="467"/>
    </row>
    <row r="563" spans="1:11" ht="20.25">
      <c r="A563" s="467"/>
      <c r="B563" s="467"/>
      <c r="C563" s="467"/>
      <c r="D563" s="467"/>
      <c r="E563" s="467"/>
      <c r="F563" s="467"/>
      <c r="G563" s="467"/>
      <c r="H563" s="467"/>
      <c r="I563" s="467"/>
      <c r="J563" s="467"/>
      <c r="K563" s="467"/>
    </row>
    <row r="564" spans="1:11" ht="20.25">
      <c r="A564" s="467"/>
      <c r="B564" s="467"/>
      <c r="C564" s="467"/>
      <c r="D564" s="467"/>
      <c r="E564" s="467"/>
      <c r="F564" s="467"/>
      <c r="G564" s="467"/>
      <c r="H564" s="467"/>
      <c r="I564" s="467"/>
      <c r="J564" s="467"/>
      <c r="K564" s="467"/>
    </row>
    <row r="565" spans="1:11" ht="20.25">
      <c r="A565" s="467"/>
      <c r="B565" s="467"/>
      <c r="C565" s="467"/>
      <c r="D565" s="467"/>
      <c r="E565" s="467"/>
      <c r="F565" s="467"/>
      <c r="G565" s="467"/>
      <c r="H565" s="467"/>
      <c r="I565" s="467"/>
      <c r="J565" s="467"/>
      <c r="K565" s="467"/>
    </row>
    <row r="566" spans="1:11" ht="20.25">
      <c r="A566" s="467"/>
      <c r="B566" s="467"/>
      <c r="C566" s="467"/>
      <c r="D566" s="467"/>
      <c r="E566" s="467"/>
      <c r="F566" s="467"/>
      <c r="G566" s="467"/>
      <c r="H566" s="467"/>
      <c r="I566" s="467"/>
      <c r="J566" s="467"/>
      <c r="K566" s="467"/>
    </row>
    <row r="567" spans="1:11" ht="20.25">
      <c r="A567" s="467"/>
      <c r="B567" s="467"/>
      <c r="C567" s="467"/>
      <c r="D567" s="467"/>
      <c r="E567" s="467"/>
      <c r="F567" s="467"/>
      <c r="G567" s="467"/>
      <c r="H567" s="467"/>
      <c r="I567" s="467"/>
      <c r="J567" s="467"/>
      <c r="K567" s="467"/>
    </row>
    <row r="568" spans="1:11" ht="20.25">
      <c r="A568" s="467"/>
      <c r="B568" s="467"/>
      <c r="C568" s="467"/>
      <c r="D568" s="467"/>
      <c r="E568" s="467"/>
      <c r="F568" s="467"/>
      <c r="G568" s="467"/>
      <c r="H568" s="467"/>
      <c r="I568" s="467"/>
      <c r="J568" s="467"/>
      <c r="K568" s="467"/>
    </row>
    <row r="569" spans="1:11" ht="20.25">
      <c r="A569" s="467"/>
      <c r="B569" s="467"/>
      <c r="C569" s="467"/>
      <c r="D569" s="467"/>
      <c r="E569" s="467"/>
      <c r="F569" s="467"/>
      <c r="G569" s="467"/>
      <c r="H569" s="467"/>
      <c r="I569" s="467"/>
      <c r="J569" s="467"/>
      <c r="K569" s="467"/>
    </row>
    <row r="570" spans="1:11" ht="20.25">
      <c r="A570" s="467"/>
      <c r="B570" s="467"/>
      <c r="C570" s="467"/>
      <c r="D570" s="467"/>
      <c r="E570" s="467"/>
      <c r="F570" s="467"/>
      <c r="G570" s="467"/>
      <c r="H570" s="467"/>
      <c r="I570" s="467"/>
      <c r="J570" s="467"/>
      <c r="K570" s="467"/>
    </row>
    <row r="571" spans="1:11" ht="20.25">
      <c r="A571" s="467"/>
      <c r="B571" s="467"/>
      <c r="C571" s="467"/>
      <c r="D571" s="467"/>
      <c r="E571" s="467"/>
      <c r="F571" s="467"/>
      <c r="G571" s="467"/>
      <c r="H571" s="467"/>
      <c r="I571" s="467"/>
      <c r="J571" s="467"/>
      <c r="K571" s="467"/>
    </row>
    <row r="572" spans="1:11" ht="20.25">
      <c r="A572" s="467"/>
      <c r="B572" s="467"/>
      <c r="C572" s="467"/>
      <c r="D572" s="467"/>
      <c r="E572" s="467"/>
      <c r="F572" s="467"/>
      <c r="G572" s="467"/>
      <c r="H572" s="467"/>
      <c r="I572" s="467"/>
      <c r="J572" s="467"/>
      <c r="K572" s="467"/>
    </row>
    <row r="573" spans="1:11" ht="20.25">
      <c r="A573" s="467"/>
      <c r="B573" s="467"/>
      <c r="C573" s="467"/>
      <c r="D573" s="467"/>
      <c r="E573" s="467"/>
      <c r="F573" s="467"/>
      <c r="G573" s="467"/>
      <c r="H573" s="467"/>
      <c r="I573" s="467"/>
      <c r="J573" s="467"/>
      <c r="K573" s="467"/>
    </row>
    <row r="574" spans="1:11" ht="20.25">
      <c r="A574" s="467"/>
      <c r="B574" s="467"/>
      <c r="C574" s="467"/>
      <c r="D574" s="467"/>
      <c r="E574" s="467"/>
      <c r="F574" s="467"/>
      <c r="G574" s="467"/>
      <c r="H574" s="467"/>
      <c r="I574" s="467"/>
      <c r="J574" s="467"/>
      <c r="K574" s="467"/>
    </row>
    <row r="575" spans="1:11" ht="20.25">
      <c r="A575" s="467"/>
      <c r="B575" s="467"/>
      <c r="C575" s="467"/>
      <c r="D575" s="467"/>
      <c r="E575" s="467"/>
      <c r="F575" s="467"/>
      <c r="G575" s="467"/>
      <c r="H575" s="467"/>
      <c r="I575" s="467"/>
      <c r="J575" s="467"/>
      <c r="K575" s="467"/>
    </row>
    <row r="576" spans="1:11" ht="20.25">
      <c r="A576" s="467"/>
      <c r="B576" s="467"/>
      <c r="C576" s="467"/>
      <c r="D576" s="467"/>
      <c r="E576" s="467"/>
      <c r="F576" s="467"/>
      <c r="G576" s="467"/>
      <c r="H576" s="467"/>
      <c r="I576" s="467"/>
      <c r="J576" s="467"/>
      <c r="K576" s="467"/>
    </row>
    <row r="577" spans="1:11" ht="20.25">
      <c r="A577" s="467"/>
      <c r="B577" s="467"/>
      <c r="C577" s="467"/>
      <c r="D577" s="467"/>
      <c r="E577" s="467"/>
      <c r="F577" s="467"/>
      <c r="G577" s="467"/>
      <c r="H577" s="467"/>
      <c r="I577" s="467"/>
      <c r="J577" s="467"/>
      <c r="K577" s="467"/>
    </row>
    <row r="578" spans="1:11" ht="20.25">
      <c r="A578" s="467"/>
      <c r="B578" s="467"/>
      <c r="C578" s="467"/>
      <c r="D578" s="467"/>
      <c r="E578" s="467"/>
      <c r="F578" s="467"/>
      <c r="G578" s="467"/>
      <c r="H578" s="467"/>
      <c r="I578" s="467"/>
      <c r="J578" s="467"/>
      <c r="K578" s="467"/>
    </row>
    <row r="579" spans="1:11" ht="20.25">
      <c r="A579" s="467"/>
      <c r="B579" s="467"/>
      <c r="C579" s="467"/>
      <c r="D579" s="467"/>
      <c r="E579" s="467"/>
      <c r="F579" s="467"/>
      <c r="G579" s="467"/>
      <c r="H579" s="467"/>
      <c r="I579" s="467"/>
      <c r="J579" s="467"/>
      <c r="K579" s="467"/>
    </row>
    <row r="580" spans="1:11" ht="20.25">
      <c r="A580" s="467"/>
      <c r="B580" s="467"/>
      <c r="C580" s="467"/>
      <c r="D580" s="467"/>
      <c r="E580" s="467"/>
      <c r="F580" s="467"/>
      <c r="G580" s="467"/>
      <c r="H580" s="467"/>
      <c r="I580" s="467"/>
      <c r="J580" s="467"/>
      <c r="K580" s="467"/>
    </row>
    <row r="581" spans="1:11" ht="20.25">
      <c r="A581" s="467"/>
      <c r="B581" s="467"/>
      <c r="C581" s="467"/>
      <c r="D581" s="467"/>
      <c r="E581" s="467"/>
      <c r="F581" s="467"/>
      <c r="G581" s="467"/>
      <c r="H581" s="467"/>
      <c r="I581" s="467"/>
      <c r="J581" s="467"/>
      <c r="K581" s="467"/>
    </row>
    <row r="582" spans="1:11" ht="20.25">
      <c r="A582" s="467"/>
      <c r="B582" s="467"/>
      <c r="C582" s="467"/>
      <c r="D582" s="467"/>
      <c r="E582" s="467"/>
      <c r="F582" s="467"/>
      <c r="G582" s="467"/>
      <c r="H582" s="467"/>
      <c r="I582" s="467"/>
      <c r="J582" s="467"/>
      <c r="K582" s="467"/>
    </row>
    <row r="583" spans="1:11" ht="20.25">
      <c r="A583" s="467"/>
      <c r="B583" s="467"/>
      <c r="C583" s="467"/>
      <c r="D583" s="467"/>
      <c r="E583" s="467"/>
      <c r="F583" s="467"/>
      <c r="G583" s="467"/>
      <c r="H583" s="467"/>
      <c r="I583" s="467"/>
      <c r="J583" s="467"/>
      <c r="K583" s="467"/>
    </row>
    <row r="584" spans="1:11" ht="20.25">
      <c r="A584" s="467"/>
      <c r="B584" s="467"/>
      <c r="C584" s="467"/>
      <c r="D584" s="467"/>
      <c r="E584" s="467"/>
      <c r="F584" s="467"/>
      <c r="G584" s="467"/>
      <c r="H584" s="467"/>
      <c r="I584" s="467"/>
      <c r="J584" s="467"/>
      <c r="K584" s="467"/>
    </row>
    <row r="585" spans="1:11" ht="20.25">
      <c r="A585" s="467"/>
      <c r="B585" s="467"/>
      <c r="C585" s="467"/>
      <c r="D585" s="467"/>
      <c r="E585" s="467"/>
      <c r="F585" s="467"/>
      <c r="G585" s="467"/>
      <c r="H585" s="467"/>
      <c r="I585" s="467"/>
      <c r="J585" s="467"/>
      <c r="K585" s="467"/>
    </row>
    <row r="586" spans="1:11" ht="20.25">
      <c r="A586" s="467"/>
      <c r="B586" s="467"/>
      <c r="C586" s="467"/>
      <c r="D586" s="467"/>
      <c r="E586" s="467"/>
      <c r="F586" s="467"/>
      <c r="G586" s="467"/>
      <c r="H586" s="467"/>
      <c r="I586" s="467"/>
      <c r="J586" s="467"/>
      <c r="K586" s="467"/>
    </row>
    <row r="587" spans="1:11" ht="20.25">
      <c r="A587" s="467"/>
      <c r="B587" s="467"/>
      <c r="C587" s="467"/>
      <c r="D587" s="467"/>
      <c r="E587" s="467"/>
      <c r="F587" s="467"/>
      <c r="G587" s="467"/>
      <c r="H587" s="467"/>
      <c r="I587" s="467"/>
      <c r="J587" s="467"/>
      <c r="K587" s="467"/>
    </row>
    <row r="588" spans="1:11" ht="20.25">
      <c r="A588" s="467"/>
      <c r="B588" s="467"/>
      <c r="C588" s="467"/>
      <c r="D588" s="467"/>
      <c r="E588" s="467"/>
      <c r="F588" s="467"/>
      <c r="G588" s="467"/>
      <c r="H588" s="467"/>
      <c r="I588" s="467"/>
      <c r="J588" s="467"/>
      <c r="K588" s="467"/>
    </row>
    <row r="589" spans="1:11" ht="20.25">
      <c r="A589" s="467"/>
      <c r="B589" s="467"/>
      <c r="C589" s="467"/>
      <c r="D589" s="467"/>
      <c r="E589" s="467"/>
      <c r="F589" s="467"/>
      <c r="G589" s="467"/>
      <c r="H589" s="467"/>
      <c r="I589" s="467"/>
      <c r="J589" s="467"/>
      <c r="K589" s="467"/>
    </row>
    <row r="590" spans="1:11" ht="20.25">
      <c r="A590" s="467"/>
      <c r="B590" s="467"/>
      <c r="C590" s="467"/>
      <c r="D590" s="467"/>
      <c r="E590" s="467"/>
      <c r="F590" s="467"/>
      <c r="G590" s="467"/>
      <c r="H590" s="467"/>
      <c r="I590" s="467"/>
      <c r="J590" s="467"/>
      <c r="K590" s="467"/>
    </row>
    <row r="591" spans="1:11" ht="20.25">
      <c r="A591" s="467"/>
      <c r="B591" s="467"/>
      <c r="C591" s="467"/>
      <c r="D591" s="467"/>
      <c r="E591" s="467"/>
      <c r="F591" s="467"/>
      <c r="G591" s="467"/>
      <c r="H591" s="467"/>
      <c r="I591" s="467"/>
      <c r="J591" s="467"/>
      <c r="K591" s="467"/>
    </row>
    <row r="592" spans="1:11" ht="20.25">
      <c r="A592" s="467"/>
      <c r="B592" s="467"/>
      <c r="C592" s="467"/>
      <c r="D592" s="467"/>
      <c r="E592" s="467"/>
      <c r="F592" s="467"/>
      <c r="G592" s="467"/>
      <c r="H592" s="467"/>
      <c r="I592" s="467"/>
      <c r="J592" s="467"/>
      <c r="K592" s="467"/>
    </row>
    <row r="593" spans="1:11" ht="20.25">
      <c r="A593" s="467"/>
      <c r="B593" s="467"/>
      <c r="C593" s="467"/>
      <c r="D593" s="467"/>
      <c r="E593" s="467"/>
      <c r="F593" s="467"/>
      <c r="G593" s="467"/>
      <c r="H593" s="467"/>
      <c r="I593" s="467"/>
      <c r="J593" s="467"/>
      <c r="K593" s="467"/>
    </row>
    <row r="594" spans="1:11" ht="20.25">
      <c r="A594" s="467"/>
      <c r="B594" s="467"/>
      <c r="C594" s="467"/>
      <c r="D594" s="467"/>
      <c r="E594" s="467"/>
      <c r="F594" s="467"/>
      <c r="G594" s="467"/>
      <c r="H594" s="467"/>
      <c r="I594" s="467"/>
      <c r="J594" s="467"/>
      <c r="K594" s="467"/>
    </row>
    <row r="595" spans="1:11" ht="20.25">
      <c r="A595" s="467"/>
      <c r="B595" s="467"/>
      <c r="C595" s="467"/>
      <c r="D595" s="467"/>
      <c r="E595" s="467"/>
      <c r="F595" s="467"/>
      <c r="G595" s="467"/>
      <c r="H595" s="467"/>
      <c r="I595" s="467"/>
      <c r="J595" s="467"/>
      <c r="K595" s="467"/>
    </row>
    <row r="596" spans="1:11" ht="20.25">
      <c r="A596" s="467"/>
      <c r="B596" s="467"/>
      <c r="C596" s="467"/>
      <c r="D596" s="467"/>
      <c r="E596" s="467"/>
      <c r="F596" s="467"/>
      <c r="G596" s="467"/>
      <c r="H596" s="467"/>
      <c r="I596" s="467"/>
      <c r="J596" s="467"/>
      <c r="K596" s="467"/>
    </row>
    <row r="597" spans="1:11" ht="20.25">
      <c r="A597" s="467"/>
      <c r="B597" s="467"/>
      <c r="C597" s="467"/>
      <c r="D597" s="467"/>
      <c r="E597" s="467"/>
      <c r="F597" s="467"/>
      <c r="G597" s="467"/>
      <c r="H597" s="467"/>
      <c r="I597" s="467"/>
      <c r="J597" s="467"/>
      <c r="K597" s="467"/>
    </row>
    <row r="598" spans="1:11" ht="20.25">
      <c r="A598" s="467"/>
      <c r="B598" s="467"/>
      <c r="C598" s="467"/>
      <c r="D598" s="467"/>
      <c r="E598" s="467"/>
      <c r="F598" s="467"/>
      <c r="G598" s="467"/>
      <c r="H598" s="467"/>
      <c r="I598" s="467"/>
      <c r="J598" s="467"/>
      <c r="K598" s="467"/>
    </row>
    <row r="599" spans="1:11" ht="20.25">
      <c r="A599" s="467"/>
      <c r="B599" s="467"/>
      <c r="C599" s="467"/>
      <c r="D599" s="467"/>
      <c r="E599" s="467"/>
      <c r="F599" s="467"/>
      <c r="G599" s="467"/>
      <c r="H599" s="467"/>
      <c r="I599" s="467"/>
      <c r="J599" s="467"/>
      <c r="K599" s="467"/>
    </row>
    <row r="600" spans="1:11" ht="20.25">
      <c r="A600" s="467"/>
      <c r="B600" s="467"/>
      <c r="C600" s="467"/>
      <c r="D600" s="467"/>
      <c r="E600" s="467"/>
      <c r="F600" s="467"/>
      <c r="G600" s="467"/>
      <c r="H600" s="467"/>
      <c r="I600" s="467"/>
      <c r="J600" s="467"/>
      <c r="K600" s="467"/>
    </row>
    <row r="601" spans="1:11" ht="20.25">
      <c r="A601" s="467"/>
      <c r="B601" s="467"/>
      <c r="C601" s="467"/>
      <c r="D601" s="467"/>
      <c r="E601" s="467"/>
      <c r="F601" s="467"/>
      <c r="G601" s="467"/>
      <c r="H601" s="467"/>
      <c r="I601" s="467"/>
      <c r="J601" s="467"/>
      <c r="K601" s="467"/>
    </row>
    <row r="602" spans="1:11" ht="20.25">
      <c r="A602" s="467"/>
      <c r="B602" s="467"/>
      <c r="C602" s="467"/>
      <c r="D602" s="467"/>
      <c r="E602" s="467"/>
      <c r="F602" s="467"/>
      <c r="G602" s="467"/>
      <c r="H602" s="467"/>
      <c r="I602" s="467"/>
      <c r="J602" s="467"/>
      <c r="K602" s="467"/>
    </row>
    <row r="603" spans="1:11" ht="20.25">
      <c r="A603" s="467"/>
      <c r="B603" s="467"/>
      <c r="C603" s="467"/>
      <c r="D603" s="467"/>
      <c r="E603" s="467"/>
      <c r="F603" s="467"/>
      <c r="G603" s="467"/>
      <c r="H603" s="467"/>
      <c r="I603" s="467"/>
      <c r="J603" s="467"/>
      <c r="K603" s="467"/>
    </row>
    <row r="604" spans="1:11" ht="20.25">
      <c r="A604" s="467"/>
      <c r="B604" s="467"/>
      <c r="C604" s="467"/>
      <c r="D604" s="467"/>
      <c r="E604" s="467"/>
      <c r="F604" s="467"/>
      <c r="G604" s="467"/>
      <c r="H604" s="467"/>
      <c r="I604" s="467"/>
      <c r="J604" s="467"/>
      <c r="K604" s="467"/>
    </row>
    <row r="605" spans="1:11" ht="20.25">
      <c r="A605" s="467"/>
      <c r="B605" s="467"/>
      <c r="C605" s="467"/>
      <c r="D605" s="467"/>
      <c r="E605" s="467"/>
      <c r="F605" s="467"/>
      <c r="G605" s="467"/>
      <c r="H605" s="467"/>
      <c r="I605" s="467"/>
      <c r="J605" s="467"/>
      <c r="K605" s="467"/>
    </row>
    <row r="606" spans="1:11" ht="20.25">
      <c r="A606" s="467"/>
      <c r="B606" s="467"/>
      <c r="C606" s="467"/>
      <c r="D606" s="467"/>
      <c r="E606" s="467"/>
      <c r="F606" s="467"/>
      <c r="G606" s="467"/>
      <c r="H606" s="467"/>
      <c r="I606" s="467"/>
      <c r="J606" s="467"/>
      <c r="K606" s="467"/>
    </row>
    <row r="607" spans="1:11" ht="20.25">
      <c r="A607" s="467"/>
      <c r="B607" s="467"/>
      <c r="C607" s="467"/>
      <c r="D607" s="467"/>
      <c r="E607" s="467"/>
      <c r="F607" s="467"/>
      <c r="G607" s="467"/>
      <c r="H607" s="467"/>
      <c r="I607" s="467"/>
      <c r="J607" s="467"/>
      <c r="K607" s="467"/>
    </row>
    <row r="608" spans="1:11" ht="20.25">
      <c r="A608" s="467"/>
      <c r="B608" s="467"/>
      <c r="C608" s="467"/>
      <c r="D608" s="467"/>
      <c r="E608" s="467"/>
      <c r="F608" s="467"/>
      <c r="G608" s="467"/>
      <c r="H608" s="467"/>
      <c r="I608" s="467"/>
      <c r="J608" s="467"/>
      <c r="K608" s="467"/>
    </row>
    <row r="609" spans="1:11" ht="20.25">
      <c r="A609" s="467"/>
      <c r="B609" s="467"/>
      <c r="C609" s="467"/>
      <c r="D609" s="467"/>
      <c r="E609" s="467"/>
      <c r="F609" s="467"/>
      <c r="G609" s="467"/>
      <c r="H609" s="467"/>
      <c r="I609" s="467"/>
      <c r="J609" s="467"/>
      <c r="K609" s="467"/>
    </row>
    <row r="610" spans="1:11" ht="20.25">
      <c r="A610" s="467"/>
      <c r="B610" s="467"/>
      <c r="C610" s="467"/>
      <c r="D610" s="467"/>
      <c r="E610" s="467"/>
      <c r="F610" s="467"/>
      <c r="G610" s="467"/>
      <c r="H610" s="467"/>
      <c r="I610" s="467"/>
      <c r="J610" s="467"/>
      <c r="K610" s="467"/>
    </row>
    <row r="611" spans="1:11" ht="20.25">
      <c r="A611" s="467"/>
      <c r="B611" s="467"/>
      <c r="C611" s="467"/>
      <c r="D611" s="467"/>
      <c r="E611" s="467"/>
      <c r="F611" s="467"/>
      <c r="G611" s="467"/>
      <c r="H611" s="467"/>
      <c r="I611" s="467"/>
      <c r="J611" s="467"/>
      <c r="K611" s="467"/>
    </row>
    <row r="612" spans="1:11" ht="20.25">
      <c r="A612" s="467"/>
      <c r="B612" s="467"/>
      <c r="C612" s="467"/>
      <c r="D612" s="467"/>
      <c r="E612" s="467"/>
      <c r="F612" s="467"/>
      <c r="G612" s="467"/>
      <c r="H612" s="467"/>
      <c r="I612" s="467"/>
      <c r="J612" s="467"/>
      <c r="K612" s="467"/>
    </row>
    <row r="613" spans="1:11" ht="20.25">
      <c r="A613" s="467"/>
      <c r="B613" s="467"/>
      <c r="C613" s="467"/>
      <c r="D613" s="467"/>
      <c r="E613" s="467"/>
      <c r="F613" s="467"/>
      <c r="G613" s="467"/>
      <c r="H613" s="467"/>
      <c r="I613" s="467"/>
      <c r="J613" s="467"/>
      <c r="K613" s="467"/>
    </row>
    <row r="614" spans="1:11" ht="20.25">
      <c r="A614" s="467"/>
      <c r="B614" s="467"/>
      <c r="C614" s="467"/>
      <c r="D614" s="467"/>
      <c r="E614" s="467"/>
      <c r="F614" s="467"/>
      <c r="G614" s="467"/>
      <c r="H614" s="467"/>
      <c r="I614" s="467"/>
      <c r="J614" s="467"/>
      <c r="K614" s="467"/>
    </row>
    <row r="615" spans="1:11" ht="20.25">
      <c r="A615" s="467"/>
      <c r="B615" s="467"/>
      <c r="C615" s="467"/>
      <c r="D615" s="467"/>
      <c r="E615" s="467"/>
      <c r="F615" s="467"/>
      <c r="G615" s="467"/>
      <c r="H615" s="467"/>
      <c r="I615" s="467"/>
      <c r="J615" s="467"/>
      <c r="K615" s="467"/>
    </row>
    <row r="616" spans="1:11" ht="20.25">
      <c r="A616" s="467"/>
      <c r="B616" s="467"/>
      <c r="C616" s="467"/>
      <c r="D616" s="467"/>
      <c r="E616" s="467"/>
      <c r="F616" s="467"/>
      <c r="G616" s="467"/>
      <c r="H616" s="467"/>
      <c r="I616" s="467"/>
      <c r="J616" s="467"/>
      <c r="K616" s="467"/>
    </row>
    <row r="617" spans="1:11" ht="20.25">
      <c r="A617" s="467"/>
      <c r="B617" s="467"/>
      <c r="C617" s="467"/>
      <c r="D617" s="467"/>
      <c r="E617" s="467"/>
      <c r="F617" s="467"/>
      <c r="G617" s="467"/>
      <c r="H617" s="467"/>
      <c r="I617" s="467"/>
      <c r="J617" s="467"/>
      <c r="K617" s="467"/>
    </row>
    <row r="618" spans="1:11" ht="20.25">
      <c r="A618" s="467"/>
      <c r="B618" s="467"/>
      <c r="C618" s="467"/>
      <c r="D618" s="467"/>
      <c r="E618" s="467"/>
      <c r="F618" s="467"/>
      <c r="G618" s="467"/>
      <c r="H618" s="467"/>
      <c r="I618" s="467"/>
      <c r="J618" s="467"/>
      <c r="K618" s="467"/>
    </row>
    <row r="619" spans="1:11" ht="20.25">
      <c r="A619" s="467"/>
      <c r="B619" s="467"/>
      <c r="C619" s="467"/>
      <c r="D619" s="467"/>
      <c r="E619" s="467"/>
      <c r="F619" s="467"/>
      <c r="G619" s="467"/>
      <c r="H619" s="467"/>
      <c r="I619" s="467"/>
      <c r="J619" s="467"/>
      <c r="K619" s="467"/>
    </row>
    <row r="620" spans="1:11" ht="20.25">
      <c r="A620" s="467"/>
      <c r="B620" s="467"/>
      <c r="C620" s="467"/>
      <c r="D620" s="467"/>
      <c r="E620" s="467"/>
      <c r="F620" s="467"/>
      <c r="G620" s="467"/>
      <c r="H620" s="467"/>
      <c r="I620" s="467"/>
      <c r="J620" s="467"/>
      <c r="K620" s="467"/>
    </row>
    <row r="621" spans="1:11" ht="20.25">
      <c r="A621" s="467"/>
      <c r="B621" s="467"/>
      <c r="C621" s="467"/>
      <c r="D621" s="467"/>
      <c r="E621" s="467"/>
      <c r="F621" s="467"/>
      <c r="G621" s="467"/>
      <c r="H621" s="467"/>
      <c r="I621" s="467"/>
      <c r="J621" s="467"/>
      <c r="K621" s="467"/>
    </row>
    <row r="622" spans="1:11" ht="20.25">
      <c r="A622" s="467"/>
      <c r="B622" s="467"/>
      <c r="C622" s="467"/>
      <c r="D622" s="467"/>
      <c r="E622" s="467"/>
      <c r="F622" s="467"/>
      <c r="G622" s="467"/>
      <c r="H622" s="467"/>
      <c r="I622" s="467"/>
      <c r="J622" s="467"/>
      <c r="K622" s="467"/>
    </row>
    <row r="623" spans="1:11" ht="20.25">
      <c r="A623" s="467"/>
      <c r="B623" s="467"/>
      <c r="C623" s="467"/>
      <c r="D623" s="467"/>
      <c r="E623" s="467"/>
      <c r="F623" s="467"/>
      <c r="G623" s="467"/>
      <c r="H623" s="467"/>
      <c r="I623" s="467"/>
      <c r="J623" s="467"/>
      <c r="K623" s="467"/>
    </row>
    <row r="624" spans="1:11" ht="20.25">
      <c r="A624" s="467"/>
      <c r="B624" s="467"/>
      <c r="C624" s="467"/>
      <c r="D624" s="467"/>
      <c r="E624" s="467"/>
      <c r="F624" s="467"/>
      <c r="G624" s="467"/>
      <c r="H624" s="467"/>
      <c r="I624" s="467"/>
      <c r="J624" s="467"/>
      <c r="K624" s="467"/>
    </row>
    <row r="625" spans="1:11" ht="20.25">
      <c r="A625" s="467"/>
      <c r="B625" s="467"/>
      <c r="C625" s="467"/>
      <c r="D625" s="467"/>
      <c r="E625" s="467"/>
      <c r="F625" s="467"/>
      <c r="G625" s="467"/>
      <c r="H625" s="467"/>
      <c r="I625" s="467"/>
      <c r="J625" s="467"/>
      <c r="K625" s="467"/>
    </row>
    <row r="626" spans="1:11" ht="20.25">
      <c r="A626" s="467"/>
      <c r="B626" s="467"/>
      <c r="C626" s="467"/>
      <c r="D626" s="467"/>
      <c r="E626" s="467"/>
      <c r="F626" s="467"/>
      <c r="G626" s="467"/>
      <c r="H626" s="467"/>
      <c r="I626" s="467"/>
      <c r="J626" s="467"/>
      <c r="K626" s="467"/>
    </row>
    <row r="627" spans="1:11" ht="20.25">
      <c r="A627" s="467"/>
      <c r="B627" s="467"/>
      <c r="C627" s="467"/>
      <c r="D627" s="467"/>
      <c r="E627" s="467"/>
      <c r="F627" s="467"/>
      <c r="G627" s="467"/>
      <c r="H627" s="467"/>
      <c r="I627" s="467"/>
      <c r="J627" s="467"/>
      <c r="K627" s="467"/>
    </row>
    <row r="628" spans="1:11" ht="20.25">
      <c r="A628" s="467"/>
      <c r="B628" s="467"/>
      <c r="C628" s="467"/>
      <c r="D628" s="467"/>
      <c r="E628" s="467"/>
      <c r="F628" s="467"/>
      <c r="G628" s="467"/>
      <c r="H628" s="467"/>
      <c r="I628" s="467"/>
      <c r="J628" s="467"/>
      <c r="K628" s="467"/>
    </row>
    <row r="629" spans="1:11" ht="20.25">
      <c r="A629" s="467"/>
      <c r="B629" s="467"/>
      <c r="C629" s="467"/>
      <c r="D629" s="467"/>
      <c r="E629" s="467"/>
      <c r="F629" s="467"/>
      <c r="G629" s="467"/>
      <c r="H629" s="467"/>
      <c r="I629" s="467"/>
      <c r="J629" s="467"/>
      <c r="K629" s="467"/>
    </row>
    <row r="630" spans="1:11" ht="20.25">
      <c r="A630" s="467"/>
      <c r="B630" s="467"/>
      <c r="C630" s="467"/>
      <c r="D630" s="467"/>
      <c r="E630" s="467"/>
      <c r="F630" s="467"/>
      <c r="G630" s="467"/>
      <c r="H630" s="467"/>
      <c r="I630" s="467"/>
      <c r="J630" s="467"/>
      <c r="K630" s="467"/>
    </row>
    <row r="631" spans="1:11" ht="20.25">
      <c r="A631" s="467"/>
      <c r="B631" s="467"/>
      <c r="C631" s="467"/>
      <c r="D631" s="467"/>
      <c r="E631" s="467"/>
      <c r="F631" s="467"/>
      <c r="G631" s="467"/>
      <c r="H631" s="467"/>
      <c r="I631" s="467"/>
      <c r="J631" s="467"/>
      <c r="K631" s="467"/>
    </row>
    <row r="632" spans="1:11" ht="20.25">
      <c r="A632" s="467"/>
      <c r="B632" s="467"/>
      <c r="C632" s="467"/>
      <c r="D632" s="467"/>
      <c r="E632" s="467"/>
      <c r="F632" s="467"/>
      <c r="G632" s="467"/>
      <c r="H632" s="467"/>
      <c r="I632" s="467"/>
      <c r="J632" s="467"/>
      <c r="K632" s="467"/>
    </row>
    <row r="633" spans="1:11" ht="20.25">
      <c r="A633" s="467"/>
      <c r="B633" s="467"/>
      <c r="C633" s="467"/>
      <c r="D633" s="467"/>
      <c r="E633" s="467"/>
      <c r="F633" s="467"/>
      <c r="G633" s="467"/>
      <c r="H633" s="467"/>
      <c r="I633" s="467"/>
      <c r="J633" s="467"/>
      <c r="K633" s="467"/>
    </row>
    <row r="634" spans="1:11" ht="20.25">
      <c r="A634" s="467"/>
      <c r="B634" s="467"/>
      <c r="C634" s="467"/>
      <c r="D634" s="467"/>
      <c r="E634" s="467"/>
      <c r="F634" s="467"/>
      <c r="G634" s="467"/>
      <c r="H634" s="467"/>
      <c r="I634" s="467"/>
      <c r="J634" s="467"/>
      <c r="K634" s="467"/>
    </row>
    <row r="635" spans="1:11" ht="20.25">
      <c r="A635" s="467"/>
      <c r="B635" s="467"/>
      <c r="C635" s="467"/>
      <c r="D635" s="467"/>
      <c r="E635" s="467"/>
      <c r="F635" s="467"/>
      <c r="G635" s="467"/>
      <c r="H635" s="467"/>
      <c r="I635" s="467"/>
      <c r="J635" s="467"/>
      <c r="K635" s="467"/>
    </row>
    <row r="636" spans="1:11" ht="20.25">
      <c r="A636" s="467"/>
      <c r="B636" s="467"/>
      <c r="C636" s="467"/>
      <c r="D636" s="467"/>
      <c r="E636" s="467"/>
      <c r="F636" s="467"/>
      <c r="G636" s="467"/>
      <c r="H636" s="467"/>
      <c r="I636" s="467"/>
      <c r="J636" s="467"/>
      <c r="K636" s="467"/>
    </row>
    <row r="637" spans="1:11" ht="20.25">
      <c r="A637" s="467"/>
      <c r="B637" s="467"/>
      <c r="C637" s="467"/>
      <c r="D637" s="467"/>
      <c r="E637" s="467"/>
      <c r="F637" s="467"/>
      <c r="G637" s="467"/>
      <c r="H637" s="467"/>
      <c r="I637" s="467"/>
      <c r="J637" s="467"/>
      <c r="K637" s="467"/>
    </row>
    <row r="638" spans="1:11" ht="20.25">
      <c r="A638" s="467"/>
      <c r="B638" s="467"/>
      <c r="C638" s="467"/>
      <c r="D638" s="467"/>
      <c r="E638" s="467"/>
      <c r="F638" s="467"/>
      <c r="G638" s="467"/>
      <c r="H638" s="467"/>
      <c r="I638" s="467"/>
      <c r="J638" s="467"/>
      <c r="K638" s="467"/>
    </row>
    <row r="639" spans="1:11" ht="20.25">
      <c r="A639" s="467"/>
      <c r="B639" s="467"/>
      <c r="C639" s="467"/>
      <c r="D639" s="467"/>
      <c r="E639" s="467"/>
      <c r="F639" s="467"/>
      <c r="G639" s="467"/>
      <c r="H639" s="467"/>
      <c r="I639" s="467"/>
      <c r="J639" s="467"/>
      <c r="K639" s="467"/>
    </row>
    <row r="640" spans="1:11" ht="20.25">
      <c r="A640" s="467"/>
      <c r="B640" s="467"/>
      <c r="C640" s="467"/>
      <c r="D640" s="467"/>
      <c r="E640" s="467"/>
      <c r="F640" s="467"/>
      <c r="G640" s="467"/>
      <c r="H640" s="467"/>
      <c r="I640" s="467"/>
      <c r="J640" s="467"/>
      <c r="K640" s="467"/>
    </row>
    <row r="641" spans="1:11" ht="20.25">
      <c r="A641" s="467"/>
      <c r="B641" s="467"/>
      <c r="C641" s="467"/>
      <c r="D641" s="467"/>
      <c r="E641" s="467"/>
      <c r="F641" s="467"/>
      <c r="G641" s="467"/>
      <c r="H641" s="467"/>
      <c r="I641" s="467"/>
      <c r="J641" s="467"/>
      <c r="K641" s="467"/>
    </row>
    <row r="642" spans="1:11" ht="20.25">
      <c r="A642" s="467"/>
      <c r="B642" s="467"/>
      <c r="C642" s="467"/>
      <c r="D642" s="467"/>
      <c r="E642" s="467"/>
      <c r="F642" s="467"/>
      <c r="G642" s="467"/>
      <c r="H642" s="467"/>
      <c r="I642" s="467"/>
      <c r="J642" s="467"/>
      <c r="K642" s="467"/>
    </row>
    <row r="643" spans="1:11" ht="20.25">
      <c r="A643" s="467"/>
      <c r="B643" s="467"/>
      <c r="C643" s="467"/>
      <c r="D643" s="467"/>
      <c r="E643" s="467"/>
      <c r="F643" s="467"/>
      <c r="G643" s="467"/>
      <c r="H643" s="467"/>
      <c r="I643" s="467"/>
      <c r="J643" s="467"/>
      <c r="K643" s="467"/>
    </row>
    <row r="644" spans="1:11" ht="20.25">
      <c r="A644" s="467"/>
      <c r="B644" s="467"/>
      <c r="C644" s="467"/>
      <c r="D644" s="467"/>
      <c r="E644" s="467"/>
      <c r="F644" s="467"/>
      <c r="G644" s="467"/>
      <c r="H644" s="467"/>
      <c r="I644" s="467"/>
      <c r="J644" s="467"/>
      <c r="K644" s="467"/>
    </row>
    <row r="645" spans="1:11" ht="20.25">
      <c r="A645" s="467"/>
      <c r="B645" s="467"/>
      <c r="C645" s="467"/>
      <c r="D645" s="467"/>
      <c r="E645" s="467"/>
      <c r="F645" s="467"/>
      <c r="G645" s="467"/>
      <c r="H645" s="467"/>
      <c r="I645" s="467"/>
      <c r="J645" s="467"/>
      <c r="K645" s="467"/>
    </row>
    <row r="646" spans="1:11" ht="20.25">
      <c r="A646" s="467"/>
      <c r="B646" s="467"/>
      <c r="C646" s="467"/>
      <c r="D646" s="467"/>
      <c r="E646" s="467"/>
      <c r="F646" s="467"/>
      <c r="G646" s="467"/>
      <c r="H646" s="467"/>
      <c r="I646" s="467"/>
      <c r="J646" s="467"/>
      <c r="K646" s="467"/>
    </row>
    <row r="647" spans="1:11" ht="20.25">
      <c r="A647" s="467"/>
      <c r="B647" s="467"/>
      <c r="C647" s="467"/>
      <c r="D647" s="467"/>
      <c r="E647" s="467"/>
      <c r="F647" s="467"/>
      <c r="G647" s="467"/>
      <c r="H647" s="467"/>
      <c r="I647" s="467"/>
      <c r="J647" s="467"/>
      <c r="K647" s="467"/>
    </row>
    <row r="648" spans="1:11" ht="20.25">
      <c r="A648" s="467"/>
      <c r="B648" s="467"/>
      <c r="C648" s="467"/>
      <c r="D648" s="467"/>
      <c r="E648" s="467"/>
      <c r="F648" s="467"/>
      <c r="G648" s="467"/>
      <c r="H648" s="467"/>
      <c r="I648" s="467"/>
      <c r="J648" s="467"/>
      <c r="K648" s="467"/>
    </row>
    <row r="649" spans="1:11" ht="20.25">
      <c r="A649" s="467"/>
      <c r="B649" s="467"/>
      <c r="C649" s="467"/>
      <c r="D649" s="467"/>
      <c r="E649" s="467"/>
      <c r="F649" s="467"/>
      <c r="G649" s="467"/>
      <c r="H649" s="467"/>
      <c r="I649" s="467"/>
      <c r="J649" s="467"/>
      <c r="K649" s="467"/>
    </row>
    <row r="650" spans="1:11" ht="20.25">
      <c r="A650" s="467"/>
      <c r="B650" s="467"/>
      <c r="C650" s="467"/>
      <c r="D650" s="467"/>
      <c r="E650" s="467"/>
      <c r="F650" s="467"/>
      <c r="G650" s="467"/>
      <c r="H650" s="467"/>
      <c r="I650" s="467"/>
      <c r="J650" s="467"/>
      <c r="K650" s="467"/>
    </row>
    <row r="651" spans="1:11" ht="20.25">
      <c r="A651" s="467"/>
      <c r="B651" s="467"/>
      <c r="C651" s="467"/>
      <c r="D651" s="467"/>
      <c r="E651" s="467"/>
      <c r="F651" s="467"/>
      <c r="G651" s="467"/>
      <c r="H651" s="467"/>
      <c r="I651" s="467"/>
      <c r="J651" s="467"/>
      <c r="K651" s="467"/>
    </row>
    <row r="652" spans="1:11" ht="20.25">
      <c r="A652" s="467"/>
      <c r="B652" s="467"/>
      <c r="C652" s="467"/>
      <c r="D652" s="467"/>
      <c r="E652" s="467"/>
      <c r="F652" s="467"/>
      <c r="G652" s="467"/>
      <c r="H652" s="467"/>
      <c r="I652" s="467"/>
      <c r="J652" s="467"/>
      <c r="K652" s="467"/>
    </row>
    <row r="653" spans="1:11" ht="20.25">
      <c r="A653" s="467"/>
      <c r="B653" s="467"/>
      <c r="C653" s="467"/>
      <c r="D653" s="467"/>
      <c r="E653" s="467"/>
      <c r="F653" s="467"/>
      <c r="G653" s="467"/>
      <c r="H653" s="467"/>
      <c r="I653" s="467"/>
      <c r="J653" s="467"/>
      <c r="K653" s="467"/>
    </row>
    <row r="654" spans="1:11" ht="20.25">
      <c r="A654" s="467"/>
      <c r="B654" s="467"/>
      <c r="C654" s="467"/>
      <c r="D654" s="467"/>
      <c r="E654" s="467"/>
      <c r="F654" s="467"/>
      <c r="G654" s="467"/>
      <c r="H654" s="467"/>
      <c r="I654" s="467"/>
      <c r="J654" s="467"/>
      <c r="K654" s="467"/>
    </row>
    <row r="655" spans="1:11" ht="20.25">
      <c r="A655" s="467"/>
      <c r="B655" s="467"/>
      <c r="C655" s="467"/>
      <c r="D655" s="467"/>
      <c r="E655" s="467"/>
      <c r="F655" s="467"/>
      <c r="G655" s="467"/>
      <c r="H655" s="467"/>
      <c r="I655" s="467"/>
      <c r="J655" s="467"/>
      <c r="K655" s="467"/>
    </row>
    <row r="656" spans="1:11" ht="20.25">
      <c r="A656" s="467"/>
      <c r="B656" s="467"/>
      <c r="C656" s="467"/>
      <c r="D656" s="467"/>
      <c r="E656" s="467"/>
      <c r="F656" s="467"/>
      <c r="G656" s="467"/>
      <c r="H656" s="467"/>
      <c r="I656" s="467"/>
      <c r="J656" s="467"/>
      <c r="K656" s="467"/>
    </row>
    <row r="657" spans="1:11" ht="20.25">
      <c r="A657" s="467"/>
      <c r="B657" s="467"/>
      <c r="C657" s="467"/>
      <c r="D657" s="467"/>
      <c r="E657" s="467"/>
      <c r="F657" s="467"/>
      <c r="G657" s="467"/>
      <c r="H657" s="467"/>
      <c r="I657" s="467"/>
      <c r="J657" s="467"/>
      <c r="K657" s="467"/>
    </row>
    <row r="658" spans="1:11" ht="20.25">
      <c r="A658" s="467"/>
      <c r="B658" s="467"/>
      <c r="C658" s="467"/>
      <c r="D658" s="467"/>
      <c r="E658" s="467"/>
      <c r="F658" s="467"/>
      <c r="G658" s="467"/>
      <c r="H658" s="467"/>
      <c r="I658" s="467"/>
      <c r="J658" s="467"/>
      <c r="K658" s="467"/>
    </row>
    <row r="659" spans="1:11" ht="20.25">
      <c r="A659" s="467"/>
      <c r="B659" s="467"/>
      <c r="C659" s="467"/>
      <c r="D659" s="467"/>
      <c r="E659" s="467"/>
      <c r="F659" s="467"/>
      <c r="G659" s="467"/>
      <c r="H659" s="467"/>
      <c r="I659" s="467"/>
      <c r="J659" s="467"/>
      <c r="K659" s="467"/>
    </row>
    <row r="660" spans="1:11" ht="20.25">
      <c r="A660" s="467"/>
      <c r="B660" s="467"/>
      <c r="C660" s="467"/>
      <c r="D660" s="467"/>
      <c r="E660" s="467"/>
      <c r="F660" s="467"/>
      <c r="G660" s="467"/>
      <c r="H660" s="467"/>
      <c r="I660" s="467"/>
      <c r="J660" s="467"/>
      <c r="K660" s="467"/>
    </row>
    <row r="661" spans="1:11" ht="20.25">
      <c r="A661" s="467"/>
      <c r="B661" s="467"/>
      <c r="C661" s="467"/>
      <c r="D661" s="467"/>
      <c r="E661" s="467"/>
      <c r="F661" s="467"/>
      <c r="G661" s="467"/>
      <c r="H661" s="467"/>
      <c r="I661" s="467"/>
      <c r="J661" s="467"/>
      <c r="K661" s="467"/>
    </row>
    <row r="662" spans="1:11" ht="20.25">
      <c r="A662" s="467"/>
      <c r="B662" s="467"/>
      <c r="C662" s="467"/>
      <c r="D662" s="467"/>
      <c r="E662" s="467"/>
      <c r="F662" s="467"/>
      <c r="G662" s="467"/>
      <c r="H662" s="467"/>
      <c r="I662" s="467"/>
      <c r="J662" s="467"/>
      <c r="K662" s="467"/>
    </row>
    <row r="663" spans="1:11" ht="20.25">
      <c r="A663" s="467"/>
      <c r="B663" s="467"/>
      <c r="C663" s="467"/>
      <c r="D663" s="467"/>
      <c r="E663" s="467"/>
      <c r="F663" s="467"/>
      <c r="G663" s="467"/>
      <c r="H663" s="467"/>
      <c r="I663" s="467"/>
      <c r="J663" s="467"/>
      <c r="K663" s="467"/>
    </row>
    <row r="664" spans="1:11" ht="20.25">
      <c r="A664" s="467"/>
      <c r="B664" s="467"/>
      <c r="C664" s="467"/>
      <c r="D664" s="467"/>
      <c r="E664" s="467"/>
      <c r="F664" s="467"/>
      <c r="G664" s="467"/>
      <c r="H664" s="467"/>
      <c r="I664" s="467"/>
      <c r="J664" s="467"/>
      <c r="K664" s="467"/>
    </row>
    <row r="665" spans="1:11" ht="20.25">
      <c r="A665" s="467"/>
      <c r="B665" s="467"/>
      <c r="C665" s="467"/>
      <c r="D665" s="467"/>
      <c r="E665" s="467"/>
      <c r="F665" s="467"/>
      <c r="G665" s="467"/>
      <c r="H665" s="467"/>
      <c r="I665" s="467"/>
      <c r="J665" s="467"/>
      <c r="K665" s="467"/>
    </row>
    <row r="666" spans="1:11" ht="20.25">
      <c r="A666" s="467"/>
      <c r="B666" s="467"/>
      <c r="C666" s="467"/>
      <c r="D666" s="467"/>
      <c r="E666" s="467"/>
      <c r="F666" s="467"/>
      <c r="G666" s="467"/>
      <c r="H666" s="467"/>
      <c r="I666" s="467"/>
      <c r="J666" s="467"/>
      <c r="K666" s="467"/>
    </row>
    <row r="667" spans="1:11" ht="20.25">
      <c r="A667" s="467"/>
      <c r="B667" s="467"/>
      <c r="C667" s="467"/>
      <c r="D667" s="467"/>
      <c r="E667" s="467"/>
      <c r="F667" s="467"/>
      <c r="G667" s="467"/>
      <c r="H667" s="467"/>
      <c r="I667" s="467"/>
      <c r="J667" s="467"/>
      <c r="K667" s="467"/>
    </row>
    <row r="668" spans="1:11" ht="20.25">
      <c r="A668" s="467"/>
      <c r="B668" s="467"/>
      <c r="C668" s="467"/>
      <c r="D668" s="467"/>
      <c r="E668" s="467"/>
      <c r="F668" s="467"/>
      <c r="G668" s="467"/>
      <c r="H668" s="467"/>
      <c r="I668" s="467"/>
      <c r="J668" s="467"/>
      <c r="K668" s="467"/>
    </row>
    <row r="669" spans="1:11" ht="20.25">
      <c r="A669" s="467"/>
      <c r="B669" s="467"/>
      <c r="C669" s="467"/>
      <c r="D669" s="467"/>
      <c r="E669" s="467"/>
      <c r="F669" s="467"/>
      <c r="G669" s="467"/>
      <c r="H669" s="467"/>
      <c r="I669" s="467"/>
      <c r="J669" s="467"/>
      <c r="K669" s="467"/>
    </row>
    <row r="670" spans="1:11" ht="20.25">
      <c r="A670" s="467"/>
      <c r="B670" s="467"/>
      <c r="C670" s="467"/>
      <c r="D670" s="467"/>
      <c r="E670" s="467"/>
      <c r="F670" s="467"/>
      <c r="G670" s="467"/>
      <c r="H670" s="467"/>
      <c r="I670" s="467"/>
      <c r="J670" s="467"/>
      <c r="K670" s="467"/>
    </row>
    <row r="671" spans="1:11" ht="20.25">
      <c r="A671" s="467"/>
      <c r="B671" s="467"/>
      <c r="C671" s="467"/>
      <c r="D671" s="467"/>
      <c r="E671" s="467"/>
      <c r="F671" s="467"/>
      <c r="G671" s="467"/>
      <c r="H671" s="467"/>
      <c r="I671" s="467"/>
      <c r="J671" s="467"/>
      <c r="K671" s="467"/>
    </row>
    <row r="672" spans="1:11" ht="20.25">
      <c r="A672" s="467"/>
      <c r="B672" s="467"/>
      <c r="C672" s="467"/>
      <c r="D672" s="467"/>
      <c r="E672" s="467"/>
      <c r="F672" s="467"/>
      <c r="G672" s="467"/>
      <c r="H672" s="467"/>
      <c r="I672" s="467"/>
      <c r="J672" s="467"/>
      <c r="K672" s="467"/>
    </row>
    <row r="673" spans="1:11" ht="20.25">
      <c r="A673" s="467"/>
      <c r="B673" s="467"/>
      <c r="C673" s="467"/>
      <c r="D673" s="467"/>
      <c r="E673" s="467"/>
      <c r="F673" s="467"/>
      <c r="G673" s="467"/>
      <c r="H673" s="467"/>
      <c r="I673" s="467"/>
      <c r="J673" s="467"/>
      <c r="K673" s="467"/>
    </row>
    <row r="674" spans="1:11" ht="20.25">
      <c r="A674" s="467"/>
      <c r="B674" s="467"/>
      <c r="C674" s="467"/>
      <c r="D674" s="467"/>
      <c r="E674" s="467"/>
      <c r="F674" s="467"/>
      <c r="G674" s="467"/>
      <c r="H674" s="467"/>
      <c r="I674" s="467"/>
      <c r="J674" s="467"/>
      <c r="K674" s="467"/>
    </row>
    <row r="675" spans="1:11" ht="20.25">
      <c r="A675" s="467"/>
      <c r="B675" s="467"/>
      <c r="C675" s="467"/>
      <c r="D675" s="467"/>
      <c r="E675" s="467"/>
      <c r="F675" s="467"/>
      <c r="G675" s="467"/>
      <c r="H675" s="467"/>
      <c r="I675" s="467"/>
      <c r="J675" s="467"/>
      <c r="K675" s="467"/>
    </row>
    <row r="676" spans="1:11" ht="20.25">
      <c r="A676" s="467"/>
      <c r="B676" s="467"/>
      <c r="C676" s="467"/>
      <c r="D676" s="467"/>
      <c r="E676" s="467"/>
      <c r="F676" s="467"/>
      <c r="G676" s="467"/>
      <c r="H676" s="467"/>
      <c r="I676" s="467"/>
      <c r="J676" s="467"/>
      <c r="K676" s="467"/>
    </row>
    <row r="677" spans="1:11" ht="20.25">
      <c r="A677" s="467"/>
      <c r="B677" s="467"/>
      <c r="C677" s="467"/>
      <c r="D677" s="467"/>
      <c r="E677" s="467"/>
      <c r="F677" s="467"/>
      <c r="G677" s="467"/>
      <c r="H677" s="467"/>
      <c r="I677" s="467"/>
      <c r="J677" s="467"/>
      <c r="K677" s="467"/>
    </row>
    <row r="678" spans="1:11" ht="20.25">
      <c r="A678" s="467"/>
      <c r="B678" s="467"/>
      <c r="C678" s="467"/>
      <c r="D678" s="467"/>
      <c r="E678" s="467"/>
      <c r="F678" s="467"/>
      <c r="G678" s="467"/>
      <c r="H678" s="467"/>
      <c r="I678" s="467"/>
      <c r="J678" s="467"/>
      <c r="K678" s="467"/>
    </row>
    <row r="679" spans="1:11" ht="20.25">
      <c r="A679" s="467"/>
      <c r="B679" s="467"/>
      <c r="C679" s="467"/>
      <c r="D679" s="467"/>
      <c r="E679" s="467"/>
      <c r="F679" s="467"/>
      <c r="G679" s="467"/>
      <c r="H679" s="467"/>
      <c r="I679" s="467"/>
      <c r="J679" s="467"/>
      <c r="K679" s="467"/>
    </row>
    <row r="680" spans="1:11" ht="20.25">
      <c r="A680" s="467"/>
      <c r="B680" s="467"/>
      <c r="C680" s="467"/>
      <c r="D680" s="467"/>
      <c r="E680" s="467"/>
      <c r="F680" s="467"/>
      <c r="G680" s="467"/>
      <c r="H680" s="467"/>
      <c r="I680" s="467"/>
      <c r="J680" s="467"/>
      <c r="K680" s="467"/>
    </row>
    <row r="681" spans="1:11" ht="20.25">
      <c r="A681" s="467"/>
      <c r="B681" s="467"/>
      <c r="C681" s="467"/>
      <c r="D681" s="467"/>
      <c r="E681" s="467"/>
      <c r="F681" s="467"/>
      <c r="G681" s="467"/>
      <c r="H681" s="467"/>
      <c r="I681" s="467"/>
      <c r="J681" s="467"/>
      <c r="K681" s="467"/>
    </row>
    <row r="682" spans="1:11" ht="20.25">
      <c r="A682" s="467"/>
      <c r="B682" s="467"/>
      <c r="C682" s="467"/>
      <c r="D682" s="467"/>
      <c r="E682" s="467"/>
      <c r="F682" s="467"/>
      <c r="G682" s="467"/>
      <c r="H682" s="467"/>
      <c r="I682" s="467"/>
      <c r="J682" s="467"/>
      <c r="K682" s="467"/>
    </row>
    <row r="683" spans="1:11" ht="20.25">
      <c r="A683" s="467"/>
      <c r="B683" s="467"/>
      <c r="C683" s="467"/>
      <c r="D683" s="467"/>
      <c r="E683" s="467"/>
      <c r="F683" s="467"/>
      <c r="G683" s="467"/>
      <c r="H683" s="467"/>
      <c r="I683" s="467"/>
      <c r="J683" s="467"/>
      <c r="K683" s="467"/>
    </row>
    <row r="684" spans="1:11" ht="20.25">
      <c r="A684" s="467"/>
      <c r="B684" s="467"/>
      <c r="C684" s="467"/>
      <c r="D684" s="467"/>
      <c r="E684" s="467"/>
      <c r="F684" s="467"/>
      <c r="G684" s="467"/>
      <c r="H684" s="467"/>
      <c r="I684" s="467"/>
      <c r="J684" s="467"/>
      <c r="K684" s="467"/>
    </row>
    <row r="685" spans="1:11" ht="20.25">
      <c r="A685" s="467"/>
      <c r="B685" s="467"/>
      <c r="C685" s="467"/>
      <c r="D685" s="467"/>
      <c r="E685" s="467"/>
      <c r="F685" s="467"/>
      <c r="G685" s="467"/>
      <c r="H685" s="467"/>
      <c r="I685" s="467"/>
      <c r="J685" s="467"/>
      <c r="K685" s="467"/>
    </row>
    <row r="686" spans="1:11" ht="20.25">
      <c r="A686" s="467"/>
      <c r="B686" s="467"/>
      <c r="C686" s="467"/>
      <c r="D686" s="467"/>
      <c r="E686" s="467"/>
      <c r="F686" s="467"/>
      <c r="G686" s="467"/>
      <c r="H686" s="467"/>
      <c r="I686" s="467"/>
      <c r="J686" s="467"/>
      <c r="K686" s="467"/>
    </row>
    <row r="687" spans="1:11" ht="20.25">
      <c r="A687" s="467"/>
      <c r="B687" s="467"/>
      <c r="C687" s="467"/>
      <c r="D687" s="467"/>
      <c r="E687" s="467"/>
      <c r="F687" s="467"/>
      <c r="G687" s="467"/>
      <c r="H687" s="467"/>
      <c r="I687" s="467"/>
      <c r="J687" s="467"/>
      <c r="K687" s="467"/>
    </row>
    <row r="688" spans="1:11" ht="20.25">
      <c r="A688" s="467"/>
      <c r="B688" s="467"/>
      <c r="C688" s="467"/>
      <c r="D688" s="467"/>
      <c r="E688" s="467"/>
      <c r="F688" s="467"/>
      <c r="G688" s="467"/>
      <c r="H688" s="467"/>
      <c r="I688" s="467"/>
      <c r="J688" s="467"/>
      <c r="K688" s="467"/>
    </row>
    <row r="689" spans="1:11" ht="20.25">
      <c r="A689" s="467"/>
      <c r="B689" s="467"/>
      <c r="C689" s="467"/>
      <c r="D689" s="467"/>
      <c r="E689" s="467"/>
      <c r="F689" s="467"/>
      <c r="G689" s="467"/>
      <c r="H689" s="467"/>
      <c r="I689" s="467"/>
      <c r="J689" s="467"/>
      <c r="K689" s="467"/>
    </row>
    <row r="690" spans="1:11" ht="20.25">
      <c r="A690" s="467"/>
      <c r="B690" s="467"/>
      <c r="C690" s="467"/>
      <c r="D690" s="467"/>
      <c r="E690" s="467"/>
      <c r="F690" s="467"/>
      <c r="G690" s="467"/>
      <c r="H690" s="467"/>
      <c r="I690" s="467"/>
      <c r="J690" s="467"/>
      <c r="K690" s="467"/>
    </row>
    <row r="691" spans="1:11" ht="20.25">
      <c r="A691" s="467"/>
      <c r="B691" s="467"/>
      <c r="C691" s="467"/>
      <c r="D691" s="467"/>
      <c r="E691" s="467"/>
      <c r="F691" s="467"/>
      <c r="G691" s="467"/>
      <c r="H691" s="467"/>
      <c r="I691" s="467"/>
      <c r="J691" s="467"/>
      <c r="K691" s="467"/>
    </row>
    <row r="692" spans="1:11" ht="20.25">
      <c r="A692" s="467"/>
      <c r="B692" s="467"/>
      <c r="C692" s="467"/>
      <c r="D692" s="467"/>
      <c r="E692" s="467"/>
      <c r="F692" s="467"/>
      <c r="G692" s="467"/>
      <c r="H692" s="467"/>
      <c r="I692" s="467"/>
      <c r="J692" s="467"/>
      <c r="K692" s="467"/>
    </row>
    <row r="693" spans="1:11" ht="20.25">
      <c r="A693" s="467"/>
      <c r="B693" s="467"/>
      <c r="C693" s="467"/>
      <c r="D693" s="467"/>
      <c r="E693" s="467"/>
      <c r="F693" s="467"/>
      <c r="G693" s="467"/>
      <c r="H693" s="467"/>
      <c r="I693" s="467"/>
      <c r="J693" s="467"/>
      <c r="K693" s="467"/>
    </row>
    <row r="694" spans="1:11" ht="20.25">
      <c r="A694" s="467"/>
      <c r="B694" s="467"/>
      <c r="C694" s="467"/>
      <c r="D694" s="467"/>
      <c r="E694" s="467"/>
      <c r="F694" s="467"/>
      <c r="G694" s="467"/>
      <c r="H694" s="467"/>
      <c r="I694" s="467"/>
      <c r="J694" s="467"/>
      <c r="K694" s="467"/>
    </row>
    <row r="695" spans="1:11" ht="20.25">
      <c r="A695" s="467"/>
      <c r="B695" s="467"/>
      <c r="C695" s="467"/>
      <c r="D695" s="467"/>
      <c r="E695" s="467"/>
      <c r="F695" s="467"/>
      <c r="G695" s="467"/>
      <c r="H695" s="467"/>
      <c r="I695" s="467"/>
      <c r="J695" s="467"/>
      <c r="K695" s="467"/>
    </row>
    <row r="696" spans="1:11" ht="20.25">
      <c r="A696" s="467"/>
      <c r="B696" s="467"/>
      <c r="C696" s="467"/>
      <c r="D696" s="467"/>
      <c r="E696" s="467"/>
      <c r="F696" s="467"/>
      <c r="G696" s="467"/>
      <c r="H696" s="467"/>
      <c r="I696" s="467"/>
      <c r="J696" s="467"/>
      <c r="K696" s="467"/>
    </row>
    <row r="697" spans="1:11" ht="20.25">
      <c r="A697" s="467"/>
      <c r="B697" s="467"/>
      <c r="C697" s="467"/>
      <c r="D697" s="467"/>
      <c r="E697" s="467"/>
      <c r="F697" s="467"/>
      <c r="G697" s="467"/>
      <c r="H697" s="467"/>
      <c r="I697" s="467"/>
      <c r="J697" s="467"/>
      <c r="K697" s="467"/>
    </row>
    <row r="698" spans="1:11" ht="20.25">
      <c r="A698" s="467"/>
      <c r="B698" s="467"/>
      <c r="C698" s="467"/>
      <c r="D698" s="467"/>
      <c r="E698" s="467"/>
      <c r="F698" s="467"/>
      <c r="G698" s="467"/>
      <c r="H698" s="467"/>
      <c r="I698" s="467"/>
      <c r="J698" s="467"/>
      <c r="K698" s="467"/>
    </row>
    <row r="699" spans="1:11" ht="20.25">
      <c r="A699" s="467"/>
      <c r="B699" s="467"/>
      <c r="C699" s="467"/>
      <c r="D699" s="467"/>
      <c r="E699" s="467"/>
      <c r="F699" s="467"/>
      <c r="G699" s="467"/>
      <c r="H699" s="467"/>
      <c r="I699" s="467"/>
      <c r="J699" s="467"/>
      <c r="K699" s="467"/>
    </row>
    <row r="700" spans="1:11" ht="20.25">
      <c r="A700" s="467"/>
      <c r="B700" s="467"/>
      <c r="C700" s="467"/>
      <c r="D700" s="467"/>
      <c r="E700" s="467"/>
      <c r="F700" s="467"/>
      <c r="G700" s="467"/>
      <c r="H700" s="467"/>
      <c r="I700" s="467"/>
      <c r="J700" s="467"/>
      <c r="K700" s="467"/>
    </row>
    <row r="701" spans="1:11" ht="20.25">
      <c r="A701" s="467"/>
      <c r="B701" s="467"/>
      <c r="C701" s="467"/>
      <c r="D701" s="467"/>
      <c r="E701" s="467"/>
      <c r="F701" s="467"/>
      <c r="G701" s="467"/>
      <c r="H701" s="467"/>
      <c r="I701" s="467"/>
      <c r="J701" s="467"/>
      <c r="K701" s="467"/>
    </row>
    <row r="702" spans="1:11" ht="20.25">
      <c r="A702" s="467"/>
      <c r="B702" s="467"/>
      <c r="C702" s="467"/>
      <c r="D702" s="467"/>
      <c r="E702" s="467"/>
      <c r="F702" s="467"/>
      <c r="G702" s="467"/>
      <c r="H702" s="467"/>
      <c r="I702" s="467"/>
      <c r="J702" s="467"/>
      <c r="K702" s="467"/>
    </row>
    <row r="703" spans="1:11" ht="20.25">
      <c r="A703" s="467"/>
      <c r="B703" s="467"/>
      <c r="C703" s="467"/>
      <c r="D703" s="467"/>
      <c r="E703" s="467"/>
      <c r="F703" s="467"/>
      <c r="G703" s="467"/>
      <c r="H703" s="467"/>
      <c r="I703" s="467"/>
      <c r="J703" s="467"/>
      <c r="K703" s="467"/>
    </row>
    <row r="704" spans="1:11" ht="20.25">
      <c r="A704" s="467"/>
      <c r="B704" s="467"/>
      <c r="C704" s="467"/>
      <c r="D704" s="467"/>
      <c r="E704" s="467"/>
      <c r="F704" s="467"/>
      <c r="G704" s="467"/>
      <c r="H704" s="467"/>
      <c r="I704" s="467"/>
      <c r="J704" s="467"/>
      <c r="K704" s="467"/>
    </row>
    <row r="705" spans="1:11" ht="20.25">
      <c r="A705" s="467"/>
      <c r="B705" s="467"/>
      <c r="C705" s="467"/>
      <c r="D705" s="467"/>
      <c r="E705" s="467"/>
      <c r="F705" s="467"/>
      <c r="G705" s="467"/>
      <c r="H705" s="467"/>
      <c r="I705" s="467"/>
      <c r="J705" s="467"/>
      <c r="K705" s="467"/>
    </row>
    <row r="706" spans="1:11" ht="20.25">
      <c r="A706" s="467"/>
      <c r="B706" s="467"/>
      <c r="C706" s="467"/>
      <c r="D706" s="467"/>
      <c r="E706" s="467"/>
      <c r="F706" s="467"/>
      <c r="G706" s="467"/>
      <c r="H706" s="467"/>
      <c r="I706" s="467"/>
      <c r="J706" s="467"/>
      <c r="K706" s="467"/>
    </row>
    <row r="707" spans="1:11" ht="20.25">
      <c r="A707" s="467"/>
      <c r="B707" s="467"/>
      <c r="C707" s="467"/>
      <c r="D707" s="467"/>
      <c r="E707" s="467"/>
      <c r="F707" s="467"/>
      <c r="G707" s="467"/>
      <c r="H707" s="467"/>
      <c r="I707" s="467"/>
      <c r="J707" s="467"/>
      <c r="K707" s="467"/>
    </row>
    <row r="708" spans="1:11" ht="20.25">
      <c r="A708" s="467"/>
      <c r="B708" s="467"/>
      <c r="C708" s="467"/>
      <c r="D708" s="467"/>
      <c r="E708" s="467"/>
      <c r="F708" s="467"/>
      <c r="G708" s="467"/>
      <c r="H708" s="467"/>
      <c r="I708" s="467"/>
      <c r="J708" s="467"/>
      <c r="K708" s="467"/>
    </row>
    <row r="709" spans="1:11" ht="20.25">
      <c r="A709" s="467"/>
      <c r="B709" s="467"/>
      <c r="C709" s="467"/>
      <c r="D709" s="467"/>
      <c r="E709" s="467"/>
      <c r="F709" s="467"/>
      <c r="G709" s="467"/>
      <c r="H709" s="467"/>
      <c r="I709" s="467"/>
      <c r="J709" s="467"/>
      <c r="K709" s="467"/>
    </row>
    <row r="710" spans="1:11" ht="20.25">
      <c r="A710" s="467"/>
      <c r="B710" s="467"/>
      <c r="C710" s="467"/>
      <c r="D710" s="467"/>
      <c r="E710" s="467"/>
      <c r="F710" s="467"/>
      <c r="G710" s="467"/>
      <c r="H710" s="467"/>
      <c r="I710" s="467"/>
      <c r="J710" s="467"/>
      <c r="K710" s="467"/>
    </row>
    <row r="711" spans="1:11" ht="20.25">
      <c r="A711" s="467"/>
      <c r="B711" s="467"/>
      <c r="C711" s="467"/>
      <c r="D711" s="467"/>
      <c r="E711" s="467"/>
      <c r="F711" s="467"/>
      <c r="G711" s="467"/>
      <c r="H711" s="467"/>
      <c r="I711" s="467"/>
      <c r="J711" s="467"/>
      <c r="K711" s="467"/>
    </row>
    <row r="712" spans="1:11" ht="20.25">
      <c r="A712" s="467"/>
      <c r="B712" s="467"/>
      <c r="C712" s="467"/>
      <c r="D712" s="467"/>
      <c r="E712" s="467"/>
      <c r="F712" s="467"/>
      <c r="G712" s="467"/>
      <c r="H712" s="467"/>
      <c r="I712" s="467"/>
      <c r="J712" s="467"/>
      <c r="K712" s="467"/>
    </row>
    <row r="713" spans="1:11" ht="20.25">
      <c r="A713" s="467"/>
      <c r="B713" s="467"/>
      <c r="C713" s="467"/>
      <c r="D713" s="467"/>
      <c r="E713" s="467"/>
      <c r="F713" s="467"/>
      <c r="G713" s="467"/>
      <c r="H713" s="467"/>
      <c r="I713" s="467"/>
      <c r="J713" s="467"/>
      <c r="K713" s="467"/>
    </row>
    <row r="714" spans="1:11" ht="20.25">
      <c r="A714" s="467"/>
      <c r="B714" s="467"/>
      <c r="C714" s="467"/>
      <c r="D714" s="467"/>
      <c r="E714" s="467"/>
      <c r="F714" s="467"/>
      <c r="G714" s="467"/>
      <c r="H714" s="467"/>
      <c r="I714" s="467"/>
      <c r="J714" s="467"/>
      <c r="K714" s="467"/>
    </row>
    <row r="715" spans="1:11" ht="20.25">
      <c r="A715" s="467"/>
      <c r="B715" s="467"/>
      <c r="C715" s="467"/>
      <c r="D715" s="467"/>
      <c r="E715" s="467"/>
      <c r="F715" s="467"/>
      <c r="G715" s="467"/>
      <c r="H715" s="467"/>
      <c r="I715" s="467"/>
      <c r="J715" s="467"/>
      <c r="K715" s="467"/>
    </row>
    <row r="716" spans="1:11" ht="20.25">
      <c r="A716" s="467"/>
      <c r="B716" s="467"/>
      <c r="C716" s="467"/>
      <c r="D716" s="467"/>
      <c r="E716" s="467"/>
      <c r="F716" s="467"/>
      <c r="G716" s="467"/>
      <c r="H716" s="467"/>
      <c r="I716" s="467"/>
      <c r="J716" s="467"/>
      <c r="K716" s="467"/>
    </row>
    <row r="717" spans="1:11" ht="20.25">
      <c r="A717" s="467"/>
      <c r="B717" s="467"/>
      <c r="C717" s="467"/>
      <c r="D717" s="467"/>
      <c r="E717" s="467"/>
      <c r="F717" s="467"/>
      <c r="G717" s="467"/>
      <c r="H717" s="467"/>
      <c r="I717" s="467"/>
      <c r="J717" s="467"/>
      <c r="K717" s="467"/>
    </row>
    <row r="718" spans="1:11" ht="20.25">
      <c r="A718" s="467"/>
      <c r="B718" s="467"/>
      <c r="C718" s="467"/>
      <c r="D718" s="467"/>
      <c r="E718" s="467"/>
      <c r="F718" s="467"/>
      <c r="G718" s="467"/>
      <c r="H718" s="467"/>
      <c r="I718" s="467"/>
      <c r="J718" s="467"/>
      <c r="K718" s="467"/>
    </row>
    <row r="719" spans="1:11" ht="20.25">
      <c r="A719" s="467"/>
      <c r="B719" s="467"/>
      <c r="C719" s="467"/>
      <c r="D719" s="467"/>
      <c r="E719" s="467"/>
      <c r="F719" s="467"/>
      <c r="G719" s="467"/>
      <c r="H719" s="467"/>
      <c r="I719" s="467"/>
      <c r="J719" s="467"/>
      <c r="K719" s="467"/>
    </row>
    <row r="720" spans="1:11" ht="20.25">
      <c r="A720" s="467"/>
      <c r="B720" s="467"/>
      <c r="C720" s="467"/>
      <c r="D720" s="467"/>
      <c r="E720" s="467"/>
      <c r="F720" s="467"/>
      <c r="G720" s="467"/>
      <c r="H720" s="467"/>
      <c r="I720" s="467"/>
      <c r="J720" s="467"/>
      <c r="K720" s="467"/>
    </row>
    <row r="721" spans="1:11" ht="20.25">
      <c r="A721" s="467"/>
      <c r="B721" s="467"/>
      <c r="C721" s="467"/>
      <c r="D721" s="467"/>
      <c r="E721" s="467"/>
      <c r="F721" s="467"/>
      <c r="G721" s="467"/>
      <c r="H721" s="467"/>
      <c r="I721" s="467"/>
      <c r="J721" s="467"/>
      <c r="K721" s="467"/>
    </row>
    <row r="722" spans="1:11" ht="20.25">
      <c r="A722" s="467"/>
      <c r="B722" s="467"/>
      <c r="C722" s="467"/>
      <c r="D722" s="467"/>
      <c r="E722" s="467"/>
      <c r="F722" s="467"/>
      <c r="G722" s="467"/>
      <c r="H722" s="467"/>
      <c r="I722" s="467"/>
      <c r="J722" s="467"/>
      <c r="K722" s="467"/>
    </row>
    <row r="723" spans="1:11" ht="20.25">
      <c r="A723" s="467"/>
      <c r="B723" s="467"/>
      <c r="C723" s="467"/>
      <c r="D723" s="467"/>
      <c r="E723" s="467"/>
      <c r="F723" s="467"/>
      <c r="G723" s="467"/>
      <c r="H723" s="467"/>
      <c r="I723" s="467"/>
      <c r="J723" s="467"/>
      <c r="K723" s="467"/>
    </row>
    <row r="724" spans="1:11" ht="20.25">
      <c r="A724" s="467"/>
      <c r="B724" s="467"/>
      <c r="C724" s="467"/>
      <c r="D724" s="467"/>
      <c r="E724" s="467"/>
      <c r="F724" s="467"/>
      <c r="G724" s="467"/>
      <c r="H724" s="467"/>
      <c r="I724" s="467"/>
      <c r="J724" s="467"/>
      <c r="K724" s="467"/>
    </row>
    <row r="725" spans="1:11" ht="20.25">
      <c r="A725" s="467"/>
      <c r="B725" s="467"/>
      <c r="C725" s="467"/>
      <c r="D725" s="467"/>
      <c r="E725" s="467"/>
      <c r="F725" s="467"/>
      <c r="G725" s="467"/>
      <c r="H725" s="467"/>
      <c r="I725" s="467"/>
      <c r="J725" s="467"/>
      <c r="K725" s="467"/>
    </row>
    <row r="726" spans="1:11" ht="20.25">
      <c r="A726" s="467"/>
      <c r="B726" s="467"/>
      <c r="C726" s="467"/>
      <c r="D726" s="467"/>
      <c r="E726" s="467"/>
      <c r="F726" s="467"/>
      <c r="G726" s="467"/>
      <c r="H726" s="467"/>
      <c r="I726" s="467"/>
      <c r="J726" s="467"/>
      <c r="K726" s="467"/>
    </row>
    <row r="727" spans="1:11" ht="20.25">
      <c r="A727" s="467"/>
      <c r="B727" s="467"/>
      <c r="C727" s="467"/>
      <c r="D727" s="467"/>
      <c r="E727" s="467"/>
      <c r="F727" s="467"/>
      <c r="G727" s="467"/>
      <c r="H727" s="467"/>
      <c r="I727" s="467"/>
      <c r="J727" s="467"/>
      <c r="K727" s="467"/>
    </row>
    <row r="728" spans="1:11" ht="20.25">
      <c r="A728" s="467"/>
      <c r="B728" s="467"/>
      <c r="C728" s="467"/>
      <c r="D728" s="467"/>
      <c r="E728" s="467"/>
      <c r="F728" s="467"/>
      <c r="G728" s="467"/>
      <c r="H728" s="467"/>
      <c r="I728" s="467"/>
      <c r="J728" s="467"/>
      <c r="K728" s="467"/>
    </row>
    <row r="729" spans="1:11" ht="20.25">
      <c r="A729" s="467"/>
      <c r="B729" s="467"/>
      <c r="C729" s="467"/>
      <c r="D729" s="467"/>
      <c r="E729" s="467"/>
      <c r="F729" s="467"/>
      <c r="G729" s="467"/>
      <c r="H729" s="467"/>
      <c r="I729" s="467"/>
      <c r="J729" s="467"/>
      <c r="K729" s="467"/>
    </row>
    <row r="730" spans="1:11" ht="20.25">
      <c r="A730" s="467"/>
      <c r="B730" s="467"/>
      <c r="C730" s="467"/>
      <c r="D730" s="467"/>
      <c r="E730" s="467"/>
      <c r="F730" s="467"/>
      <c r="G730" s="467"/>
      <c r="H730" s="467"/>
      <c r="I730" s="467"/>
      <c r="J730" s="467"/>
      <c r="K730" s="467"/>
    </row>
    <row r="731" spans="1:11" ht="20.25">
      <c r="A731" s="467"/>
      <c r="B731" s="467"/>
      <c r="C731" s="467"/>
      <c r="D731" s="467"/>
      <c r="E731" s="467"/>
      <c r="F731" s="467"/>
      <c r="G731" s="467"/>
      <c r="H731" s="467"/>
      <c r="I731" s="467"/>
      <c r="J731" s="467"/>
      <c r="K731" s="467"/>
    </row>
    <row r="732" spans="1:11" ht="20.25">
      <c r="A732" s="467"/>
      <c r="B732" s="467"/>
      <c r="C732" s="467"/>
      <c r="D732" s="467"/>
      <c r="E732" s="467"/>
      <c r="F732" s="467"/>
      <c r="G732" s="467"/>
      <c r="H732" s="467"/>
      <c r="I732" s="467"/>
      <c r="J732" s="467"/>
      <c r="K732" s="467"/>
    </row>
    <row r="733" spans="1:11" ht="20.25">
      <c r="A733" s="467"/>
      <c r="B733" s="467"/>
      <c r="C733" s="467"/>
      <c r="D733" s="467"/>
      <c r="E733" s="467"/>
      <c r="F733" s="467"/>
      <c r="G733" s="467"/>
      <c r="H733" s="467"/>
      <c r="I733" s="467"/>
      <c r="J733" s="467"/>
      <c r="K733" s="467"/>
    </row>
    <row r="734" spans="1:11" ht="20.25">
      <c r="A734" s="467"/>
      <c r="B734" s="467"/>
      <c r="C734" s="467"/>
      <c r="D734" s="467"/>
      <c r="E734" s="467"/>
      <c r="F734" s="467"/>
      <c r="G734" s="467"/>
      <c r="H734" s="467"/>
      <c r="I734" s="467"/>
      <c r="J734" s="467"/>
      <c r="K734" s="467"/>
    </row>
    <row r="735" spans="1:11" ht="20.25">
      <c r="A735" s="467"/>
      <c r="B735" s="467"/>
      <c r="C735" s="467"/>
      <c r="D735" s="467"/>
      <c r="E735" s="467"/>
      <c r="F735" s="467"/>
      <c r="G735" s="467"/>
      <c r="H735" s="467"/>
      <c r="I735" s="467"/>
      <c r="J735" s="467"/>
      <c r="K735" s="467"/>
    </row>
    <row r="736" spans="1:11" ht="20.25">
      <c r="A736" s="467"/>
      <c r="B736" s="467"/>
      <c r="C736" s="467"/>
      <c r="D736" s="467"/>
      <c r="E736" s="467"/>
      <c r="F736" s="467"/>
      <c r="G736" s="467"/>
      <c r="H736" s="467"/>
      <c r="I736" s="467"/>
      <c r="J736" s="467"/>
      <c r="K736" s="467"/>
    </row>
    <row r="737" spans="1:11" ht="20.25">
      <c r="A737" s="467"/>
      <c r="B737" s="467"/>
      <c r="C737" s="467"/>
      <c r="D737" s="467"/>
      <c r="E737" s="467"/>
      <c r="F737" s="467"/>
      <c r="G737" s="467"/>
      <c r="H737" s="467"/>
      <c r="I737" s="467"/>
      <c r="J737" s="467"/>
      <c r="K737" s="467"/>
    </row>
    <row r="738" spans="1:11" ht="20.25">
      <c r="A738" s="467"/>
      <c r="B738" s="467"/>
      <c r="C738" s="467"/>
      <c r="D738" s="467"/>
      <c r="E738" s="467"/>
      <c r="F738" s="467"/>
      <c r="G738" s="467"/>
      <c r="H738" s="467"/>
      <c r="I738" s="467"/>
      <c r="J738" s="467"/>
      <c r="K738" s="467"/>
    </row>
    <row r="739" spans="1:11" ht="20.25">
      <c r="A739" s="467"/>
      <c r="B739" s="467"/>
      <c r="C739" s="467"/>
      <c r="D739" s="467"/>
      <c r="E739" s="467"/>
      <c r="F739" s="467"/>
      <c r="G739" s="467"/>
      <c r="H739" s="467"/>
      <c r="I739" s="467"/>
      <c r="J739" s="467"/>
      <c r="K739" s="467"/>
    </row>
    <row r="740" spans="1:11" ht="20.25">
      <c r="A740" s="467"/>
      <c r="B740" s="467"/>
      <c r="C740" s="467"/>
      <c r="D740" s="467"/>
      <c r="E740" s="467"/>
      <c r="F740" s="467"/>
      <c r="G740" s="467"/>
      <c r="H740" s="467"/>
      <c r="I740" s="467"/>
      <c r="J740" s="467"/>
      <c r="K740" s="467"/>
    </row>
    <row r="741" spans="1:11" ht="20.25">
      <c r="A741" s="467"/>
      <c r="B741" s="467"/>
      <c r="C741" s="467"/>
      <c r="D741" s="467"/>
      <c r="E741" s="467"/>
      <c r="F741" s="467"/>
      <c r="G741" s="467"/>
      <c r="H741" s="467"/>
      <c r="I741" s="467"/>
      <c r="J741" s="467"/>
      <c r="K741" s="467"/>
    </row>
    <row r="742" spans="1:11" ht="20.25">
      <c r="A742" s="467"/>
      <c r="B742" s="467"/>
      <c r="C742" s="467"/>
      <c r="D742" s="467"/>
      <c r="E742" s="467"/>
      <c r="F742" s="467"/>
      <c r="G742" s="467"/>
      <c r="H742" s="467"/>
      <c r="I742" s="467"/>
      <c r="J742" s="467"/>
      <c r="K742" s="467"/>
    </row>
    <row r="743" spans="1:11" ht="20.25">
      <c r="A743" s="467"/>
      <c r="B743" s="467"/>
      <c r="C743" s="467"/>
      <c r="D743" s="467"/>
      <c r="E743" s="467"/>
      <c r="F743" s="467"/>
      <c r="G743" s="467"/>
      <c r="H743" s="467"/>
      <c r="I743" s="467"/>
      <c r="J743" s="467"/>
      <c r="K743" s="467"/>
    </row>
    <row r="744" spans="1:11" ht="20.25">
      <c r="A744" s="467"/>
      <c r="B744" s="467"/>
      <c r="C744" s="467"/>
      <c r="D744" s="467"/>
      <c r="E744" s="467"/>
      <c r="F744" s="467"/>
      <c r="G744" s="467"/>
      <c r="H744" s="467"/>
      <c r="I744" s="467"/>
      <c r="J744" s="467"/>
      <c r="K744" s="467"/>
    </row>
    <row r="745" spans="1:11" ht="20.25">
      <c r="A745" s="467"/>
      <c r="B745" s="467"/>
      <c r="C745" s="467"/>
      <c r="D745" s="467"/>
      <c r="E745" s="467"/>
      <c r="F745" s="467"/>
      <c r="G745" s="467"/>
      <c r="H745" s="467"/>
      <c r="I745" s="467"/>
      <c r="J745" s="467"/>
      <c r="K745" s="467"/>
    </row>
    <row r="746" spans="1:11" ht="20.25">
      <c r="A746" s="467"/>
      <c r="B746" s="467"/>
      <c r="C746" s="467"/>
      <c r="D746" s="467"/>
      <c r="E746" s="467"/>
      <c r="F746" s="467"/>
      <c r="G746" s="467"/>
      <c r="H746" s="467"/>
      <c r="I746" s="467"/>
      <c r="J746" s="467"/>
      <c r="K746" s="467"/>
    </row>
    <row r="747" spans="1:11" ht="20.25">
      <c r="A747" s="467"/>
      <c r="B747" s="467"/>
      <c r="C747" s="467"/>
      <c r="D747" s="467"/>
      <c r="E747" s="467"/>
      <c r="F747" s="467"/>
      <c r="G747" s="467"/>
      <c r="H747" s="467"/>
      <c r="I747" s="467"/>
      <c r="J747" s="467"/>
      <c r="K747" s="467"/>
    </row>
    <row r="748" spans="1:11" ht="20.25">
      <c r="A748" s="467"/>
      <c r="B748" s="467"/>
      <c r="C748" s="467"/>
      <c r="D748" s="467"/>
      <c r="E748" s="467"/>
      <c r="F748" s="467"/>
      <c r="G748" s="467"/>
      <c r="H748" s="467"/>
      <c r="I748" s="467"/>
      <c r="J748" s="467"/>
      <c r="K748" s="467"/>
    </row>
    <row r="749" spans="1:11" ht="20.25">
      <c r="A749" s="467"/>
      <c r="B749" s="467"/>
      <c r="C749" s="467"/>
      <c r="D749" s="467"/>
      <c r="E749" s="467"/>
      <c r="F749" s="467"/>
      <c r="G749" s="467"/>
      <c r="H749" s="467"/>
      <c r="I749" s="467"/>
      <c r="J749" s="467"/>
      <c r="K749" s="467"/>
    </row>
    <row r="750" spans="1:11" ht="20.25">
      <c r="A750" s="467"/>
      <c r="B750" s="467"/>
      <c r="C750" s="467"/>
      <c r="D750" s="467"/>
      <c r="E750" s="467"/>
      <c r="F750" s="467"/>
      <c r="G750" s="467"/>
      <c r="H750" s="467"/>
      <c r="I750" s="467"/>
      <c r="J750" s="467"/>
      <c r="K750" s="467"/>
    </row>
    <row r="751" spans="1:11" ht="20.25">
      <c r="A751" s="467"/>
      <c r="B751" s="467"/>
      <c r="C751" s="467"/>
      <c r="D751" s="467"/>
      <c r="E751" s="467"/>
      <c r="F751" s="467"/>
      <c r="G751" s="467"/>
      <c r="H751" s="467"/>
      <c r="I751" s="467"/>
      <c r="J751" s="467"/>
      <c r="K751" s="467"/>
    </row>
    <row r="752" spans="1:11" ht="20.25">
      <c r="A752" s="467"/>
      <c r="B752" s="467"/>
      <c r="C752" s="467"/>
      <c r="D752" s="467"/>
      <c r="E752" s="467"/>
      <c r="F752" s="467"/>
      <c r="G752" s="467"/>
      <c r="H752" s="467"/>
      <c r="I752" s="467"/>
      <c r="J752" s="467"/>
      <c r="K752" s="467"/>
    </row>
    <row r="753" spans="1:11" ht="20.25">
      <c r="A753" s="467"/>
      <c r="B753" s="467"/>
      <c r="C753" s="467"/>
      <c r="D753" s="467"/>
      <c r="E753" s="467"/>
      <c r="F753" s="467"/>
      <c r="G753" s="467"/>
      <c r="H753" s="467"/>
      <c r="I753" s="467"/>
      <c r="J753" s="467"/>
      <c r="K753" s="467"/>
    </row>
    <row r="754" spans="1:11" ht="20.25">
      <c r="A754" s="467"/>
      <c r="B754" s="467"/>
      <c r="C754" s="467"/>
      <c r="D754" s="467"/>
      <c r="E754" s="467"/>
      <c r="F754" s="467"/>
      <c r="G754" s="467"/>
      <c r="H754" s="467"/>
      <c r="I754" s="467"/>
      <c r="J754" s="467"/>
      <c r="K754" s="467"/>
    </row>
    <row r="755" spans="1:11" ht="20.25">
      <c r="A755" s="467"/>
      <c r="B755" s="467"/>
      <c r="C755" s="467"/>
      <c r="D755" s="467"/>
      <c r="E755" s="467"/>
      <c r="F755" s="467"/>
      <c r="G755" s="467"/>
      <c r="H755" s="467"/>
      <c r="I755" s="467"/>
      <c r="J755" s="467"/>
      <c r="K755" s="467"/>
    </row>
    <row r="756" spans="1:11" ht="20.25">
      <c r="A756" s="467"/>
      <c r="B756" s="467"/>
      <c r="C756" s="467"/>
      <c r="D756" s="467"/>
      <c r="E756" s="467"/>
      <c r="F756" s="467"/>
      <c r="G756" s="467"/>
      <c r="H756" s="467"/>
      <c r="I756" s="467"/>
      <c r="J756" s="467"/>
      <c r="K756" s="467"/>
    </row>
    <row r="757" spans="1:11" ht="20.25">
      <c r="A757" s="467"/>
      <c r="B757" s="467"/>
      <c r="C757" s="467"/>
      <c r="D757" s="467"/>
      <c r="E757" s="467"/>
      <c r="F757" s="467"/>
      <c r="G757" s="467"/>
      <c r="H757" s="467"/>
      <c r="I757" s="467"/>
      <c r="J757" s="467"/>
      <c r="K757" s="467"/>
    </row>
    <row r="758" spans="1:11" ht="20.25">
      <c r="A758" s="467"/>
      <c r="B758" s="467"/>
      <c r="C758" s="467"/>
      <c r="D758" s="467"/>
      <c r="E758" s="467"/>
      <c r="F758" s="467"/>
      <c r="G758" s="467"/>
      <c r="H758" s="467"/>
      <c r="I758" s="467"/>
      <c r="J758" s="467"/>
      <c r="K758" s="467"/>
    </row>
    <row r="759" spans="1:11" ht="20.25">
      <c r="A759" s="467"/>
      <c r="B759" s="467"/>
      <c r="C759" s="467"/>
      <c r="D759" s="467"/>
      <c r="E759" s="467"/>
      <c r="F759" s="467"/>
      <c r="G759" s="467"/>
      <c r="H759" s="467"/>
      <c r="I759" s="467"/>
      <c r="J759" s="467"/>
      <c r="K759" s="467"/>
    </row>
    <row r="760" spans="1:11" ht="20.25">
      <c r="A760" s="467"/>
      <c r="B760" s="467"/>
      <c r="C760" s="467"/>
      <c r="D760" s="467"/>
      <c r="E760" s="467"/>
      <c r="F760" s="467"/>
      <c r="G760" s="467"/>
      <c r="H760" s="467"/>
      <c r="I760" s="467"/>
      <c r="J760" s="467"/>
      <c r="K760" s="467"/>
    </row>
    <row r="761" spans="1:11" ht="20.25">
      <c r="A761" s="467"/>
      <c r="B761" s="467"/>
      <c r="C761" s="467"/>
      <c r="D761" s="467"/>
      <c r="E761" s="467"/>
      <c r="F761" s="467"/>
      <c r="G761" s="467"/>
      <c r="H761" s="467"/>
      <c r="I761" s="467"/>
      <c r="J761" s="467"/>
      <c r="K761" s="467"/>
    </row>
    <row r="762" spans="1:11" ht="20.25">
      <c r="A762" s="467"/>
      <c r="B762" s="467"/>
      <c r="C762" s="467"/>
      <c r="D762" s="467"/>
      <c r="E762" s="467"/>
      <c r="F762" s="467"/>
      <c r="G762" s="467"/>
      <c r="H762" s="467"/>
      <c r="I762" s="467"/>
      <c r="J762" s="467"/>
      <c r="K762" s="467"/>
    </row>
    <row r="763" spans="1:11" ht="20.25">
      <c r="A763" s="467"/>
      <c r="B763" s="467"/>
      <c r="C763" s="467"/>
      <c r="D763" s="467"/>
      <c r="E763" s="467"/>
      <c r="F763" s="467"/>
      <c r="G763" s="467"/>
      <c r="H763" s="467"/>
      <c r="I763" s="467"/>
      <c r="J763" s="467"/>
      <c r="K763" s="467"/>
    </row>
    <row r="764" spans="1:11" ht="20.25">
      <c r="A764" s="467"/>
      <c r="B764" s="467"/>
      <c r="C764" s="467"/>
      <c r="D764" s="467"/>
      <c r="E764" s="467"/>
      <c r="F764" s="467"/>
      <c r="G764" s="467"/>
      <c r="H764" s="467"/>
      <c r="I764" s="467"/>
      <c r="J764" s="467"/>
      <c r="K764" s="467"/>
    </row>
    <row r="765" spans="1:11" ht="20.25">
      <c r="A765" s="467"/>
      <c r="B765" s="467"/>
      <c r="C765" s="467"/>
      <c r="D765" s="467"/>
      <c r="E765" s="467"/>
      <c r="F765" s="467"/>
      <c r="G765" s="467"/>
      <c r="H765" s="467"/>
      <c r="I765" s="467"/>
      <c r="J765" s="467"/>
      <c r="K765" s="467"/>
    </row>
  </sheetData>
  <mergeCells count="63">
    <mergeCell ref="B6:C6"/>
    <mergeCell ref="A54:K54"/>
    <mergeCell ref="F2:K2"/>
    <mergeCell ref="A3:K3"/>
    <mergeCell ref="A4:B4"/>
    <mergeCell ref="C4:E4"/>
    <mergeCell ref="F4:G4"/>
    <mergeCell ref="H4:I4"/>
    <mergeCell ref="A5:B5"/>
    <mergeCell ref="C5:E5"/>
    <mergeCell ref="F5:G5"/>
    <mergeCell ref="H5:I5"/>
    <mergeCell ref="F6:G6"/>
    <mergeCell ref="B7:K7"/>
    <mergeCell ref="B8:D8"/>
    <mergeCell ref="E8:G8"/>
    <mergeCell ref="I8:K8"/>
    <mergeCell ref="H9:I9"/>
    <mergeCell ref="J9:K9"/>
    <mergeCell ref="H13:I13"/>
    <mergeCell ref="H14:I14"/>
    <mergeCell ref="H15:I15"/>
    <mergeCell ref="H10:I10"/>
    <mergeCell ref="H11:I11"/>
    <mergeCell ref="H12:I12"/>
    <mergeCell ref="H19:I19"/>
    <mergeCell ref="H20:I20"/>
    <mergeCell ref="H21:I21"/>
    <mergeCell ref="H16:I16"/>
    <mergeCell ref="H17:I17"/>
    <mergeCell ref="H18:I18"/>
    <mergeCell ref="H25:I25"/>
    <mergeCell ref="H26:I26"/>
    <mergeCell ref="H27:I27"/>
    <mergeCell ref="H22:I22"/>
    <mergeCell ref="H23:I23"/>
    <mergeCell ref="H24:I24"/>
    <mergeCell ref="H31:I31"/>
    <mergeCell ref="H32:I32"/>
    <mergeCell ref="H33:I33"/>
    <mergeCell ref="H28:I28"/>
    <mergeCell ref="H29:I29"/>
    <mergeCell ref="H30:I30"/>
    <mergeCell ref="H37:I37"/>
    <mergeCell ref="H38:I38"/>
    <mergeCell ref="H39:I39"/>
    <mergeCell ref="H34:I34"/>
    <mergeCell ref="H36:I36"/>
    <mergeCell ref="A35:K35"/>
    <mergeCell ref="H43:I43"/>
    <mergeCell ref="H44:I44"/>
    <mergeCell ref="H45:I45"/>
    <mergeCell ref="H40:I40"/>
    <mergeCell ref="H41:I41"/>
    <mergeCell ref="H42:I42"/>
    <mergeCell ref="B52:C52"/>
    <mergeCell ref="F52:G52"/>
    <mergeCell ref="B53:C53"/>
    <mergeCell ref="H46:I46"/>
    <mergeCell ref="H47:J47"/>
    <mergeCell ref="A48:K48"/>
    <mergeCell ref="B49:I49"/>
    <mergeCell ref="A50:K50"/>
  </mergeCells>
  <phoneticPr fontId="76" type="noConversion"/>
  <dataValidations count="2">
    <dataValidation type="list" allowBlank="1" showInputMessage="1" showErrorMessage="1" sqref="I6 F6:G6">
      <formula1>$V$1:$V$16</formula1>
    </dataValidation>
    <dataValidation type="list" allowBlank="1" showInputMessage="1" showErrorMessage="1" sqref="B6:C6">
      <formula1>$N$2:$N$6</formula1>
    </dataValidation>
  </dataValidations>
  <printOptions horizontalCentered="1"/>
  <pageMargins left="0.39370078740157483" right="0.39370078740157483" top="0.43307086614173229" bottom="0.59055118110236227" header="0.51181102362204722" footer="0.39370078740157483"/>
  <pageSetup paperSize="9" scale="94"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sheetPr>
    <tabColor rgb="FF92D050"/>
  </sheetPr>
  <dimension ref="A1:AK55"/>
  <sheetViews>
    <sheetView view="pageBreakPreview" topLeftCell="A4" zoomScaleSheetLayoutView="100" workbookViewId="0">
      <selection activeCell="H25" sqref="H25:J25"/>
    </sheetView>
  </sheetViews>
  <sheetFormatPr defaultRowHeight="15" customHeight="1"/>
  <cols>
    <col min="1" max="1" width="6.625" style="296" customWidth="1"/>
    <col min="2" max="2" width="8.625" style="296" customWidth="1"/>
    <col min="3" max="3" width="12.625" style="296" customWidth="1"/>
    <col min="4" max="4" width="9.625" style="296" customWidth="1"/>
    <col min="5" max="5" width="11.625" style="296" customWidth="1"/>
    <col min="6" max="6" width="7.75" style="403" customWidth="1"/>
    <col min="7" max="7" width="8.625" style="296" customWidth="1"/>
    <col min="8" max="8" width="11.625" style="296" customWidth="1"/>
    <col min="9" max="9" width="9.625" style="296" customWidth="1"/>
    <col min="10" max="10" width="11.625" style="296" customWidth="1"/>
    <col min="11" max="11" width="4.75" style="296" customWidth="1"/>
    <col min="12" max="12" width="4.875" style="473" customWidth="1"/>
    <col min="13" max="13" width="7.5" style="473" customWidth="1"/>
    <col min="14" max="14" width="6.625" style="296" customWidth="1"/>
    <col min="15" max="15" width="16.625" style="296" customWidth="1"/>
    <col min="16" max="16" width="15.625" style="296" customWidth="1"/>
    <col min="17" max="17" width="10" style="296" customWidth="1"/>
    <col min="18" max="18" width="6.625" style="296" customWidth="1"/>
    <col min="19" max="19" width="21.625" style="669" customWidth="1"/>
    <col min="20" max="20" width="10.625" style="669" customWidth="1"/>
    <col min="21" max="21" width="15.25" style="488" bestFit="1" customWidth="1"/>
    <col min="22" max="24" width="10.625" style="669" customWidth="1"/>
    <col min="25" max="27" width="9" style="296"/>
    <col min="28" max="28" width="12.375" style="296" customWidth="1"/>
    <col min="29" max="29" width="11.75" style="296" customWidth="1"/>
    <col min="30" max="30" width="18.375" style="296" customWidth="1"/>
    <col min="31" max="36" width="7" style="296" customWidth="1"/>
    <col min="37" max="16384" width="9" style="296"/>
  </cols>
  <sheetData>
    <row r="1" spans="1:37" ht="15" customHeight="1">
      <c r="A1" s="980" t="s">
        <v>1506</v>
      </c>
      <c r="B1" s="980"/>
      <c r="C1" s="980"/>
      <c r="D1" s="980"/>
      <c r="E1" s="980"/>
      <c r="F1" s="980"/>
      <c r="G1" s="980"/>
      <c r="H1" s="980"/>
      <c r="I1" s="980"/>
      <c r="J1" s="980"/>
      <c r="K1" s="470"/>
      <c r="M1" s="471" t="s">
        <v>1329</v>
      </c>
      <c r="N1" s="472"/>
      <c r="O1" s="296" t="s">
        <v>1330</v>
      </c>
      <c r="P1" s="296" t="s">
        <v>1329</v>
      </c>
    </row>
    <row r="2" spans="1:37" ht="15" customHeight="1" thickBot="1">
      <c r="A2" s="961" t="s">
        <v>1507</v>
      </c>
      <c r="B2" s="961"/>
      <c r="C2" s="961" t="str">
        <f>高光门板!C5</f>
        <v>S400332724</v>
      </c>
      <c r="D2" s="961"/>
      <c r="E2" s="961"/>
      <c r="F2" s="961"/>
      <c r="G2" s="826"/>
      <c r="H2" s="981" t="s">
        <v>795</v>
      </c>
      <c r="I2" s="981"/>
      <c r="J2" s="827">
        <f>+高光门板!K47</f>
        <v>5.1929619999999996</v>
      </c>
      <c r="M2" s="296"/>
      <c r="N2" s="472"/>
      <c r="O2" s="296" t="s">
        <v>1331</v>
      </c>
      <c r="P2" s="478" t="s">
        <v>1469</v>
      </c>
      <c r="V2" s="488" t="s">
        <v>1332</v>
      </c>
      <c r="W2" s="669" t="s">
        <v>1333</v>
      </c>
      <c r="X2" s="669" t="s">
        <v>1334</v>
      </c>
      <c r="AE2" s="488" t="s">
        <v>1332</v>
      </c>
      <c r="AF2" s="669" t="s">
        <v>1333</v>
      </c>
      <c r="AG2" s="669" t="s">
        <v>1334</v>
      </c>
      <c r="AH2" s="296" t="s">
        <v>1335</v>
      </c>
      <c r="AI2" s="296" t="s">
        <v>1046</v>
      </c>
    </row>
    <row r="3" spans="1:37" ht="15" customHeight="1">
      <c r="A3" s="987" t="s">
        <v>1508</v>
      </c>
      <c r="B3" s="982"/>
      <c r="C3" s="819" t="str">
        <f>高光门板!C4</f>
        <v>黑丹丹</v>
      </c>
      <c r="D3" s="988"/>
      <c r="E3" s="982"/>
      <c r="F3" s="990"/>
      <c r="G3" s="819" t="s">
        <v>1509</v>
      </c>
      <c r="H3" s="828">
        <f>高光门板!H5</f>
        <v>0</v>
      </c>
      <c r="I3" s="991" t="s">
        <v>1545</v>
      </c>
      <c r="J3" s="982" t="str">
        <f>高光门板!K6</f>
        <v>色诱</v>
      </c>
      <c r="O3" s="296" t="s">
        <v>1338</v>
      </c>
      <c r="S3" s="671" t="s">
        <v>1339</v>
      </c>
      <c r="T3" s="644" t="s">
        <v>1340</v>
      </c>
      <c r="U3" s="671" t="str">
        <f>IF($M$1=$P$1,$P$5,$P$6)</f>
        <v>稀料PX903</v>
      </c>
      <c r="V3" s="671">
        <v>1</v>
      </c>
      <c r="W3" s="671">
        <v>0.5</v>
      </c>
      <c r="X3" s="671">
        <v>0.6</v>
      </c>
      <c r="Y3" s="644">
        <v>325</v>
      </c>
      <c r="Z3" s="644">
        <v>2</v>
      </c>
      <c r="AA3" s="644">
        <f>Y3*Z3</f>
        <v>650</v>
      </c>
      <c r="AB3" s="672" t="s">
        <v>1341</v>
      </c>
      <c r="AC3" s="673" t="s">
        <v>1342</v>
      </c>
      <c r="AD3" s="672" t="s">
        <v>1064</v>
      </c>
      <c r="AE3" s="673">
        <v>1</v>
      </c>
      <c r="AF3" s="673">
        <v>0.4</v>
      </c>
      <c r="AG3" s="673">
        <v>0.35</v>
      </c>
      <c r="AH3" s="674">
        <v>323</v>
      </c>
      <c r="AI3" s="674">
        <v>1</v>
      </c>
      <c r="AJ3" s="673">
        <f>AH3*AI3</f>
        <v>323</v>
      </c>
      <c r="AK3" s="296" t="s">
        <v>1401</v>
      </c>
    </row>
    <row r="4" spans="1:37" ht="15" customHeight="1">
      <c r="A4" s="983" t="s">
        <v>1510</v>
      </c>
      <c r="B4" s="983"/>
      <c r="C4" s="816" t="str">
        <f>高光门板!H4</f>
        <v>161116-2.1</v>
      </c>
      <c r="D4" s="989"/>
      <c r="E4" s="956"/>
      <c r="F4" s="963"/>
      <c r="G4" s="816" t="s">
        <v>1511</v>
      </c>
      <c r="H4" s="830" t="str">
        <f>[7]领料单!$M$4</f>
        <v>材料名称、颜色</v>
      </c>
      <c r="I4" s="992"/>
      <c r="J4" s="956"/>
      <c r="K4" s="487"/>
      <c r="O4" s="296" t="s">
        <v>1344</v>
      </c>
      <c r="S4" s="671" t="s">
        <v>1305</v>
      </c>
      <c r="T4" s="644" t="s">
        <v>1345</v>
      </c>
      <c r="U4" s="671" t="str">
        <f t="shared" ref="U4:U9" si="0">IF($M$1=$P$1,$P$5,$P$6)</f>
        <v>稀料PX903</v>
      </c>
      <c r="V4" s="671">
        <v>1</v>
      </c>
      <c r="W4" s="671">
        <v>0.5</v>
      </c>
      <c r="X4" s="671">
        <v>0.6</v>
      </c>
      <c r="Y4" s="644">
        <v>325</v>
      </c>
      <c r="Z4" s="644">
        <v>2</v>
      </c>
      <c r="AA4" s="644">
        <f t="shared" ref="AA4" si="1">Y4*Z4</f>
        <v>650</v>
      </c>
      <c r="AB4" s="672" t="s">
        <v>1341</v>
      </c>
      <c r="AC4" s="673" t="s">
        <v>1342</v>
      </c>
      <c r="AD4" s="673" t="s">
        <v>1343</v>
      </c>
      <c r="AE4" s="673">
        <v>1</v>
      </c>
      <c r="AF4" s="673">
        <v>0.4</v>
      </c>
      <c r="AG4" s="673">
        <v>0.35</v>
      </c>
      <c r="AH4" s="674">
        <v>323</v>
      </c>
      <c r="AI4" s="674">
        <v>1</v>
      </c>
      <c r="AJ4" s="673">
        <f t="shared" ref="AJ4" si="2">AH4*AI4</f>
        <v>323</v>
      </c>
      <c r="AK4" s="296" t="s">
        <v>1401</v>
      </c>
    </row>
    <row r="5" spans="1:37" ht="15" customHeight="1" thickBot="1">
      <c r="A5" s="831" t="s">
        <v>1512</v>
      </c>
      <c r="B5" s="818" t="s">
        <v>1513</v>
      </c>
      <c r="C5" s="832" t="s">
        <v>1514</v>
      </c>
      <c r="D5" s="984" t="s">
        <v>1515</v>
      </c>
      <c r="E5" s="985"/>
      <c r="F5" s="833" t="s">
        <v>1516</v>
      </c>
      <c r="G5" s="817" t="s">
        <v>1517</v>
      </c>
      <c r="H5" s="986" t="s">
        <v>1518</v>
      </c>
      <c r="I5" s="986"/>
      <c r="J5" s="986"/>
      <c r="K5" s="487"/>
      <c r="P5" s="478" t="s">
        <v>1405</v>
      </c>
      <c r="S5" s="644" t="s">
        <v>1308</v>
      </c>
      <c r="T5" s="644" t="s">
        <v>1346</v>
      </c>
      <c r="U5" s="671" t="str">
        <f t="shared" si="0"/>
        <v>稀料PX903</v>
      </c>
      <c r="V5" s="671">
        <v>1</v>
      </c>
      <c r="W5" s="671">
        <v>0.5</v>
      </c>
      <c r="X5" s="671">
        <v>0.8</v>
      </c>
      <c r="Y5" s="644">
        <v>325</v>
      </c>
      <c r="Z5" s="644">
        <v>2</v>
      </c>
      <c r="AA5" s="644">
        <f t="shared" ref="AA5:AA27" si="3">Y5*Z5</f>
        <v>650</v>
      </c>
      <c r="AB5" s="672" t="s">
        <v>1341</v>
      </c>
      <c r="AC5" s="673" t="s">
        <v>1342</v>
      </c>
      <c r="AD5" s="673" t="s">
        <v>1343</v>
      </c>
      <c r="AE5" s="673">
        <v>1</v>
      </c>
      <c r="AF5" s="673">
        <v>0.4</v>
      </c>
      <c r="AG5" s="673">
        <v>0.35</v>
      </c>
      <c r="AH5" s="674">
        <v>323</v>
      </c>
      <c r="AI5" s="674">
        <v>1</v>
      </c>
      <c r="AJ5" s="673">
        <f t="shared" ref="AJ5:AJ27" si="4">AH5*AI5</f>
        <v>323</v>
      </c>
      <c r="AK5" s="296" t="s">
        <v>1402</v>
      </c>
    </row>
    <row r="6" spans="1:37" ht="24" customHeight="1">
      <c r="A6" s="969" t="s">
        <v>1548</v>
      </c>
      <c r="B6" s="819">
        <v>1</v>
      </c>
      <c r="C6" s="677" t="str">
        <f>高光门板!I8</f>
        <v>18A暖白双贴三聚氰胺刨花板</v>
      </c>
      <c r="D6" s="971" t="s">
        <v>1519</v>
      </c>
      <c r="E6" s="972"/>
      <c r="F6" s="678">
        <f>高光门板!N47</f>
        <v>1.8121740196078433</v>
      </c>
      <c r="G6" s="819" t="s">
        <v>1520</v>
      </c>
      <c r="H6" s="973" t="str">
        <f>+高光门板!F6</f>
        <v>G12纯白（PBJ4490）</v>
      </c>
      <c r="I6" s="993" t="str">
        <f>+高光门板!H6</f>
        <v>+</v>
      </c>
      <c r="J6" s="994">
        <f>+高光门板!I6</f>
        <v>0</v>
      </c>
      <c r="L6" s="788"/>
      <c r="M6" s="788"/>
      <c r="P6" s="478" t="s">
        <v>1463</v>
      </c>
      <c r="S6" s="644" t="s">
        <v>1310</v>
      </c>
      <c r="T6" s="644" t="s">
        <v>1346</v>
      </c>
      <c r="U6" s="671" t="str">
        <f t="shared" si="0"/>
        <v>稀料PX903</v>
      </c>
      <c r="V6" s="644">
        <v>1</v>
      </c>
      <c r="W6" s="644">
        <v>0.5</v>
      </c>
      <c r="X6" s="644">
        <v>0.8</v>
      </c>
      <c r="Y6" s="644">
        <v>325</v>
      </c>
      <c r="Z6" s="644">
        <v>2</v>
      </c>
      <c r="AA6" s="644">
        <f t="shared" si="3"/>
        <v>650</v>
      </c>
      <c r="AB6" s="672" t="s">
        <v>1341</v>
      </c>
      <c r="AC6" s="673" t="s">
        <v>1342</v>
      </c>
      <c r="AD6" s="673" t="s">
        <v>1343</v>
      </c>
      <c r="AE6" s="673">
        <v>1</v>
      </c>
      <c r="AF6" s="673">
        <v>0.4</v>
      </c>
      <c r="AG6" s="673">
        <v>0.35</v>
      </c>
      <c r="AH6" s="674">
        <v>323</v>
      </c>
      <c r="AI6" s="674">
        <v>1</v>
      </c>
      <c r="AJ6" s="673">
        <f t="shared" si="4"/>
        <v>323</v>
      </c>
      <c r="AK6" s="296" t="s">
        <v>1402</v>
      </c>
    </row>
    <row r="7" spans="1:37" ht="15" customHeight="1">
      <c r="A7" s="970"/>
      <c r="B7" s="816">
        <v>2</v>
      </c>
      <c r="C7" s="679" t="s">
        <v>1023</v>
      </c>
      <c r="D7" s="996" t="s">
        <v>1521</v>
      </c>
      <c r="E7" s="997"/>
      <c r="F7" s="680">
        <f>+高光门板!L47</f>
        <v>42.158000000000001</v>
      </c>
      <c r="G7" s="816" t="s">
        <v>1543</v>
      </c>
      <c r="H7" s="974"/>
      <c r="I7" s="961"/>
      <c r="J7" s="995"/>
      <c r="L7" s="788"/>
      <c r="M7" s="788"/>
      <c r="S7" s="644" t="s">
        <v>1314</v>
      </c>
      <c r="T7" s="644" t="s">
        <v>1346</v>
      </c>
      <c r="U7" s="671" t="str">
        <f t="shared" si="0"/>
        <v>稀料PX903</v>
      </c>
      <c r="V7" s="644">
        <v>1</v>
      </c>
      <c r="W7" s="644">
        <v>0.5</v>
      </c>
      <c r="X7" s="644">
        <v>0.7</v>
      </c>
      <c r="Y7" s="644">
        <v>325</v>
      </c>
      <c r="Z7" s="644">
        <v>2</v>
      </c>
      <c r="AA7" s="644">
        <f t="shared" si="3"/>
        <v>650</v>
      </c>
      <c r="AB7" s="672" t="s">
        <v>1341</v>
      </c>
      <c r="AC7" s="673" t="s">
        <v>1342</v>
      </c>
      <c r="AD7" s="673" t="s">
        <v>1343</v>
      </c>
      <c r="AE7" s="673">
        <v>1</v>
      </c>
      <c r="AF7" s="673">
        <v>0.4</v>
      </c>
      <c r="AG7" s="673">
        <v>0.35</v>
      </c>
      <c r="AH7" s="674">
        <v>323</v>
      </c>
      <c r="AI7" s="674">
        <v>1</v>
      </c>
      <c r="AJ7" s="673">
        <f t="shared" si="4"/>
        <v>323</v>
      </c>
      <c r="AK7" s="296" t="s">
        <v>1402</v>
      </c>
    </row>
    <row r="8" spans="1:37" ht="15" customHeight="1">
      <c r="A8" s="970"/>
      <c r="B8" s="824">
        <v>3</v>
      </c>
      <c r="C8" s="839" t="s">
        <v>848</v>
      </c>
      <c r="D8" s="984" t="s">
        <v>1522</v>
      </c>
      <c r="E8" s="985"/>
      <c r="F8" s="833">
        <f>F7*4.1</f>
        <v>172.84779999999998</v>
      </c>
      <c r="G8" s="824" t="s">
        <v>1523</v>
      </c>
      <c r="H8" s="974"/>
      <c r="I8" s="961"/>
      <c r="J8" s="995"/>
      <c r="L8" s="788"/>
      <c r="M8" s="788"/>
      <c r="S8" s="644" t="s">
        <v>1347</v>
      </c>
      <c r="T8" s="644" t="s">
        <v>1346</v>
      </c>
      <c r="U8" s="671" t="str">
        <f t="shared" si="0"/>
        <v>稀料PX903</v>
      </c>
      <c r="V8" s="644">
        <v>1</v>
      </c>
      <c r="W8" s="644">
        <v>0.5</v>
      </c>
      <c r="X8" s="644">
        <v>0.8</v>
      </c>
      <c r="Y8" s="644">
        <v>325</v>
      </c>
      <c r="Z8" s="644">
        <v>2</v>
      </c>
      <c r="AA8" s="644">
        <f t="shared" si="3"/>
        <v>650</v>
      </c>
      <c r="AB8" s="672" t="s">
        <v>1341</v>
      </c>
      <c r="AC8" s="673" t="s">
        <v>1342</v>
      </c>
      <c r="AD8" s="673" t="s">
        <v>1343</v>
      </c>
      <c r="AE8" s="673">
        <v>1</v>
      </c>
      <c r="AF8" s="673">
        <v>0.4</v>
      </c>
      <c r="AG8" s="673">
        <v>0.35</v>
      </c>
      <c r="AH8" s="674">
        <v>323</v>
      </c>
      <c r="AI8" s="674">
        <v>1</v>
      </c>
      <c r="AJ8" s="673">
        <f t="shared" si="4"/>
        <v>323</v>
      </c>
      <c r="AK8" s="296" t="s">
        <v>1402</v>
      </c>
    </row>
    <row r="9" spans="1:37" ht="15" customHeight="1">
      <c r="A9" s="979" t="s">
        <v>1549</v>
      </c>
      <c r="B9" s="822">
        <v>1</v>
      </c>
      <c r="C9" s="822" t="s">
        <v>1524</v>
      </c>
      <c r="D9" s="956" t="s">
        <v>1525</v>
      </c>
      <c r="E9" s="956"/>
      <c r="F9" s="829">
        <f>高光门板!M47*25*1/1000</f>
        <v>0.11090505000000002</v>
      </c>
      <c r="G9" s="822" t="s">
        <v>1526</v>
      </c>
      <c r="H9" s="956"/>
      <c r="I9" s="956"/>
      <c r="J9" s="956"/>
      <c r="S9" s="644" t="s">
        <v>1321</v>
      </c>
      <c r="T9" s="644" t="s">
        <v>1348</v>
      </c>
      <c r="U9" s="671" t="str">
        <f t="shared" si="0"/>
        <v>稀料PX903</v>
      </c>
      <c r="V9" s="644">
        <v>1</v>
      </c>
      <c r="W9" s="644">
        <v>0.5</v>
      </c>
      <c r="X9" s="644">
        <v>0.8</v>
      </c>
      <c r="Y9" s="644">
        <v>325</v>
      </c>
      <c r="Z9" s="644">
        <v>2</v>
      </c>
      <c r="AA9" s="644">
        <f t="shared" si="3"/>
        <v>650</v>
      </c>
      <c r="AB9" s="672" t="s">
        <v>1349</v>
      </c>
      <c r="AC9" s="673" t="s">
        <v>1350</v>
      </c>
      <c r="AD9" s="673" t="s">
        <v>1351</v>
      </c>
      <c r="AE9" s="673">
        <v>1</v>
      </c>
      <c r="AF9" s="673">
        <v>0.4</v>
      </c>
      <c r="AG9" s="673">
        <v>0.35</v>
      </c>
      <c r="AH9" s="674">
        <v>323</v>
      </c>
      <c r="AI9" s="674">
        <v>1</v>
      </c>
      <c r="AJ9" s="673">
        <f t="shared" si="4"/>
        <v>323</v>
      </c>
      <c r="AK9" s="296" t="s">
        <v>1402</v>
      </c>
    </row>
    <row r="10" spans="1:37" ht="15" customHeight="1">
      <c r="A10" s="979"/>
      <c r="B10" s="822">
        <v>2</v>
      </c>
      <c r="C10" s="822" t="s">
        <v>1524</v>
      </c>
      <c r="D10" s="956" t="s">
        <v>1527</v>
      </c>
      <c r="E10" s="956"/>
      <c r="F10" s="829">
        <f>高光门板!M47*35*1/1000</f>
        <v>0.15526707000000001</v>
      </c>
      <c r="G10" s="822" t="s">
        <v>1526</v>
      </c>
      <c r="H10" s="956"/>
      <c r="I10" s="956"/>
      <c r="J10" s="956"/>
      <c r="L10" s="975" t="s">
        <v>1352</v>
      </c>
      <c r="M10" s="976"/>
      <c r="N10" s="976"/>
      <c r="O10" s="976"/>
      <c r="P10" s="976"/>
      <c r="Q10" s="977"/>
      <c r="S10" s="644" t="s">
        <v>1322</v>
      </c>
      <c r="T10" s="644" t="s">
        <v>1348</v>
      </c>
      <c r="U10" s="671" t="str">
        <f>IF($M$1=$P$1,$P$5,$P$6)</f>
        <v>稀料PX903</v>
      </c>
      <c r="V10" s="644">
        <v>1</v>
      </c>
      <c r="W10" s="644">
        <v>1</v>
      </c>
      <c r="X10" s="644">
        <v>0.8</v>
      </c>
      <c r="Y10" s="644">
        <v>325</v>
      </c>
      <c r="Z10" s="644">
        <v>2</v>
      </c>
      <c r="AA10" s="644">
        <f t="shared" si="3"/>
        <v>650</v>
      </c>
      <c r="AB10" s="672" t="s">
        <v>1349</v>
      </c>
      <c r="AC10" s="673" t="s">
        <v>1350</v>
      </c>
      <c r="AD10" s="673" t="s">
        <v>1351</v>
      </c>
      <c r="AE10" s="673">
        <v>1</v>
      </c>
      <c r="AF10" s="673">
        <v>0.4</v>
      </c>
      <c r="AG10" s="673">
        <v>0.35</v>
      </c>
      <c r="AH10" s="674">
        <v>323</v>
      </c>
      <c r="AI10" s="674">
        <v>1</v>
      </c>
      <c r="AJ10" s="673">
        <f t="shared" si="4"/>
        <v>323</v>
      </c>
      <c r="AK10" s="296" t="s">
        <v>1402</v>
      </c>
    </row>
    <row r="11" spans="1:37" ht="15" customHeight="1">
      <c r="A11" s="979"/>
      <c r="B11" s="822">
        <v>3</v>
      </c>
      <c r="C11" s="978" t="s">
        <v>1546</v>
      </c>
      <c r="D11" s="956" t="s">
        <v>1528</v>
      </c>
      <c r="E11" s="956"/>
      <c r="F11" s="829">
        <f>Q11</f>
        <v>0</v>
      </c>
      <c r="G11" s="822" t="s">
        <v>1526</v>
      </c>
      <c r="H11" s="956"/>
      <c r="I11" s="956"/>
      <c r="J11" s="956"/>
      <c r="L11" s="953"/>
      <c r="M11" s="953"/>
      <c r="N11" s="953"/>
      <c r="O11" s="675" t="str">
        <f>D11</f>
        <v>主剂PD3200</v>
      </c>
      <c r="P11" s="681">
        <v>1</v>
      </c>
      <c r="Q11" s="682">
        <f>N$11*(M$11/(P$11+P$12+P$13)*P11)/1000</f>
        <v>0</v>
      </c>
      <c r="S11" s="644" t="s">
        <v>1320</v>
      </c>
      <c r="T11" s="644" t="s">
        <v>1348</v>
      </c>
      <c r="U11" s="671"/>
      <c r="V11" s="671"/>
      <c r="W11" s="671"/>
      <c r="X11" s="671"/>
      <c r="Y11" s="644">
        <v>325</v>
      </c>
      <c r="Z11" s="644">
        <v>2</v>
      </c>
      <c r="AA11" s="644">
        <f t="shared" si="3"/>
        <v>650</v>
      </c>
      <c r="AB11" s="672" t="s">
        <v>1349</v>
      </c>
      <c r="AC11" s="673" t="s">
        <v>1350</v>
      </c>
      <c r="AD11" s="673" t="s">
        <v>1351</v>
      </c>
      <c r="AE11" s="673">
        <v>1</v>
      </c>
      <c r="AF11" s="673">
        <v>0.4</v>
      </c>
      <c r="AG11" s="673">
        <v>0.35</v>
      </c>
      <c r="AH11" s="674">
        <v>323</v>
      </c>
      <c r="AI11" s="674">
        <v>1</v>
      </c>
      <c r="AJ11" s="673">
        <f t="shared" si="4"/>
        <v>323</v>
      </c>
    </row>
    <row r="12" spans="1:37" ht="15" customHeight="1">
      <c r="A12" s="979"/>
      <c r="B12" s="822">
        <v>4</v>
      </c>
      <c r="C12" s="978"/>
      <c r="D12" s="956" t="s">
        <v>1529</v>
      </c>
      <c r="E12" s="956"/>
      <c r="F12" s="829">
        <f t="shared" ref="F12:F16" si="5">Q12</f>
        <v>0</v>
      </c>
      <c r="G12" s="822" t="s">
        <v>1526</v>
      </c>
      <c r="H12" s="956"/>
      <c r="I12" s="956"/>
      <c r="J12" s="956"/>
      <c r="L12" s="954"/>
      <c r="M12" s="954"/>
      <c r="N12" s="954"/>
      <c r="O12" s="675" t="str">
        <f t="shared" ref="O12:O13" si="6">D12</f>
        <v>固化剂PR66</v>
      </c>
      <c r="P12" s="681">
        <v>0.5</v>
      </c>
      <c r="Q12" s="682">
        <f>N$11*(M$11/(P$11+P$12+P$13)*P12)/1000</f>
        <v>0</v>
      </c>
      <c r="S12" s="644" t="s">
        <v>1323</v>
      </c>
      <c r="T12" s="644" t="s">
        <v>1348</v>
      </c>
      <c r="U12" s="671"/>
      <c r="V12" s="671"/>
      <c r="W12" s="671"/>
      <c r="X12" s="671"/>
      <c r="Y12" s="644">
        <v>325</v>
      </c>
      <c r="Z12" s="644">
        <v>2</v>
      </c>
      <c r="AA12" s="644">
        <f t="shared" si="3"/>
        <v>650</v>
      </c>
      <c r="AB12" s="672" t="s">
        <v>1349</v>
      </c>
      <c r="AC12" s="673" t="s">
        <v>1350</v>
      </c>
      <c r="AD12" s="673" t="s">
        <v>1351</v>
      </c>
      <c r="AE12" s="673">
        <v>1</v>
      </c>
      <c r="AF12" s="673">
        <v>0.4</v>
      </c>
      <c r="AG12" s="673">
        <v>0.35</v>
      </c>
      <c r="AH12" s="674">
        <v>323</v>
      </c>
      <c r="AI12" s="674">
        <v>1</v>
      </c>
      <c r="AJ12" s="673">
        <f t="shared" si="4"/>
        <v>323</v>
      </c>
    </row>
    <row r="13" spans="1:37" ht="15" customHeight="1">
      <c r="A13" s="979"/>
      <c r="B13" s="822">
        <v>5</v>
      </c>
      <c r="C13" s="978"/>
      <c r="D13" s="956" t="s">
        <v>1530</v>
      </c>
      <c r="E13" s="956"/>
      <c r="F13" s="829">
        <f>Q13</f>
        <v>0</v>
      </c>
      <c r="G13" s="822" t="s">
        <v>1526</v>
      </c>
      <c r="H13" s="956"/>
      <c r="I13" s="956"/>
      <c r="J13" s="956"/>
      <c r="L13" s="955"/>
      <c r="M13" s="955"/>
      <c r="N13" s="955"/>
      <c r="O13" s="675" t="str">
        <f t="shared" si="6"/>
        <v>稀料PX707/稀料PX705</v>
      </c>
      <c r="P13" s="681">
        <v>0.5</v>
      </c>
      <c r="Q13" s="682">
        <f>N$11*(M$11/(P$11+P$12+P$13)*P13)/1000</f>
        <v>0</v>
      </c>
      <c r="S13" s="644" t="s">
        <v>1322</v>
      </c>
      <c r="T13" s="644" t="s">
        <v>1348</v>
      </c>
      <c r="U13" s="644"/>
      <c r="V13" s="671"/>
      <c r="W13" s="671"/>
      <c r="X13" s="671"/>
      <c r="Y13" s="644">
        <v>325</v>
      </c>
      <c r="Z13" s="644">
        <v>2</v>
      </c>
      <c r="AA13" s="644">
        <f t="shared" si="3"/>
        <v>650</v>
      </c>
      <c r="AB13" s="672" t="s">
        <v>1349</v>
      </c>
      <c r="AC13" s="673" t="s">
        <v>1350</v>
      </c>
      <c r="AD13" s="673" t="s">
        <v>1351</v>
      </c>
      <c r="AE13" s="673">
        <v>1</v>
      </c>
      <c r="AF13" s="673">
        <v>0.4</v>
      </c>
      <c r="AG13" s="673">
        <v>0.35</v>
      </c>
      <c r="AH13" s="674">
        <v>323</v>
      </c>
      <c r="AI13" s="674">
        <v>1</v>
      </c>
      <c r="AJ13" s="673">
        <f t="shared" si="4"/>
        <v>323</v>
      </c>
    </row>
    <row r="14" spans="1:37" ht="15" customHeight="1">
      <c r="A14" s="979"/>
      <c r="B14" s="822">
        <v>6</v>
      </c>
      <c r="C14" s="978"/>
      <c r="D14" s="968"/>
      <c r="E14" s="968"/>
      <c r="F14" s="756"/>
      <c r="G14" s="683"/>
      <c r="H14" s="956"/>
      <c r="I14" s="956"/>
      <c r="J14" s="956"/>
      <c r="L14" s="684"/>
      <c r="M14" s="684"/>
      <c r="N14" s="684"/>
      <c r="O14" s="675"/>
      <c r="P14" s="681"/>
      <c r="Q14" s="682">
        <f>+Q13*0.34</f>
        <v>0</v>
      </c>
      <c r="S14" s="644"/>
      <c r="T14" s="644"/>
      <c r="U14" s="644"/>
      <c r="V14" s="671"/>
      <c r="W14" s="671"/>
      <c r="X14" s="671"/>
      <c r="Y14" s="644">
        <v>325</v>
      </c>
      <c r="Z14" s="644">
        <v>2</v>
      </c>
      <c r="AA14" s="644">
        <f t="shared" si="3"/>
        <v>650</v>
      </c>
      <c r="AB14" s="672" t="s">
        <v>1349</v>
      </c>
      <c r="AC14" s="673" t="s">
        <v>1350</v>
      </c>
      <c r="AD14" s="673" t="s">
        <v>1351</v>
      </c>
      <c r="AE14" s="673">
        <v>1</v>
      </c>
      <c r="AF14" s="673">
        <v>0.4</v>
      </c>
      <c r="AG14" s="673">
        <v>0.35</v>
      </c>
      <c r="AH14" s="674">
        <v>323</v>
      </c>
      <c r="AI14" s="674">
        <v>1</v>
      </c>
      <c r="AJ14" s="673">
        <f t="shared" si="4"/>
        <v>323</v>
      </c>
    </row>
    <row r="15" spans="1:37" ht="15" customHeight="1">
      <c r="A15" s="979"/>
      <c r="B15" s="822">
        <v>7</v>
      </c>
      <c r="C15" s="978" t="s">
        <v>1547</v>
      </c>
      <c r="D15" s="956" t="str">
        <f>O15</f>
        <v>主剂T20975</v>
      </c>
      <c r="E15" s="956"/>
      <c r="F15" s="829">
        <f t="shared" si="5"/>
        <v>0.95847241485714285</v>
      </c>
      <c r="G15" s="822" t="s">
        <v>1526</v>
      </c>
      <c r="H15" s="956"/>
      <c r="I15" s="956"/>
      <c r="J15" s="956"/>
      <c r="L15" s="953" t="str">
        <f>C15</f>
        <v>PU白底
（手工喷涂）</v>
      </c>
      <c r="M15" s="953">
        <f>VLOOKUP(H6,S:AJ,18,0)</f>
        <v>323</v>
      </c>
      <c r="N15" s="953">
        <f>+高光门板!K47</f>
        <v>5.1929619999999996</v>
      </c>
      <c r="O15" s="675" t="str">
        <f>VLOOKUP(H6,S:AB,10,0)</f>
        <v>主剂T20975</v>
      </c>
      <c r="P15" s="681">
        <f>VLOOKUP(H6,S:AE,13,0)</f>
        <v>1</v>
      </c>
      <c r="Q15" s="682">
        <f>N$15*(M$15/(P$15+P$16+P$17)*P15)/1000</f>
        <v>0.95847241485714285</v>
      </c>
      <c r="S15" s="671" t="s">
        <v>1475</v>
      </c>
      <c r="T15" s="644" t="s">
        <v>1353</v>
      </c>
      <c r="U15" s="671" t="s">
        <v>1354</v>
      </c>
      <c r="V15" s="671">
        <v>1</v>
      </c>
      <c r="W15" s="671">
        <v>0.5</v>
      </c>
      <c r="X15" s="671">
        <v>0.6</v>
      </c>
      <c r="Y15" s="644">
        <v>325</v>
      </c>
      <c r="Z15" s="644">
        <v>2</v>
      </c>
      <c r="AA15" s="644">
        <f t="shared" si="3"/>
        <v>650</v>
      </c>
      <c r="AB15" s="672" t="s">
        <v>1349</v>
      </c>
      <c r="AC15" s="673" t="s">
        <v>1350</v>
      </c>
      <c r="AD15" s="673" t="s">
        <v>1351</v>
      </c>
      <c r="AE15" s="673">
        <v>1</v>
      </c>
      <c r="AF15" s="673">
        <v>0.4</v>
      </c>
      <c r="AG15" s="673">
        <v>0.35</v>
      </c>
      <c r="AH15" s="674">
        <v>323</v>
      </c>
      <c r="AI15" s="674">
        <v>1</v>
      </c>
      <c r="AJ15" s="673">
        <f t="shared" si="4"/>
        <v>323</v>
      </c>
      <c r="AK15" s="296" t="s">
        <v>1401</v>
      </c>
    </row>
    <row r="16" spans="1:37" ht="15" customHeight="1">
      <c r="A16" s="979"/>
      <c r="B16" s="822">
        <v>8</v>
      </c>
      <c r="C16" s="978"/>
      <c r="D16" s="956" t="str">
        <f>O16</f>
        <v>固化剂PR66</v>
      </c>
      <c r="E16" s="956"/>
      <c r="F16" s="829">
        <f t="shared" si="5"/>
        <v>0.38338896594285715</v>
      </c>
      <c r="G16" s="822" t="s">
        <v>1526</v>
      </c>
      <c r="H16" s="956"/>
      <c r="I16" s="956"/>
      <c r="J16" s="956"/>
      <c r="L16" s="954"/>
      <c r="M16" s="954"/>
      <c r="N16" s="954"/>
      <c r="O16" s="675" t="str">
        <f>VLOOKUP(H6,S:AC,11,0)</f>
        <v>固化剂PR66</v>
      </c>
      <c r="P16" s="681">
        <f>VLOOKUP(H6,S:AF,14,0)</f>
        <v>0.4</v>
      </c>
      <c r="Q16" s="682">
        <f>N$15*(M$15/(P$15+P$16+P$17)*P16)/1000</f>
        <v>0.38338896594285715</v>
      </c>
      <c r="S16" s="671" t="s">
        <v>1355</v>
      </c>
      <c r="T16" s="644" t="s">
        <v>1356</v>
      </c>
      <c r="U16" s="671" t="str">
        <f t="shared" ref="U16:U24" si="7">IF($M$1=$P$1,$P$5,$P$6)</f>
        <v>稀料PX903</v>
      </c>
      <c r="V16" s="685">
        <v>1</v>
      </c>
      <c r="W16" s="685">
        <v>0.5</v>
      </c>
      <c r="X16" s="685">
        <v>0.6</v>
      </c>
      <c r="Y16" s="644">
        <v>310</v>
      </c>
      <c r="Z16" s="644">
        <v>1</v>
      </c>
      <c r="AA16" s="644">
        <f t="shared" si="3"/>
        <v>310</v>
      </c>
      <c r="AB16" s="672" t="s">
        <v>1349</v>
      </c>
      <c r="AC16" s="673" t="s">
        <v>1350</v>
      </c>
      <c r="AD16" s="673" t="s">
        <v>1351</v>
      </c>
      <c r="AE16" s="673">
        <v>1</v>
      </c>
      <c r="AF16" s="673">
        <v>0.4</v>
      </c>
      <c r="AG16" s="673">
        <v>0.35</v>
      </c>
      <c r="AH16" s="674">
        <v>323</v>
      </c>
      <c r="AI16" s="674">
        <v>1</v>
      </c>
      <c r="AJ16" s="673">
        <f t="shared" si="4"/>
        <v>323</v>
      </c>
      <c r="AK16" s="296" t="s">
        <v>1401</v>
      </c>
    </row>
    <row r="17" spans="1:37" ht="15" customHeight="1">
      <c r="A17" s="979"/>
      <c r="B17" s="822">
        <v>9</v>
      </c>
      <c r="C17" s="978"/>
      <c r="D17" s="956" t="str">
        <f>O17</f>
        <v>稀料PX705/PX707</v>
      </c>
      <c r="E17" s="956"/>
      <c r="F17" s="829">
        <f>IF(D22="",Q17,Q17*0.66)</f>
        <v>0.33546534519999993</v>
      </c>
      <c r="G17" s="822" t="s">
        <v>1526</v>
      </c>
      <c r="H17" s="956"/>
      <c r="I17" s="956"/>
      <c r="J17" s="956"/>
      <c r="L17" s="955"/>
      <c r="M17" s="955"/>
      <c r="N17" s="955"/>
      <c r="O17" s="675" t="str">
        <f>VLOOKUP(H6,S:AD,12,0)</f>
        <v>稀料PX705/PX707</v>
      </c>
      <c r="P17" s="681">
        <f>VLOOKUP(H6,S:AG,15,0)</f>
        <v>0.35</v>
      </c>
      <c r="Q17" s="682">
        <f>N$15*(M$15/(P$15+P$16+P$17)*P17)/1000</f>
        <v>0.33546534519999993</v>
      </c>
      <c r="S17" s="671" t="s">
        <v>1357</v>
      </c>
      <c r="T17" s="644" t="s">
        <v>1356</v>
      </c>
      <c r="U17" s="671" t="str">
        <f t="shared" si="7"/>
        <v>稀料PX903</v>
      </c>
      <c r="V17" s="685">
        <v>1</v>
      </c>
      <c r="W17" s="685">
        <v>0.5</v>
      </c>
      <c r="X17" s="685">
        <v>0.6</v>
      </c>
      <c r="Y17" s="644">
        <v>310</v>
      </c>
      <c r="Z17" s="644">
        <v>1</v>
      </c>
      <c r="AA17" s="644">
        <f t="shared" si="3"/>
        <v>310</v>
      </c>
      <c r="AB17" s="672" t="s">
        <v>1349</v>
      </c>
      <c r="AC17" s="673" t="s">
        <v>1350</v>
      </c>
      <c r="AD17" s="673" t="s">
        <v>1351</v>
      </c>
      <c r="AE17" s="673">
        <v>1</v>
      </c>
      <c r="AF17" s="673">
        <v>0.4</v>
      </c>
      <c r="AG17" s="673">
        <v>0.35</v>
      </c>
      <c r="AH17" s="674">
        <v>323</v>
      </c>
      <c r="AI17" s="674">
        <v>1</v>
      </c>
      <c r="AJ17" s="673">
        <f t="shared" si="4"/>
        <v>323</v>
      </c>
      <c r="AK17" s="296" t="s">
        <v>1401</v>
      </c>
    </row>
    <row r="18" spans="1:37" ht="15" customHeight="1">
      <c r="A18" s="979"/>
      <c r="B18" s="822">
        <v>10</v>
      </c>
      <c r="C18" s="978"/>
      <c r="D18" s="956"/>
      <c r="E18" s="956"/>
      <c r="F18" s="829"/>
      <c r="G18" s="822" t="s">
        <v>1526</v>
      </c>
      <c r="H18" s="956" t="str">
        <f>IF(D18="G11纯黑","P1270","")</f>
        <v/>
      </c>
      <c r="I18" s="956"/>
      <c r="J18" s="956"/>
      <c r="L18" s="953"/>
      <c r="M18" s="953"/>
      <c r="N18" s="953"/>
      <c r="O18" s="675"/>
      <c r="P18" s="675"/>
      <c r="Q18" s="682">
        <f>+Q17*0.34</f>
        <v>0.11405821736799998</v>
      </c>
      <c r="S18" s="644"/>
      <c r="T18" s="671"/>
      <c r="U18" s="671" t="str">
        <f t="shared" si="7"/>
        <v>稀料PX903</v>
      </c>
      <c r="V18" s="685"/>
      <c r="W18" s="685"/>
      <c r="X18" s="685"/>
      <c r="Y18" s="644">
        <v>310</v>
      </c>
      <c r="Z18" s="644">
        <v>1</v>
      </c>
      <c r="AA18" s="644">
        <f t="shared" si="3"/>
        <v>310</v>
      </c>
      <c r="AB18" s="672" t="s">
        <v>1349</v>
      </c>
      <c r="AC18" s="673" t="s">
        <v>1350</v>
      </c>
      <c r="AD18" s="673" t="s">
        <v>1351</v>
      </c>
      <c r="AE18" s="673">
        <v>1</v>
      </c>
      <c r="AF18" s="673">
        <v>0.4</v>
      </c>
      <c r="AG18" s="673">
        <v>0.35</v>
      </c>
      <c r="AH18" s="674">
        <v>323</v>
      </c>
      <c r="AI18" s="674">
        <v>1</v>
      </c>
      <c r="AJ18" s="673">
        <f t="shared" si="4"/>
        <v>323</v>
      </c>
      <c r="AK18" s="296" t="s">
        <v>1401</v>
      </c>
    </row>
    <row r="19" spans="1:37" ht="15" customHeight="1">
      <c r="A19" s="979"/>
      <c r="B19" s="822">
        <v>11</v>
      </c>
      <c r="C19" s="978"/>
      <c r="D19" s="956"/>
      <c r="E19" s="956"/>
      <c r="F19" s="829"/>
      <c r="G19" s="822" t="s">
        <v>1526</v>
      </c>
      <c r="H19" s="956"/>
      <c r="I19" s="956"/>
      <c r="J19" s="956"/>
      <c r="L19" s="954"/>
      <c r="M19" s="954"/>
      <c r="N19" s="954"/>
      <c r="O19" s="675"/>
      <c r="P19" s="681"/>
      <c r="Q19" s="682"/>
      <c r="S19" s="644"/>
      <c r="T19" s="671"/>
      <c r="U19" s="671" t="str">
        <f t="shared" si="7"/>
        <v>稀料PX903</v>
      </c>
      <c r="V19" s="685"/>
      <c r="W19" s="685"/>
      <c r="X19" s="685"/>
      <c r="Y19" s="644">
        <v>310</v>
      </c>
      <c r="Z19" s="644">
        <v>1</v>
      </c>
      <c r="AA19" s="644">
        <f t="shared" si="3"/>
        <v>310</v>
      </c>
      <c r="AB19" s="672" t="s">
        <v>1349</v>
      </c>
      <c r="AC19" s="673" t="s">
        <v>1350</v>
      </c>
      <c r="AD19" s="673" t="s">
        <v>1351</v>
      </c>
      <c r="AE19" s="673">
        <v>1</v>
      </c>
      <c r="AF19" s="673">
        <v>0.4</v>
      </c>
      <c r="AG19" s="673">
        <v>0.35</v>
      </c>
      <c r="AH19" s="674">
        <v>323</v>
      </c>
      <c r="AI19" s="674">
        <v>1</v>
      </c>
      <c r="AJ19" s="673">
        <f t="shared" si="4"/>
        <v>323</v>
      </c>
    </row>
    <row r="20" spans="1:37" ht="15" customHeight="1">
      <c r="A20" s="979"/>
      <c r="B20" s="822">
        <v>12</v>
      </c>
      <c r="C20" s="978"/>
      <c r="D20" s="956"/>
      <c r="E20" s="956"/>
      <c r="F20" s="829"/>
      <c r="G20" s="822" t="s">
        <v>1526</v>
      </c>
      <c r="H20" s="956"/>
      <c r="I20" s="956"/>
      <c r="J20" s="956"/>
      <c r="L20" s="954"/>
      <c r="M20" s="954"/>
      <c r="N20" s="954"/>
      <c r="O20" s="675"/>
      <c r="P20" s="681"/>
      <c r="Q20" s="682"/>
      <c r="S20" s="644"/>
      <c r="T20" s="671"/>
      <c r="U20" s="671" t="str">
        <f t="shared" si="7"/>
        <v>稀料PX903</v>
      </c>
      <c r="V20" s="685"/>
      <c r="W20" s="685"/>
      <c r="X20" s="685"/>
      <c r="Y20" s="644">
        <v>310</v>
      </c>
      <c r="Z20" s="644">
        <v>1</v>
      </c>
      <c r="AA20" s="644">
        <f t="shared" si="3"/>
        <v>310</v>
      </c>
      <c r="AB20" s="672" t="s">
        <v>1349</v>
      </c>
      <c r="AC20" s="673" t="s">
        <v>1350</v>
      </c>
      <c r="AD20" s="673" t="s">
        <v>1351</v>
      </c>
      <c r="AE20" s="673">
        <v>1</v>
      </c>
      <c r="AF20" s="673">
        <v>0.4</v>
      </c>
      <c r="AG20" s="673">
        <v>0.35</v>
      </c>
      <c r="AH20" s="674">
        <v>323</v>
      </c>
      <c r="AI20" s="674">
        <v>1</v>
      </c>
      <c r="AJ20" s="673">
        <f t="shared" si="4"/>
        <v>323</v>
      </c>
    </row>
    <row r="21" spans="1:37" ht="15" customHeight="1">
      <c r="A21" s="979"/>
      <c r="B21" s="822">
        <v>13</v>
      </c>
      <c r="C21" s="978"/>
      <c r="D21" s="956"/>
      <c r="E21" s="956"/>
      <c r="F21" s="829"/>
      <c r="G21" s="822" t="s">
        <v>1526</v>
      </c>
      <c r="H21" s="956"/>
      <c r="I21" s="956"/>
      <c r="J21" s="956"/>
      <c r="L21" s="955"/>
      <c r="M21" s="955"/>
      <c r="N21" s="955"/>
      <c r="O21" s="675"/>
      <c r="P21" s="681"/>
      <c r="Q21" s="682"/>
      <c r="S21" s="644"/>
      <c r="T21" s="671"/>
      <c r="U21" s="671" t="str">
        <f t="shared" si="7"/>
        <v>稀料PX903</v>
      </c>
      <c r="V21" s="685"/>
      <c r="W21" s="685"/>
      <c r="X21" s="685"/>
      <c r="Y21" s="644">
        <v>310</v>
      </c>
      <c r="Z21" s="644">
        <v>1</v>
      </c>
      <c r="AA21" s="644">
        <f t="shared" si="3"/>
        <v>310</v>
      </c>
      <c r="AB21" s="672" t="s">
        <v>1349</v>
      </c>
      <c r="AC21" s="673" t="s">
        <v>1350</v>
      </c>
      <c r="AD21" s="673" t="s">
        <v>1351</v>
      </c>
      <c r="AE21" s="673">
        <v>1</v>
      </c>
      <c r="AF21" s="673">
        <v>0.4</v>
      </c>
      <c r="AG21" s="673">
        <v>0.35</v>
      </c>
      <c r="AH21" s="674">
        <v>323</v>
      </c>
      <c r="AI21" s="674">
        <v>1</v>
      </c>
      <c r="AJ21" s="673">
        <f t="shared" si="4"/>
        <v>323</v>
      </c>
    </row>
    <row r="22" spans="1:37" ht="15" customHeight="1">
      <c r="A22" s="979"/>
      <c r="B22" s="822">
        <v>14</v>
      </c>
      <c r="C22" s="978"/>
      <c r="D22" s="956" t="str">
        <f>IF(M1=P1,"",O4)</f>
        <v/>
      </c>
      <c r="E22" s="956"/>
      <c r="F22" s="829" t="str">
        <f>IF(D22="","",Q17*0.34)</f>
        <v/>
      </c>
      <c r="G22" s="822" t="str">
        <f>IF(D22="","","千克")</f>
        <v/>
      </c>
      <c r="H22" s="956"/>
      <c r="I22" s="956"/>
      <c r="J22" s="956"/>
      <c r="L22" s="684"/>
      <c r="M22" s="684"/>
      <c r="N22" s="684"/>
      <c r="O22" s="675"/>
      <c r="P22" s="681"/>
      <c r="Q22" s="682">
        <f>+Q17*0.34</f>
        <v>0.11405821736799998</v>
      </c>
      <c r="S22" s="644" t="s">
        <v>1358</v>
      </c>
      <c r="T22" s="644" t="s">
        <v>1348</v>
      </c>
      <c r="U22" s="671" t="str">
        <f t="shared" si="7"/>
        <v>稀料PX903</v>
      </c>
      <c r="V22" s="685">
        <v>1</v>
      </c>
      <c r="W22" s="685">
        <v>0.5</v>
      </c>
      <c r="X22" s="685">
        <v>0.6</v>
      </c>
      <c r="Y22" s="644">
        <f>IF($M$1=$P$1,310,430)</f>
        <v>310</v>
      </c>
      <c r="Z22" s="644">
        <v>1</v>
      </c>
      <c r="AA22" s="644">
        <f t="shared" si="3"/>
        <v>310</v>
      </c>
      <c r="AB22" s="672" t="s">
        <v>1349</v>
      </c>
      <c r="AC22" s="673" t="s">
        <v>1350</v>
      </c>
      <c r="AD22" s="673" t="s">
        <v>1351</v>
      </c>
      <c r="AE22" s="673">
        <v>1</v>
      </c>
      <c r="AF22" s="673">
        <v>0.4</v>
      </c>
      <c r="AG22" s="673">
        <v>0.35</v>
      </c>
      <c r="AH22" s="674">
        <v>323</v>
      </c>
      <c r="AI22" s="674">
        <v>1</v>
      </c>
      <c r="AJ22" s="673">
        <f t="shared" si="4"/>
        <v>323</v>
      </c>
      <c r="AK22" s="296" t="s">
        <v>1402</v>
      </c>
    </row>
    <row r="23" spans="1:37" ht="15" customHeight="1">
      <c r="A23" s="979"/>
      <c r="B23" s="822">
        <v>15</v>
      </c>
      <c r="C23" s="978" t="s">
        <v>1531</v>
      </c>
      <c r="D23" s="956" t="str">
        <f>O23</f>
        <v>G12纯白（PBJ4490）</v>
      </c>
      <c r="E23" s="956"/>
      <c r="F23" s="829">
        <f>Q23</f>
        <v>1.6073453809523808</v>
      </c>
      <c r="G23" s="822" t="s">
        <v>1526</v>
      </c>
      <c r="H23" s="956" t="str">
        <f>IF(D23="G11纯黑","P1270","")</f>
        <v/>
      </c>
      <c r="I23" s="956"/>
      <c r="J23" s="956"/>
      <c r="L23" s="953" t="str">
        <f>C23</f>
        <v>高光PU面漆（手工喷涂)</v>
      </c>
      <c r="M23" s="953">
        <f>VLOOKUP(H6,S:AA,9,0)</f>
        <v>650</v>
      </c>
      <c r="N23" s="953">
        <f>+高光门板!O47</f>
        <v>5.1929619999999996</v>
      </c>
      <c r="O23" s="675" t="str">
        <f>+H6</f>
        <v>G12纯白（PBJ4490）</v>
      </c>
      <c r="P23" s="675">
        <f>VLOOKUP(H6,S:V,4,0)</f>
        <v>1</v>
      </c>
      <c r="Q23" s="682">
        <f>N$23*(M$23/(P$23+P$24+P$25)*P23)/1000</f>
        <v>1.6073453809523808</v>
      </c>
      <c r="S23" s="644" t="s">
        <v>1359</v>
      </c>
      <c r="T23" s="644" t="s">
        <v>1348</v>
      </c>
      <c r="U23" s="671" t="str">
        <f t="shared" si="7"/>
        <v>稀料PX903</v>
      </c>
      <c r="V23" s="685">
        <v>1</v>
      </c>
      <c r="W23" s="685">
        <v>0.5</v>
      </c>
      <c r="X23" s="685">
        <v>0.6</v>
      </c>
      <c r="Y23" s="644">
        <f>IF($M$1=$P$1,310,430)</f>
        <v>310</v>
      </c>
      <c r="Z23" s="644">
        <v>1</v>
      </c>
      <c r="AA23" s="644">
        <f t="shared" si="3"/>
        <v>310</v>
      </c>
      <c r="AB23" s="672" t="s">
        <v>1349</v>
      </c>
      <c r="AC23" s="673" t="s">
        <v>1350</v>
      </c>
      <c r="AD23" s="673" t="s">
        <v>1351</v>
      </c>
      <c r="AE23" s="673">
        <v>1</v>
      </c>
      <c r="AF23" s="673">
        <v>0.4</v>
      </c>
      <c r="AG23" s="673">
        <v>0.35</v>
      </c>
      <c r="AH23" s="674">
        <v>323</v>
      </c>
      <c r="AI23" s="674">
        <v>1</v>
      </c>
      <c r="AJ23" s="673">
        <f t="shared" si="4"/>
        <v>323</v>
      </c>
      <c r="AK23" s="296" t="s">
        <v>1402</v>
      </c>
    </row>
    <row r="24" spans="1:37" ht="15" customHeight="1">
      <c r="A24" s="979"/>
      <c r="B24" s="822">
        <v>16</v>
      </c>
      <c r="C24" s="978"/>
      <c r="D24" s="956" t="str">
        <f>O24</f>
        <v>固化剂T32944</v>
      </c>
      <c r="E24" s="956"/>
      <c r="F24" s="829">
        <f>Q24</f>
        <v>0.80367269047619039</v>
      </c>
      <c r="G24" s="822" t="s">
        <v>1526</v>
      </c>
      <c r="H24" s="956"/>
      <c r="I24" s="956"/>
      <c r="J24" s="956"/>
      <c r="L24" s="954"/>
      <c r="M24" s="954"/>
      <c r="N24" s="954"/>
      <c r="O24" s="675" t="str">
        <f>VLOOKUP(H6,S:T,2,0)</f>
        <v>固化剂T32944</v>
      </c>
      <c r="P24" s="681">
        <f>VLOOKUP(H6,S:W,5,0)</f>
        <v>0.5</v>
      </c>
      <c r="Q24" s="682">
        <f>N$23*(M$23/(P$23+P$24+P$25)*P24)/1000</f>
        <v>0.80367269047619039</v>
      </c>
      <c r="S24" s="644" t="s">
        <v>1360</v>
      </c>
      <c r="T24" s="644" t="s">
        <v>1348</v>
      </c>
      <c r="U24" s="671" t="str">
        <f t="shared" si="7"/>
        <v>稀料PX903</v>
      </c>
      <c r="V24" s="685">
        <v>1</v>
      </c>
      <c r="W24" s="685">
        <v>0.5</v>
      </c>
      <c r="X24" s="685">
        <v>0.6</v>
      </c>
      <c r="Y24" s="644">
        <v>310</v>
      </c>
      <c r="Z24" s="644">
        <v>1</v>
      </c>
      <c r="AA24" s="644">
        <f t="shared" si="3"/>
        <v>310</v>
      </c>
      <c r="AB24" s="672" t="s">
        <v>1349</v>
      </c>
      <c r="AC24" s="673" t="s">
        <v>1350</v>
      </c>
      <c r="AD24" s="673" t="s">
        <v>1351</v>
      </c>
      <c r="AE24" s="673">
        <v>1</v>
      </c>
      <c r="AF24" s="673">
        <v>0.4</v>
      </c>
      <c r="AG24" s="673">
        <v>0.35</v>
      </c>
      <c r="AH24" s="674">
        <v>323</v>
      </c>
      <c r="AI24" s="674">
        <v>1</v>
      </c>
      <c r="AJ24" s="673">
        <f t="shared" si="4"/>
        <v>323</v>
      </c>
      <c r="AK24" s="296" t="s">
        <v>1402</v>
      </c>
    </row>
    <row r="25" spans="1:37" ht="15" customHeight="1">
      <c r="A25" s="979"/>
      <c r="B25" s="822">
        <v>17</v>
      </c>
      <c r="C25" s="978"/>
      <c r="D25" s="956" t="str">
        <f>O25</f>
        <v>稀料PX801/PX803</v>
      </c>
      <c r="E25" s="956"/>
      <c r="F25" s="829">
        <f>IF(D26="",Q25,Q25*0.66)</f>
        <v>0.96440722857142835</v>
      </c>
      <c r="G25" s="822" t="s">
        <v>1526</v>
      </c>
      <c r="H25" s="956"/>
      <c r="I25" s="956"/>
      <c r="J25" s="956"/>
      <c r="L25" s="954"/>
      <c r="M25" s="954"/>
      <c r="N25" s="954"/>
      <c r="O25" s="675" t="str">
        <f>VLOOKUP(H6,S:U,3,0)</f>
        <v>稀料PX801/PX803</v>
      </c>
      <c r="P25" s="681">
        <f>VLOOKUP(H6,S:X,6,0)</f>
        <v>0.6</v>
      </c>
      <c r="Q25" s="682">
        <f>N$23*(M$23/(P$23+P$24+P$25)*P25)/1000</f>
        <v>0.96440722857142835</v>
      </c>
      <c r="S25" s="792" t="s">
        <v>1477</v>
      </c>
      <c r="T25" s="686" t="s">
        <v>1361</v>
      </c>
      <c r="U25" s="644" t="s">
        <v>1362</v>
      </c>
      <c r="V25" s="685">
        <v>1</v>
      </c>
      <c r="W25" s="685">
        <v>0.5</v>
      </c>
      <c r="X25" s="685">
        <v>0.5</v>
      </c>
      <c r="Y25" s="644">
        <v>310</v>
      </c>
      <c r="Z25" s="644">
        <v>1</v>
      </c>
      <c r="AA25" s="644">
        <f t="shared" si="3"/>
        <v>310</v>
      </c>
      <c r="AB25" s="672" t="s">
        <v>1349</v>
      </c>
      <c r="AC25" s="673" t="s">
        <v>1350</v>
      </c>
      <c r="AD25" s="673" t="s">
        <v>1351</v>
      </c>
      <c r="AE25" s="673">
        <v>1</v>
      </c>
      <c r="AF25" s="673">
        <v>0.4</v>
      </c>
      <c r="AG25" s="673">
        <v>0.35</v>
      </c>
      <c r="AH25" s="674">
        <v>323</v>
      </c>
      <c r="AI25" s="674">
        <v>1</v>
      </c>
      <c r="AJ25" s="673">
        <f t="shared" si="4"/>
        <v>323</v>
      </c>
      <c r="AK25" s="296" t="s">
        <v>1401</v>
      </c>
    </row>
    <row r="26" spans="1:37" ht="15" customHeight="1">
      <c r="A26" s="979"/>
      <c r="B26" s="822">
        <v>18</v>
      </c>
      <c r="C26" s="978"/>
      <c r="D26" s="956" t="str">
        <f>IF(M1=P1,"",O4)</f>
        <v/>
      </c>
      <c r="E26" s="956"/>
      <c r="F26" s="829" t="str">
        <f>IF(D26="","",Q25*0.34)</f>
        <v/>
      </c>
      <c r="G26" s="822" t="str">
        <f>+G22</f>
        <v/>
      </c>
      <c r="H26" s="956"/>
      <c r="I26" s="956"/>
      <c r="J26" s="956"/>
      <c r="L26" s="955"/>
      <c r="M26" s="955"/>
      <c r="N26" s="955"/>
      <c r="O26" s="675" t="str">
        <f>IF(M1=P1,"",O4)</f>
        <v/>
      </c>
      <c r="P26" s="681"/>
      <c r="Q26" s="682">
        <f>+Q25*0.34</f>
        <v>0.32789845771428566</v>
      </c>
      <c r="S26" s="761" t="s">
        <v>1403</v>
      </c>
      <c r="T26" s="761" t="s">
        <v>1346</v>
      </c>
      <c r="U26" s="671" t="str">
        <f t="shared" ref="U26:U27" si="8">IF($M$1=$P$1,$P$5,$P$6)</f>
        <v>稀料PX903</v>
      </c>
      <c r="V26" s="761">
        <v>1</v>
      </c>
      <c r="W26" s="761">
        <v>0.5</v>
      </c>
      <c r="X26" s="761">
        <v>0.8</v>
      </c>
      <c r="Y26" s="761">
        <v>310</v>
      </c>
      <c r="Z26" s="761">
        <v>1</v>
      </c>
      <c r="AA26" s="761">
        <f t="shared" si="3"/>
        <v>310</v>
      </c>
      <c r="AB26" s="672" t="s">
        <v>1349</v>
      </c>
      <c r="AC26" s="673" t="s">
        <v>1350</v>
      </c>
      <c r="AD26" s="673" t="s">
        <v>1351</v>
      </c>
      <c r="AE26" s="673">
        <v>1</v>
      </c>
      <c r="AF26" s="673">
        <v>0.4</v>
      </c>
      <c r="AG26" s="673">
        <v>0.35</v>
      </c>
      <c r="AH26" s="674">
        <v>323</v>
      </c>
      <c r="AI26" s="674">
        <v>1</v>
      </c>
      <c r="AJ26" s="673">
        <f t="shared" si="4"/>
        <v>323</v>
      </c>
      <c r="AK26" s="296" t="s">
        <v>1402</v>
      </c>
    </row>
    <row r="27" spans="1:37" ht="15" customHeight="1">
      <c r="A27" s="979"/>
      <c r="B27" s="822">
        <v>15</v>
      </c>
      <c r="C27" s="978"/>
      <c r="D27" s="956"/>
      <c r="E27" s="956"/>
      <c r="F27" s="829"/>
      <c r="G27" s="822"/>
      <c r="H27" s="956" t="str">
        <f>IF(D27="G11纯黑","P1270","")</f>
        <v/>
      </c>
      <c r="I27" s="956"/>
      <c r="J27" s="956"/>
      <c r="L27" s="953">
        <f>C27</f>
        <v>0</v>
      </c>
      <c r="M27" s="953">
        <f>+M23</f>
        <v>650</v>
      </c>
      <c r="N27" s="953">
        <f>+高光门板!P47</f>
        <v>0</v>
      </c>
      <c r="O27" s="722">
        <f>+J6</f>
        <v>0</v>
      </c>
      <c r="P27" s="722" t="e">
        <f>VLOOKUP(J6,S:V,4,0)</f>
        <v>#N/A</v>
      </c>
      <c r="Q27" s="682" t="e">
        <f>N$27*(M$27/(P$27+P$28+P$29)*P27)/1000</f>
        <v>#N/A</v>
      </c>
      <c r="S27" s="806" t="s">
        <v>1404</v>
      </c>
      <c r="T27" s="761" t="s">
        <v>1348</v>
      </c>
      <c r="U27" s="671" t="str">
        <f t="shared" si="8"/>
        <v>稀料PX903</v>
      </c>
      <c r="V27" s="685">
        <v>1</v>
      </c>
      <c r="W27" s="685">
        <v>0.5</v>
      </c>
      <c r="X27" s="685">
        <v>0.8</v>
      </c>
      <c r="Y27" s="761">
        <v>325</v>
      </c>
      <c r="Z27" s="761">
        <v>2</v>
      </c>
      <c r="AA27" s="761">
        <f t="shared" si="3"/>
        <v>650</v>
      </c>
      <c r="AB27" s="672" t="s">
        <v>1349</v>
      </c>
      <c r="AC27" s="673" t="s">
        <v>1350</v>
      </c>
      <c r="AD27" s="673" t="s">
        <v>1351</v>
      </c>
      <c r="AE27" s="673">
        <v>1</v>
      </c>
      <c r="AF27" s="673">
        <v>0.4</v>
      </c>
      <c r="AG27" s="673">
        <v>0.35</v>
      </c>
      <c r="AH27" s="674">
        <v>323</v>
      </c>
      <c r="AI27" s="674">
        <v>1</v>
      </c>
      <c r="AJ27" s="673">
        <f t="shared" si="4"/>
        <v>323</v>
      </c>
      <c r="AK27" s="296" t="s">
        <v>1402</v>
      </c>
    </row>
    <row r="28" spans="1:37" ht="15" customHeight="1">
      <c r="A28" s="979"/>
      <c r="B28" s="822">
        <v>16</v>
      </c>
      <c r="C28" s="978"/>
      <c r="D28" s="956"/>
      <c r="E28" s="956"/>
      <c r="F28" s="829"/>
      <c r="G28" s="822"/>
      <c r="H28" s="956"/>
      <c r="I28" s="956"/>
      <c r="J28" s="956"/>
      <c r="L28" s="954"/>
      <c r="M28" s="954"/>
      <c r="N28" s="954"/>
      <c r="O28" s="722" t="e">
        <f>VLOOKUP(J6,S:T,2,0)</f>
        <v>#N/A</v>
      </c>
      <c r="P28" s="681" t="e">
        <f>VLOOKUP(J6,S:W,5,0)</f>
        <v>#N/A</v>
      </c>
      <c r="Q28" s="682" t="e">
        <f>N$23*(M$23/(P$23+P$24+P$25)*P28)/1000</f>
        <v>#N/A</v>
      </c>
      <c r="S28" s="687"/>
      <c r="T28" s="687"/>
      <c r="Y28" s="687"/>
      <c r="Z28" s="687"/>
      <c r="AA28" s="687"/>
      <c r="AB28" s="723"/>
      <c r="AC28" s="474"/>
      <c r="AD28" s="474"/>
      <c r="AE28" s="474"/>
      <c r="AF28" s="474"/>
      <c r="AG28" s="474"/>
      <c r="AH28" s="724"/>
      <c r="AI28" s="724"/>
      <c r="AJ28" s="474"/>
    </row>
    <row r="29" spans="1:37" ht="15" customHeight="1">
      <c r="A29" s="979"/>
      <c r="B29" s="822">
        <v>17</v>
      </c>
      <c r="C29" s="978"/>
      <c r="D29" s="956"/>
      <c r="E29" s="956"/>
      <c r="F29" s="829"/>
      <c r="G29" s="822"/>
      <c r="H29" s="956"/>
      <c r="I29" s="956"/>
      <c r="J29" s="956"/>
      <c r="L29" s="954"/>
      <c r="M29" s="954"/>
      <c r="N29" s="954"/>
      <c r="O29" s="722" t="e">
        <f>VLOOKUP(J6,S:U,3,0)</f>
        <v>#N/A</v>
      </c>
      <c r="P29" s="681" t="e">
        <f>VLOOKUP(J6,S:X,6,0)</f>
        <v>#N/A</v>
      </c>
      <c r="Q29" s="682" t="e">
        <f>N$23*(M$23/(P$23+P$24+P$25)*P29)/1000</f>
        <v>#N/A</v>
      </c>
      <c r="S29" s="687"/>
      <c r="T29" s="725"/>
      <c r="U29" s="687"/>
      <c r="Y29" s="687"/>
      <c r="Z29" s="687"/>
      <c r="AA29" s="687"/>
      <c r="AB29" s="723"/>
      <c r="AC29" s="474"/>
      <c r="AD29" s="474"/>
      <c r="AE29" s="474"/>
      <c r="AF29" s="474"/>
      <c r="AG29" s="474"/>
      <c r="AH29" s="724"/>
      <c r="AI29" s="724"/>
      <c r="AJ29" s="474"/>
    </row>
    <row r="30" spans="1:37" ht="15" customHeight="1">
      <c r="A30" s="979"/>
      <c r="B30" s="822">
        <v>18</v>
      </c>
      <c r="C30" s="978"/>
      <c r="D30" s="956"/>
      <c r="E30" s="956"/>
      <c r="F30" s="829"/>
      <c r="G30" s="822"/>
      <c r="H30" s="956"/>
      <c r="I30" s="956"/>
      <c r="J30" s="956"/>
      <c r="L30" s="955"/>
      <c r="M30" s="955"/>
      <c r="N30" s="955"/>
      <c r="O30" s="722">
        <f>IF(M5=P5,"",O8)</f>
        <v>0</v>
      </c>
      <c r="P30" s="681"/>
      <c r="Q30" s="682" t="e">
        <f>+Q29*0.34</f>
        <v>#N/A</v>
      </c>
      <c r="S30" s="687"/>
      <c r="T30" s="488"/>
      <c r="U30" s="687"/>
    </row>
    <row r="31" spans="1:37" ht="15" customHeight="1">
      <c r="A31" s="979"/>
      <c r="B31" s="822">
        <v>19</v>
      </c>
      <c r="C31" s="823" t="s">
        <v>1532</v>
      </c>
      <c r="D31" s="822"/>
      <c r="E31" s="822"/>
      <c r="F31" s="829">
        <f>(N23+N27)*0.05</f>
        <v>0.25964809999999999</v>
      </c>
      <c r="G31" s="822" t="s">
        <v>1526</v>
      </c>
      <c r="H31" s="956"/>
      <c r="I31" s="956"/>
      <c r="J31" s="956"/>
      <c r="L31" s="688"/>
      <c r="M31" s="688"/>
      <c r="N31" s="688"/>
      <c r="O31" s="646"/>
      <c r="P31" s="645"/>
      <c r="Q31" s="394"/>
      <c r="S31" s="687"/>
      <c r="T31" s="488"/>
      <c r="U31" s="687"/>
    </row>
    <row r="32" spans="1:37" ht="15" customHeight="1">
      <c r="A32" s="979"/>
      <c r="B32" s="822">
        <v>20</v>
      </c>
      <c r="C32" s="823" t="s">
        <v>1533</v>
      </c>
      <c r="D32" s="822"/>
      <c r="E32" s="822"/>
      <c r="F32" s="829">
        <f>(N23+N27)*0.07</f>
        <v>0.36350734000000001</v>
      </c>
      <c r="G32" s="822" t="s">
        <v>1526</v>
      </c>
      <c r="H32" s="956"/>
      <c r="I32" s="956"/>
      <c r="J32" s="956"/>
      <c r="L32" s="688"/>
      <c r="M32" s="688"/>
      <c r="N32" s="688"/>
      <c r="O32" s="646"/>
      <c r="P32" s="645"/>
      <c r="Q32" s="394"/>
      <c r="S32" s="687"/>
      <c r="T32" s="488"/>
      <c r="U32" s="687"/>
    </row>
    <row r="33" spans="1:21" ht="15" customHeight="1">
      <c r="A33" s="959" t="s">
        <v>1534</v>
      </c>
      <c r="B33" s="822">
        <v>1</v>
      </c>
      <c r="C33" s="822" t="s">
        <v>1535</v>
      </c>
      <c r="D33" s="956"/>
      <c r="E33" s="956"/>
      <c r="F33" s="829">
        <f>高光门板!S48</f>
        <v>7.42</v>
      </c>
      <c r="G33" s="822" t="s">
        <v>1536</v>
      </c>
      <c r="H33" s="956"/>
      <c r="I33" s="956"/>
      <c r="J33" s="956"/>
      <c r="L33" s="688"/>
      <c r="M33" s="688"/>
      <c r="N33" s="688"/>
      <c r="O33" s="646"/>
      <c r="P33" s="645"/>
      <c r="Q33" s="394"/>
      <c r="S33" s="488"/>
      <c r="T33" s="488"/>
      <c r="U33" s="687"/>
    </row>
    <row r="34" spans="1:21" ht="15" customHeight="1">
      <c r="A34" s="959"/>
      <c r="B34" s="822">
        <v>2</v>
      </c>
      <c r="C34" s="822" t="s">
        <v>1537</v>
      </c>
      <c r="D34" s="956"/>
      <c r="E34" s="956"/>
      <c r="F34" s="689">
        <v>0.7</v>
      </c>
      <c r="G34" s="822" t="s">
        <v>1538</v>
      </c>
      <c r="H34" s="956"/>
      <c r="I34" s="956"/>
      <c r="J34" s="956"/>
      <c r="S34" s="488"/>
      <c r="T34" s="488"/>
    </row>
    <row r="35" spans="1:21" ht="15" customHeight="1">
      <c r="A35" s="964"/>
      <c r="B35" s="964"/>
      <c r="C35" s="964"/>
      <c r="D35" s="964"/>
      <c r="E35" s="964"/>
      <c r="F35" s="964"/>
      <c r="G35" s="964"/>
      <c r="H35" s="964"/>
      <c r="I35" s="964"/>
      <c r="J35" s="964"/>
      <c r="S35" s="488"/>
      <c r="T35" s="488"/>
    </row>
    <row r="36" spans="1:21" ht="15" customHeight="1">
      <c r="A36" s="962" t="s">
        <v>1544</v>
      </c>
      <c r="B36" s="822" t="s">
        <v>1539</v>
      </c>
      <c r="C36" s="822" t="s">
        <v>1540</v>
      </c>
      <c r="D36" s="965" t="s">
        <v>817</v>
      </c>
      <c r="E36" s="966"/>
      <c r="F36" s="843" t="s">
        <v>1550</v>
      </c>
      <c r="G36" s="840" t="s">
        <v>1551</v>
      </c>
      <c r="H36" s="965"/>
      <c r="I36" s="967"/>
      <c r="J36" s="966"/>
      <c r="S36" s="488"/>
      <c r="T36" s="488"/>
    </row>
    <row r="37" spans="1:21" ht="15" customHeight="1">
      <c r="A37" s="963"/>
      <c r="B37" s="822"/>
      <c r="C37" s="822"/>
      <c r="D37" s="965"/>
      <c r="E37" s="966"/>
      <c r="F37" s="689"/>
      <c r="G37" s="840"/>
      <c r="H37" s="965"/>
      <c r="I37" s="967"/>
      <c r="J37" s="966"/>
      <c r="S37" s="488"/>
      <c r="T37" s="488"/>
    </row>
    <row r="38" spans="1:21" ht="15" customHeight="1">
      <c r="A38" s="963"/>
      <c r="B38" s="840"/>
      <c r="C38" s="822"/>
      <c r="D38" s="965"/>
      <c r="E38" s="966"/>
      <c r="F38" s="689"/>
      <c r="G38" s="840"/>
      <c r="H38" s="965"/>
      <c r="I38" s="967"/>
      <c r="J38" s="966"/>
      <c r="S38" s="488"/>
      <c r="T38" s="488"/>
    </row>
    <row r="39" spans="1:21" ht="15" customHeight="1">
      <c r="A39" s="963"/>
      <c r="B39" s="840"/>
      <c r="C39" s="822"/>
      <c r="D39" s="965"/>
      <c r="E39" s="966"/>
      <c r="F39" s="689"/>
      <c r="G39" s="840"/>
      <c r="H39" s="965"/>
      <c r="I39" s="967"/>
      <c r="J39" s="966"/>
      <c r="S39" s="488"/>
      <c r="T39" s="488"/>
    </row>
    <row r="40" spans="1:21" ht="15" customHeight="1">
      <c r="A40" s="963"/>
      <c r="B40" s="840"/>
      <c r="C40" s="822"/>
      <c r="D40" s="965"/>
      <c r="E40" s="966"/>
      <c r="F40" s="689"/>
      <c r="G40" s="840"/>
      <c r="H40" s="965"/>
      <c r="I40" s="967"/>
      <c r="J40" s="966"/>
      <c r="T40" s="488"/>
    </row>
    <row r="41" spans="1:21" ht="15" customHeight="1">
      <c r="A41" s="963"/>
      <c r="B41" s="840"/>
      <c r="C41" s="822"/>
      <c r="D41" s="965"/>
      <c r="E41" s="966"/>
      <c r="F41" s="689"/>
      <c r="G41" s="840"/>
      <c r="H41" s="965"/>
      <c r="I41" s="967"/>
      <c r="J41" s="966"/>
      <c r="S41" s="488"/>
      <c r="T41" s="488"/>
    </row>
    <row r="42" spans="1:21" ht="15" customHeight="1">
      <c r="A42" s="963"/>
      <c r="B42" s="840"/>
      <c r="C42" s="822"/>
      <c r="D42" s="965"/>
      <c r="E42" s="966"/>
      <c r="F42" s="689"/>
      <c r="G42" s="840"/>
      <c r="H42" s="965"/>
      <c r="I42" s="967"/>
      <c r="J42" s="966"/>
      <c r="S42" s="488"/>
      <c r="T42" s="488"/>
    </row>
    <row r="43" spans="1:21" ht="15" customHeight="1">
      <c r="A43" s="963"/>
      <c r="B43" s="840"/>
      <c r="C43" s="822"/>
      <c r="D43" s="965"/>
      <c r="E43" s="966"/>
      <c r="F43" s="689"/>
      <c r="G43" s="840"/>
      <c r="H43" s="965"/>
      <c r="I43" s="967"/>
      <c r="J43" s="966"/>
      <c r="S43" s="488"/>
      <c r="T43" s="488"/>
    </row>
    <row r="44" spans="1:21" ht="15" customHeight="1">
      <c r="A44" s="963"/>
      <c r="B44" s="840"/>
      <c r="C44" s="822"/>
      <c r="D44" s="965"/>
      <c r="E44" s="966"/>
      <c r="F44" s="689"/>
      <c r="G44" s="840"/>
      <c r="H44" s="965"/>
      <c r="I44" s="967"/>
      <c r="J44" s="966"/>
      <c r="S44" s="488"/>
      <c r="T44" s="488"/>
    </row>
    <row r="45" spans="1:21" ht="18.75" hidden="1" customHeight="1">
      <c r="A45" s="963"/>
      <c r="B45" s="840"/>
      <c r="C45" s="822"/>
      <c r="D45" s="965"/>
      <c r="E45" s="966"/>
      <c r="F45" s="689"/>
      <c r="G45" s="840"/>
      <c r="H45" s="965"/>
      <c r="I45" s="967"/>
      <c r="J45" s="966"/>
      <c r="T45" s="488"/>
    </row>
    <row r="46" spans="1:21" ht="15" hidden="1" customHeight="1">
      <c r="A46" s="963"/>
      <c r="B46" s="840"/>
      <c r="C46" s="822"/>
      <c r="D46" s="965"/>
      <c r="E46" s="966"/>
      <c r="F46" s="689"/>
      <c r="G46" s="840"/>
      <c r="H46" s="965"/>
      <c r="I46" s="967"/>
      <c r="J46" s="966"/>
      <c r="T46" s="488"/>
    </row>
    <row r="47" spans="1:21" ht="15" hidden="1" customHeight="1">
      <c r="A47" s="963"/>
      <c r="B47" s="840"/>
      <c r="C47" s="822"/>
      <c r="D47" s="965"/>
      <c r="E47" s="966"/>
      <c r="F47" s="689"/>
      <c r="G47" s="840"/>
      <c r="H47" s="965"/>
      <c r="I47" s="967"/>
      <c r="J47" s="966"/>
      <c r="T47" s="488"/>
    </row>
    <row r="48" spans="1:21" ht="15" hidden="1" customHeight="1">
      <c r="A48" s="963"/>
      <c r="B48" s="840"/>
      <c r="C48" s="840"/>
      <c r="D48" s="965"/>
      <c r="E48" s="966"/>
      <c r="F48" s="689"/>
      <c r="G48" s="840"/>
      <c r="H48" s="965"/>
      <c r="I48" s="967"/>
      <c r="J48" s="966"/>
      <c r="T48" s="488"/>
    </row>
    <row r="49" spans="1:20" ht="15" hidden="1" customHeight="1">
      <c r="A49" s="963"/>
      <c r="B49" s="840"/>
      <c r="C49" s="840"/>
      <c r="D49" s="965"/>
      <c r="E49" s="966"/>
      <c r="F49" s="689"/>
      <c r="G49" s="840"/>
      <c r="H49" s="965"/>
      <c r="I49" s="967"/>
      <c r="J49" s="966"/>
      <c r="T49" s="488"/>
    </row>
    <row r="50" spans="1:20" ht="15" hidden="1" customHeight="1">
      <c r="A50" s="963"/>
      <c r="B50" s="840"/>
      <c r="C50" s="822"/>
      <c r="D50" s="965"/>
      <c r="E50" s="966"/>
      <c r="F50" s="689"/>
      <c r="G50" s="840"/>
      <c r="H50" s="965"/>
      <c r="I50" s="967"/>
      <c r="J50" s="966"/>
      <c r="T50" s="488"/>
    </row>
    <row r="51" spans="1:20" ht="15" hidden="1" customHeight="1">
      <c r="A51" s="963"/>
      <c r="B51" s="840"/>
      <c r="C51" s="822"/>
      <c r="D51" s="965"/>
      <c r="E51" s="966"/>
      <c r="F51" s="689"/>
      <c r="G51" s="840"/>
      <c r="H51" s="965"/>
      <c r="I51" s="967"/>
      <c r="J51" s="966"/>
      <c r="T51" s="488"/>
    </row>
    <row r="52" spans="1:20" ht="15" customHeight="1">
      <c r="A52" s="960"/>
      <c r="B52" s="960"/>
      <c r="C52" s="834" t="s">
        <v>1541</v>
      </c>
      <c r="D52" s="958"/>
      <c r="E52" s="958"/>
      <c r="F52" s="835"/>
      <c r="G52" s="834"/>
      <c r="H52" s="961"/>
      <c r="I52" s="961"/>
      <c r="J52" s="836"/>
    </row>
    <row r="53" spans="1:20" ht="15" customHeight="1">
      <c r="A53" s="834"/>
      <c r="B53" s="834"/>
      <c r="C53" s="834"/>
      <c r="D53" s="834"/>
      <c r="E53" s="837"/>
      <c r="F53" s="835"/>
      <c r="G53" s="834"/>
      <c r="H53" s="687"/>
      <c r="I53" s="687"/>
      <c r="J53" s="836"/>
    </row>
    <row r="54" spans="1:20" ht="15" customHeight="1">
      <c r="A54" s="834"/>
      <c r="B54" s="834"/>
      <c r="C54" s="834" t="s">
        <v>1542</v>
      </c>
      <c r="D54" s="957"/>
      <c r="E54" s="957"/>
      <c r="F54" s="835"/>
      <c r="G54" s="838"/>
      <c r="H54" s="958"/>
      <c r="I54" s="958"/>
      <c r="J54" s="836"/>
    </row>
    <row r="55" spans="1:20" ht="15" customHeight="1">
      <c r="A55" s="394"/>
      <c r="B55" s="394"/>
      <c r="C55" s="394"/>
      <c r="D55" s="394"/>
      <c r="E55" s="394"/>
      <c r="F55" s="395"/>
      <c r="G55" s="394"/>
      <c r="H55" s="394"/>
      <c r="I55" s="394"/>
      <c r="J55" s="394"/>
    </row>
  </sheetData>
  <autoFilter ref="A1:J3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32">
    <mergeCell ref="H50:J50"/>
    <mergeCell ref="H51:J51"/>
    <mergeCell ref="D48:E48"/>
    <mergeCell ref="H48:J48"/>
    <mergeCell ref="D49:E49"/>
    <mergeCell ref="H49:J49"/>
    <mergeCell ref="I6:I8"/>
    <mergeCell ref="J6:J8"/>
    <mergeCell ref="D36:E36"/>
    <mergeCell ref="D37:E37"/>
    <mergeCell ref="D38:E38"/>
    <mergeCell ref="D39:E39"/>
    <mergeCell ref="D40:E40"/>
    <mergeCell ref="D41:E41"/>
    <mergeCell ref="D42:E42"/>
    <mergeCell ref="H36:J36"/>
    <mergeCell ref="H37:J37"/>
    <mergeCell ref="H38:J38"/>
    <mergeCell ref="H39:J39"/>
    <mergeCell ref="H40:J40"/>
    <mergeCell ref="H41:J41"/>
    <mergeCell ref="H42:J42"/>
    <mergeCell ref="D7:E7"/>
    <mergeCell ref="D8:E8"/>
    <mergeCell ref="C27:C30"/>
    <mergeCell ref="D27:E27"/>
    <mergeCell ref="H27:J27"/>
    <mergeCell ref="H31:J31"/>
    <mergeCell ref="H32:J32"/>
    <mergeCell ref="A1:J1"/>
    <mergeCell ref="A2:B2"/>
    <mergeCell ref="C2:D2"/>
    <mergeCell ref="E2:F2"/>
    <mergeCell ref="H2:I2"/>
    <mergeCell ref="J3:J4"/>
    <mergeCell ref="A4:B4"/>
    <mergeCell ref="D5:E5"/>
    <mergeCell ref="H5:J5"/>
    <mergeCell ref="A3:B3"/>
    <mergeCell ref="D3:D4"/>
    <mergeCell ref="E3:E4"/>
    <mergeCell ref="F3:F4"/>
    <mergeCell ref="I3:I4"/>
    <mergeCell ref="A6:A8"/>
    <mergeCell ref="D6:E6"/>
    <mergeCell ref="H6:H8"/>
    <mergeCell ref="L10:Q10"/>
    <mergeCell ref="C11:C14"/>
    <mergeCell ref="D11:E11"/>
    <mergeCell ref="H11:J11"/>
    <mergeCell ref="L11:L13"/>
    <mergeCell ref="M11:M13"/>
    <mergeCell ref="N11:N13"/>
    <mergeCell ref="D12:E12"/>
    <mergeCell ref="H14:J14"/>
    <mergeCell ref="A9:A32"/>
    <mergeCell ref="D9:E9"/>
    <mergeCell ref="H9:J9"/>
    <mergeCell ref="D10:E10"/>
    <mergeCell ref="H10:J10"/>
    <mergeCell ref="C15:C22"/>
    <mergeCell ref="D15:E15"/>
    <mergeCell ref="H15:J15"/>
    <mergeCell ref="D22:E22"/>
    <mergeCell ref="H22:J22"/>
    <mergeCell ref="H18:J18"/>
    <mergeCell ref="C23:C26"/>
    <mergeCell ref="L18:L21"/>
    <mergeCell ref="H12:J12"/>
    <mergeCell ref="D13:E13"/>
    <mergeCell ref="H13:J13"/>
    <mergeCell ref="D14:E14"/>
    <mergeCell ref="M18:M21"/>
    <mergeCell ref="N18:N21"/>
    <mergeCell ref="N15:N17"/>
    <mergeCell ref="D16:E16"/>
    <mergeCell ref="H16:J16"/>
    <mergeCell ref="D17:E17"/>
    <mergeCell ref="H17:J17"/>
    <mergeCell ref="M15:M17"/>
    <mergeCell ref="D21:E21"/>
    <mergeCell ref="H21:J21"/>
    <mergeCell ref="L15:L17"/>
    <mergeCell ref="D19:E19"/>
    <mergeCell ref="H19:J19"/>
    <mergeCell ref="D20:E20"/>
    <mergeCell ref="H20:J20"/>
    <mergeCell ref="D18:E18"/>
    <mergeCell ref="L23:L26"/>
    <mergeCell ref="M23:M26"/>
    <mergeCell ref="N23:N26"/>
    <mergeCell ref="D24:E24"/>
    <mergeCell ref="H24:J24"/>
    <mergeCell ref="D25:E25"/>
    <mergeCell ref="H25:J25"/>
    <mergeCell ref="D26:E26"/>
    <mergeCell ref="H26:J26"/>
    <mergeCell ref="D23:E23"/>
    <mergeCell ref="H23:J23"/>
    <mergeCell ref="D54:E54"/>
    <mergeCell ref="H54:I54"/>
    <mergeCell ref="A33:A34"/>
    <mergeCell ref="D33:E33"/>
    <mergeCell ref="D34:E34"/>
    <mergeCell ref="A52:B52"/>
    <mergeCell ref="D52:E52"/>
    <mergeCell ref="H52:I52"/>
    <mergeCell ref="A36:A51"/>
    <mergeCell ref="H33:J33"/>
    <mergeCell ref="H34:J34"/>
    <mergeCell ref="A35:J35"/>
    <mergeCell ref="D43:E43"/>
    <mergeCell ref="D44:E44"/>
    <mergeCell ref="D45:E45"/>
    <mergeCell ref="D46:E46"/>
    <mergeCell ref="D47:E47"/>
    <mergeCell ref="D50:E50"/>
    <mergeCell ref="D51:E51"/>
    <mergeCell ref="H43:J43"/>
    <mergeCell ref="H44:J44"/>
    <mergeCell ref="H45:J45"/>
    <mergeCell ref="H46:J46"/>
    <mergeCell ref="H47:J47"/>
    <mergeCell ref="L27:L30"/>
    <mergeCell ref="M27:M30"/>
    <mergeCell ref="N27:N30"/>
    <mergeCell ref="D28:E28"/>
    <mergeCell ref="H28:J28"/>
    <mergeCell ref="D29:E29"/>
    <mergeCell ref="H29:J29"/>
    <mergeCell ref="D30:E30"/>
    <mergeCell ref="H30:J30"/>
  </mergeCells>
  <phoneticPr fontId="76" type="noConversion"/>
  <dataValidations count="1">
    <dataValidation type="list" allowBlank="1" showInputMessage="1" showErrorMessage="1" sqref="M1">
      <formula1>$P$1:$P$2</formula1>
    </dataValidation>
  </dataValidations>
  <printOptions horizontalCentered="1"/>
  <pageMargins left="0.11811023622047245" right="0.11811023622047245" top="0.19685039370078741" bottom="0.39370078740157483" header="0.51181102362204722" footer="0.51181102362204722"/>
  <pageSetup paperSize="9" scale="95"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sheetPr>
    <tabColor rgb="FF92D050"/>
  </sheetPr>
  <dimension ref="A1:J47"/>
  <sheetViews>
    <sheetView view="pageBreakPreview" zoomScale="115" zoomScaleNormal="115" zoomScaleSheetLayoutView="115" workbookViewId="0">
      <selection activeCell="A14" sqref="A14:E14"/>
    </sheetView>
  </sheetViews>
  <sheetFormatPr defaultRowHeight="20.100000000000001" customHeight="1"/>
  <cols>
    <col min="2" max="2" width="10.75" style="780" customWidth="1"/>
    <col min="3" max="3" width="13.875" style="780" customWidth="1"/>
    <col min="4" max="4" width="11" customWidth="1"/>
    <col min="5" max="5" width="8.125" customWidth="1"/>
    <col min="6" max="6" width="7.75" customWidth="1"/>
    <col min="7" max="7" width="8.125" customWidth="1"/>
    <col min="8" max="8" width="9.625" customWidth="1"/>
    <col min="9" max="9" width="5.25" customWidth="1"/>
    <col min="10" max="10" width="6.625" customWidth="1"/>
  </cols>
  <sheetData>
    <row r="1" spans="1:10" ht="20.100000000000001" customHeight="1">
      <c r="A1" s="1003" t="s">
        <v>1408</v>
      </c>
      <c r="B1" s="1003"/>
      <c r="C1" s="1003"/>
      <c r="D1" s="1003"/>
      <c r="E1" s="1003"/>
      <c r="F1" s="1003"/>
      <c r="G1" s="1003"/>
      <c r="H1" s="1003"/>
      <c r="I1" s="1003"/>
      <c r="J1" s="1003"/>
    </row>
    <row r="2" spans="1:10" ht="20.100000000000001" customHeight="1">
      <c r="A2" s="763" t="s">
        <v>1409</v>
      </c>
      <c r="B2" s="1002" t="str">
        <f>高光门板!C4</f>
        <v>黑丹丹</v>
      </c>
      <c r="C2" s="1002"/>
      <c r="D2" s="764" t="s">
        <v>82</v>
      </c>
      <c r="E2" s="1002" t="str">
        <f>高光门板!C5</f>
        <v>S400332724</v>
      </c>
      <c r="F2" s="1002"/>
      <c r="G2" s="1002"/>
      <c r="H2" s="764" t="s">
        <v>1410</v>
      </c>
      <c r="I2" s="1004">
        <f>[7]柜体!$I$2</f>
        <v>0</v>
      </c>
      <c r="J2" s="1004"/>
    </row>
    <row r="3" spans="1:10" ht="20.100000000000001" customHeight="1">
      <c r="A3" s="764" t="s">
        <v>1411</v>
      </c>
      <c r="B3" s="1002" t="str">
        <f>高光门板!K6</f>
        <v>色诱</v>
      </c>
      <c r="C3" s="1002"/>
      <c r="D3" s="764" t="s">
        <v>1412</v>
      </c>
      <c r="E3" s="1002" t="str">
        <f>高光门板!F6&amp;高光门板!H6&amp;高光门板!I6</f>
        <v>G12纯白（PBJ4490）+</v>
      </c>
      <c r="F3" s="1002"/>
      <c r="G3" s="1002"/>
      <c r="H3" s="764" t="s">
        <v>1413</v>
      </c>
      <c r="I3" s="1004">
        <f>高光门板!H5</f>
        <v>0</v>
      </c>
      <c r="J3" s="1004"/>
    </row>
    <row r="4" spans="1:10" ht="20.100000000000001" customHeight="1">
      <c r="A4" s="764" t="s">
        <v>1414</v>
      </c>
      <c r="B4" s="1002" t="str">
        <f>[7]下料单!$S$2</f>
        <v>郑州</v>
      </c>
      <c r="C4" s="1002"/>
      <c r="D4" s="765" t="s">
        <v>1415</v>
      </c>
      <c r="E4" s="1005" t="str">
        <f>高光门板!H4</f>
        <v>161116-2.1</v>
      </c>
      <c r="F4" s="1005"/>
      <c r="G4" s="1005"/>
      <c r="H4" s="764" t="s">
        <v>1416</v>
      </c>
      <c r="I4" s="1004" t="str">
        <f>高光门板!K5</f>
        <v>2017.2.20</v>
      </c>
      <c r="J4" s="1004"/>
    </row>
    <row r="5" spans="1:10" ht="20.100000000000001" customHeight="1">
      <c r="A5" s="764" t="s">
        <v>1417</v>
      </c>
      <c r="B5" s="764" t="s">
        <v>1418</v>
      </c>
      <c r="C5" s="764" t="s">
        <v>1419</v>
      </c>
      <c r="D5" s="764" t="s">
        <v>1420</v>
      </c>
      <c r="E5" s="764" t="s">
        <v>1421</v>
      </c>
      <c r="F5" s="764" t="s">
        <v>1422</v>
      </c>
      <c r="G5" s="764" t="s">
        <v>1423</v>
      </c>
      <c r="H5" s="789" t="s">
        <v>1472</v>
      </c>
      <c r="I5" s="1002" t="s">
        <v>1473</v>
      </c>
      <c r="J5" s="1002"/>
    </row>
    <row r="6" spans="1:10" ht="20.100000000000001" customHeight="1">
      <c r="A6" s="764" t="s">
        <v>1424</v>
      </c>
      <c r="B6" s="1002"/>
      <c r="C6" s="1002"/>
      <c r="D6" s="764" t="s">
        <v>1425</v>
      </c>
      <c r="E6" s="1002"/>
      <c r="F6" s="1002"/>
      <c r="G6" s="1002"/>
      <c r="H6" s="764" t="s">
        <v>1426</v>
      </c>
      <c r="I6" s="1002"/>
      <c r="J6" s="1002"/>
    </row>
    <row r="7" spans="1:10" ht="20.100000000000001" customHeight="1">
      <c r="A7" s="764" t="s">
        <v>1427</v>
      </c>
      <c r="B7" s="764" t="s">
        <v>1428</v>
      </c>
      <c r="C7" s="764" t="s">
        <v>1429</v>
      </c>
      <c r="D7" s="764" t="s">
        <v>1430</v>
      </c>
      <c r="E7" s="764" t="s">
        <v>1431</v>
      </c>
      <c r="F7" s="764" t="s">
        <v>1410</v>
      </c>
      <c r="G7" s="764" t="s">
        <v>1432</v>
      </c>
      <c r="H7" s="764" t="s">
        <v>1433</v>
      </c>
      <c r="I7" s="764" t="s">
        <v>1434</v>
      </c>
      <c r="J7" s="764" t="s">
        <v>1435</v>
      </c>
    </row>
    <row r="8" spans="1:10" ht="20.100000000000001" customHeight="1">
      <c r="A8" s="764">
        <v>1</v>
      </c>
      <c r="B8" s="1000" t="s">
        <v>1436</v>
      </c>
      <c r="C8" s="766" t="s">
        <v>1437</v>
      </c>
      <c r="D8" s="764"/>
      <c r="E8" s="764" t="s">
        <v>1438</v>
      </c>
      <c r="F8" s="764"/>
      <c r="G8" s="764"/>
      <c r="H8" s="764"/>
      <c r="I8" s="764"/>
      <c r="J8" s="767"/>
    </row>
    <row r="9" spans="1:10" ht="20.100000000000001" customHeight="1">
      <c r="A9" s="764">
        <v>2</v>
      </c>
      <c r="B9" s="1000"/>
      <c r="C9" s="766" t="s">
        <v>1439</v>
      </c>
      <c r="D9" s="764"/>
      <c r="E9" s="764" t="s">
        <v>1438</v>
      </c>
      <c r="F9" s="764"/>
      <c r="G9" s="764"/>
      <c r="H9" s="764"/>
      <c r="I9" s="764"/>
      <c r="J9" s="767"/>
    </row>
    <row r="10" spans="1:10" ht="20.100000000000001" customHeight="1">
      <c r="A10" s="764">
        <v>3</v>
      </c>
      <c r="B10" s="1000"/>
      <c r="C10" s="768" t="s">
        <v>1440</v>
      </c>
      <c r="D10" s="764"/>
      <c r="E10" s="764" t="s">
        <v>1438</v>
      </c>
      <c r="F10" s="764"/>
      <c r="G10" s="764"/>
      <c r="H10" s="764"/>
      <c r="I10" s="764"/>
      <c r="J10" s="767"/>
    </row>
    <row r="11" spans="1:10" ht="20.100000000000001" customHeight="1">
      <c r="A11" s="764">
        <v>4</v>
      </c>
      <c r="B11" s="1000" t="s">
        <v>1441</v>
      </c>
      <c r="C11" s="766" t="s">
        <v>1437</v>
      </c>
      <c r="D11" s="764"/>
      <c r="E11" s="764" t="s">
        <v>1438</v>
      </c>
      <c r="F11" s="764"/>
      <c r="G11" s="764"/>
      <c r="H11" s="764"/>
      <c r="I11" s="764"/>
      <c r="J11" s="767"/>
    </row>
    <row r="12" spans="1:10" ht="20.100000000000001" customHeight="1">
      <c r="A12" s="764">
        <v>5</v>
      </c>
      <c r="B12" s="1000"/>
      <c r="C12" s="766" t="s">
        <v>1439</v>
      </c>
      <c r="D12" s="764"/>
      <c r="E12" s="764" t="s">
        <v>1438</v>
      </c>
      <c r="F12" s="764"/>
      <c r="G12" s="764"/>
      <c r="H12" s="764"/>
      <c r="I12" s="764"/>
      <c r="J12" s="767"/>
    </row>
    <row r="13" spans="1:10" ht="20.100000000000001" customHeight="1">
      <c r="A13" s="764">
        <v>6</v>
      </c>
      <c r="B13" s="1000"/>
      <c r="C13" s="768" t="s">
        <v>1442</v>
      </c>
      <c r="D13" s="764"/>
      <c r="E13" s="764" t="s">
        <v>1438</v>
      </c>
      <c r="F13" s="764"/>
      <c r="G13" s="764"/>
      <c r="H13" s="764"/>
      <c r="I13" s="764"/>
      <c r="J13" s="767"/>
    </row>
    <row r="14" spans="1:10" ht="20.100000000000001" customHeight="1">
      <c r="A14" s="796">
        <v>7</v>
      </c>
      <c r="B14" s="797" t="s">
        <v>1479</v>
      </c>
      <c r="C14" s="768" t="s">
        <v>1480</v>
      </c>
      <c r="D14" s="796"/>
      <c r="E14" s="796" t="s">
        <v>1481</v>
      </c>
      <c r="F14" s="796"/>
      <c r="G14" s="796"/>
      <c r="H14" s="796"/>
      <c r="I14" s="796"/>
      <c r="J14" s="767"/>
    </row>
    <row r="15" spans="1:10" ht="20.100000000000001" customHeight="1">
      <c r="A15" s="796">
        <v>8</v>
      </c>
      <c r="B15" s="1000" t="s">
        <v>1443</v>
      </c>
      <c r="C15" s="766" t="s">
        <v>1444</v>
      </c>
      <c r="D15" s="764"/>
      <c r="E15" s="764" t="s">
        <v>1438</v>
      </c>
      <c r="F15" s="764"/>
      <c r="G15" s="764"/>
      <c r="H15" s="764"/>
      <c r="I15" s="764"/>
      <c r="J15" s="767"/>
    </row>
    <row r="16" spans="1:10" ht="20.100000000000001" customHeight="1">
      <c r="A16" s="796">
        <v>9</v>
      </c>
      <c r="B16" s="1000"/>
      <c r="C16" s="766" t="s">
        <v>1445</v>
      </c>
      <c r="D16" s="764"/>
      <c r="E16" s="764" t="s">
        <v>1438</v>
      </c>
      <c r="F16" s="764"/>
      <c r="G16" s="764"/>
      <c r="H16" s="764"/>
      <c r="I16" s="764"/>
      <c r="J16" s="767"/>
    </row>
    <row r="17" spans="1:10" ht="20.100000000000001" customHeight="1">
      <c r="A17" s="796">
        <v>10</v>
      </c>
      <c r="B17" s="1000" t="s">
        <v>1446</v>
      </c>
      <c r="C17" s="766" t="s">
        <v>1447</v>
      </c>
      <c r="D17" s="764">
        <f>高光门板!K4</f>
        <v>18</v>
      </c>
      <c r="E17" s="764" t="s">
        <v>1438</v>
      </c>
      <c r="F17" s="764"/>
      <c r="G17" s="764"/>
      <c r="H17" s="764"/>
      <c r="I17" s="764"/>
      <c r="J17" s="767"/>
    </row>
    <row r="18" spans="1:10" ht="20.100000000000001" customHeight="1">
      <c r="A18" s="796">
        <v>11</v>
      </c>
      <c r="B18" s="1000"/>
      <c r="C18" s="766" t="s">
        <v>1448</v>
      </c>
      <c r="D18" s="764"/>
      <c r="E18" s="764" t="s">
        <v>1438</v>
      </c>
      <c r="F18" s="764"/>
      <c r="G18" s="764"/>
      <c r="H18" s="764"/>
      <c r="I18" s="764"/>
      <c r="J18" s="767"/>
    </row>
    <row r="19" spans="1:10" ht="20.100000000000001" customHeight="1">
      <c r="A19" s="796">
        <v>12</v>
      </c>
      <c r="B19" s="1000"/>
      <c r="C19" s="766" t="s">
        <v>1449</v>
      </c>
      <c r="D19" s="764"/>
      <c r="E19" s="764" t="s">
        <v>1438</v>
      </c>
      <c r="F19" s="764"/>
      <c r="G19" s="764"/>
      <c r="H19" s="764"/>
      <c r="I19" s="764"/>
      <c r="J19" s="767"/>
    </row>
    <row r="20" spans="1:10" ht="20.100000000000001" customHeight="1">
      <c r="A20" s="796">
        <v>13</v>
      </c>
      <c r="B20" s="1000"/>
      <c r="C20" s="766" t="s">
        <v>1450</v>
      </c>
      <c r="D20" s="764"/>
      <c r="E20" s="764" t="s">
        <v>1438</v>
      </c>
      <c r="F20" s="764"/>
      <c r="G20" s="764"/>
      <c r="H20" s="764"/>
      <c r="I20" s="764"/>
      <c r="J20" s="767"/>
    </row>
    <row r="21" spans="1:10" ht="20.100000000000001" customHeight="1">
      <c r="A21" s="796">
        <v>14</v>
      </c>
      <c r="B21" s="1000" t="s">
        <v>1451</v>
      </c>
      <c r="C21" s="766" t="s">
        <v>1452</v>
      </c>
      <c r="D21" s="764"/>
      <c r="E21" s="764" t="s">
        <v>1453</v>
      </c>
      <c r="F21" s="764"/>
      <c r="G21" s="764"/>
      <c r="H21" s="764"/>
      <c r="I21" s="764"/>
      <c r="J21" s="767"/>
    </row>
    <row r="22" spans="1:10" ht="20.100000000000001" customHeight="1">
      <c r="A22" s="796">
        <v>15</v>
      </c>
      <c r="B22" s="1000"/>
      <c r="C22" s="766" t="s">
        <v>1454</v>
      </c>
      <c r="D22" s="764"/>
      <c r="E22" s="764" t="s">
        <v>1455</v>
      </c>
      <c r="F22" s="764"/>
      <c r="G22" s="764"/>
      <c r="H22" s="764"/>
      <c r="I22" s="764"/>
      <c r="J22" s="767"/>
    </row>
    <row r="23" spans="1:10" ht="20.100000000000001" customHeight="1">
      <c r="A23" s="796">
        <v>16</v>
      </c>
      <c r="B23" s="1000"/>
      <c r="C23" s="769" t="s">
        <v>1456</v>
      </c>
      <c r="D23" s="764"/>
      <c r="E23" s="764" t="s">
        <v>1457</v>
      </c>
      <c r="F23" s="764"/>
      <c r="G23" s="764"/>
      <c r="H23" s="764"/>
      <c r="I23" s="764"/>
      <c r="J23" s="767"/>
    </row>
    <row r="24" spans="1:10" ht="20.100000000000001" customHeight="1">
      <c r="A24" s="796">
        <v>17</v>
      </c>
      <c r="B24" s="1001" t="s">
        <v>1458</v>
      </c>
      <c r="C24" s="770" t="s">
        <v>1459</v>
      </c>
      <c r="D24" s="783">
        <f>高光门板!K47</f>
        <v>5.1929619999999996</v>
      </c>
      <c r="E24" s="764" t="s">
        <v>1455</v>
      </c>
      <c r="F24" s="764"/>
      <c r="G24" s="764"/>
      <c r="H24" s="764"/>
      <c r="I24" s="764"/>
      <c r="J24" s="767"/>
    </row>
    <row r="25" spans="1:10" ht="20.100000000000001" customHeight="1">
      <c r="A25" s="796">
        <v>18</v>
      </c>
      <c r="B25" s="1001"/>
      <c r="C25" s="770" t="s">
        <v>1460</v>
      </c>
      <c r="D25" s="783">
        <f>D24</f>
        <v>5.1929619999999996</v>
      </c>
      <c r="E25" s="764" t="s">
        <v>1455</v>
      </c>
      <c r="F25" s="764"/>
      <c r="G25" s="764"/>
      <c r="H25" s="764"/>
      <c r="I25" s="764"/>
      <c r="J25" s="767"/>
    </row>
    <row r="26" spans="1:10" ht="20.100000000000001" customHeight="1">
      <c r="A26" s="796">
        <v>19</v>
      </c>
      <c r="B26" s="998" t="s">
        <v>1465</v>
      </c>
      <c r="C26" s="785" t="s">
        <v>1466</v>
      </c>
      <c r="D26" s="786">
        <f>D24</f>
        <v>5.1929619999999996</v>
      </c>
      <c r="E26" s="784" t="s">
        <v>1467</v>
      </c>
      <c r="F26" s="784"/>
      <c r="G26" s="784"/>
      <c r="H26" s="784"/>
      <c r="I26" s="784"/>
      <c r="J26" s="56"/>
    </row>
    <row r="27" spans="1:10" ht="20.100000000000001" customHeight="1">
      <c r="A27" s="796">
        <v>20</v>
      </c>
      <c r="B27" s="999"/>
      <c r="C27" s="785" t="s">
        <v>1468</v>
      </c>
      <c r="D27" s="784"/>
      <c r="E27" s="784" t="s">
        <v>1467</v>
      </c>
      <c r="F27" s="784"/>
      <c r="G27" s="784"/>
      <c r="H27" s="784"/>
      <c r="I27" s="784"/>
      <c r="J27" s="56"/>
    </row>
    <row r="28" spans="1:10" ht="20.100000000000001" customHeight="1">
      <c r="A28" s="796">
        <v>21</v>
      </c>
      <c r="B28" s="768" t="s">
        <v>1461</v>
      </c>
      <c r="C28" s="770" t="s">
        <v>1462</v>
      </c>
      <c r="D28" s="764">
        <f>高光门板!K4</f>
        <v>18</v>
      </c>
      <c r="E28" s="764" t="s">
        <v>1438</v>
      </c>
      <c r="F28" s="764"/>
      <c r="G28" s="764"/>
      <c r="H28" s="764"/>
      <c r="I28" s="764"/>
      <c r="J28" s="767"/>
    </row>
    <row r="29" spans="1:10" ht="20.100000000000001" customHeight="1">
      <c r="A29" s="771"/>
      <c r="B29" s="771"/>
      <c r="C29" s="772"/>
      <c r="D29" s="771"/>
      <c r="E29" s="771"/>
      <c r="F29" s="771"/>
      <c r="G29" s="771"/>
      <c r="H29" s="771"/>
      <c r="I29" s="771"/>
      <c r="J29" s="773"/>
    </row>
    <row r="30" spans="1:10" ht="20.100000000000001" customHeight="1">
      <c r="A30" s="771"/>
      <c r="B30" s="771"/>
      <c r="C30" s="774"/>
      <c r="D30" s="771"/>
      <c r="E30" s="771"/>
      <c r="F30" s="771"/>
      <c r="G30" s="771"/>
      <c r="H30" s="771"/>
      <c r="I30" s="771"/>
      <c r="J30" s="773"/>
    </row>
    <row r="31" spans="1:10" ht="20.100000000000001" customHeight="1">
      <c r="A31" s="771"/>
      <c r="B31" s="771"/>
      <c r="C31" s="775"/>
      <c r="D31" s="771"/>
      <c r="E31" s="771"/>
      <c r="F31" s="771"/>
      <c r="G31" s="771"/>
      <c r="H31" s="771"/>
      <c r="I31" s="771"/>
      <c r="J31" s="773"/>
    </row>
    <row r="32" spans="1:10" ht="20.100000000000001" customHeight="1">
      <c r="A32" s="771"/>
      <c r="B32" s="771"/>
      <c r="C32" s="775"/>
      <c r="D32" s="771"/>
      <c r="E32" s="771"/>
      <c r="F32" s="771"/>
      <c r="G32" s="771"/>
      <c r="H32" s="771"/>
      <c r="I32" s="771"/>
      <c r="J32" s="773"/>
    </row>
    <row r="33" spans="1:10" ht="20.100000000000001" customHeight="1">
      <c r="A33" s="771"/>
      <c r="B33" s="771"/>
      <c r="C33" s="771"/>
      <c r="D33" s="771"/>
      <c r="E33" s="771"/>
      <c r="F33" s="771"/>
      <c r="G33" s="771"/>
      <c r="H33" s="771"/>
      <c r="I33" s="771"/>
      <c r="J33" s="773"/>
    </row>
    <row r="34" spans="1:10" ht="20.100000000000001" customHeight="1">
      <c r="A34" s="771"/>
      <c r="B34" s="771"/>
      <c r="C34" s="771"/>
      <c r="D34" s="771"/>
      <c r="E34" s="771"/>
      <c r="F34" s="771"/>
      <c r="G34" s="771"/>
      <c r="H34" s="771"/>
      <c r="I34" s="771"/>
      <c r="J34" s="773"/>
    </row>
    <row r="35" spans="1:10" ht="20.100000000000001" customHeight="1">
      <c r="A35" s="771"/>
      <c r="B35" s="771"/>
      <c r="C35" s="771"/>
      <c r="D35" s="771"/>
      <c r="E35" s="771"/>
      <c r="F35" s="771"/>
      <c r="G35" s="771"/>
      <c r="H35" s="771"/>
      <c r="I35" s="771"/>
      <c r="J35" s="773"/>
    </row>
    <row r="36" spans="1:10" ht="20.100000000000001" customHeight="1">
      <c r="A36" s="771"/>
      <c r="B36" s="771"/>
      <c r="C36" s="771"/>
      <c r="D36" s="771"/>
      <c r="E36" s="771"/>
      <c r="F36" s="771"/>
      <c r="G36" s="771"/>
      <c r="H36" s="771"/>
      <c r="I36" s="771"/>
      <c r="J36" s="773"/>
    </row>
    <row r="37" spans="1:10" ht="20.100000000000001" customHeight="1">
      <c r="A37" s="771"/>
      <c r="B37" s="771"/>
      <c r="C37" s="772"/>
      <c r="D37" s="771"/>
      <c r="E37" s="771"/>
      <c r="F37" s="771"/>
      <c r="G37" s="771"/>
      <c r="H37" s="771"/>
      <c r="I37" s="771"/>
      <c r="J37" s="773"/>
    </row>
    <row r="38" spans="1:10" ht="20.100000000000001" customHeight="1">
      <c r="A38" s="771"/>
      <c r="B38" s="771"/>
      <c r="C38" s="772"/>
      <c r="D38" s="771"/>
      <c r="E38" s="771"/>
      <c r="F38" s="771"/>
      <c r="G38" s="771"/>
      <c r="H38" s="771"/>
      <c r="I38" s="771"/>
      <c r="J38" s="773"/>
    </row>
    <row r="39" spans="1:10" ht="20.100000000000001" customHeight="1">
      <c r="A39" s="771"/>
      <c r="B39" s="771"/>
      <c r="C39" s="776"/>
      <c r="D39" s="771"/>
      <c r="E39" s="771"/>
      <c r="F39" s="771"/>
      <c r="G39" s="771"/>
      <c r="H39" s="771"/>
      <c r="I39" s="771"/>
      <c r="J39" s="773"/>
    </row>
    <row r="40" spans="1:10" ht="20.100000000000001" customHeight="1">
      <c r="A40" s="771"/>
      <c r="B40" s="771"/>
      <c r="C40" s="771"/>
      <c r="D40" s="771"/>
      <c r="E40" s="771"/>
      <c r="F40" s="771"/>
      <c r="G40" s="771"/>
      <c r="H40" s="771"/>
      <c r="I40" s="771"/>
      <c r="J40" s="773"/>
    </row>
    <row r="41" spans="1:10" ht="20.100000000000001" customHeight="1">
      <c r="A41" s="771"/>
      <c r="B41" s="771"/>
      <c r="C41" s="771"/>
      <c r="D41" s="771"/>
      <c r="E41" s="771"/>
      <c r="F41" s="771"/>
      <c r="G41" s="771"/>
      <c r="H41" s="771"/>
      <c r="I41" s="771"/>
      <c r="J41" s="773"/>
    </row>
    <row r="42" spans="1:10" ht="20.100000000000001" customHeight="1">
      <c r="A42" s="771"/>
      <c r="B42" s="771"/>
      <c r="C42" s="777"/>
      <c r="D42" s="771"/>
      <c r="E42" s="771"/>
      <c r="F42" s="771"/>
      <c r="G42" s="771"/>
      <c r="H42" s="771"/>
      <c r="I42" s="771"/>
      <c r="J42" s="773"/>
    </row>
    <row r="43" spans="1:10" ht="20.100000000000001" customHeight="1">
      <c r="A43" s="771"/>
      <c r="B43" s="771"/>
      <c r="C43" s="777"/>
      <c r="D43" s="771"/>
      <c r="E43" s="771"/>
      <c r="F43" s="771"/>
      <c r="G43" s="771"/>
      <c r="H43" s="771"/>
      <c r="I43" s="771"/>
      <c r="J43" s="773"/>
    </row>
    <row r="44" spans="1:10" ht="20.100000000000001" customHeight="1">
      <c r="A44" s="771"/>
      <c r="B44" s="771"/>
      <c r="C44" s="771"/>
      <c r="D44" s="771"/>
      <c r="E44" s="771"/>
      <c r="F44" s="771"/>
      <c r="G44" s="771"/>
      <c r="H44" s="771"/>
      <c r="I44" s="771"/>
      <c r="J44" s="773"/>
    </row>
    <row r="45" spans="1:10" ht="20.100000000000001" customHeight="1">
      <c r="A45" s="771"/>
      <c r="B45" s="771"/>
      <c r="C45" s="771"/>
      <c r="D45" s="771"/>
      <c r="E45" s="771"/>
      <c r="F45" s="771"/>
      <c r="G45" s="771"/>
      <c r="H45" s="771"/>
      <c r="I45" s="771"/>
      <c r="J45" s="773"/>
    </row>
    <row r="46" spans="1:10" ht="20.100000000000001" customHeight="1">
      <c r="A46" s="771"/>
      <c r="B46" s="771"/>
      <c r="C46" s="771"/>
      <c r="D46" s="771"/>
      <c r="E46" s="771"/>
      <c r="F46" s="771"/>
      <c r="G46" s="771"/>
      <c r="H46" s="771"/>
      <c r="I46" s="771"/>
      <c r="J46" s="773"/>
    </row>
    <row r="47" spans="1:10" ht="20.100000000000001" customHeight="1">
      <c r="A47" s="778"/>
      <c r="B47" s="779"/>
      <c r="C47" s="779"/>
      <c r="D47" s="778"/>
      <c r="E47" s="778"/>
      <c r="F47" s="778"/>
      <c r="G47" s="778"/>
      <c r="H47" s="778"/>
      <c r="I47" s="778"/>
      <c r="J47" s="778"/>
    </row>
  </sheetData>
  <mergeCells count="21">
    <mergeCell ref="I5:J5"/>
    <mergeCell ref="A1:J1"/>
    <mergeCell ref="E2:G2"/>
    <mergeCell ref="I2:J2"/>
    <mergeCell ref="E3:G3"/>
    <mergeCell ref="I3:J3"/>
    <mergeCell ref="B4:C4"/>
    <mergeCell ref="E4:G4"/>
    <mergeCell ref="I4:J4"/>
    <mergeCell ref="B2:C2"/>
    <mergeCell ref="B3:C3"/>
    <mergeCell ref="B6:C6"/>
    <mergeCell ref="E6:G6"/>
    <mergeCell ref="I6:J6"/>
    <mergeCell ref="B8:B10"/>
    <mergeCell ref="B11:B13"/>
    <mergeCell ref="B26:B27"/>
    <mergeCell ref="B15:B16"/>
    <mergeCell ref="B17:B20"/>
    <mergeCell ref="B21:B23"/>
    <mergeCell ref="B24:B25"/>
  </mergeCells>
  <phoneticPr fontId="76" type="noConversion"/>
  <conditionalFormatting sqref="C18:C19">
    <cfRule type="duplicateValues" dxfId="27" priority="14" stopIfTrue="1"/>
  </conditionalFormatting>
  <conditionalFormatting sqref="C21">
    <cfRule type="duplicateValues" dxfId="26" priority="13" stopIfTrue="1"/>
  </conditionalFormatting>
  <conditionalFormatting sqref="C20 C22">
    <cfRule type="duplicateValues" dxfId="25" priority="12" stopIfTrue="1"/>
  </conditionalFormatting>
  <conditionalFormatting sqref="C20">
    <cfRule type="duplicateValues" dxfId="24" priority="11"/>
  </conditionalFormatting>
  <conditionalFormatting sqref="C13:C17">
    <cfRule type="duplicateValues" dxfId="23" priority="10" stopIfTrue="1"/>
  </conditionalFormatting>
  <conditionalFormatting sqref="C10">
    <cfRule type="duplicateValues" dxfId="22" priority="9" stopIfTrue="1"/>
  </conditionalFormatting>
  <conditionalFormatting sqref="C11">
    <cfRule type="duplicateValues" dxfId="21" priority="8" stopIfTrue="1"/>
  </conditionalFormatting>
  <conditionalFormatting sqref="C12">
    <cfRule type="duplicateValues" dxfId="20" priority="7" stopIfTrue="1"/>
  </conditionalFormatting>
  <conditionalFormatting sqref="C17">
    <cfRule type="duplicateValues" dxfId="19" priority="6" stopIfTrue="1"/>
  </conditionalFormatting>
  <conditionalFormatting sqref="C23">
    <cfRule type="duplicateValues" dxfId="18" priority="5"/>
  </conditionalFormatting>
  <conditionalFormatting sqref="C39">
    <cfRule type="duplicateValues" dxfId="17" priority="4" stopIfTrue="1"/>
  </conditionalFormatting>
  <conditionalFormatting sqref="C13:C14">
    <cfRule type="duplicateValues" dxfId="16" priority="3" stopIfTrue="1"/>
  </conditionalFormatting>
  <conditionalFormatting sqref="C14">
    <cfRule type="duplicateValues" dxfId="15" priority="2" stopIfTrue="1"/>
  </conditionalFormatting>
  <conditionalFormatting sqref="C14">
    <cfRule type="duplicateValues" dxfId="14" priority="1" stopIfTrue="1"/>
  </conditionalFormatting>
  <pageMargins left="0.59055118110236227" right="0.59055118110236227" top="0.62992125984251968" bottom="0.23622047244094491" header="0.23622047244094491" footer="0.23622047244094491"/>
  <pageSetup paperSize="9" scale="94"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sheetPr>
    <tabColor rgb="FFFF00FF"/>
  </sheetPr>
  <dimension ref="A1:Z758"/>
  <sheetViews>
    <sheetView view="pageBreakPreview" zoomScaleSheetLayoutView="100" workbookViewId="0">
      <selection activeCell="G27" sqref="G27"/>
    </sheetView>
  </sheetViews>
  <sheetFormatPr defaultRowHeight="14.25"/>
  <cols>
    <col min="1" max="1" width="8.125" style="550" customWidth="1"/>
    <col min="2" max="2" width="6.25" style="550" customWidth="1"/>
    <col min="3" max="3" width="6.375" style="550" customWidth="1"/>
    <col min="4" max="4" width="5.375" style="550" customWidth="1"/>
    <col min="5" max="5" width="5.875" style="550" customWidth="1"/>
    <col min="6" max="7" width="7.375" style="550" customWidth="1"/>
    <col min="8" max="8" width="4.25" style="550" customWidth="1"/>
    <col min="9" max="9" width="14.375" style="550" customWidth="1"/>
    <col min="10" max="10" width="12.625" style="550" customWidth="1"/>
    <col min="11" max="11" width="11.375" style="550" customWidth="1"/>
    <col min="12" max="12" width="7.875" style="427" customWidth="1"/>
    <col min="13" max="13" width="9.875" style="427" customWidth="1"/>
    <col min="14" max="14" width="9.625" style="427" customWidth="1"/>
    <col min="15" max="15" width="8.75" style="427" customWidth="1"/>
    <col min="16" max="16" width="8.875" style="427" customWidth="1"/>
    <col min="17" max="17" width="8.375" style="427" customWidth="1"/>
    <col min="18" max="18" width="9.75" style="427" customWidth="1"/>
    <col min="19" max="21" width="9" style="550"/>
    <col min="22" max="22" width="11.375" style="550" customWidth="1"/>
    <col min="23" max="16384" width="9" style="550"/>
  </cols>
  <sheetData>
    <row r="1" spans="1:22" ht="12.95" customHeight="1">
      <c r="A1" s="549"/>
      <c r="B1" s="549"/>
      <c r="C1" s="549"/>
      <c r="D1" s="549"/>
      <c r="E1" s="549"/>
      <c r="O1" s="799" t="s">
        <v>1482</v>
      </c>
      <c r="P1" s="799" t="s">
        <v>1483</v>
      </c>
      <c r="Q1" s="799" t="s">
        <v>1484</v>
      </c>
    </row>
    <row r="2" spans="1:22" ht="12.95" customHeight="1">
      <c r="A2" s="551"/>
      <c r="B2" s="551"/>
      <c r="C2" s="551"/>
      <c r="D2" s="551"/>
      <c r="E2" s="549"/>
      <c r="F2" s="1021"/>
      <c r="G2" s="1021"/>
      <c r="H2" s="1021"/>
      <c r="I2" s="1021"/>
      <c r="J2" s="1021"/>
      <c r="K2" s="1021"/>
      <c r="O2" s="249" t="e">
        <f>VLOOKUP(B6,P2:Q6,2,FALSE)</f>
        <v>#N/A</v>
      </c>
      <c r="P2" s="250" t="s">
        <v>1485</v>
      </c>
      <c r="Q2" s="250">
        <f>0.5+0.5</f>
        <v>1</v>
      </c>
    </row>
    <row r="3" spans="1:22" ht="18.75">
      <c r="A3" s="1022" t="s">
        <v>628</v>
      </c>
      <c r="B3" s="1022"/>
      <c r="C3" s="1022"/>
      <c r="D3" s="1022"/>
      <c r="E3" s="1022"/>
      <c r="F3" s="1022"/>
      <c r="G3" s="1022"/>
      <c r="H3" s="1022"/>
      <c r="I3" s="1022"/>
      <c r="J3" s="1022"/>
      <c r="K3" s="1022"/>
      <c r="O3" s="249"/>
      <c r="P3" s="250" t="s">
        <v>1486</v>
      </c>
      <c r="Q3" s="250">
        <f>0.5+35</f>
        <v>35.5</v>
      </c>
      <c r="V3" s="671" t="s">
        <v>1355</v>
      </c>
    </row>
    <row r="4" spans="1:22" ht="18" customHeight="1">
      <c r="A4" s="1006" t="s">
        <v>629</v>
      </c>
      <c r="B4" s="1006"/>
      <c r="C4" s="1023" t="str">
        <f>[7]下料单!$C$2</f>
        <v>黑丹丹</v>
      </c>
      <c r="D4" s="1023"/>
      <c r="E4" s="1023"/>
      <c r="F4" s="1020" t="s">
        <v>448</v>
      </c>
      <c r="G4" s="1020"/>
      <c r="H4" s="1024" t="str">
        <f>[7]下料单!$N$2</f>
        <v>161116-2.1</v>
      </c>
      <c r="I4" s="1025"/>
      <c r="J4" s="702" t="s">
        <v>630</v>
      </c>
      <c r="K4" s="781">
        <f>SUM(G10:G40)</f>
        <v>0</v>
      </c>
      <c r="O4" s="249"/>
      <c r="P4" s="250" t="s">
        <v>1487</v>
      </c>
      <c r="Q4" s="250">
        <f>0.5+3</f>
        <v>3.5</v>
      </c>
      <c r="V4" s="671" t="s">
        <v>1357</v>
      </c>
    </row>
    <row r="5" spans="1:22" ht="19.5" customHeight="1">
      <c r="A5" s="1020" t="s">
        <v>17</v>
      </c>
      <c r="B5" s="1020"/>
      <c r="C5" s="1026" t="str">
        <f>[7]下料单!$H$2</f>
        <v>S400332724</v>
      </c>
      <c r="D5" s="1026"/>
      <c r="E5" s="1026"/>
      <c r="F5" s="1020" t="s">
        <v>7</v>
      </c>
      <c r="G5" s="1020"/>
      <c r="H5" s="1027">
        <f>[7]领料单!$M$3</f>
        <v>0</v>
      </c>
      <c r="I5" s="1028"/>
      <c r="J5" s="647" t="s">
        <v>34</v>
      </c>
      <c r="K5" s="782" t="str">
        <f>[7]柜体!$I$4</f>
        <v>2017.2.20</v>
      </c>
      <c r="O5" s="249"/>
      <c r="P5" s="250" t="s">
        <v>1488</v>
      </c>
      <c r="Q5" s="250">
        <f>0.5+32</f>
        <v>32.5</v>
      </c>
      <c r="V5" s="728" t="s">
        <v>1358</v>
      </c>
    </row>
    <row r="6" spans="1:22" ht="31.5" customHeight="1">
      <c r="A6" s="802" t="s">
        <v>1494</v>
      </c>
      <c r="B6" s="1020" t="s">
        <v>1498</v>
      </c>
      <c r="C6" s="1020"/>
      <c r="D6" s="804" t="s">
        <v>1493</v>
      </c>
      <c r="E6" s="803" t="s">
        <v>1492</v>
      </c>
      <c r="F6" s="1029"/>
      <c r="G6" s="1029"/>
      <c r="H6" s="726" t="str">
        <f>"+"</f>
        <v>+</v>
      </c>
      <c r="I6" s="794"/>
      <c r="J6" s="694" t="s">
        <v>1336</v>
      </c>
      <c r="K6" s="695" t="s">
        <v>1337</v>
      </c>
      <c r="V6" s="728" t="s">
        <v>1359</v>
      </c>
    </row>
    <row r="7" spans="1:22" ht="24" customHeight="1" thickBot="1">
      <c r="A7" s="696"/>
      <c r="B7" s="1013" t="s">
        <v>1366</v>
      </c>
      <c r="C7" s="1013"/>
      <c r="D7" s="1013"/>
      <c r="E7" s="1013"/>
      <c r="F7" s="1013"/>
      <c r="G7" s="1013"/>
      <c r="H7" s="1013"/>
      <c r="I7" s="1013"/>
      <c r="J7" s="1013"/>
      <c r="K7" s="1013"/>
      <c r="V7" s="807" t="s">
        <v>1476</v>
      </c>
    </row>
    <row r="8" spans="1:22" ht="18" customHeight="1">
      <c r="A8" s="697" t="s">
        <v>638</v>
      </c>
      <c r="B8" s="1014" t="s">
        <v>639</v>
      </c>
      <c r="C8" s="1014"/>
      <c r="D8" s="1014"/>
      <c r="E8" s="1015" t="s">
        <v>640</v>
      </c>
      <c r="F8" s="1015"/>
      <c r="G8" s="1015"/>
      <c r="H8" s="698" t="s">
        <v>1395</v>
      </c>
      <c r="I8" s="1016" t="s">
        <v>1368</v>
      </c>
      <c r="J8" s="1016"/>
      <c r="K8" s="1017"/>
      <c r="V8" s="806" t="s">
        <v>1403</v>
      </c>
    </row>
    <row r="9" spans="1:22" ht="22.5" customHeight="1">
      <c r="A9" s="699" t="s">
        <v>643</v>
      </c>
      <c r="B9" s="700" t="s">
        <v>491</v>
      </c>
      <c r="C9" s="700" t="s">
        <v>644</v>
      </c>
      <c r="D9" s="700" t="s">
        <v>6</v>
      </c>
      <c r="E9" s="700" t="s">
        <v>1020</v>
      </c>
      <c r="F9" s="700" t="s">
        <v>644</v>
      </c>
      <c r="G9" s="700" t="s">
        <v>6</v>
      </c>
      <c r="H9" s="1018" t="s">
        <v>80</v>
      </c>
      <c r="I9" s="1018"/>
      <c r="J9" s="940" t="s">
        <v>1388</v>
      </c>
      <c r="K9" s="1019"/>
      <c r="L9" s="735" t="s">
        <v>2</v>
      </c>
      <c r="M9" s="735" t="s">
        <v>1394</v>
      </c>
      <c r="N9" s="736" t="s">
        <v>648</v>
      </c>
      <c r="O9" s="737" t="s">
        <v>1389</v>
      </c>
      <c r="P9" s="737" t="s">
        <v>1390</v>
      </c>
      <c r="Q9" s="737" t="s">
        <v>1391</v>
      </c>
      <c r="R9" s="737" t="s">
        <v>1392</v>
      </c>
      <c r="T9" s="757" t="s">
        <v>1397</v>
      </c>
    </row>
    <row r="10" spans="1:22" ht="17.100000000000001" customHeight="1">
      <c r="A10" s="701"/>
      <c r="B10" s="576"/>
      <c r="C10" s="576"/>
      <c r="D10" s="702"/>
      <c r="E10" s="702">
        <f>B10-1</f>
        <v>-1</v>
      </c>
      <c r="F10" s="702" t="e">
        <f>C10-$O$2</f>
        <v>#N/A</v>
      </c>
      <c r="G10" s="702">
        <f t="shared" ref="G10:G39" si="0">D10</f>
        <v>0</v>
      </c>
      <c r="H10" s="1010"/>
      <c r="I10" s="1010"/>
      <c r="J10" s="741"/>
      <c r="K10" s="742"/>
      <c r="L10" s="738">
        <f>((B10+C10)*2+240)*D10/1000</f>
        <v>0</v>
      </c>
      <c r="M10" s="738">
        <f>B10*C10*D10/1000000</f>
        <v>0</v>
      </c>
      <c r="N10" s="738">
        <f>B10*C10*D10/1000000/2.88/0.85</f>
        <v>0</v>
      </c>
      <c r="O10" s="738">
        <f>IF(J10="",0,(B10*C10*D10/1000000)+((B10+C10)*2*D10/1000)*0.02)</f>
        <v>0</v>
      </c>
      <c r="P10" s="738">
        <f>IF(K10="",0,(B10*C10*D10/1000000)+((B10+C10)*2*D10/1000)*0.02)</f>
        <v>0</v>
      </c>
      <c r="Q10" s="738">
        <f>IF(J10="",0,(B10*C10*D10/1000000)*2+((B10+C10)*2*D10/1000)*0.02)</f>
        <v>0</v>
      </c>
      <c r="R10" s="738">
        <f>IF(K10="",0,(B10*C10*D10/1000000)*2+((B10+C10)*2*D10/1000)*0.02)</f>
        <v>0</v>
      </c>
      <c r="T10" s="758">
        <f>IF($B$6&lt;&gt;"外置拉手",B10/1000*D10)</f>
        <v>0</v>
      </c>
    </row>
    <row r="11" spans="1:22" ht="17.100000000000001" customHeight="1">
      <c r="A11" s="701"/>
      <c r="B11" s="576"/>
      <c r="C11" s="576"/>
      <c r="D11" s="702"/>
      <c r="E11" s="702">
        <f t="shared" ref="E11:E39" si="1">B11-1</f>
        <v>-1</v>
      </c>
      <c r="F11" s="702" t="e">
        <f t="shared" ref="F11:F30" si="2">C11-$O$2</f>
        <v>#N/A</v>
      </c>
      <c r="G11" s="702">
        <f t="shared" si="0"/>
        <v>0</v>
      </c>
      <c r="H11" s="1010"/>
      <c r="I11" s="1010"/>
      <c r="J11" s="741"/>
      <c r="K11" s="742"/>
      <c r="L11" s="738">
        <f t="shared" ref="L11:L39" si="3">((B11+C11)*2+240)*D11/1000</f>
        <v>0</v>
      </c>
      <c r="M11" s="738">
        <f t="shared" ref="M11:M39" si="4">B11*C11*D11/1000000</f>
        <v>0</v>
      </c>
      <c r="N11" s="738">
        <f t="shared" ref="N11:N39" si="5">B11*C11*D11/1000000/2.88/0.85</f>
        <v>0</v>
      </c>
      <c r="O11" s="738">
        <f t="shared" ref="O11:O39" si="6">IF(J11="",0,(B11*C11*D11/1000000)+((B11+C11)*2*D11/1000)*0.02)</f>
        <v>0</v>
      </c>
      <c r="P11" s="738">
        <f t="shared" ref="P11:P39" si="7">IF(K11="",0,(B11*C11*D11/1000000)+((B11+C11)*2*D11/1000)*0.02)</f>
        <v>0</v>
      </c>
      <c r="Q11" s="738">
        <f t="shared" ref="Q11:Q39" si="8">IF(J11="",0,(B11*C11*D11/1000000)*2+((B11+C11)*2*D11/1000)*0.02)</f>
        <v>0</v>
      </c>
      <c r="R11" s="738">
        <f t="shared" ref="R11:R39" si="9">IF(K11="",0,(B11*C11*D11/1000000)*2+((B11+C11)*2*D11/1000)*0.02)</f>
        <v>0</v>
      </c>
      <c r="T11" s="758">
        <f t="shared" ref="T11:T30" si="10">IF($B$6&lt;&gt;"外置拉手",B11/1000*D11)</f>
        <v>0</v>
      </c>
    </row>
    <row r="12" spans="1:22" ht="17.100000000000001" customHeight="1">
      <c r="A12" s="701"/>
      <c r="B12" s="576"/>
      <c r="C12" s="576"/>
      <c r="D12" s="702"/>
      <c r="E12" s="702">
        <f t="shared" si="1"/>
        <v>-1</v>
      </c>
      <c r="F12" s="702" t="e">
        <f t="shared" si="2"/>
        <v>#N/A</v>
      </c>
      <c r="G12" s="702">
        <f t="shared" si="0"/>
        <v>0</v>
      </c>
      <c r="H12" s="1010"/>
      <c r="I12" s="1010"/>
      <c r="J12" s="741"/>
      <c r="K12" s="742"/>
      <c r="L12" s="738">
        <f t="shared" si="3"/>
        <v>0</v>
      </c>
      <c r="M12" s="738">
        <f t="shared" si="4"/>
        <v>0</v>
      </c>
      <c r="N12" s="738">
        <f t="shared" si="5"/>
        <v>0</v>
      </c>
      <c r="O12" s="738">
        <f t="shared" si="6"/>
        <v>0</v>
      </c>
      <c r="P12" s="738">
        <f t="shared" si="7"/>
        <v>0</v>
      </c>
      <c r="Q12" s="738">
        <f t="shared" si="8"/>
        <v>0</v>
      </c>
      <c r="R12" s="738">
        <f t="shared" si="9"/>
        <v>0</v>
      </c>
      <c r="T12" s="758">
        <f t="shared" si="10"/>
        <v>0</v>
      </c>
    </row>
    <row r="13" spans="1:22" ht="17.100000000000001" customHeight="1">
      <c r="A13" s="701"/>
      <c r="B13" s="576"/>
      <c r="C13" s="576"/>
      <c r="D13" s="702"/>
      <c r="E13" s="702">
        <f t="shared" si="1"/>
        <v>-1</v>
      </c>
      <c r="F13" s="702" t="e">
        <f t="shared" si="2"/>
        <v>#N/A</v>
      </c>
      <c r="G13" s="702">
        <f t="shared" si="0"/>
        <v>0</v>
      </c>
      <c r="H13" s="1010"/>
      <c r="I13" s="1010"/>
      <c r="J13" s="741"/>
      <c r="K13" s="742"/>
      <c r="L13" s="738">
        <f t="shared" si="3"/>
        <v>0</v>
      </c>
      <c r="M13" s="738">
        <f t="shared" si="4"/>
        <v>0</v>
      </c>
      <c r="N13" s="738">
        <f t="shared" si="5"/>
        <v>0</v>
      </c>
      <c r="O13" s="738">
        <f t="shared" si="6"/>
        <v>0</v>
      </c>
      <c r="P13" s="738">
        <f t="shared" si="7"/>
        <v>0</v>
      </c>
      <c r="Q13" s="738">
        <f t="shared" si="8"/>
        <v>0</v>
      </c>
      <c r="R13" s="738">
        <f t="shared" si="9"/>
        <v>0</v>
      </c>
      <c r="T13" s="758">
        <f t="shared" si="10"/>
        <v>0</v>
      </c>
    </row>
    <row r="14" spans="1:22" ht="17.100000000000001" customHeight="1">
      <c r="A14" s="701"/>
      <c r="B14" s="576"/>
      <c r="C14" s="576"/>
      <c r="D14" s="702"/>
      <c r="E14" s="702">
        <f t="shared" si="1"/>
        <v>-1</v>
      </c>
      <c r="F14" s="702" t="e">
        <f t="shared" si="2"/>
        <v>#N/A</v>
      </c>
      <c r="G14" s="702">
        <f t="shared" si="0"/>
        <v>0</v>
      </c>
      <c r="H14" s="1010"/>
      <c r="I14" s="1010"/>
      <c r="J14" s="741"/>
      <c r="K14" s="742"/>
      <c r="L14" s="738">
        <f t="shared" si="3"/>
        <v>0</v>
      </c>
      <c r="M14" s="738">
        <f t="shared" si="4"/>
        <v>0</v>
      </c>
      <c r="N14" s="738">
        <f t="shared" si="5"/>
        <v>0</v>
      </c>
      <c r="O14" s="738">
        <f t="shared" si="6"/>
        <v>0</v>
      </c>
      <c r="P14" s="738">
        <f t="shared" si="7"/>
        <v>0</v>
      </c>
      <c r="Q14" s="738">
        <f t="shared" si="8"/>
        <v>0</v>
      </c>
      <c r="R14" s="738">
        <f t="shared" si="9"/>
        <v>0</v>
      </c>
      <c r="T14" s="758">
        <f t="shared" si="10"/>
        <v>0</v>
      </c>
    </row>
    <row r="15" spans="1:22" ht="17.100000000000001" customHeight="1">
      <c r="A15" s="701"/>
      <c r="B15" s="576"/>
      <c r="C15" s="576"/>
      <c r="D15" s="702"/>
      <c r="E15" s="702">
        <f t="shared" si="1"/>
        <v>-1</v>
      </c>
      <c r="F15" s="702" t="e">
        <f t="shared" si="2"/>
        <v>#N/A</v>
      </c>
      <c r="G15" s="702">
        <f t="shared" si="0"/>
        <v>0</v>
      </c>
      <c r="H15" s="1010"/>
      <c r="I15" s="1010"/>
      <c r="J15" s="741"/>
      <c r="K15" s="742"/>
      <c r="L15" s="738">
        <f t="shared" si="3"/>
        <v>0</v>
      </c>
      <c r="M15" s="738">
        <f t="shared" si="4"/>
        <v>0</v>
      </c>
      <c r="N15" s="738">
        <f t="shared" si="5"/>
        <v>0</v>
      </c>
      <c r="O15" s="738">
        <f t="shared" si="6"/>
        <v>0</v>
      </c>
      <c r="P15" s="738">
        <f t="shared" si="7"/>
        <v>0</v>
      </c>
      <c r="Q15" s="738">
        <f t="shared" si="8"/>
        <v>0</v>
      </c>
      <c r="R15" s="738">
        <f t="shared" si="9"/>
        <v>0</v>
      </c>
      <c r="T15" s="758">
        <f t="shared" si="10"/>
        <v>0</v>
      </c>
    </row>
    <row r="16" spans="1:22" ht="17.100000000000001" customHeight="1">
      <c r="A16" s="701"/>
      <c r="B16" s="576"/>
      <c r="C16" s="576"/>
      <c r="D16" s="702"/>
      <c r="E16" s="702">
        <f t="shared" si="1"/>
        <v>-1</v>
      </c>
      <c r="F16" s="702" t="e">
        <f t="shared" si="2"/>
        <v>#N/A</v>
      </c>
      <c r="G16" s="702">
        <f>D16</f>
        <v>0</v>
      </c>
      <c r="H16" s="1010"/>
      <c r="I16" s="1010"/>
      <c r="J16" s="741"/>
      <c r="K16" s="742"/>
      <c r="L16" s="738">
        <f t="shared" si="3"/>
        <v>0</v>
      </c>
      <c r="M16" s="738">
        <f t="shared" si="4"/>
        <v>0</v>
      </c>
      <c r="N16" s="738">
        <f t="shared" si="5"/>
        <v>0</v>
      </c>
      <c r="O16" s="738">
        <f t="shared" si="6"/>
        <v>0</v>
      </c>
      <c r="P16" s="738">
        <f t="shared" si="7"/>
        <v>0</v>
      </c>
      <c r="Q16" s="738">
        <f t="shared" si="8"/>
        <v>0</v>
      </c>
      <c r="R16" s="738">
        <f t="shared" si="9"/>
        <v>0</v>
      </c>
      <c r="T16" s="758">
        <f t="shared" si="10"/>
        <v>0</v>
      </c>
    </row>
    <row r="17" spans="1:20" ht="17.100000000000001" customHeight="1">
      <c r="A17" s="701"/>
      <c r="B17" s="576"/>
      <c r="C17" s="576"/>
      <c r="D17" s="702"/>
      <c r="E17" s="702">
        <f t="shared" si="1"/>
        <v>-1</v>
      </c>
      <c r="F17" s="702" t="e">
        <f t="shared" si="2"/>
        <v>#N/A</v>
      </c>
      <c r="G17" s="702">
        <f t="shared" si="0"/>
        <v>0</v>
      </c>
      <c r="H17" s="1010"/>
      <c r="I17" s="1010"/>
      <c r="J17" s="741"/>
      <c r="K17" s="742"/>
      <c r="L17" s="738">
        <f t="shared" si="3"/>
        <v>0</v>
      </c>
      <c r="M17" s="739">
        <f t="shared" si="4"/>
        <v>0</v>
      </c>
      <c r="N17" s="738">
        <f t="shared" si="5"/>
        <v>0</v>
      </c>
      <c r="O17" s="738">
        <f t="shared" si="6"/>
        <v>0</v>
      </c>
      <c r="P17" s="738">
        <f t="shared" si="7"/>
        <v>0</v>
      </c>
      <c r="Q17" s="738">
        <f t="shared" si="8"/>
        <v>0</v>
      </c>
      <c r="R17" s="738">
        <f t="shared" si="9"/>
        <v>0</v>
      </c>
      <c r="T17" s="758">
        <f t="shared" si="10"/>
        <v>0</v>
      </c>
    </row>
    <row r="18" spans="1:20" ht="17.100000000000001" customHeight="1">
      <c r="A18" s="701"/>
      <c r="B18" s="576"/>
      <c r="C18" s="576"/>
      <c r="D18" s="702"/>
      <c r="E18" s="702">
        <f t="shared" si="1"/>
        <v>-1</v>
      </c>
      <c r="F18" s="702" t="e">
        <f t="shared" si="2"/>
        <v>#N/A</v>
      </c>
      <c r="G18" s="702">
        <f t="shared" si="0"/>
        <v>0</v>
      </c>
      <c r="H18" s="1010"/>
      <c r="I18" s="1010"/>
      <c r="J18" s="741"/>
      <c r="K18" s="742"/>
      <c r="L18" s="738">
        <f t="shared" si="3"/>
        <v>0</v>
      </c>
      <c r="M18" s="739">
        <f t="shared" si="4"/>
        <v>0</v>
      </c>
      <c r="N18" s="738">
        <f t="shared" si="5"/>
        <v>0</v>
      </c>
      <c r="O18" s="738">
        <f t="shared" si="6"/>
        <v>0</v>
      </c>
      <c r="P18" s="738">
        <f t="shared" si="7"/>
        <v>0</v>
      </c>
      <c r="Q18" s="738">
        <f t="shared" si="8"/>
        <v>0</v>
      </c>
      <c r="R18" s="738">
        <f t="shared" si="9"/>
        <v>0</v>
      </c>
      <c r="T18" s="758">
        <f t="shared" si="10"/>
        <v>0</v>
      </c>
    </row>
    <row r="19" spans="1:20" ht="17.100000000000001" customHeight="1">
      <c r="A19" s="701"/>
      <c r="B19" s="576"/>
      <c r="C19" s="576"/>
      <c r="D19" s="702"/>
      <c r="E19" s="702">
        <f t="shared" si="1"/>
        <v>-1</v>
      </c>
      <c r="F19" s="702" t="e">
        <f t="shared" si="2"/>
        <v>#N/A</v>
      </c>
      <c r="G19" s="702">
        <f t="shared" si="0"/>
        <v>0</v>
      </c>
      <c r="H19" s="1010"/>
      <c r="I19" s="1010"/>
      <c r="J19" s="741"/>
      <c r="K19" s="742"/>
      <c r="L19" s="738">
        <f t="shared" si="3"/>
        <v>0</v>
      </c>
      <c r="M19" s="739">
        <f t="shared" si="4"/>
        <v>0</v>
      </c>
      <c r="N19" s="738">
        <f t="shared" si="5"/>
        <v>0</v>
      </c>
      <c r="O19" s="738">
        <f t="shared" si="6"/>
        <v>0</v>
      </c>
      <c r="P19" s="738">
        <f t="shared" si="7"/>
        <v>0</v>
      </c>
      <c r="Q19" s="738">
        <f t="shared" si="8"/>
        <v>0</v>
      </c>
      <c r="R19" s="738">
        <f t="shared" si="9"/>
        <v>0</v>
      </c>
      <c r="T19" s="758">
        <f t="shared" si="10"/>
        <v>0</v>
      </c>
    </row>
    <row r="20" spans="1:20" ht="17.100000000000001" customHeight="1">
      <c r="A20" s="701"/>
      <c r="B20" s="576"/>
      <c r="C20" s="576"/>
      <c r="D20" s="702"/>
      <c r="E20" s="702">
        <f t="shared" si="1"/>
        <v>-1</v>
      </c>
      <c r="F20" s="702" t="e">
        <f t="shared" si="2"/>
        <v>#N/A</v>
      </c>
      <c r="G20" s="702">
        <f t="shared" si="0"/>
        <v>0</v>
      </c>
      <c r="H20" s="1010"/>
      <c r="I20" s="1010"/>
      <c r="J20" s="741"/>
      <c r="K20" s="742"/>
      <c r="L20" s="738">
        <f t="shared" si="3"/>
        <v>0</v>
      </c>
      <c r="M20" s="739">
        <f t="shared" si="4"/>
        <v>0</v>
      </c>
      <c r="N20" s="738">
        <f t="shared" si="5"/>
        <v>0</v>
      </c>
      <c r="O20" s="738">
        <f t="shared" si="6"/>
        <v>0</v>
      </c>
      <c r="P20" s="738">
        <f t="shared" si="7"/>
        <v>0</v>
      </c>
      <c r="Q20" s="738">
        <f t="shared" si="8"/>
        <v>0</v>
      </c>
      <c r="R20" s="738">
        <f t="shared" si="9"/>
        <v>0</v>
      </c>
      <c r="T20" s="758">
        <f t="shared" si="10"/>
        <v>0</v>
      </c>
    </row>
    <row r="21" spans="1:20" ht="17.100000000000001" customHeight="1">
      <c r="A21" s="701"/>
      <c r="B21" s="576"/>
      <c r="C21" s="576"/>
      <c r="D21" s="702"/>
      <c r="E21" s="702">
        <f t="shared" si="1"/>
        <v>-1</v>
      </c>
      <c r="F21" s="702" t="e">
        <f t="shared" si="2"/>
        <v>#N/A</v>
      </c>
      <c r="G21" s="702">
        <f t="shared" si="0"/>
        <v>0</v>
      </c>
      <c r="H21" s="1010"/>
      <c r="I21" s="1010"/>
      <c r="J21" s="741"/>
      <c r="K21" s="742"/>
      <c r="L21" s="738">
        <f t="shared" si="3"/>
        <v>0</v>
      </c>
      <c r="M21" s="739">
        <f t="shared" si="4"/>
        <v>0</v>
      </c>
      <c r="N21" s="738">
        <f t="shared" si="5"/>
        <v>0</v>
      </c>
      <c r="O21" s="738">
        <f t="shared" si="6"/>
        <v>0</v>
      </c>
      <c r="P21" s="738">
        <f t="shared" si="7"/>
        <v>0</v>
      </c>
      <c r="Q21" s="738">
        <f t="shared" si="8"/>
        <v>0</v>
      </c>
      <c r="R21" s="738">
        <f t="shared" si="9"/>
        <v>0</v>
      </c>
      <c r="T21" s="758">
        <f t="shared" si="10"/>
        <v>0</v>
      </c>
    </row>
    <row r="22" spans="1:20" ht="17.100000000000001" customHeight="1">
      <c r="A22" s="703"/>
      <c r="B22" s="576"/>
      <c r="C22" s="576"/>
      <c r="D22" s="702"/>
      <c r="E22" s="702">
        <f t="shared" si="1"/>
        <v>-1</v>
      </c>
      <c r="F22" s="702" t="e">
        <f t="shared" si="2"/>
        <v>#N/A</v>
      </c>
      <c r="G22" s="702">
        <f t="shared" si="0"/>
        <v>0</v>
      </c>
      <c r="H22" s="1010"/>
      <c r="I22" s="1010"/>
      <c r="J22" s="741"/>
      <c r="K22" s="742"/>
      <c r="L22" s="738">
        <f t="shared" si="3"/>
        <v>0</v>
      </c>
      <c r="M22" s="738">
        <f t="shared" si="4"/>
        <v>0</v>
      </c>
      <c r="N22" s="738">
        <f t="shared" si="5"/>
        <v>0</v>
      </c>
      <c r="O22" s="738">
        <f t="shared" si="6"/>
        <v>0</v>
      </c>
      <c r="P22" s="738">
        <f t="shared" si="7"/>
        <v>0</v>
      </c>
      <c r="Q22" s="738">
        <f t="shared" si="8"/>
        <v>0</v>
      </c>
      <c r="R22" s="738">
        <f t="shared" si="9"/>
        <v>0</v>
      </c>
      <c r="T22" s="758">
        <f t="shared" si="10"/>
        <v>0</v>
      </c>
    </row>
    <row r="23" spans="1:20" ht="17.100000000000001" customHeight="1">
      <c r="A23" s="703"/>
      <c r="B23" s="576"/>
      <c r="C23" s="576"/>
      <c r="D23" s="702"/>
      <c r="E23" s="702">
        <f t="shared" si="1"/>
        <v>-1</v>
      </c>
      <c r="F23" s="702" t="e">
        <f t="shared" si="2"/>
        <v>#N/A</v>
      </c>
      <c r="G23" s="702">
        <f t="shared" si="0"/>
        <v>0</v>
      </c>
      <c r="H23" s="1010"/>
      <c r="I23" s="1010"/>
      <c r="J23" s="741"/>
      <c r="K23" s="742"/>
      <c r="L23" s="738">
        <f t="shared" si="3"/>
        <v>0</v>
      </c>
      <c r="M23" s="738">
        <f t="shared" si="4"/>
        <v>0</v>
      </c>
      <c r="N23" s="738">
        <f t="shared" si="5"/>
        <v>0</v>
      </c>
      <c r="O23" s="738">
        <f t="shared" si="6"/>
        <v>0</v>
      </c>
      <c r="P23" s="738">
        <f t="shared" si="7"/>
        <v>0</v>
      </c>
      <c r="Q23" s="738">
        <f t="shared" si="8"/>
        <v>0</v>
      </c>
      <c r="R23" s="738">
        <f t="shared" si="9"/>
        <v>0</v>
      </c>
      <c r="T23" s="758">
        <f t="shared" si="10"/>
        <v>0</v>
      </c>
    </row>
    <row r="24" spans="1:20" ht="17.100000000000001" customHeight="1">
      <c r="A24" s="703"/>
      <c r="B24" s="576"/>
      <c r="C24" s="576"/>
      <c r="D24" s="702"/>
      <c r="E24" s="702">
        <f t="shared" si="1"/>
        <v>-1</v>
      </c>
      <c r="F24" s="702" t="e">
        <f t="shared" si="2"/>
        <v>#N/A</v>
      </c>
      <c r="G24" s="702">
        <f t="shared" si="0"/>
        <v>0</v>
      </c>
      <c r="H24" s="1010"/>
      <c r="I24" s="1010"/>
      <c r="J24" s="741"/>
      <c r="K24" s="742"/>
      <c r="L24" s="738">
        <f t="shared" si="3"/>
        <v>0</v>
      </c>
      <c r="M24" s="738">
        <f t="shared" si="4"/>
        <v>0</v>
      </c>
      <c r="N24" s="738">
        <f t="shared" si="5"/>
        <v>0</v>
      </c>
      <c r="O24" s="738">
        <f t="shared" si="6"/>
        <v>0</v>
      </c>
      <c r="P24" s="738">
        <f t="shared" si="7"/>
        <v>0</v>
      </c>
      <c r="Q24" s="738">
        <f t="shared" si="8"/>
        <v>0</v>
      </c>
      <c r="R24" s="738">
        <f t="shared" si="9"/>
        <v>0</v>
      </c>
      <c r="T24" s="758">
        <f t="shared" si="10"/>
        <v>0</v>
      </c>
    </row>
    <row r="25" spans="1:20" ht="17.100000000000001" customHeight="1">
      <c r="A25" s="703"/>
      <c r="B25" s="576"/>
      <c r="C25" s="576"/>
      <c r="D25" s="702"/>
      <c r="E25" s="702">
        <f t="shared" si="1"/>
        <v>-1</v>
      </c>
      <c r="F25" s="702" t="e">
        <f t="shared" si="2"/>
        <v>#N/A</v>
      </c>
      <c r="G25" s="702">
        <f t="shared" si="0"/>
        <v>0</v>
      </c>
      <c r="H25" s="1010"/>
      <c r="I25" s="1010"/>
      <c r="J25" s="741"/>
      <c r="K25" s="742"/>
      <c r="L25" s="738">
        <f t="shared" si="3"/>
        <v>0</v>
      </c>
      <c r="M25" s="738">
        <f t="shared" si="4"/>
        <v>0</v>
      </c>
      <c r="N25" s="738">
        <f t="shared" si="5"/>
        <v>0</v>
      </c>
      <c r="O25" s="738">
        <f t="shared" si="6"/>
        <v>0</v>
      </c>
      <c r="P25" s="738">
        <f t="shared" si="7"/>
        <v>0</v>
      </c>
      <c r="Q25" s="738">
        <f t="shared" si="8"/>
        <v>0</v>
      </c>
      <c r="R25" s="738">
        <f t="shared" si="9"/>
        <v>0</v>
      </c>
      <c r="T25" s="758">
        <f t="shared" si="10"/>
        <v>0</v>
      </c>
    </row>
    <row r="26" spans="1:20" ht="17.100000000000001" hidden="1" customHeight="1">
      <c r="A26" s="703"/>
      <c r="B26" s="576"/>
      <c r="C26" s="576"/>
      <c r="D26" s="702"/>
      <c r="E26" s="702">
        <f t="shared" si="1"/>
        <v>-1</v>
      </c>
      <c r="F26" s="702" t="e">
        <f t="shared" si="2"/>
        <v>#N/A</v>
      </c>
      <c r="G26" s="702">
        <f t="shared" si="0"/>
        <v>0</v>
      </c>
      <c r="H26" s="1010"/>
      <c r="I26" s="1010"/>
      <c r="J26" s="741"/>
      <c r="K26" s="742"/>
      <c r="L26" s="738">
        <f t="shared" si="3"/>
        <v>0</v>
      </c>
      <c r="M26" s="738">
        <f t="shared" si="4"/>
        <v>0</v>
      </c>
      <c r="N26" s="738">
        <f t="shared" si="5"/>
        <v>0</v>
      </c>
      <c r="O26" s="738">
        <f t="shared" si="6"/>
        <v>0</v>
      </c>
      <c r="P26" s="738">
        <f t="shared" si="7"/>
        <v>0</v>
      </c>
      <c r="Q26" s="738">
        <f t="shared" si="8"/>
        <v>0</v>
      </c>
      <c r="R26" s="738">
        <f t="shared" si="9"/>
        <v>0</v>
      </c>
      <c r="T26" s="758">
        <f t="shared" si="10"/>
        <v>0</v>
      </c>
    </row>
    <row r="27" spans="1:20" ht="17.100000000000001" hidden="1" customHeight="1">
      <c r="A27" s="703"/>
      <c r="B27" s="576"/>
      <c r="C27" s="576"/>
      <c r="D27" s="702"/>
      <c r="E27" s="702">
        <f t="shared" si="1"/>
        <v>-1</v>
      </c>
      <c r="F27" s="702" t="e">
        <f t="shared" si="2"/>
        <v>#N/A</v>
      </c>
      <c r="G27" s="702">
        <f t="shared" si="0"/>
        <v>0</v>
      </c>
      <c r="H27" s="1010"/>
      <c r="I27" s="1010"/>
      <c r="J27" s="741"/>
      <c r="K27" s="742"/>
      <c r="L27" s="738">
        <f t="shared" si="3"/>
        <v>0</v>
      </c>
      <c r="M27" s="738">
        <f t="shared" si="4"/>
        <v>0</v>
      </c>
      <c r="N27" s="738">
        <f t="shared" si="5"/>
        <v>0</v>
      </c>
      <c r="O27" s="738">
        <f t="shared" si="6"/>
        <v>0</v>
      </c>
      <c r="P27" s="738">
        <f t="shared" si="7"/>
        <v>0</v>
      </c>
      <c r="Q27" s="738">
        <f t="shared" si="8"/>
        <v>0</v>
      </c>
      <c r="R27" s="738">
        <f t="shared" si="9"/>
        <v>0</v>
      </c>
      <c r="T27" s="758">
        <f t="shared" si="10"/>
        <v>0</v>
      </c>
    </row>
    <row r="28" spans="1:20" ht="17.100000000000001" hidden="1" customHeight="1">
      <c r="A28" s="704"/>
      <c r="B28" s="576"/>
      <c r="C28" s="576"/>
      <c r="D28" s="702"/>
      <c r="E28" s="702">
        <f t="shared" si="1"/>
        <v>-1</v>
      </c>
      <c r="F28" s="702" t="e">
        <f t="shared" si="2"/>
        <v>#N/A</v>
      </c>
      <c r="G28" s="702">
        <f t="shared" si="0"/>
        <v>0</v>
      </c>
      <c r="H28" s="1010"/>
      <c r="I28" s="1010"/>
      <c r="J28" s="741"/>
      <c r="K28" s="742"/>
      <c r="L28" s="738">
        <f t="shared" si="3"/>
        <v>0</v>
      </c>
      <c r="M28" s="738">
        <f t="shared" si="4"/>
        <v>0</v>
      </c>
      <c r="N28" s="738">
        <f t="shared" si="5"/>
        <v>0</v>
      </c>
      <c r="O28" s="738">
        <f t="shared" si="6"/>
        <v>0</v>
      </c>
      <c r="P28" s="738">
        <f t="shared" si="7"/>
        <v>0</v>
      </c>
      <c r="Q28" s="738">
        <f t="shared" si="8"/>
        <v>0</v>
      </c>
      <c r="R28" s="738">
        <f t="shared" si="9"/>
        <v>0</v>
      </c>
      <c r="T28" s="758">
        <f t="shared" si="10"/>
        <v>0</v>
      </c>
    </row>
    <row r="29" spans="1:20" ht="17.100000000000001" hidden="1" customHeight="1">
      <c r="A29" s="704"/>
      <c r="B29" s="576"/>
      <c r="C29" s="576"/>
      <c r="D29" s="702"/>
      <c r="E29" s="702">
        <f t="shared" si="1"/>
        <v>-1</v>
      </c>
      <c r="F29" s="702" t="e">
        <f t="shared" si="2"/>
        <v>#N/A</v>
      </c>
      <c r="G29" s="702">
        <f t="shared" si="0"/>
        <v>0</v>
      </c>
      <c r="H29" s="1010"/>
      <c r="I29" s="1010"/>
      <c r="J29" s="741"/>
      <c r="K29" s="742"/>
      <c r="L29" s="738">
        <f t="shared" si="3"/>
        <v>0</v>
      </c>
      <c r="M29" s="738">
        <f t="shared" si="4"/>
        <v>0</v>
      </c>
      <c r="N29" s="738">
        <f t="shared" si="5"/>
        <v>0</v>
      </c>
      <c r="O29" s="738">
        <f t="shared" si="6"/>
        <v>0</v>
      </c>
      <c r="P29" s="738">
        <f t="shared" si="7"/>
        <v>0</v>
      </c>
      <c r="Q29" s="738">
        <f t="shared" si="8"/>
        <v>0</v>
      </c>
      <c r="R29" s="738">
        <f t="shared" si="9"/>
        <v>0</v>
      </c>
      <c r="T29" s="758">
        <f t="shared" si="10"/>
        <v>0</v>
      </c>
    </row>
    <row r="30" spans="1:20" ht="17.100000000000001" customHeight="1">
      <c r="A30" s="705"/>
      <c r="B30" s="576"/>
      <c r="C30" s="576"/>
      <c r="D30" s="702"/>
      <c r="E30" s="702">
        <f t="shared" si="1"/>
        <v>-1</v>
      </c>
      <c r="F30" s="702" t="e">
        <f t="shared" si="2"/>
        <v>#N/A</v>
      </c>
      <c r="G30" s="702">
        <f t="shared" si="0"/>
        <v>0</v>
      </c>
      <c r="H30" s="1010"/>
      <c r="I30" s="1010"/>
      <c r="J30" s="743"/>
      <c r="K30" s="742"/>
      <c r="L30" s="738">
        <f t="shared" si="3"/>
        <v>0</v>
      </c>
      <c r="M30" s="738">
        <f t="shared" si="4"/>
        <v>0</v>
      </c>
      <c r="N30" s="738">
        <f t="shared" si="5"/>
        <v>0</v>
      </c>
      <c r="O30" s="738">
        <f t="shared" si="6"/>
        <v>0</v>
      </c>
      <c r="P30" s="738">
        <f t="shared" si="7"/>
        <v>0</v>
      </c>
      <c r="Q30" s="738">
        <f t="shared" si="8"/>
        <v>0</v>
      </c>
      <c r="R30" s="738">
        <f t="shared" si="9"/>
        <v>0</v>
      </c>
      <c r="T30" s="758">
        <f t="shared" si="10"/>
        <v>0</v>
      </c>
    </row>
    <row r="31" spans="1:20" ht="17.100000000000001" customHeight="1">
      <c r="A31" s="936" t="s">
        <v>1497</v>
      </c>
      <c r="B31" s="937"/>
      <c r="C31" s="937"/>
      <c r="D31" s="937"/>
      <c r="E31" s="937"/>
      <c r="F31" s="937"/>
      <c r="G31" s="937"/>
      <c r="H31" s="937"/>
      <c r="I31" s="937"/>
      <c r="J31" s="937"/>
      <c r="K31" s="1012"/>
      <c r="L31" s="738">
        <f t="shared" si="3"/>
        <v>0</v>
      </c>
      <c r="M31" s="739">
        <f t="shared" si="4"/>
        <v>0</v>
      </c>
      <c r="N31" s="738">
        <f t="shared" si="5"/>
        <v>0</v>
      </c>
      <c r="O31" s="738">
        <f t="shared" si="6"/>
        <v>0</v>
      </c>
      <c r="P31" s="738">
        <f t="shared" si="7"/>
        <v>0</v>
      </c>
      <c r="Q31" s="738">
        <f t="shared" si="8"/>
        <v>0</v>
      </c>
      <c r="R31" s="738">
        <f t="shared" si="9"/>
        <v>0</v>
      </c>
      <c r="T31" s="758"/>
    </row>
    <row r="32" spans="1:20" ht="17.100000000000001" customHeight="1">
      <c r="A32" s="705"/>
      <c r="B32" s="576"/>
      <c r="C32" s="576"/>
      <c r="D32" s="702"/>
      <c r="E32" s="702">
        <f t="shared" ref="E32:E35" si="11">B32-1</f>
        <v>-1</v>
      </c>
      <c r="F32" s="702">
        <f>C32-1</f>
        <v>-1</v>
      </c>
      <c r="G32" s="702">
        <f t="shared" ref="G32:G35" si="12">D32</f>
        <v>0</v>
      </c>
      <c r="H32" s="1010"/>
      <c r="I32" s="1010"/>
      <c r="J32" s="744"/>
      <c r="K32" s="742"/>
      <c r="L32" s="738">
        <f t="shared" ref="L32:L35" si="13">((B32+C32)*2+240)*D32/1000</f>
        <v>0</v>
      </c>
      <c r="M32" s="739">
        <f t="shared" ref="M32:M35" si="14">B32*C32*D32/1000000</f>
        <v>0</v>
      </c>
      <c r="N32" s="738">
        <f t="shared" ref="N32:N35" si="15">B32*C32*D32/1000000/2.88/0.85</f>
        <v>0</v>
      </c>
      <c r="O32" s="738">
        <f t="shared" ref="O32:O35" si="16">IF(J32="",0,(B32*C32*D32/1000000)+((B32+C32)*2*D32/1000)*0.02)</f>
        <v>0</v>
      </c>
      <c r="P32" s="738">
        <f t="shared" ref="P32:P35" si="17">IF(K32="",0,(B32*C32*D32/1000000)+((B32+C32)*2*D32/1000)*0.02)</f>
        <v>0</v>
      </c>
      <c r="Q32" s="738">
        <f t="shared" ref="Q32:Q35" si="18">IF(J32="",0,(B32*C32*D32/1000000)*2+((B32+C32)*2*D32/1000)*0.02)</f>
        <v>0</v>
      </c>
      <c r="R32" s="738">
        <f t="shared" ref="R32:R35" si="19">IF(K32="",0,(B32*C32*D32/1000000)*2+((B32+C32)*2*D32/1000)*0.02)</f>
        <v>0</v>
      </c>
      <c r="T32" s="758"/>
    </row>
    <row r="33" spans="1:26" ht="17.100000000000001" customHeight="1">
      <c r="A33" s="704"/>
      <c r="B33" s="576"/>
      <c r="C33" s="576"/>
      <c r="D33" s="702"/>
      <c r="E33" s="702">
        <f t="shared" si="11"/>
        <v>-1</v>
      </c>
      <c r="F33" s="702">
        <f t="shared" ref="F33:F39" si="20">C33-1</f>
        <v>-1</v>
      </c>
      <c r="G33" s="702">
        <f t="shared" si="12"/>
        <v>0</v>
      </c>
      <c r="H33" s="1010"/>
      <c r="I33" s="1010"/>
      <c r="J33" s="744"/>
      <c r="K33" s="742"/>
      <c r="L33" s="738">
        <f t="shared" si="13"/>
        <v>0</v>
      </c>
      <c r="M33" s="738">
        <f t="shared" si="14"/>
        <v>0</v>
      </c>
      <c r="N33" s="738">
        <f t="shared" si="15"/>
        <v>0</v>
      </c>
      <c r="O33" s="738">
        <f t="shared" si="16"/>
        <v>0</v>
      </c>
      <c r="P33" s="738">
        <f t="shared" si="17"/>
        <v>0</v>
      </c>
      <c r="Q33" s="738">
        <f t="shared" si="18"/>
        <v>0</v>
      </c>
      <c r="R33" s="738">
        <f t="shared" si="19"/>
        <v>0</v>
      </c>
      <c r="T33" s="758"/>
    </row>
    <row r="34" spans="1:26" ht="17.100000000000001" customHeight="1">
      <c r="A34" s="704"/>
      <c r="B34" s="576"/>
      <c r="C34" s="576"/>
      <c r="D34" s="702"/>
      <c r="E34" s="702">
        <f t="shared" si="11"/>
        <v>-1</v>
      </c>
      <c r="F34" s="702">
        <f t="shared" si="20"/>
        <v>-1</v>
      </c>
      <c r="G34" s="702">
        <f t="shared" si="12"/>
        <v>0</v>
      </c>
      <c r="H34" s="1010"/>
      <c r="I34" s="1010"/>
      <c r="J34" s="745"/>
      <c r="K34" s="742"/>
      <c r="L34" s="738">
        <f t="shared" si="13"/>
        <v>0</v>
      </c>
      <c r="M34" s="738">
        <f t="shared" si="14"/>
        <v>0</v>
      </c>
      <c r="N34" s="738">
        <f t="shared" si="15"/>
        <v>0</v>
      </c>
      <c r="O34" s="738">
        <f t="shared" si="16"/>
        <v>0</v>
      </c>
      <c r="P34" s="738">
        <f t="shared" si="17"/>
        <v>0</v>
      </c>
      <c r="Q34" s="738">
        <f t="shared" si="18"/>
        <v>0</v>
      </c>
      <c r="R34" s="738">
        <f t="shared" si="19"/>
        <v>0</v>
      </c>
      <c r="T34" s="758"/>
    </row>
    <row r="35" spans="1:26" ht="17.100000000000001" customHeight="1">
      <c r="A35" s="706"/>
      <c r="B35" s="576"/>
      <c r="C35" s="576"/>
      <c r="D35" s="702"/>
      <c r="E35" s="702">
        <f t="shared" si="11"/>
        <v>-1</v>
      </c>
      <c r="F35" s="702">
        <f t="shared" si="20"/>
        <v>-1</v>
      </c>
      <c r="G35" s="702">
        <f t="shared" si="12"/>
        <v>0</v>
      </c>
      <c r="H35" s="1010"/>
      <c r="I35" s="1010"/>
      <c r="J35" s="746"/>
      <c r="K35" s="747"/>
      <c r="L35" s="738">
        <f t="shared" si="13"/>
        <v>0</v>
      </c>
      <c r="M35" s="738">
        <f t="shared" si="14"/>
        <v>0</v>
      </c>
      <c r="N35" s="738">
        <f t="shared" si="15"/>
        <v>0</v>
      </c>
      <c r="O35" s="738">
        <f t="shared" si="16"/>
        <v>0</v>
      </c>
      <c r="P35" s="738">
        <f t="shared" si="17"/>
        <v>0</v>
      </c>
      <c r="Q35" s="738">
        <f t="shared" si="18"/>
        <v>0</v>
      </c>
      <c r="R35" s="738">
        <f t="shared" si="19"/>
        <v>0</v>
      </c>
      <c r="T35" s="758"/>
    </row>
    <row r="36" spans="1:26" ht="17.100000000000001" customHeight="1">
      <c r="A36" s="705"/>
      <c r="B36" s="576"/>
      <c r="C36" s="576"/>
      <c r="D36" s="702"/>
      <c r="E36" s="702">
        <f t="shared" si="1"/>
        <v>-1</v>
      </c>
      <c r="F36" s="702">
        <f t="shared" si="20"/>
        <v>-1</v>
      </c>
      <c r="G36" s="702">
        <f t="shared" si="0"/>
        <v>0</v>
      </c>
      <c r="H36" s="1010"/>
      <c r="I36" s="1010"/>
      <c r="J36" s="744"/>
      <c r="K36" s="742"/>
      <c r="L36" s="738">
        <f t="shared" si="3"/>
        <v>0</v>
      </c>
      <c r="M36" s="739">
        <f t="shared" si="4"/>
        <v>0</v>
      </c>
      <c r="N36" s="738">
        <f t="shared" si="5"/>
        <v>0</v>
      </c>
      <c r="O36" s="738">
        <f t="shared" si="6"/>
        <v>0</v>
      </c>
      <c r="P36" s="738">
        <f t="shared" si="7"/>
        <v>0</v>
      </c>
      <c r="Q36" s="738">
        <f t="shared" si="8"/>
        <v>0</v>
      </c>
      <c r="R36" s="738">
        <f t="shared" si="9"/>
        <v>0</v>
      </c>
      <c r="T36" s="758"/>
    </row>
    <row r="37" spans="1:26" ht="17.100000000000001" customHeight="1">
      <c r="A37" s="704"/>
      <c r="B37" s="576"/>
      <c r="C37" s="576"/>
      <c r="D37" s="702"/>
      <c r="E37" s="702">
        <f t="shared" si="1"/>
        <v>-1</v>
      </c>
      <c r="F37" s="702">
        <f t="shared" si="20"/>
        <v>-1</v>
      </c>
      <c r="G37" s="702">
        <f t="shared" si="0"/>
        <v>0</v>
      </c>
      <c r="H37" s="1010"/>
      <c r="I37" s="1010"/>
      <c r="J37" s="744"/>
      <c r="K37" s="742"/>
      <c r="L37" s="738">
        <f t="shared" si="3"/>
        <v>0</v>
      </c>
      <c r="M37" s="738">
        <f t="shared" si="4"/>
        <v>0</v>
      </c>
      <c r="N37" s="738">
        <f t="shared" si="5"/>
        <v>0</v>
      </c>
      <c r="O37" s="738">
        <f t="shared" si="6"/>
        <v>0</v>
      </c>
      <c r="P37" s="738">
        <f t="shared" si="7"/>
        <v>0</v>
      </c>
      <c r="Q37" s="738">
        <f t="shared" si="8"/>
        <v>0</v>
      </c>
      <c r="R37" s="738">
        <f t="shared" si="9"/>
        <v>0</v>
      </c>
      <c r="T37" s="758"/>
    </row>
    <row r="38" spans="1:26" ht="17.100000000000001" customHeight="1">
      <c r="A38" s="704"/>
      <c r="B38" s="576"/>
      <c r="C38" s="576"/>
      <c r="D38" s="702"/>
      <c r="E38" s="702">
        <f t="shared" si="1"/>
        <v>-1</v>
      </c>
      <c r="F38" s="702">
        <f t="shared" si="20"/>
        <v>-1</v>
      </c>
      <c r="G38" s="702">
        <f t="shared" si="0"/>
        <v>0</v>
      </c>
      <c r="H38" s="1010"/>
      <c r="I38" s="1010"/>
      <c r="J38" s="745"/>
      <c r="K38" s="742"/>
      <c r="L38" s="738">
        <f t="shared" si="3"/>
        <v>0</v>
      </c>
      <c r="M38" s="738">
        <f t="shared" si="4"/>
        <v>0</v>
      </c>
      <c r="N38" s="738">
        <f t="shared" si="5"/>
        <v>0</v>
      </c>
      <c r="O38" s="738">
        <f t="shared" si="6"/>
        <v>0</v>
      </c>
      <c r="P38" s="738">
        <f t="shared" si="7"/>
        <v>0</v>
      </c>
      <c r="Q38" s="738">
        <f t="shared" si="8"/>
        <v>0</v>
      </c>
      <c r="R38" s="738">
        <f t="shared" si="9"/>
        <v>0</v>
      </c>
      <c r="T38" s="758"/>
    </row>
    <row r="39" spans="1:26" ht="17.100000000000001" customHeight="1">
      <c r="A39" s="706"/>
      <c r="B39" s="576"/>
      <c r="C39" s="576"/>
      <c r="D39" s="702"/>
      <c r="E39" s="702">
        <f t="shared" si="1"/>
        <v>-1</v>
      </c>
      <c r="F39" s="702">
        <f t="shared" si="20"/>
        <v>-1</v>
      </c>
      <c r="G39" s="702">
        <f t="shared" si="0"/>
        <v>0</v>
      </c>
      <c r="H39" s="1010"/>
      <c r="I39" s="1010"/>
      <c r="J39" s="746"/>
      <c r="K39" s="747"/>
      <c r="L39" s="738">
        <f t="shared" si="3"/>
        <v>0</v>
      </c>
      <c r="M39" s="738">
        <f t="shared" si="4"/>
        <v>0</v>
      </c>
      <c r="N39" s="738">
        <f t="shared" si="5"/>
        <v>0</v>
      </c>
      <c r="O39" s="738">
        <f t="shared" si="6"/>
        <v>0</v>
      </c>
      <c r="P39" s="738">
        <f t="shared" si="7"/>
        <v>0</v>
      </c>
      <c r="Q39" s="738">
        <f t="shared" si="8"/>
        <v>0</v>
      </c>
      <c r="R39" s="738">
        <f t="shared" si="9"/>
        <v>0</v>
      </c>
      <c r="T39" s="758"/>
    </row>
    <row r="40" spans="1:26" ht="17.100000000000001" customHeight="1" thickBot="1">
      <c r="A40" s="707"/>
      <c r="B40" s="708"/>
      <c r="C40" s="708"/>
      <c r="D40" s="709"/>
      <c r="E40" s="709"/>
      <c r="F40" s="709"/>
      <c r="G40" s="709"/>
      <c r="H40" s="1011" t="s">
        <v>1370</v>
      </c>
      <c r="I40" s="1011"/>
      <c r="J40" s="1011"/>
      <c r="K40" s="734">
        <f>+O40+P40</f>
        <v>0</v>
      </c>
      <c r="L40" s="740">
        <f>SUM(L10:L39)</f>
        <v>0</v>
      </c>
      <c r="M40" s="740">
        <f t="shared" ref="M40:R40" si="21">SUM(M10:M39)</f>
        <v>0</v>
      </c>
      <c r="N40" s="740">
        <f t="shared" si="21"/>
        <v>0</v>
      </c>
      <c r="O40" s="740">
        <f t="shared" si="21"/>
        <v>0</v>
      </c>
      <c r="P40" s="740">
        <f t="shared" si="21"/>
        <v>0</v>
      </c>
      <c r="Q40" s="740">
        <f t="shared" si="21"/>
        <v>0</v>
      </c>
      <c r="R40" s="740">
        <f t="shared" si="21"/>
        <v>0</v>
      </c>
      <c r="T40" s="740">
        <f>SUM(T10:T39)</f>
        <v>0</v>
      </c>
    </row>
    <row r="41" spans="1:26" ht="17.100000000000001" customHeight="1">
      <c r="A41" s="1007"/>
      <c r="B41" s="1007"/>
      <c r="C41" s="1007"/>
      <c r="D41" s="1007"/>
      <c r="E41" s="1007"/>
      <c r="F41" s="1007"/>
      <c r="G41" s="1007"/>
      <c r="H41" s="1007"/>
      <c r="I41" s="1007"/>
      <c r="J41" s="1007"/>
      <c r="K41" s="1007"/>
      <c r="Q41" s="427" t="str">
        <f t="shared" ref="Q41" si="22">IF(J41="","",(B41*C41*D41/1000000)*2+((B41+C41)*2*D41/1000)*0.02)</f>
        <v/>
      </c>
      <c r="R41" s="427" t="str">
        <f t="shared" ref="R41" si="23">IF(K41="","",(B41*C41*D41/1000000)*2+((B41+C41)*2*D41/1000)*0.02)</f>
        <v/>
      </c>
      <c r="S41" s="427"/>
      <c r="T41" s="791"/>
      <c r="U41" s="427"/>
      <c r="V41" s="427"/>
      <c r="W41" s="427"/>
      <c r="X41" s="427"/>
      <c r="Y41" s="427"/>
      <c r="Z41" s="427"/>
    </row>
    <row r="42" spans="1:26" s="712" customFormat="1" ht="20.100000000000001" customHeight="1">
      <c r="A42" s="710"/>
      <c r="B42" s="1006" t="s">
        <v>1030</v>
      </c>
      <c r="C42" s="1006"/>
      <c r="D42" s="1006"/>
      <c r="E42" s="1006"/>
      <c r="F42" s="1006"/>
      <c r="G42" s="1006"/>
      <c r="H42" s="1006"/>
      <c r="I42" s="1006"/>
      <c r="J42" s="694"/>
      <c r="K42" s="711"/>
      <c r="L42" s="427"/>
      <c r="M42" s="427"/>
      <c r="N42" s="427"/>
      <c r="O42" s="427"/>
      <c r="P42" s="427"/>
      <c r="Q42" s="427" t="str">
        <f t="shared" ref="Q42" si="24">IF(J42="","",(B42*C42*D42/1000000)*2+((B42+C42)*2*D42/1000)*0.02)</f>
        <v/>
      </c>
      <c r="R42" s="427" t="str">
        <f t="shared" ref="R42" si="25">IF(K42="","",(B42*C42*D42/1000000)*2+((B42+C42)*2*D42/1000)*0.02)</f>
        <v/>
      </c>
      <c r="S42" s="760" t="s">
        <v>1398</v>
      </c>
      <c r="T42" s="759">
        <f>T40/0.9</f>
        <v>0</v>
      </c>
    </row>
    <row r="43" spans="1:26" ht="21" customHeight="1">
      <c r="A43" s="1007" t="s">
        <v>1371</v>
      </c>
      <c r="B43" s="1007"/>
      <c r="C43" s="1007"/>
      <c r="D43" s="1007"/>
      <c r="E43" s="1007"/>
      <c r="F43" s="1007"/>
      <c r="G43" s="1007"/>
      <c r="H43" s="1007"/>
      <c r="I43" s="1007"/>
      <c r="J43" s="1007"/>
      <c r="K43" s="1007"/>
    </row>
    <row r="44" spans="1:26" ht="13.5" customHeight="1">
      <c r="A44" s="581"/>
      <c r="B44" s="713"/>
      <c r="C44" s="712"/>
      <c r="D44" s="712"/>
      <c r="E44" s="712"/>
      <c r="F44" s="714"/>
      <c r="G44" s="585"/>
      <c r="H44" s="714"/>
      <c r="I44" s="711"/>
      <c r="J44" s="711"/>
      <c r="K44" s="715"/>
    </row>
    <row r="45" spans="1:26" ht="18" customHeight="1">
      <c r="A45" s="710" t="s">
        <v>712</v>
      </c>
      <c r="B45" s="1008"/>
      <c r="C45" s="1008"/>
      <c r="D45" s="694"/>
      <c r="E45" s="716"/>
      <c r="F45" s="1006"/>
      <c r="G45" s="1006"/>
      <c r="H45" s="694"/>
      <c r="I45" s="711"/>
      <c r="J45" s="711"/>
    </row>
    <row r="46" spans="1:26" ht="21">
      <c r="A46" s="589"/>
      <c r="B46" s="1009"/>
      <c r="C46" s="1009"/>
      <c r="D46" s="717"/>
      <c r="E46" s="711"/>
      <c r="F46" s="717"/>
      <c r="G46" s="591"/>
      <c r="H46" s="717"/>
      <c r="I46" s="718"/>
      <c r="J46" s="718"/>
      <c r="K46" s="715"/>
    </row>
    <row r="47" spans="1:26" ht="20.25">
      <c r="A47" s="943" t="s">
        <v>1464</v>
      </c>
      <c r="B47" s="943"/>
      <c r="C47" s="943"/>
      <c r="D47" s="943"/>
      <c r="E47" s="943"/>
      <c r="F47" s="943"/>
      <c r="G47" s="943"/>
      <c r="H47" s="943"/>
      <c r="I47" s="943"/>
      <c r="J47" s="943"/>
      <c r="K47" s="943"/>
    </row>
    <row r="48" spans="1:26" ht="20.25">
      <c r="A48" s="715"/>
      <c r="B48" s="715"/>
      <c r="C48" s="715"/>
      <c r="D48" s="715"/>
      <c r="E48" s="715"/>
      <c r="F48" s="715"/>
      <c r="G48" s="715"/>
      <c r="H48" s="715"/>
      <c r="I48" s="715"/>
      <c r="J48" s="715"/>
      <c r="K48" s="715"/>
    </row>
    <row r="49" spans="1:18" ht="20.25">
      <c r="A49" s="715"/>
      <c r="B49" s="715"/>
      <c r="C49" s="715"/>
      <c r="D49" s="715"/>
      <c r="E49" s="715"/>
      <c r="F49" s="715"/>
      <c r="G49" s="715"/>
      <c r="H49" s="715"/>
      <c r="I49" s="715"/>
      <c r="J49" s="715"/>
      <c r="K49" s="715"/>
    </row>
    <row r="50" spans="1:18" ht="20.25">
      <c r="A50" s="715"/>
      <c r="B50" s="715"/>
      <c r="C50" s="715"/>
      <c r="D50" s="715"/>
      <c r="E50" s="715"/>
      <c r="F50" s="715"/>
      <c r="G50" s="715"/>
      <c r="H50" s="715"/>
      <c r="I50" s="715"/>
      <c r="J50" s="715"/>
      <c r="K50" s="715"/>
    </row>
    <row r="51" spans="1:18" ht="20.25">
      <c r="A51" s="715"/>
      <c r="B51" s="715"/>
      <c r="C51" s="715"/>
      <c r="D51" s="715"/>
      <c r="E51" s="715"/>
      <c r="F51" s="715"/>
      <c r="G51" s="715"/>
      <c r="H51" s="715"/>
      <c r="I51" s="715"/>
      <c r="J51" s="715"/>
      <c r="K51" s="715"/>
    </row>
    <row r="52" spans="1:18" ht="20.25">
      <c r="A52" s="715"/>
      <c r="B52" s="715"/>
      <c r="C52" s="715"/>
      <c r="D52" s="715"/>
      <c r="E52" s="715"/>
      <c r="F52" s="715"/>
      <c r="G52" s="715"/>
      <c r="H52" s="715"/>
      <c r="I52" s="715"/>
      <c r="J52" s="715"/>
      <c r="K52" s="715"/>
      <c r="L52" s="733"/>
      <c r="M52" s="733"/>
      <c r="N52" s="733"/>
      <c r="O52" s="733"/>
      <c r="P52" s="733"/>
      <c r="Q52" s="733"/>
      <c r="R52" s="733"/>
    </row>
    <row r="53" spans="1:18" ht="20.25">
      <c r="A53" s="715"/>
      <c r="B53" s="715"/>
      <c r="C53" s="715"/>
      <c r="D53" s="715"/>
      <c r="E53" s="715"/>
      <c r="F53" s="715"/>
      <c r="G53" s="715"/>
      <c r="H53" s="715"/>
      <c r="I53" s="715"/>
      <c r="J53" s="715"/>
      <c r="K53" s="715"/>
      <c r="L53" s="459"/>
      <c r="M53" s="463"/>
      <c r="N53" s="463"/>
      <c r="O53" s="463"/>
      <c r="P53" s="463"/>
      <c r="Q53" s="463"/>
      <c r="R53" s="463"/>
    </row>
    <row r="54" spans="1:18" ht="20.25">
      <c r="A54" s="715"/>
      <c r="B54" s="715"/>
      <c r="C54" s="715"/>
      <c r="D54" s="715"/>
      <c r="E54" s="715"/>
      <c r="F54" s="715"/>
      <c r="G54" s="715"/>
      <c r="H54" s="715"/>
      <c r="I54" s="715"/>
      <c r="J54" s="715"/>
      <c r="K54" s="715"/>
      <c r="L54" s="441"/>
    </row>
    <row r="55" spans="1:18" ht="20.25">
      <c r="A55" s="715"/>
      <c r="B55" s="715"/>
      <c r="C55" s="715"/>
      <c r="D55" s="715"/>
      <c r="E55" s="715"/>
      <c r="F55" s="715"/>
      <c r="G55" s="715"/>
      <c r="H55" s="715"/>
      <c r="I55" s="715"/>
      <c r="J55" s="715"/>
      <c r="K55" s="715"/>
    </row>
    <row r="56" spans="1:18" ht="20.25">
      <c r="A56" s="715"/>
      <c r="B56" s="715"/>
      <c r="C56" s="715"/>
      <c r="D56" s="715"/>
      <c r="E56" s="715"/>
      <c r="F56" s="715"/>
      <c r="G56" s="715"/>
      <c r="H56" s="715"/>
      <c r="I56" s="715"/>
      <c r="J56" s="715"/>
      <c r="K56" s="715"/>
    </row>
    <row r="57" spans="1:18" ht="20.25">
      <c r="A57" s="715"/>
      <c r="B57" s="715"/>
      <c r="C57" s="715"/>
      <c r="D57" s="715"/>
      <c r="E57" s="715"/>
      <c r="F57" s="715"/>
      <c r="G57" s="715"/>
      <c r="H57" s="715"/>
      <c r="I57" s="715"/>
      <c r="J57" s="715"/>
      <c r="K57" s="715"/>
    </row>
    <row r="58" spans="1:18" ht="20.25">
      <c r="A58" s="715"/>
      <c r="B58" s="715"/>
      <c r="C58" s="715"/>
      <c r="D58" s="715"/>
      <c r="E58" s="715"/>
      <c r="F58" s="715"/>
      <c r="G58" s="715"/>
      <c r="H58" s="715"/>
      <c r="I58" s="715"/>
      <c r="J58" s="715"/>
      <c r="K58" s="715"/>
    </row>
    <row r="59" spans="1:18" ht="20.25">
      <c r="A59" s="715"/>
      <c r="B59" s="715"/>
      <c r="C59" s="715"/>
      <c r="D59" s="715"/>
      <c r="E59" s="715"/>
      <c r="F59" s="715"/>
      <c r="G59" s="715"/>
      <c r="H59" s="715"/>
      <c r="I59" s="715"/>
      <c r="J59" s="715"/>
      <c r="K59" s="715"/>
    </row>
    <row r="60" spans="1:18" ht="20.25">
      <c r="A60" s="715"/>
      <c r="B60" s="715"/>
      <c r="C60" s="715"/>
      <c r="D60" s="715"/>
      <c r="E60" s="715"/>
      <c r="F60" s="715"/>
      <c r="G60" s="715"/>
      <c r="H60" s="715"/>
      <c r="I60" s="715"/>
      <c r="J60" s="715"/>
      <c r="K60" s="715"/>
    </row>
    <row r="61" spans="1:18" ht="20.25">
      <c r="A61" s="715"/>
      <c r="B61" s="715"/>
      <c r="C61" s="715"/>
      <c r="D61" s="715"/>
      <c r="E61" s="715"/>
      <c r="F61" s="715"/>
      <c r="G61" s="715"/>
      <c r="H61" s="715"/>
      <c r="I61" s="715"/>
      <c r="J61" s="715"/>
      <c r="K61" s="715"/>
    </row>
    <row r="62" spans="1:18" ht="20.25">
      <c r="A62" s="715"/>
      <c r="B62" s="715"/>
      <c r="C62" s="715"/>
      <c r="D62" s="715"/>
      <c r="E62" s="715"/>
      <c r="F62" s="715"/>
      <c r="G62" s="715"/>
      <c r="H62" s="715"/>
      <c r="I62" s="715"/>
      <c r="J62" s="715"/>
      <c r="K62" s="715"/>
    </row>
    <row r="63" spans="1:18" ht="20.25">
      <c r="A63" s="715"/>
      <c r="B63" s="715"/>
      <c r="C63" s="715"/>
      <c r="D63" s="715"/>
      <c r="E63" s="715"/>
      <c r="F63" s="715"/>
      <c r="G63" s="715"/>
      <c r="H63" s="715"/>
      <c r="I63" s="715"/>
      <c r="J63" s="715"/>
      <c r="K63" s="715"/>
    </row>
    <row r="64" spans="1:18" ht="20.25">
      <c r="A64" s="715"/>
      <c r="B64" s="715"/>
      <c r="C64" s="715"/>
      <c r="D64" s="715"/>
      <c r="E64" s="715"/>
      <c r="F64" s="715"/>
      <c r="G64" s="715"/>
      <c r="H64" s="715"/>
      <c r="I64" s="715"/>
      <c r="J64" s="715"/>
      <c r="K64" s="715"/>
    </row>
    <row r="65" spans="1:11" ht="20.25">
      <c r="A65" s="715"/>
      <c r="B65" s="715"/>
      <c r="C65" s="715"/>
      <c r="D65" s="715"/>
      <c r="E65" s="715"/>
      <c r="F65" s="715"/>
      <c r="G65" s="715"/>
      <c r="H65" s="715"/>
      <c r="I65" s="715"/>
      <c r="J65" s="715"/>
      <c r="K65" s="715"/>
    </row>
    <row r="66" spans="1:11" ht="20.25">
      <c r="A66" s="715"/>
      <c r="B66" s="715"/>
      <c r="C66" s="715"/>
      <c r="D66" s="715"/>
      <c r="E66" s="715"/>
      <c r="F66" s="715"/>
      <c r="G66" s="715"/>
      <c r="H66" s="715"/>
      <c r="I66" s="715"/>
      <c r="J66" s="715"/>
      <c r="K66" s="715"/>
    </row>
    <row r="67" spans="1:11" ht="20.25">
      <c r="A67" s="715"/>
      <c r="B67" s="715"/>
      <c r="C67" s="715"/>
      <c r="D67" s="715"/>
      <c r="E67" s="715"/>
      <c r="F67" s="715"/>
      <c r="G67" s="715"/>
      <c r="H67" s="715"/>
      <c r="I67" s="715"/>
      <c r="J67" s="715"/>
      <c r="K67" s="715"/>
    </row>
    <row r="68" spans="1:11" ht="20.25">
      <c r="A68" s="715"/>
      <c r="B68" s="715"/>
      <c r="C68" s="715"/>
      <c r="D68" s="715"/>
      <c r="E68" s="715"/>
      <c r="F68" s="715"/>
      <c r="G68" s="715"/>
      <c r="H68" s="715"/>
      <c r="I68" s="715"/>
      <c r="J68" s="715"/>
      <c r="K68" s="715"/>
    </row>
    <row r="69" spans="1:11" ht="20.25">
      <c r="A69" s="715"/>
      <c r="B69" s="715"/>
      <c r="C69" s="715"/>
      <c r="D69" s="715"/>
      <c r="E69" s="715"/>
      <c r="F69" s="715"/>
      <c r="G69" s="715"/>
      <c r="H69" s="715"/>
      <c r="I69" s="715"/>
      <c r="J69" s="715"/>
      <c r="K69" s="715"/>
    </row>
    <row r="70" spans="1:11" ht="20.25">
      <c r="A70" s="715"/>
      <c r="B70" s="715"/>
      <c r="C70" s="715"/>
      <c r="D70" s="715"/>
      <c r="E70" s="715"/>
      <c r="F70" s="715"/>
      <c r="G70" s="715"/>
      <c r="H70" s="715"/>
      <c r="I70" s="715"/>
      <c r="J70" s="715"/>
      <c r="K70" s="715"/>
    </row>
    <row r="71" spans="1:11" ht="20.25">
      <c r="A71" s="715"/>
      <c r="B71" s="715"/>
      <c r="C71" s="715"/>
      <c r="D71" s="715"/>
      <c r="E71" s="715"/>
      <c r="F71" s="715"/>
      <c r="G71" s="715"/>
      <c r="H71" s="715"/>
      <c r="I71" s="715"/>
      <c r="J71" s="715"/>
      <c r="K71" s="715"/>
    </row>
    <row r="72" spans="1:11" ht="20.25">
      <c r="A72" s="715"/>
      <c r="B72" s="715"/>
      <c r="C72" s="715"/>
      <c r="D72" s="715"/>
      <c r="E72" s="715"/>
      <c r="F72" s="715"/>
      <c r="G72" s="715"/>
      <c r="H72" s="715"/>
      <c r="I72" s="715"/>
      <c r="J72" s="715"/>
      <c r="K72" s="715"/>
    </row>
    <row r="73" spans="1:11" ht="20.25">
      <c r="A73" s="715"/>
      <c r="B73" s="715"/>
      <c r="C73" s="715"/>
      <c r="D73" s="715"/>
      <c r="E73" s="715"/>
      <c r="F73" s="715"/>
      <c r="G73" s="715"/>
      <c r="H73" s="715"/>
      <c r="I73" s="715"/>
      <c r="J73" s="715"/>
      <c r="K73" s="715"/>
    </row>
    <row r="74" spans="1:11" ht="20.25">
      <c r="A74" s="715"/>
      <c r="B74" s="715"/>
      <c r="C74" s="715"/>
      <c r="D74" s="715"/>
      <c r="E74" s="715"/>
      <c r="F74" s="715"/>
      <c r="G74" s="715"/>
      <c r="H74" s="715"/>
      <c r="I74" s="715"/>
      <c r="J74" s="715"/>
      <c r="K74" s="715"/>
    </row>
    <row r="75" spans="1:11" ht="20.25">
      <c r="A75" s="715"/>
      <c r="B75" s="715"/>
      <c r="C75" s="715"/>
      <c r="D75" s="715"/>
      <c r="E75" s="715"/>
      <c r="F75" s="715"/>
      <c r="G75" s="715"/>
      <c r="H75" s="715"/>
      <c r="I75" s="715"/>
      <c r="J75" s="715"/>
      <c r="K75" s="715"/>
    </row>
    <row r="76" spans="1:11" ht="20.25">
      <c r="A76" s="715"/>
      <c r="B76" s="715"/>
      <c r="C76" s="715"/>
      <c r="D76" s="715"/>
      <c r="E76" s="715"/>
      <c r="F76" s="715"/>
      <c r="G76" s="715"/>
      <c r="H76" s="715"/>
      <c r="I76" s="715"/>
      <c r="J76" s="715"/>
      <c r="K76" s="715"/>
    </row>
    <row r="77" spans="1:11" ht="20.25">
      <c r="A77" s="715"/>
      <c r="B77" s="715"/>
      <c r="C77" s="715"/>
      <c r="D77" s="715"/>
      <c r="E77" s="715"/>
      <c r="F77" s="715"/>
      <c r="G77" s="715"/>
      <c r="H77" s="715"/>
      <c r="I77" s="715"/>
      <c r="J77" s="715"/>
      <c r="K77" s="715"/>
    </row>
    <row r="78" spans="1:11" ht="20.25">
      <c r="A78" s="715"/>
      <c r="B78" s="715"/>
      <c r="C78" s="715"/>
      <c r="D78" s="715"/>
      <c r="E78" s="715"/>
      <c r="F78" s="715"/>
      <c r="G78" s="715"/>
      <c r="H78" s="715"/>
      <c r="I78" s="715"/>
      <c r="J78" s="715"/>
      <c r="K78" s="715"/>
    </row>
    <row r="79" spans="1:11" ht="20.25">
      <c r="A79" s="715"/>
      <c r="B79" s="715"/>
      <c r="C79" s="715"/>
      <c r="D79" s="715"/>
      <c r="E79" s="715"/>
      <c r="F79" s="715"/>
      <c r="G79" s="715"/>
      <c r="H79" s="715"/>
      <c r="I79" s="715"/>
      <c r="J79" s="715"/>
      <c r="K79" s="715"/>
    </row>
    <row r="80" spans="1:11" ht="20.25">
      <c r="A80" s="715"/>
      <c r="B80" s="715"/>
      <c r="C80" s="715"/>
      <c r="D80" s="715"/>
      <c r="E80" s="715"/>
      <c r="F80" s="715"/>
      <c r="G80" s="715"/>
      <c r="H80" s="715"/>
      <c r="I80" s="715"/>
      <c r="J80" s="715"/>
      <c r="K80" s="715"/>
    </row>
    <row r="81" spans="1:11" ht="20.25">
      <c r="A81" s="715"/>
      <c r="B81" s="715"/>
      <c r="C81" s="715"/>
      <c r="D81" s="715"/>
      <c r="E81" s="715"/>
      <c r="F81" s="715"/>
      <c r="G81" s="715"/>
      <c r="H81" s="715"/>
      <c r="I81" s="715"/>
      <c r="J81" s="715"/>
      <c r="K81" s="715"/>
    </row>
    <row r="82" spans="1:11" ht="20.25">
      <c r="A82" s="715"/>
      <c r="B82" s="715"/>
      <c r="C82" s="715"/>
      <c r="D82" s="715"/>
      <c r="E82" s="715"/>
      <c r="F82" s="715"/>
      <c r="G82" s="715"/>
      <c r="H82" s="715"/>
      <c r="I82" s="715"/>
      <c r="J82" s="715"/>
      <c r="K82" s="715"/>
    </row>
    <row r="83" spans="1:11" ht="20.25">
      <c r="A83" s="715"/>
      <c r="B83" s="715"/>
      <c r="C83" s="715"/>
      <c r="D83" s="715"/>
      <c r="E83" s="715"/>
      <c r="F83" s="715"/>
      <c r="G83" s="715"/>
      <c r="H83" s="715"/>
      <c r="I83" s="715"/>
      <c r="J83" s="715"/>
      <c r="K83" s="715"/>
    </row>
    <row r="84" spans="1:11" ht="20.25">
      <c r="A84" s="715"/>
      <c r="B84" s="715"/>
      <c r="C84" s="715"/>
      <c r="D84" s="715"/>
      <c r="E84" s="715"/>
      <c r="F84" s="715"/>
      <c r="G84" s="715"/>
      <c r="H84" s="715"/>
      <c r="I84" s="715"/>
      <c r="J84" s="715"/>
      <c r="K84" s="715"/>
    </row>
    <row r="85" spans="1:11" ht="20.25">
      <c r="A85" s="715"/>
      <c r="B85" s="715"/>
      <c r="C85" s="715"/>
      <c r="D85" s="715"/>
      <c r="E85" s="715"/>
      <c r="F85" s="715"/>
      <c r="G85" s="715"/>
      <c r="H85" s="715"/>
      <c r="I85" s="715"/>
      <c r="J85" s="715"/>
      <c r="K85" s="715"/>
    </row>
    <row r="86" spans="1:11" ht="20.25">
      <c r="A86" s="715"/>
      <c r="B86" s="715"/>
      <c r="C86" s="715"/>
      <c r="D86" s="715"/>
      <c r="E86" s="715"/>
      <c r="F86" s="715"/>
      <c r="G86" s="715"/>
      <c r="H86" s="715"/>
      <c r="I86" s="715"/>
      <c r="J86" s="715"/>
      <c r="K86" s="715"/>
    </row>
    <row r="87" spans="1:11" ht="20.25">
      <c r="A87" s="715"/>
      <c r="B87" s="715"/>
      <c r="C87" s="715"/>
      <c r="D87" s="715"/>
      <c r="E87" s="715"/>
      <c r="F87" s="715"/>
      <c r="G87" s="715"/>
      <c r="H87" s="715"/>
      <c r="I87" s="715"/>
      <c r="J87" s="715"/>
      <c r="K87" s="715"/>
    </row>
    <row r="88" spans="1:11" ht="20.25">
      <c r="A88" s="715"/>
      <c r="B88" s="715"/>
      <c r="C88" s="715"/>
      <c r="D88" s="715"/>
      <c r="E88" s="715"/>
      <c r="F88" s="715"/>
      <c r="G88" s="715"/>
      <c r="H88" s="715"/>
      <c r="I88" s="715"/>
      <c r="J88" s="715"/>
      <c r="K88" s="715"/>
    </row>
    <row r="89" spans="1:11" ht="20.25">
      <c r="A89" s="715"/>
      <c r="B89" s="715"/>
      <c r="C89" s="715"/>
      <c r="D89" s="715"/>
      <c r="E89" s="715"/>
      <c r="F89" s="715"/>
      <c r="G89" s="715"/>
      <c r="H89" s="715"/>
      <c r="I89" s="715"/>
      <c r="J89" s="715"/>
      <c r="K89" s="715"/>
    </row>
    <row r="90" spans="1:11" ht="20.25">
      <c r="A90" s="715"/>
      <c r="B90" s="715"/>
      <c r="C90" s="715"/>
      <c r="D90" s="715"/>
      <c r="E90" s="715"/>
      <c r="F90" s="715"/>
      <c r="G90" s="715"/>
      <c r="H90" s="715"/>
      <c r="I90" s="715"/>
      <c r="J90" s="715"/>
      <c r="K90" s="715"/>
    </row>
    <row r="91" spans="1:11" ht="20.25">
      <c r="A91" s="715"/>
      <c r="B91" s="715"/>
      <c r="C91" s="715"/>
      <c r="D91" s="715"/>
      <c r="E91" s="715"/>
      <c r="F91" s="715"/>
      <c r="G91" s="715"/>
      <c r="H91" s="715"/>
      <c r="I91" s="715"/>
      <c r="J91" s="715"/>
      <c r="K91" s="715"/>
    </row>
    <row r="92" spans="1:11" ht="20.25">
      <c r="A92" s="715"/>
      <c r="B92" s="715"/>
      <c r="C92" s="715"/>
      <c r="D92" s="715"/>
      <c r="E92" s="715"/>
      <c r="F92" s="715"/>
      <c r="G92" s="715"/>
      <c r="H92" s="715"/>
      <c r="I92" s="715"/>
      <c r="J92" s="715"/>
      <c r="K92" s="715"/>
    </row>
    <row r="93" spans="1:11" ht="20.25">
      <c r="A93" s="715"/>
      <c r="B93" s="715"/>
      <c r="C93" s="715"/>
      <c r="D93" s="715"/>
      <c r="E93" s="715"/>
      <c r="F93" s="715"/>
      <c r="G93" s="715"/>
      <c r="H93" s="715"/>
      <c r="I93" s="715"/>
      <c r="J93" s="715"/>
      <c r="K93" s="715"/>
    </row>
    <row r="94" spans="1:11" ht="20.25">
      <c r="A94" s="715"/>
      <c r="B94" s="715"/>
      <c r="C94" s="715"/>
      <c r="D94" s="715"/>
      <c r="E94" s="715"/>
      <c r="F94" s="715"/>
      <c r="G94" s="715"/>
      <c r="H94" s="715"/>
      <c r="I94" s="715"/>
      <c r="J94" s="715"/>
      <c r="K94" s="715"/>
    </row>
    <row r="95" spans="1:11" ht="20.25">
      <c r="A95" s="715"/>
      <c r="B95" s="715"/>
      <c r="C95" s="715"/>
      <c r="D95" s="715"/>
      <c r="E95" s="715"/>
      <c r="F95" s="715"/>
      <c r="G95" s="715"/>
      <c r="H95" s="715"/>
      <c r="I95" s="715"/>
      <c r="J95" s="715"/>
      <c r="K95" s="715"/>
    </row>
    <row r="96" spans="1:11" ht="20.25">
      <c r="A96" s="715"/>
      <c r="B96" s="715"/>
      <c r="C96" s="715"/>
      <c r="D96" s="715"/>
      <c r="E96" s="715"/>
      <c r="F96" s="715"/>
      <c r="G96" s="715"/>
      <c r="H96" s="715"/>
      <c r="I96" s="715"/>
      <c r="J96" s="715"/>
      <c r="K96" s="715"/>
    </row>
    <row r="97" spans="1:11" ht="20.25">
      <c r="A97" s="715"/>
      <c r="B97" s="715"/>
      <c r="C97" s="715"/>
      <c r="D97" s="715"/>
      <c r="E97" s="715"/>
      <c r="F97" s="715"/>
      <c r="G97" s="715"/>
      <c r="H97" s="715"/>
      <c r="I97" s="715"/>
      <c r="J97" s="715"/>
      <c r="K97" s="715"/>
    </row>
    <row r="98" spans="1:11" ht="20.25">
      <c r="A98" s="715"/>
      <c r="B98" s="715"/>
      <c r="C98" s="715"/>
      <c r="D98" s="715"/>
      <c r="E98" s="715"/>
      <c r="F98" s="715"/>
      <c r="G98" s="715"/>
      <c r="H98" s="715"/>
      <c r="I98" s="715"/>
      <c r="J98" s="715"/>
      <c r="K98" s="715"/>
    </row>
    <row r="99" spans="1:11" ht="20.25">
      <c r="A99" s="715"/>
      <c r="B99" s="715"/>
      <c r="C99" s="715"/>
      <c r="D99" s="715"/>
      <c r="E99" s="715"/>
      <c r="F99" s="715"/>
      <c r="G99" s="715"/>
      <c r="H99" s="715"/>
      <c r="I99" s="715"/>
      <c r="J99" s="715"/>
      <c r="K99" s="715"/>
    </row>
    <row r="100" spans="1:11" ht="20.25">
      <c r="A100" s="715"/>
      <c r="B100" s="715"/>
      <c r="C100" s="715"/>
      <c r="D100" s="715"/>
      <c r="E100" s="715"/>
      <c r="F100" s="715"/>
      <c r="G100" s="715"/>
      <c r="H100" s="715"/>
      <c r="I100" s="715"/>
      <c r="J100" s="715"/>
      <c r="K100" s="715"/>
    </row>
    <row r="101" spans="1:11" ht="20.25">
      <c r="A101" s="715"/>
      <c r="B101" s="715"/>
      <c r="C101" s="715"/>
      <c r="D101" s="715"/>
      <c r="E101" s="715"/>
      <c r="F101" s="715"/>
      <c r="G101" s="715"/>
      <c r="H101" s="715"/>
      <c r="I101" s="715"/>
      <c r="J101" s="715"/>
      <c r="K101" s="715"/>
    </row>
    <row r="102" spans="1:11" ht="20.25">
      <c r="A102" s="715"/>
      <c r="B102" s="715"/>
      <c r="C102" s="715"/>
      <c r="D102" s="715"/>
      <c r="E102" s="715"/>
      <c r="F102" s="715"/>
      <c r="G102" s="715"/>
      <c r="H102" s="715"/>
      <c r="I102" s="715"/>
      <c r="J102" s="715"/>
      <c r="K102" s="715"/>
    </row>
    <row r="103" spans="1:11" ht="20.25">
      <c r="A103" s="715"/>
      <c r="B103" s="715"/>
      <c r="C103" s="715"/>
      <c r="D103" s="715"/>
      <c r="E103" s="715"/>
      <c r="F103" s="715"/>
      <c r="G103" s="715"/>
      <c r="H103" s="715"/>
      <c r="I103" s="715"/>
      <c r="J103" s="715"/>
      <c r="K103" s="715"/>
    </row>
    <row r="104" spans="1:11" ht="20.25">
      <c r="A104" s="715"/>
      <c r="B104" s="715"/>
      <c r="C104" s="715"/>
      <c r="D104" s="715"/>
      <c r="E104" s="715"/>
      <c r="F104" s="715"/>
      <c r="G104" s="715"/>
      <c r="H104" s="715"/>
      <c r="I104" s="715"/>
      <c r="J104" s="715"/>
      <c r="K104" s="715"/>
    </row>
    <row r="105" spans="1:11" ht="20.25">
      <c r="A105" s="715"/>
      <c r="B105" s="715"/>
      <c r="C105" s="715"/>
      <c r="D105" s="715"/>
      <c r="E105" s="715"/>
      <c r="F105" s="715"/>
      <c r="G105" s="715"/>
      <c r="H105" s="715"/>
      <c r="I105" s="715"/>
      <c r="J105" s="715"/>
      <c r="K105" s="715"/>
    </row>
    <row r="106" spans="1:11" ht="20.25">
      <c r="A106" s="715"/>
      <c r="B106" s="715"/>
      <c r="C106" s="715"/>
      <c r="D106" s="715"/>
      <c r="E106" s="715"/>
      <c r="F106" s="715"/>
      <c r="G106" s="715"/>
      <c r="H106" s="715"/>
      <c r="I106" s="715"/>
      <c r="J106" s="715"/>
      <c r="K106" s="715"/>
    </row>
    <row r="107" spans="1:11" ht="20.25">
      <c r="A107" s="715"/>
      <c r="B107" s="715"/>
      <c r="C107" s="715"/>
      <c r="D107" s="715"/>
      <c r="E107" s="715"/>
      <c r="F107" s="715"/>
      <c r="G107" s="715"/>
      <c r="H107" s="715"/>
      <c r="I107" s="715"/>
      <c r="J107" s="715"/>
      <c r="K107" s="715"/>
    </row>
    <row r="108" spans="1:11" ht="20.25">
      <c r="A108" s="715"/>
      <c r="B108" s="715"/>
      <c r="C108" s="715"/>
      <c r="D108" s="715"/>
      <c r="E108" s="715"/>
      <c r="F108" s="715"/>
      <c r="G108" s="715"/>
      <c r="H108" s="715"/>
      <c r="I108" s="715"/>
      <c r="J108" s="715"/>
      <c r="K108" s="715"/>
    </row>
    <row r="109" spans="1:11" ht="20.25">
      <c r="A109" s="715"/>
      <c r="B109" s="715"/>
      <c r="C109" s="715"/>
      <c r="D109" s="715"/>
      <c r="E109" s="715"/>
      <c r="F109" s="715"/>
      <c r="G109" s="715"/>
      <c r="H109" s="715"/>
      <c r="I109" s="715"/>
      <c r="J109" s="715"/>
      <c r="K109" s="715"/>
    </row>
    <row r="110" spans="1:11" ht="20.25">
      <c r="A110" s="715"/>
      <c r="B110" s="715"/>
      <c r="C110" s="715"/>
      <c r="D110" s="715"/>
      <c r="E110" s="715"/>
      <c r="F110" s="715"/>
      <c r="G110" s="715"/>
      <c r="H110" s="715"/>
      <c r="I110" s="715"/>
      <c r="J110" s="715"/>
      <c r="K110" s="715"/>
    </row>
    <row r="111" spans="1:11" ht="20.25">
      <c r="A111" s="715"/>
      <c r="B111" s="715"/>
      <c r="C111" s="715"/>
      <c r="D111" s="715"/>
      <c r="E111" s="715"/>
      <c r="F111" s="715"/>
      <c r="G111" s="715"/>
      <c r="H111" s="715"/>
      <c r="I111" s="715"/>
      <c r="J111" s="715"/>
      <c r="K111" s="715"/>
    </row>
    <row r="112" spans="1:11" ht="20.25">
      <c r="A112" s="715"/>
      <c r="B112" s="715"/>
      <c r="C112" s="715"/>
      <c r="D112" s="715"/>
      <c r="E112" s="715"/>
      <c r="F112" s="715"/>
      <c r="G112" s="715"/>
      <c r="H112" s="715"/>
      <c r="I112" s="715"/>
      <c r="J112" s="715"/>
      <c r="K112" s="715"/>
    </row>
    <row r="113" spans="1:11" ht="20.25">
      <c r="A113" s="715"/>
      <c r="B113" s="715"/>
      <c r="C113" s="715"/>
      <c r="D113" s="715"/>
      <c r="E113" s="715"/>
      <c r="F113" s="715"/>
      <c r="G113" s="715"/>
      <c r="H113" s="715"/>
      <c r="I113" s="715"/>
      <c r="J113" s="715"/>
      <c r="K113" s="715"/>
    </row>
    <row r="114" spans="1:11" ht="20.25">
      <c r="A114" s="715"/>
      <c r="B114" s="715"/>
      <c r="C114" s="715"/>
      <c r="D114" s="715"/>
      <c r="E114" s="715"/>
      <c r="F114" s="715"/>
      <c r="G114" s="715"/>
      <c r="H114" s="715"/>
      <c r="I114" s="715"/>
      <c r="J114" s="715"/>
      <c r="K114" s="715"/>
    </row>
    <row r="115" spans="1:11" ht="20.25">
      <c r="A115" s="715"/>
      <c r="B115" s="715"/>
      <c r="C115" s="715"/>
      <c r="D115" s="715"/>
      <c r="E115" s="715"/>
      <c r="F115" s="715"/>
      <c r="G115" s="715"/>
      <c r="H115" s="715"/>
      <c r="I115" s="715"/>
      <c r="J115" s="715"/>
      <c r="K115" s="715"/>
    </row>
    <row r="116" spans="1:11" ht="20.25">
      <c r="A116" s="715"/>
      <c r="B116" s="715"/>
      <c r="C116" s="715"/>
      <c r="D116" s="715"/>
      <c r="E116" s="715"/>
      <c r="F116" s="715"/>
      <c r="G116" s="715"/>
      <c r="H116" s="715"/>
      <c r="I116" s="715"/>
      <c r="J116" s="715"/>
      <c r="K116" s="715"/>
    </row>
    <row r="117" spans="1:11" ht="20.25">
      <c r="A117" s="715"/>
      <c r="B117" s="715"/>
      <c r="C117" s="715"/>
      <c r="D117" s="715"/>
      <c r="E117" s="715"/>
      <c r="F117" s="715"/>
      <c r="G117" s="715"/>
      <c r="H117" s="715"/>
      <c r="I117" s="715"/>
      <c r="J117" s="715"/>
      <c r="K117" s="715"/>
    </row>
    <row r="118" spans="1:11" ht="20.25">
      <c r="A118" s="715"/>
      <c r="B118" s="715"/>
      <c r="C118" s="715"/>
      <c r="D118" s="715"/>
      <c r="E118" s="715"/>
      <c r="F118" s="715"/>
      <c r="G118" s="715"/>
      <c r="H118" s="715"/>
      <c r="I118" s="715"/>
      <c r="J118" s="715"/>
      <c r="K118" s="715"/>
    </row>
    <row r="119" spans="1:11" ht="20.25">
      <c r="A119" s="715"/>
      <c r="B119" s="715"/>
      <c r="C119" s="715"/>
      <c r="D119" s="715"/>
      <c r="E119" s="715"/>
      <c r="F119" s="715"/>
      <c r="G119" s="715"/>
      <c r="H119" s="715"/>
      <c r="I119" s="715"/>
      <c r="J119" s="715"/>
      <c r="K119" s="715"/>
    </row>
    <row r="120" spans="1:11" ht="20.25">
      <c r="A120" s="715"/>
      <c r="B120" s="715"/>
      <c r="C120" s="715"/>
      <c r="D120" s="715"/>
      <c r="E120" s="715"/>
      <c r="F120" s="715"/>
      <c r="G120" s="715"/>
      <c r="H120" s="715"/>
      <c r="I120" s="715"/>
      <c r="J120" s="715"/>
      <c r="K120" s="715"/>
    </row>
    <row r="121" spans="1:11" ht="20.25">
      <c r="A121" s="715"/>
      <c r="B121" s="715"/>
      <c r="C121" s="715"/>
      <c r="D121" s="715"/>
      <c r="E121" s="715"/>
      <c r="F121" s="715"/>
      <c r="G121" s="715"/>
      <c r="H121" s="715"/>
      <c r="I121" s="715"/>
      <c r="J121" s="715"/>
      <c r="K121" s="715"/>
    </row>
    <row r="122" spans="1:11" ht="20.25">
      <c r="A122" s="715"/>
      <c r="B122" s="715"/>
      <c r="C122" s="715"/>
      <c r="D122" s="715"/>
      <c r="E122" s="715"/>
      <c r="F122" s="715"/>
      <c r="G122" s="715"/>
      <c r="H122" s="715"/>
      <c r="I122" s="715"/>
      <c r="J122" s="715"/>
      <c r="K122" s="715"/>
    </row>
    <row r="123" spans="1:11" ht="20.25">
      <c r="A123" s="715"/>
      <c r="B123" s="715"/>
      <c r="C123" s="715"/>
      <c r="D123" s="715"/>
      <c r="E123" s="715"/>
      <c r="F123" s="715"/>
      <c r="G123" s="715"/>
      <c r="H123" s="715"/>
      <c r="I123" s="715"/>
      <c r="J123" s="715"/>
      <c r="K123" s="715"/>
    </row>
    <row r="124" spans="1:11" ht="20.25">
      <c r="A124" s="715"/>
      <c r="B124" s="715"/>
      <c r="C124" s="715"/>
      <c r="D124" s="715"/>
      <c r="E124" s="715"/>
      <c r="F124" s="715"/>
      <c r="G124" s="715"/>
      <c r="H124" s="715"/>
      <c r="I124" s="715"/>
      <c r="J124" s="715"/>
      <c r="K124" s="715"/>
    </row>
    <row r="125" spans="1:11" ht="20.25">
      <c r="A125" s="715"/>
      <c r="B125" s="715"/>
      <c r="C125" s="715"/>
      <c r="D125" s="715"/>
      <c r="E125" s="715"/>
      <c r="F125" s="715"/>
      <c r="G125" s="715"/>
      <c r="H125" s="715"/>
      <c r="I125" s="715"/>
      <c r="J125" s="715"/>
      <c r="K125" s="715"/>
    </row>
    <row r="126" spans="1:11" ht="20.25">
      <c r="A126" s="715"/>
      <c r="B126" s="715"/>
      <c r="C126" s="715"/>
      <c r="D126" s="715"/>
      <c r="E126" s="715"/>
      <c r="F126" s="715"/>
      <c r="G126" s="715"/>
      <c r="H126" s="715"/>
      <c r="I126" s="715"/>
      <c r="J126" s="715"/>
      <c r="K126" s="715"/>
    </row>
    <row r="127" spans="1:11" ht="20.25">
      <c r="A127" s="715"/>
      <c r="B127" s="715"/>
      <c r="C127" s="715"/>
      <c r="D127" s="715"/>
      <c r="E127" s="715"/>
      <c r="F127" s="715"/>
      <c r="G127" s="715"/>
      <c r="H127" s="715"/>
      <c r="I127" s="715"/>
      <c r="J127" s="715"/>
      <c r="K127" s="715"/>
    </row>
    <row r="128" spans="1:11" ht="20.25">
      <c r="A128" s="715"/>
      <c r="B128" s="715"/>
      <c r="C128" s="715"/>
      <c r="D128" s="715"/>
      <c r="E128" s="715"/>
      <c r="F128" s="715"/>
      <c r="G128" s="715"/>
      <c r="H128" s="715"/>
      <c r="I128" s="715"/>
      <c r="J128" s="715"/>
      <c r="K128" s="715"/>
    </row>
    <row r="129" spans="1:11" ht="20.25">
      <c r="A129" s="715"/>
      <c r="B129" s="715"/>
      <c r="C129" s="715"/>
      <c r="D129" s="715"/>
      <c r="E129" s="715"/>
      <c r="F129" s="715"/>
      <c r="G129" s="715"/>
      <c r="H129" s="715"/>
      <c r="I129" s="715"/>
      <c r="J129" s="715"/>
      <c r="K129" s="715"/>
    </row>
    <row r="130" spans="1:11" ht="20.25">
      <c r="A130" s="715"/>
      <c r="B130" s="715"/>
      <c r="C130" s="715"/>
      <c r="D130" s="715"/>
      <c r="E130" s="715"/>
      <c r="F130" s="715"/>
      <c r="G130" s="715"/>
      <c r="H130" s="715"/>
      <c r="I130" s="715"/>
      <c r="J130" s="715"/>
      <c r="K130" s="715"/>
    </row>
    <row r="131" spans="1:11" ht="20.25">
      <c r="A131" s="715"/>
      <c r="B131" s="715"/>
      <c r="C131" s="715"/>
      <c r="D131" s="715"/>
      <c r="E131" s="715"/>
      <c r="F131" s="715"/>
      <c r="G131" s="715"/>
      <c r="H131" s="715"/>
      <c r="I131" s="715"/>
      <c r="J131" s="715"/>
      <c r="K131" s="715"/>
    </row>
    <row r="132" spans="1:11" ht="20.25">
      <c r="A132" s="715"/>
      <c r="B132" s="715"/>
      <c r="C132" s="715"/>
      <c r="D132" s="715"/>
      <c r="E132" s="715"/>
      <c r="F132" s="715"/>
      <c r="G132" s="715"/>
      <c r="H132" s="715"/>
      <c r="I132" s="715"/>
      <c r="J132" s="715"/>
      <c r="K132" s="715"/>
    </row>
    <row r="133" spans="1:11" ht="20.25">
      <c r="A133" s="715"/>
      <c r="B133" s="715"/>
      <c r="C133" s="715"/>
      <c r="D133" s="715"/>
      <c r="E133" s="715"/>
      <c r="F133" s="715"/>
      <c r="G133" s="715"/>
      <c r="H133" s="715"/>
      <c r="I133" s="715"/>
      <c r="J133" s="715"/>
      <c r="K133" s="715"/>
    </row>
    <row r="134" spans="1:11" ht="20.25">
      <c r="A134" s="715"/>
      <c r="B134" s="715"/>
      <c r="C134" s="715"/>
      <c r="D134" s="715"/>
      <c r="E134" s="715"/>
      <c r="F134" s="715"/>
      <c r="G134" s="715"/>
      <c r="H134" s="715"/>
      <c r="I134" s="715"/>
      <c r="J134" s="715"/>
      <c r="K134" s="715"/>
    </row>
    <row r="135" spans="1:11" ht="20.25">
      <c r="A135" s="715"/>
      <c r="B135" s="715"/>
      <c r="C135" s="715"/>
      <c r="D135" s="715"/>
      <c r="E135" s="715"/>
      <c r="F135" s="715"/>
      <c r="G135" s="715"/>
      <c r="H135" s="715"/>
      <c r="I135" s="715"/>
      <c r="J135" s="715"/>
      <c r="K135" s="715"/>
    </row>
    <row r="136" spans="1:11" ht="20.25">
      <c r="A136" s="715"/>
      <c r="B136" s="715"/>
      <c r="C136" s="715"/>
      <c r="D136" s="715"/>
      <c r="E136" s="715"/>
      <c r="F136" s="715"/>
      <c r="G136" s="715"/>
      <c r="H136" s="715"/>
      <c r="I136" s="715"/>
      <c r="J136" s="715"/>
      <c r="K136" s="715"/>
    </row>
    <row r="137" spans="1:11" ht="20.25">
      <c r="A137" s="715"/>
      <c r="B137" s="715"/>
      <c r="C137" s="715"/>
      <c r="D137" s="715"/>
      <c r="E137" s="715"/>
      <c r="F137" s="715"/>
      <c r="G137" s="715"/>
      <c r="H137" s="715"/>
      <c r="I137" s="715"/>
      <c r="J137" s="715"/>
      <c r="K137" s="715"/>
    </row>
    <row r="138" spans="1:11" ht="20.25">
      <c r="A138" s="715"/>
      <c r="B138" s="715"/>
      <c r="C138" s="715"/>
      <c r="D138" s="715"/>
      <c r="E138" s="715"/>
      <c r="F138" s="715"/>
      <c r="G138" s="715"/>
      <c r="H138" s="715"/>
      <c r="I138" s="715"/>
      <c r="J138" s="715"/>
      <c r="K138" s="715"/>
    </row>
    <row r="139" spans="1:11" ht="20.25">
      <c r="A139" s="715"/>
      <c r="B139" s="715"/>
      <c r="C139" s="715"/>
      <c r="D139" s="715"/>
      <c r="E139" s="715"/>
      <c r="F139" s="715"/>
      <c r="G139" s="715"/>
      <c r="H139" s="715"/>
      <c r="I139" s="715"/>
      <c r="J139" s="715"/>
      <c r="K139" s="715"/>
    </row>
    <row r="140" spans="1:11" ht="20.25">
      <c r="A140" s="715"/>
      <c r="B140" s="715"/>
      <c r="C140" s="715"/>
      <c r="D140" s="715"/>
      <c r="E140" s="715"/>
      <c r="F140" s="715"/>
      <c r="G140" s="715"/>
      <c r="H140" s="715"/>
      <c r="I140" s="715"/>
      <c r="J140" s="715"/>
      <c r="K140" s="715"/>
    </row>
    <row r="141" spans="1:11" ht="20.25">
      <c r="A141" s="715"/>
      <c r="B141" s="715"/>
      <c r="C141" s="715"/>
      <c r="D141" s="715"/>
      <c r="E141" s="715"/>
      <c r="F141" s="715"/>
      <c r="G141" s="715"/>
      <c r="H141" s="715"/>
      <c r="I141" s="715"/>
      <c r="J141" s="715"/>
      <c r="K141" s="715"/>
    </row>
    <row r="142" spans="1:11" ht="20.25">
      <c r="A142" s="715"/>
      <c r="B142" s="715"/>
      <c r="C142" s="715"/>
      <c r="D142" s="715"/>
      <c r="E142" s="715"/>
      <c r="F142" s="715"/>
      <c r="G142" s="715"/>
      <c r="H142" s="715"/>
      <c r="I142" s="715"/>
      <c r="J142" s="715"/>
      <c r="K142" s="715"/>
    </row>
    <row r="143" spans="1:11" ht="20.25">
      <c r="A143" s="715"/>
      <c r="B143" s="715"/>
      <c r="C143" s="715"/>
      <c r="D143" s="715"/>
      <c r="E143" s="715"/>
      <c r="F143" s="715"/>
      <c r="G143" s="715"/>
      <c r="H143" s="715"/>
      <c r="I143" s="715"/>
      <c r="J143" s="715"/>
      <c r="K143" s="715"/>
    </row>
    <row r="144" spans="1:11" ht="20.25">
      <c r="A144" s="715"/>
      <c r="B144" s="715"/>
      <c r="C144" s="715"/>
      <c r="D144" s="715"/>
      <c r="E144" s="715"/>
      <c r="F144" s="715"/>
      <c r="G144" s="715"/>
      <c r="H144" s="715"/>
      <c r="I144" s="715"/>
      <c r="J144" s="715"/>
      <c r="K144" s="715"/>
    </row>
    <row r="145" spans="1:11" ht="20.25">
      <c r="A145" s="715"/>
      <c r="B145" s="715"/>
      <c r="C145" s="715"/>
      <c r="D145" s="715"/>
      <c r="E145" s="715"/>
      <c r="F145" s="715"/>
      <c r="G145" s="715"/>
      <c r="H145" s="715"/>
      <c r="I145" s="715"/>
      <c r="J145" s="715"/>
      <c r="K145" s="715"/>
    </row>
    <row r="146" spans="1:11" ht="20.25">
      <c r="A146" s="715"/>
      <c r="B146" s="715"/>
      <c r="C146" s="715"/>
      <c r="D146" s="715"/>
      <c r="E146" s="715"/>
      <c r="F146" s="715"/>
      <c r="G146" s="715"/>
      <c r="H146" s="715"/>
      <c r="I146" s="715"/>
      <c r="J146" s="715"/>
      <c r="K146" s="715"/>
    </row>
    <row r="147" spans="1:11" ht="20.25">
      <c r="A147" s="715"/>
      <c r="B147" s="715"/>
      <c r="C147" s="715"/>
      <c r="D147" s="715"/>
      <c r="E147" s="715"/>
      <c r="F147" s="715"/>
      <c r="G147" s="715"/>
      <c r="H147" s="715"/>
      <c r="I147" s="715"/>
      <c r="J147" s="715"/>
      <c r="K147" s="715"/>
    </row>
    <row r="148" spans="1:11" ht="20.25">
      <c r="A148" s="715"/>
      <c r="B148" s="715"/>
      <c r="C148" s="715"/>
      <c r="D148" s="715"/>
      <c r="E148" s="715"/>
      <c r="F148" s="715"/>
      <c r="G148" s="715"/>
      <c r="H148" s="715"/>
      <c r="I148" s="715"/>
      <c r="J148" s="715"/>
      <c r="K148" s="715"/>
    </row>
    <row r="149" spans="1:11" ht="20.25">
      <c r="A149" s="715"/>
      <c r="B149" s="715"/>
      <c r="C149" s="715"/>
      <c r="D149" s="715"/>
      <c r="E149" s="715"/>
      <c r="F149" s="715"/>
      <c r="G149" s="715"/>
      <c r="H149" s="715"/>
      <c r="I149" s="715"/>
      <c r="J149" s="715"/>
      <c r="K149" s="715"/>
    </row>
    <row r="150" spans="1:11" ht="20.25">
      <c r="A150" s="715"/>
      <c r="B150" s="715"/>
      <c r="C150" s="715"/>
      <c r="D150" s="715"/>
      <c r="E150" s="715"/>
      <c r="F150" s="715"/>
      <c r="G150" s="715"/>
      <c r="H150" s="715"/>
      <c r="I150" s="715"/>
      <c r="J150" s="715"/>
      <c r="K150" s="715"/>
    </row>
    <row r="151" spans="1:11" ht="20.25">
      <c r="A151" s="715"/>
      <c r="B151" s="715"/>
      <c r="C151" s="715"/>
      <c r="D151" s="715"/>
      <c r="E151" s="715"/>
      <c r="F151" s="715"/>
      <c r="G151" s="715"/>
      <c r="H151" s="715"/>
      <c r="I151" s="715"/>
      <c r="J151" s="715"/>
      <c r="K151" s="715"/>
    </row>
    <row r="152" spans="1:11" ht="20.25">
      <c r="A152" s="715"/>
      <c r="B152" s="715"/>
      <c r="C152" s="715"/>
      <c r="D152" s="715"/>
      <c r="E152" s="715"/>
      <c r="F152" s="715"/>
      <c r="G152" s="715"/>
      <c r="H152" s="715"/>
      <c r="I152" s="715"/>
      <c r="J152" s="715"/>
      <c r="K152" s="715"/>
    </row>
    <row r="153" spans="1:11" ht="20.25">
      <c r="A153" s="715"/>
      <c r="B153" s="715"/>
      <c r="C153" s="715"/>
      <c r="D153" s="715"/>
      <c r="E153" s="715"/>
      <c r="F153" s="715"/>
      <c r="G153" s="715"/>
      <c r="H153" s="715"/>
      <c r="I153" s="715"/>
      <c r="J153" s="715"/>
      <c r="K153" s="715"/>
    </row>
    <row r="154" spans="1:11" ht="20.25">
      <c r="A154" s="715"/>
      <c r="B154" s="715"/>
      <c r="C154" s="715"/>
      <c r="D154" s="715"/>
      <c r="E154" s="715"/>
      <c r="F154" s="715"/>
      <c r="G154" s="715"/>
      <c r="H154" s="715"/>
      <c r="I154" s="715"/>
      <c r="J154" s="715"/>
      <c r="K154" s="715"/>
    </row>
    <row r="155" spans="1:11" ht="20.25">
      <c r="A155" s="715"/>
      <c r="B155" s="715"/>
      <c r="C155" s="715"/>
      <c r="D155" s="715"/>
      <c r="E155" s="715"/>
      <c r="F155" s="715"/>
      <c r="G155" s="715"/>
      <c r="H155" s="715"/>
      <c r="I155" s="715"/>
      <c r="J155" s="715"/>
      <c r="K155" s="715"/>
    </row>
    <row r="156" spans="1:11" ht="20.25">
      <c r="A156" s="715"/>
      <c r="B156" s="715"/>
      <c r="C156" s="715"/>
      <c r="D156" s="715"/>
      <c r="E156" s="715"/>
      <c r="F156" s="715"/>
      <c r="G156" s="715"/>
      <c r="H156" s="715"/>
      <c r="I156" s="715"/>
      <c r="J156" s="715"/>
      <c r="K156" s="715"/>
    </row>
    <row r="157" spans="1:11" ht="20.25">
      <c r="A157" s="715"/>
      <c r="B157" s="715"/>
      <c r="C157" s="715"/>
      <c r="D157" s="715"/>
      <c r="E157" s="715"/>
      <c r="F157" s="715"/>
      <c r="G157" s="715"/>
      <c r="H157" s="715"/>
      <c r="I157" s="715"/>
      <c r="J157" s="715"/>
      <c r="K157" s="715"/>
    </row>
    <row r="158" spans="1:11" ht="20.25">
      <c r="A158" s="715"/>
      <c r="B158" s="715"/>
      <c r="C158" s="715"/>
      <c r="D158" s="715"/>
      <c r="E158" s="715"/>
      <c r="F158" s="715"/>
      <c r="G158" s="715"/>
      <c r="H158" s="715"/>
      <c r="I158" s="715"/>
      <c r="J158" s="715"/>
      <c r="K158" s="715"/>
    </row>
    <row r="159" spans="1:11" ht="20.25">
      <c r="A159" s="715"/>
      <c r="B159" s="715"/>
      <c r="C159" s="715"/>
      <c r="D159" s="715"/>
      <c r="E159" s="715"/>
      <c r="F159" s="715"/>
      <c r="G159" s="715"/>
      <c r="H159" s="715"/>
      <c r="I159" s="715"/>
      <c r="J159" s="715"/>
      <c r="K159" s="715"/>
    </row>
    <row r="160" spans="1:11" ht="20.25">
      <c r="A160" s="715"/>
      <c r="B160" s="715"/>
      <c r="C160" s="715"/>
      <c r="D160" s="715"/>
      <c r="E160" s="715"/>
      <c r="F160" s="715"/>
      <c r="G160" s="715"/>
      <c r="H160" s="715"/>
      <c r="I160" s="715"/>
      <c r="J160" s="715"/>
      <c r="K160" s="715"/>
    </row>
    <row r="161" spans="1:11" ht="20.25">
      <c r="A161" s="715"/>
      <c r="B161" s="715"/>
      <c r="C161" s="715"/>
      <c r="D161" s="715"/>
      <c r="E161" s="715"/>
      <c r="F161" s="715"/>
      <c r="G161" s="715"/>
      <c r="H161" s="715"/>
      <c r="I161" s="715"/>
      <c r="J161" s="715"/>
      <c r="K161" s="715"/>
    </row>
    <row r="162" spans="1:11" ht="20.25">
      <c r="A162" s="715"/>
      <c r="B162" s="715"/>
      <c r="C162" s="715"/>
      <c r="D162" s="715"/>
      <c r="E162" s="715"/>
      <c r="F162" s="715"/>
      <c r="G162" s="715"/>
      <c r="H162" s="715"/>
      <c r="I162" s="715"/>
      <c r="J162" s="715"/>
      <c r="K162" s="715"/>
    </row>
    <row r="163" spans="1:11" ht="20.25">
      <c r="A163" s="715"/>
      <c r="B163" s="715"/>
      <c r="C163" s="715"/>
      <c r="D163" s="715"/>
      <c r="E163" s="715"/>
      <c r="F163" s="715"/>
      <c r="G163" s="715"/>
      <c r="H163" s="715"/>
      <c r="I163" s="715"/>
      <c r="J163" s="715"/>
      <c r="K163" s="715"/>
    </row>
    <row r="164" spans="1:11" ht="20.25">
      <c r="A164" s="715"/>
      <c r="B164" s="715"/>
      <c r="C164" s="715"/>
      <c r="D164" s="715"/>
      <c r="E164" s="715"/>
      <c r="F164" s="715"/>
      <c r="G164" s="715"/>
      <c r="H164" s="715"/>
      <c r="I164" s="715"/>
      <c r="J164" s="715"/>
      <c r="K164" s="715"/>
    </row>
    <row r="165" spans="1:11" ht="20.25">
      <c r="A165" s="715"/>
      <c r="B165" s="715"/>
      <c r="C165" s="715"/>
      <c r="D165" s="715"/>
      <c r="E165" s="715"/>
      <c r="F165" s="715"/>
      <c r="G165" s="715"/>
      <c r="H165" s="715"/>
      <c r="I165" s="715"/>
      <c r="J165" s="715"/>
      <c r="K165" s="715"/>
    </row>
    <row r="166" spans="1:11" ht="20.25">
      <c r="A166" s="715"/>
      <c r="B166" s="715"/>
      <c r="C166" s="715"/>
      <c r="D166" s="715"/>
      <c r="E166" s="715"/>
      <c r="F166" s="715"/>
      <c r="G166" s="715"/>
      <c r="H166" s="715"/>
      <c r="I166" s="715"/>
      <c r="J166" s="715"/>
      <c r="K166" s="715"/>
    </row>
    <row r="167" spans="1:11" ht="20.25">
      <c r="A167" s="715"/>
      <c r="B167" s="715"/>
      <c r="C167" s="715"/>
      <c r="D167" s="715"/>
      <c r="E167" s="715"/>
      <c r="F167" s="715"/>
      <c r="G167" s="715"/>
      <c r="H167" s="715"/>
      <c r="I167" s="715"/>
      <c r="J167" s="715"/>
      <c r="K167" s="715"/>
    </row>
    <row r="168" spans="1:11" ht="20.25">
      <c r="A168" s="715"/>
      <c r="B168" s="715"/>
      <c r="C168" s="715"/>
      <c r="D168" s="715"/>
      <c r="E168" s="715"/>
      <c r="F168" s="715"/>
      <c r="G168" s="715"/>
      <c r="H168" s="715"/>
      <c r="I168" s="715"/>
      <c r="J168" s="715"/>
      <c r="K168" s="715"/>
    </row>
    <row r="169" spans="1:11" ht="20.25">
      <c r="A169" s="715"/>
      <c r="B169" s="715"/>
      <c r="C169" s="715"/>
      <c r="D169" s="715"/>
      <c r="E169" s="715"/>
      <c r="F169" s="715"/>
      <c r="G169" s="715"/>
      <c r="H169" s="715"/>
      <c r="I169" s="715"/>
      <c r="J169" s="715"/>
      <c r="K169" s="715"/>
    </row>
    <row r="170" spans="1:11" ht="20.25">
      <c r="A170" s="715"/>
      <c r="B170" s="715"/>
      <c r="C170" s="715"/>
      <c r="D170" s="715"/>
      <c r="E170" s="715"/>
      <c r="F170" s="715"/>
      <c r="G170" s="715"/>
      <c r="H170" s="715"/>
      <c r="I170" s="715"/>
      <c r="J170" s="715"/>
      <c r="K170" s="715"/>
    </row>
    <row r="171" spans="1:11" ht="20.25">
      <c r="A171" s="715"/>
      <c r="B171" s="715"/>
      <c r="C171" s="715"/>
      <c r="D171" s="715"/>
      <c r="E171" s="715"/>
      <c r="F171" s="715"/>
      <c r="G171" s="715"/>
      <c r="H171" s="715"/>
      <c r="I171" s="715"/>
      <c r="J171" s="715"/>
      <c r="K171" s="715"/>
    </row>
    <row r="172" spans="1:11" ht="20.25">
      <c r="A172" s="715"/>
      <c r="B172" s="715"/>
      <c r="C172" s="715"/>
      <c r="D172" s="715"/>
      <c r="E172" s="715"/>
      <c r="F172" s="715"/>
      <c r="G172" s="715"/>
      <c r="H172" s="715"/>
      <c r="I172" s="715"/>
      <c r="J172" s="715"/>
      <c r="K172" s="715"/>
    </row>
    <row r="173" spans="1:11" ht="20.25">
      <c r="A173" s="715"/>
      <c r="B173" s="715"/>
      <c r="C173" s="715"/>
      <c r="D173" s="715"/>
      <c r="E173" s="715"/>
      <c r="F173" s="715"/>
      <c r="G173" s="715"/>
      <c r="H173" s="715"/>
      <c r="I173" s="715"/>
      <c r="J173" s="715"/>
      <c r="K173" s="715"/>
    </row>
    <row r="174" spans="1:11" ht="20.25">
      <c r="A174" s="715"/>
      <c r="B174" s="715"/>
      <c r="C174" s="715"/>
      <c r="D174" s="715"/>
      <c r="E174" s="715"/>
      <c r="F174" s="715"/>
      <c r="G174" s="715"/>
      <c r="H174" s="715"/>
      <c r="I174" s="715"/>
      <c r="J174" s="715"/>
      <c r="K174" s="715"/>
    </row>
    <row r="175" spans="1:11" ht="20.25">
      <c r="A175" s="715"/>
      <c r="B175" s="715"/>
      <c r="C175" s="715"/>
      <c r="D175" s="715"/>
      <c r="E175" s="715"/>
      <c r="F175" s="715"/>
      <c r="G175" s="715"/>
      <c r="H175" s="715"/>
      <c r="I175" s="715"/>
      <c r="J175" s="715"/>
      <c r="K175" s="715"/>
    </row>
    <row r="176" spans="1:11" ht="20.25">
      <c r="A176" s="715"/>
      <c r="B176" s="715"/>
      <c r="C176" s="715"/>
      <c r="D176" s="715"/>
      <c r="E176" s="715"/>
      <c r="F176" s="715"/>
      <c r="G176" s="715"/>
      <c r="H176" s="715"/>
      <c r="I176" s="715"/>
      <c r="J176" s="715"/>
      <c r="K176" s="715"/>
    </row>
    <row r="177" spans="1:11" ht="20.25">
      <c r="A177" s="715"/>
      <c r="B177" s="715"/>
      <c r="C177" s="715"/>
      <c r="D177" s="715"/>
      <c r="E177" s="715"/>
      <c r="F177" s="715"/>
      <c r="G177" s="715"/>
      <c r="H177" s="715"/>
      <c r="I177" s="715"/>
      <c r="J177" s="715"/>
      <c r="K177" s="715"/>
    </row>
    <row r="178" spans="1:11" ht="20.25">
      <c r="A178" s="715"/>
      <c r="B178" s="715"/>
      <c r="C178" s="715"/>
      <c r="D178" s="715"/>
      <c r="E178" s="715"/>
      <c r="F178" s="715"/>
      <c r="G178" s="715"/>
      <c r="H178" s="715"/>
      <c r="I178" s="715"/>
      <c r="J178" s="715"/>
      <c r="K178" s="715"/>
    </row>
    <row r="179" spans="1:11" ht="20.25">
      <c r="A179" s="715"/>
      <c r="B179" s="715"/>
      <c r="C179" s="715"/>
      <c r="D179" s="715"/>
      <c r="E179" s="715"/>
      <c r="F179" s="715"/>
      <c r="G179" s="715"/>
      <c r="H179" s="715"/>
      <c r="I179" s="715"/>
      <c r="J179" s="715"/>
      <c r="K179" s="715"/>
    </row>
    <row r="180" spans="1:11" ht="20.25">
      <c r="A180" s="715"/>
      <c r="B180" s="715"/>
      <c r="C180" s="715"/>
      <c r="D180" s="715"/>
      <c r="E180" s="715"/>
      <c r="F180" s="715"/>
      <c r="G180" s="715"/>
      <c r="H180" s="715"/>
      <c r="I180" s="715"/>
      <c r="J180" s="715"/>
      <c r="K180" s="715"/>
    </row>
    <row r="181" spans="1:11" ht="20.25">
      <c r="A181" s="715"/>
      <c r="B181" s="715"/>
      <c r="C181" s="715"/>
      <c r="D181" s="715"/>
      <c r="E181" s="715"/>
      <c r="F181" s="715"/>
      <c r="G181" s="715"/>
      <c r="H181" s="715"/>
      <c r="I181" s="715"/>
      <c r="J181" s="715"/>
      <c r="K181" s="715"/>
    </row>
    <row r="182" spans="1:11" ht="20.25">
      <c r="A182" s="715"/>
      <c r="B182" s="715"/>
      <c r="C182" s="715"/>
      <c r="D182" s="715"/>
      <c r="E182" s="715"/>
      <c r="F182" s="715"/>
      <c r="G182" s="715"/>
      <c r="H182" s="715"/>
      <c r="I182" s="715"/>
      <c r="J182" s="715"/>
      <c r="K182" s="715"/>
    </row>
    <row r="183" spans="1:11" ht="20.25">
      <c r="A183" s="715"/>
      <c r="B183" s="715"/>
      <c r="C183" s="715"/>
      <c r="D183" s="715"/>
      <c r="E183" s="715"/>
      <c r="F183" s="715"/>
      <c r="G183" s="715"/>
      <c r="H183" s="715"/>
      <c r="I183" s="715"/>
      <c r="J183" s="715"/>
      <c r="K183" s="715"/>
    </row>
    <row r="184" spans="1:11" ht="20.25">
      <c r="A184" s="715"/>
      <c r="B184" s="715"/>
      <c r="C184" s="715"/>
      <c r="D184" s="715"/>
      <c r="E184" s="715"/>
      <c r="F184" s="715"/>
      <c r="G184" s="715"/>
      <c r="H184" s="715"/>
      <c r="I184" s="715"/>
      <c r="J184" s="715"/>
      <c r="K184" s="715"/>
    </row>
    <row r="185" spans="1:11" ht="20.25">
      <c r="A185" s="715"/>
      <c r="B185" s="715"/>
      <c r="C185" s="715"/>
      <c r="D185" s="715"/>
      <c r="E185" s="715"/>
      <c r="F185" s="715"/>
      <c r="G185" s="715"/>
      <c r="H185" s="715"/>
      <c r="I185" s="715"/>
      <c r="J185" s="715"/>
      <c r="K185" s="715"/>
    </row>
    <row r="186" spans="1:11" ht="20.25">
      <c r="A186" s="715"/>
      <c r="B186" s="715"/>
      <c r="C186" s="715"/>
      <c r="D186" s="715"/>
      <c r="E186" s="715"/>
      <c r="F186" s="715"/>
      <c r="G186" s="715"/>
      <c r="H186" s="715"/>
      <c r="I186" s="715"/>
      <c r="J186" s="715"/>
      <c r="K186" s="715"/>
    </row>
    <row r="187" spans="1:11" ht="20.25">
      <c r="A187" s="715"/>
      <c r="B187" s="715"/>
      <c r="C187" s="715"/>
      <c r="D187" s="715"/>
      <c r="E187" s="715"/>
      <c r="F187" s="715"/>
      <c r="G187" s="715"/>
      <c r="H187" s="715"/>
      <c r="I187" s="715"/>
      <c r="J187" s="715"/>
      <c r="K187" s="715"/>
    </row>
    <row r="188" spans="1:11" ht="20.25">
      <c r="A188" s="715"/>
      <c r="B188" s="715"/>
      <c r="C188" s="715"/>
      <c r="D188" s="715"/>
      <c r="E188" s="715"/>
      <c r="F188" s="715"/>
      <c r="G188" s="715"/>
      <c r="H188" s="715"/>
      <c r="I188" s="715"/>
      <c r="J188" s="715"/>
      <c r="K188" s="715"/>
    </row>
    <row r="189" spans="1:11" ht="20.25">
      <c r="A189" s="715"/>
      <c r="B189" s="715"/>
      <c r="C189" s="715"/>
      <c r="D189" s="715"/>
      <c r="E189" s="715"/>
      <c r="F189" s="715"/>
      <c r="G189" s="715"/>
      <c r="H189" s="715"/>
      <c r="I189" s="715"/>
      <c r="J189" s="715"/>
      <c r="K189" s="715"/>
    </row>
    <row r="190" spans="1:11" ht="20.25">
      <c r="A190" s="715"/>
      <c r="B190" s="715"/>
      <c r="C190" s="715"/>
      <c r="D190" s="715"/>
      <c r="E190" s="715"/>
      <c r="F190" s="715"/>
      <c r="G190" s="715"/>
      <c r="H190" s="715"/>
      <c r="I190" s="715"/>
      <c r="J190" s="715"/>
      <c r="K190" s="715"/>
    </row>
    <row r="191" spans="1:11" ht="20.25">
      <c r="A191" s="715"/>
      <c r="B191" s="715"/>
      <c r="C191" s="715"/>
      <c r="D191" s="715"/>
      <c r="E191" s="715"/>
      <c r="F191" s="715"/>
      <c r="G191" s="715"/>
      <c r="H191" s="715"/>
      <c r="I191" s="715"/>
      <c r="J191" s="715"/>
      <c r="K191" s="715"/>
    </row>
    <row r="192" spans="1:11" ht="20.25">
      <c r="A192" s="715"/>
      <c r="B192" s="715"/>
      <c r="C192" s="715"/>
      <c r="D192" s="715"/>
      <c r="E192" s="715"/>
      <c r="F192" s="715"/>
      <c r="G192" s="715"/>
      <c r="H192" s="715"/>
      <c r="I192" s="715"/>
      <c r="J192" s="715"/>
      <c r="K192" s="715"/>
    </row>
    <row r="193" spans="1:11" ht="20.25">
      <c r="A193" s="715"/>
      <c r="B193" s="715"/>
      <c r="C193" s="715"/>
      <c r="D193" s="715"/>
      <c r="E193" s="715"/>
      <c r="F193" s="715"/>
      <c r="G193" s="715"/>
      <c r="H193" s="715"/>
      <c r="I193" s="715"/>
      <c r="J193" s="715"/>
      <c r="K193" s="715"/>
    </row>
    <row r="194" spans="1:11" ht="20.25">
      <c r="A194" s="715"/>
      <c r="B194" s="715"/>
      <c r="C194" s="715"/>
      <c r="D194" s="715"/>
      <c r="E194" s="715"/>
      <c r="F194" s="715"/>
      <c r="G194" s="715"/>
      <c r="H194" s="715"/>
      <c r="I194" s="715"/>
      <c r="J194" s="715"/>
      <c r="K194" s="715"/>
    </row>
    <row r="195" spans="1:11" ht="20.25">
      <c r="A195" s="715"/>
      <c r="B195" s="715"/>
      <c r="C195" s="715"/>
      <c r="D195" s="715"/>
      <c r="E195" s="715"/>
      <c r="F195" s="715"/>
      <c r="G195" s="715"/>
      <c r="H195" s="715"/>
      <c r="I195" s="715"/>
      <c r="J195" s="715"/>
      <c r="K195" s="715"/>
    </row>
    <row r="196" spans="1:11" ht="20.25">
      <c r="A196" s="715"/>
      <c r="B196" s="715"/>
      <c r="C196" s="715"/>
      <c r="D196" s="715"/>
      <c r="E196" s="715"/>
      <c r="F196" s="715"/>
      <c r="G196" s="715"/>
      <c r="H196" s="715"/>
      <c r="I196" s="715"/>
      <c r="J196" s="715"/>
      <c r="K196" s="715"/>
    </row>
    <row r="197" spans="1:11" ht="20.25">
      <c r="A197" s="715"/>
      <c r="B197" s="715"/>
      <c r="C197" s="715"/>
      <c r="D197" s="715"/>
      <c r="E197" s="715"/>
      <c r="F197" s="715"/>
      <c r="G197" s="715"/>
      <c r="H197" s="715"/>
      <c r="I197" s="715"/>
      <c r="J197" s="715"/>
      <c r="K197" s="715"/>
    </row>
    <row r="198" spans="1:11" ht="20.25">
      <c r="A198" s="715"/>
      <c r="B198" s="715"/>
      <c r="C198" s="715"/>
      <c r="D198" s="715"/>
      <c r="E198" s="715"/>
      <c r="F198" s="715"/>
      <c r="G198" s="715"/>
      <c r="H198" s="715"/>
      <c r="I198" s="715"/>
      <c r="J198" s="715"/>
      <c r="K198" s="715"/>
    </row>
    <row r="199" spans="1:11" ht="20.25">
      <c r="A199" s="715"/>
      <c r="B199" s="715"/>
      <c r="C199" s="715"/>
      <c r="D199" s="715"/>
      <c r="E199" s="715"/>
      <c r="F199" s="715"/>
      <c r="G199" s="715"/>
      <c r="H199" s="715"/>
      <c r="I199" s="715"/>
      <c r="J199" s="715"/>
      <c r="K199" s="715"/>
    </row>
    <row r="200" spans="1:11" ht="20.25">
      <c r="A200" s="715"/>
      <c r="B200" s="715"/>
      <c r="C200" s="715"/>
      <c r="D200" s="715"/>
      <c r="E200" s="715"/>
      <c r="F200" s="715"/>
      <c r="G200" s="715"/>
      <c r="H200" s="715"/>
      <c r="I200" s="715"/>
      <c r="J200" s="715"/>
      <c r="K200" s="715"/>
    </row>
    <row r="201" spans="1:11" ht="20.25">
      <c r="A201" s="715"/>
      <c r="B201" s="715"/>
      <c r="C201" s="715"/>
      <c r="D201" s="715"/>
      <c r="E201" s="715"/>
      <c r="F201" s="715"/>
      <c r="G201" s="715"/>
      <c r="H201" s="715"/>
      <c r="I201" s="715"/>
      <c r="J201" s="715"/>
      <c r="K201" s="715"/>
    </row>
    <row r="202" spans="1:11" ht="20.25">
      <c r="A202" s="715"/>
      <c r="B202" s="715"/>
      <c r="C202" s="715"/>
      <c r="D202" s="715"/>
      <c r="E202" s="715"/>
      <c r="F202" s="715"/>
      <c r="G202" s="715"/>
      <c r="H202" s="715"/>
      <c r="I202" s="715"/>
      <c r="J202" s="715"/>
      <c r="K202" s="715"/>
    </row>
    <row r="203" spans="1:11" ht="20.25">
      <c r="A203" s="715"/>
      <c r="B203" s="715"/>
      <c r="C203" s="715"/>
      <c r="D203" s="715"/>
      <c r="E203" s="715"/>
      <c r="F203" s="715"/>
      <c r="G203" s="715"/>
      <c r="H203" s="715"/>
      <c r="I203" s="715"/>
      <c r="J203" s="715"/>
      <c r="K203" s="715"/>
    </row>
    <row r="204" spans="1:11" ht="20.25">
      <c r="A204" s="715"/>
      <c r="B204" s="715"/>
      <c r="C204" s="715"/>
      <c r="D204" s="715"/>
      <c r="E204" s="715"/>
      <c r="F204" s="715"/>
      <c r="G204" s="715"/>
      <c r="H204" s="715"/>
      <c r="I204" s="715"/>
      <c r="J204" s="715"/>
      <c r="K204" s="715"/>
    </row>
    <row r="205" spans="1:11" ht="20.25">
      <c r="A205" s="715"/>
      <c r="B205" s="715"/>
      <c r="C205" s="715"/>
      <c r="D205" s="715"/>
      <c r="E205" s="715"/>
      <c r="F205" s="715"/>
      <c r="G205" s="715"/>
      <c r="H205" s="715"/>
      <c r="I205" s="715"/>
      <c r="J205" s="715"/>
      <c r="K205" s="715"/>
    </row>
    <row r="206" spans="1:11" ht="20.25">
      <c r="A206" s="715"/>
      <c r="B206" s="715"/>
      <c r="C206" s="715"/>
      <c r="D206" s="715"/>
      <c r="E206" s="715"/>
      <c r="F206" s="715"/>
      <c r="G206" s="715"/>
      <c r="H206" s="715"/>
      <c r="I206" s="715"/>
      <c r="J206" s="715"/>
      <c r="K206" s="715"/>
    </row>
    <row r="207" spans="1:11" ht="20.25">
      <c r="A207" s="715"/>
      <c r="B207" s="715"/>
      <c r="C207" s="715"/>
      <c r="D207" s="715"/>
      <c r="E207" s="715"/>
      <c r="F207" s="715"/>
      <c r="G207" s="715"/>
      <c r="H207" s="715"/>
      <c r="I207" s="715"/>
      <c r="J207" s="715"/>
      <c r="K207" s="715"/>
    </row>
    <row r="208" spans="1:11" ht="20.25">
      <c r="A208" s="715"/>
      <c r="B208" s="715"/>
      <c r="C208" s="715"/>
      <c r="D208" s="715"/>
      <c r="E208" s="715"/>
      <c r="F208" s="715"/>
      <c r="G208" s="715"/>
      <c r="H208" s="715"/>
      <c r="I208" s="715"/>
      <c r="J208" s="715"/>
      <c r="K208" s="715"/>
    </row>
    <row r="209" spans="1:11" ht="20.25">
      <c r="A209" s="715"/>
      <c r="B209" s="715"/>
      <c r="C209" s="715"/>
      <c r="D209" s="715"/>
      <c r="E209" s="715"/>
      <c r="F209" s="715"/>
      <c r="G209" s="715"/>
      <c r="H209" s="715"/>
      <c r="I209" s="715"/>
      <c r="J209" s="715"/>
      <c r="K209" s="715"/>
    </row>
    <row r="210" spans="1:11" ht="20.25">
      <c r="A210" s="715"/>
      <c r="B210" s="715"/>
      <c r="C210" s="715"/>
      <c r="D210" s="715"/>
      <c r="E210" s="715"/>
      <c r="F210" s="715"/>
      <c r="G210" s="715"/>
      <c r="H210" s="715"/>
      <c r="I210" s="715"/>
      <c r="J210" s="715"/>
      <c r="K210" s="715"/>
    </row>
    <row r="211" spans="1:11" ht="20.25">
      <c r="A211" s="715"/>
      <c r="B211" s="715"/>
      <c r="C211" s="715"/>
      <c r="D211" s="715"/>
      <c r="E211" s="715"/>
      <c r="F211" s="715"/>
      <c r="G211" s="715"/>
      <c r="H211" s="715"/>
      <c r="I211" s="715"/>
      <c r="J211" s="715"/>
      <c r="K211" s="715"/>
    </row>
    <row r="212" spans="1:11" ht="20.25">
      <c r="A212" s="715"/>
      <c r="B212" s="715"/>
      <c r="C212" s="715"/>
      <c r="D212" s="715"/>
      <c r="E212" s="715"/>
      <c r="F212" s="715"/>
      <c r="G212" s="715"/>
      <c r="H212" s="715"/>
      <c r="I212" s="715"/>
      <c r="J212" s="715"/>
      <c r="K212" s="715"/>
    </row>
    <row r="213" spans="1:11" ht="20.25">
      <c r="A213" s="715"/>
      <c r="B213" s="715"/>
      <c r="C213" s="715"/>
      <c r="D213" s="715"/>
      <c r="E213" s="715"/>
      <c r="F213" s="715"/>
      <c r="G213" s="715"/>
      <c r="H213" s="715"/>
      <c r="I213" s="715"/>
      <c r="J213" s="715"/>
      <c r="K213" s="715"/>
    </row>
    <row r="214" spans="1:11" ht="20.25">
      <c r="A214" s="715"/>
      <c r="B214" s="715"/>
      <c r="C214" s="715"/>
      <c r="D214" s="715"/>
      <c r="E214" s="715"/>
      <c r="F214" s="715"/>
      <c r="G214" s="715"/>
      <c r="H214" s="715"/>
      <c r="I214" s="715"/>
      <c r="J214" s="715"/>
      <c r="K214" s="715"/>
    </row>
    <row r="215" spans="1:11" ht="20.25">
      <c r="A215" s="715"/>
      <c r="B215" s="715"/>
      <c r="C215" s="715"/>
      <c r="D215" s="715"/>
      <c r="E215" s="715"/>
      <c r="F215" s="715"/>
      <c r="G215" s="715"/>
      <c r="H215" s="715"/>
      <c r="I215" s="715"/>
      <c r="J215" s="715"/>
      <c r="K215" s="715"/>
    </row>
    <row r="216" spans="1:11" ht="20.25">
      <c r="A216" s="715"/>
      <c r="B216" s="715"/>
      <c r="C216" s="715"/>
      <c r="D216" s="715"/>
      <c r="E216" s="715"/>
      <c r="F216" s="715"/>
      <c r="G216" s="715"/>
      <c r="H216" s="715"/>
      <c r="I216" s="715"/>
      <c r="J216" s="715"/>
      <c r="K216" s="715"/>
    </row>
    <row r="217" spans="1:11" ht="20.25">
      <c r="A217" s="715"/>
      <c r="B217" s="715"/>
      <c r="C217" s="715"/>
      <c r="D217" s="715"/>
      <c r="E217" s="715"/>
      <c r="F217" s="715"/>
      <c r="G217" s="715"/>
      <c r="H217" s="715"/>
      <c r="I217" s="715"/>
      <c r="J217" s="715"/>
      <c r="K217" s="715"/>
    </row>
    <row r="218" spans="1:11" ht="20.25">
      <c r="A218" s="715"/>
      <c r="B218" s="715"/>
      <c r="C218" s="715"/>
      <c r="D218" s="715"/>
      <c r="E218" s="715"/>
      <c r="F218" s="715"/>
      <c r="G218" s="715"/>
      <c r="H218" s="715"/>
      <c r="I218" s="715"/>
      <c r="J218" s="715"/>
      <c r="K218" s="715"/>
    </row>
    <row r="219" spans="1:11" ht="20.25">
      <c r="A219" s="715"/>
      <c r="B219" s="715"/>
      <c r="C219" s="715"/>
      <c r="D219" s="715"/>
      <c r="E219" s="715"/>
      <c r="F219" s="715"/>
      <c r="G219" s="715"/>
      <c r="H219" s="715"/>
      <c r="I219" s="715"/>
      <c r="J219" s="715"/>
      <c r="K219" s="715"/>
    </row>
    <row r="220" spans="1:11" ht="20.25">
      <c r="A220" s="715"/>
      <c r="B220" s="715"/>
      <c r="C220" s="715"/>
      <c r="D220" s="715"/>
      <c r="E220" s="715"/>
      <c r="F220" s="715"/>
      <c r="G220" s="715"/>
      <c r="H220" s="715"/>
      <c r="I220" s="715"/>
      <c r="J220" s="715"/>
      <c r="K220" s="715"/>
    </row>
    <row r="221" spans="1:11" ht="20.25">
      <c r="A221" s="715"/>
      <c r="B221" s="715"/>
      <c r="C221" s="715"/>
      <c r="D221" s="715"/>
      <c r="E221" s="715"/>
      <c r="F221" s="715"/>
      <c r="G221" s="715"/>
      <c r="H221" s="715"/>
      <c r="I221" s="715"/>
      <c r="J221" s="715"/>
      <c r="K221" s="715"/>
    </row>
    <row r="222" spans="1:11" ht="20.25">
      <c r="A222" s="715"/>
      <c r="B222" s="715"/>
      <c r="C222" s="715"/>
      <c r="D222" s="715"/>
      <c r="E222" s="715"/>
      <c r="F222" s="715"/>
      <c r="G222" s="715"/>
      <c r="H222" s="715"/>
      <c r="I222" s="715"/>
      <c r="J222" s="715"/>
      <c r="K222" s="715"/>
    </row>
    <row r="223" spans="1:11" ht="20.25">
      <c r="A223" s="715"/>
      <c r="B223" s="715"/>
      <c r="C223" s="715"/>
      <c r="D223" s="715"/>
      <c r="E223" s="715"/>
      <c r="F223" s="715"/>
      <c r="G223" s="715"/>
      <c r="H223" s="715"/>
      <c r="I223" s="715"/>
      <c r="J223" s="715"/>
      <c r="K223" s="715"/>
    </row>
    <row r="224" spans="1:11" ht="20.25">
      <c r="A224" s="715"/>
      <c r="B224" s="715"/>
      <c r="C224" s="715"/>
      <c r="D224" s="715"/>
      <c r="E224" s="715"/>
      <c r="F224" s="715"/>
      <c r="G224" s="715"/>
      <c r="H224" s="715"/>
      <c r="I224" s="715"/>
      <c r="J224" s="715"/>
      <c r="K224" s="715"/>
    </row>
    <row r="225" spans="1:11" ht="20.25">
      <c r="A225" s="715"/>
      <c r="B225" s="715"/>
      <c r="C225" s="715"/>
      <c r="D225" s="715"/>
      <c r="E225" s="715"/>
      <c r="F225" s="715"/>
      <c r="G225" s="715"/>
      <c r="H225" s="715"/>
      <c r="I225" s="715"/>
      <c r="J225" s="715"/>
      <c r="K225" s="715"/>
    </row>
    <row r="226" spans="1:11" ht="20.25">
      <c r="A226" s="715"/>
      <c r="B226" s="715"/>
      <c r="C226" s="715"/>
      <c r="D226" s="715"/>
      <c r="E226" s="715"/>
      <c r="F226" s="715"/>
      <c r="G226" s="715"/>
      <c r="H226" s="715"/>
      <c r="I226" s="715"/>
      <c r="J226" s="715"/>
      <c r="K226" s="715"/>
    </row>
    <row r="227" spans="1:11" ht="20.25">
      <c r="A227" s="715"/>
      <c r="B227" s="715"/>
      <c r="C227" s="715"/>
      <c r="D227" s="715"/>
      <c r="E227" s="715"/>
      <c r="F227" s="715"/>
      <c r="G227" s="715"/>
      <c r="H227" s="715"/>
      <c r="I227" s="715"/>
      <c r="J227" s="715"/>
      <c r="K227" s="715"/>
    </row>
    <row r="228" spans="1:11" ht="20.25">
      <c r="A228" s="715"/>
      <c r="B228" s="715"/>
      <c r="C228" s="715"/>
      <c r="D228" s="715"/>
      <c r="E228" s="715"/>
      <c r="F228" s="715"/>
      <c r="G228" s="715"/>
      <c r="H228" s="715"/>
      <c r="I228" s="715"/>
      <c r="J228" s="715"/>
      <c r="K228" s="715"/>
    </row>
    <row r="229" spans="1:11" ht="20.25">
      <c r="A229" s="715"/>
      <c r="B229" s="715"/>
      <c r="C229" s="715"/>
      <c r="D229" s="715"/>
      <c r="E229" s="715"/>
      <c r="F229" s="715"/>
      <c r="G229" s="715"/>
      <c r="H229" s="715"/>
      <c r="I229" s="715"/>
      <c r="J229" s="715"/>
      <c r="K229" s="715"/>
    </row>
    <row r="230" spans="1:11" ht="20.25">
      <c r="A230" s="715"/>
      <c r="B230" s="715"/>
      <c r="C230" s="715"/>
      <c r="D230" s="715"/>
      <c r="E230" s="715"/>
      <c r="F230" s="715"/>
      <c r="G230" s="715"/>
      <c r="H230" s="715"/>
      <c r="I230" s="715"/>
      <c r="J230" s="715"/>
      <c r="K230" s="715"/>
    </row>
    <row r="231" spans="1:11" ht="20.25">
      <c r="A231" s="715"/>
      <c r="B231" s="715"/>
      <c r="C231" s="715"/>
      <c r="D231" s="715"/>
      <c r="E231" s="715"/>
      <c r="F231" s="715"/>
      <c r="G231" s="715"/>
      <c r="H231" s="715"/>
      <c r="I231" s="715"/>
      <c r="J231" s="715"/>
      <c r="K231" s="715"/>
    </row>
    <row r="232" spans="1:11" ht="20.25">
      <c r="A232" s="715"/>
      <c r="B232" s="715"/>
      <c r="C232" s="715"/>
      <c r="D232" s="715"/>
      <c r="E232" s="715"/>
      <c r="F232" s="715"/>
      <c r="G232" s="715"/>
      <c r="H232" s="715"/>
      <c r="I232" s="715"/>
      <c r="J232" s="715"/>
      <c r="K232" s="715"/>
    </row>
    <row r="233" spans="1:11" ht="20.25">
      <c r="A233" s="715"/>
      <c r="B233" s="715"/>
      <c r="C233" s="715"/>
      <c r="D233" s="715"/>
      <c r="E233" s="715"/>
      <c r="F233" s="715"/>
      <c r="G233" s="715"/>
      <c r="H233" s="715"/>
      <c r="I233" s="715"/>
      <c r="J233" s="715"/>
      <c r="K233" s="715"/>
    </row>
    <row r="234" spans="1:11" ht="20.25">
      <c r="A234" s="715"/>
      <c r="B234" s="715"/>
      <c r="C234" s="715"/>
      <c r="D234" s="715"/>
      <c r="E234" s="715"/>
      <c r="F234" s="715"/>
      <c r="G234" s="715"/>
      <c r="H234" s="715"/>
      <c r="I234" s="715"/>
      <c r="J234" s="715"/>
      <c r="K234" s="715"/>
    </row>
    <row r="235" spans="1:11" ht="20.25">
      <c r="A235" s="715"/>
      <c r="B235" s="715"/>
      <c r="C235" s="715"/>
      <c r="D235" s="715"/>
      <c r="E235" s="715"/>
      <c r="F235" s="715"/>
      <c r="G235" s="715"/>
      <c r="H235" s="715"/>
      <c r="I235" s="715"/>
      <c r="J235" s="715"/>
      <c r="K235" s="715"/>
    </row>
    <row r="236" spans="1:11" ht="20.25">
      <c r="A236" s="715"/>
      <c r="B236" s="715"/>
      <c r="C236" s="715"/>
      <c r="D236" s="715"/>
      <c r="E236" s="715"/>
      <c r="F236" s="715"/>
      <c r="G236" s="715"/>
      <c r="H236" s="715"/>
      <c r="I236" s="715"/>
      <c r="J236" s="715"/>
      <c r="K236" s="715"/>
    </row>
    <row r="237" spans="1:11" ht="20.25">
      <c r="A237" s="715"/>
      <c r="B237" s="715"/>
      <c r="C237" s="715"/>
      <c r="D237" s="715"/>
      <c r="E237" s="715"/>
      <c r="F237" s="715"/>
      <c r="G237" s="715"/>
      <c r="H237" s="715"/>
      <c r="I237" s="715"/>
      <c r="J237" s="715"/>
      <c r="K237" s="715"/>
    </row>
    <row r="238" spans="1:11" ht="20.25">
      <c r="A238" s="715"/>
      <c r="B238" s="715"/>
      <c r="C238" s="715"/>
      <c r="D238" s="715"/>
      <c r="E238" s="715"/>
      <c r="F238" s="715"/>
      <c r="G238" s="715"/>
      <c r="H238" s="715"/>
      <c r="I238" s="715"/>
      <c r="J238" s="715"/>
      <c r="K238" s="715"/>
    </row>
    <row r="239" spans="1:11" ht="20.25">
      <c r="A239" s="715"/>
      <c r="B239" s="715"/>
      <c r="C239" s="715"/>
      <c r="D239" s="715"/>
      <c r="E239" s="715"/>
      <c r="F239" s="715"/>
      <c r="G239" s="715"/>
      <c r="H239" s="715"/>
      <c r="I239" s="715"/>
      <c r="J239" s="715"/>
      <c r="K239" s="715"/>
    </row>
    <row r="240" spans="1:11" ht="20.25">
      <c r="A240" s="715"/>
      <c r="B240" s="715"/>
      <c r="C240" s="715"/>
      <c r="D240" s="715"/>
      <c r="E240" s="715"/>
      <c r="F240" s="715"/>
      <c r="G240" s="715"/>
      <c r="H240" s="715"/>
      <c r="I240" s="715"/>
      <c r="J240" s="715"/>
      <c r="K240" s="715"/>
    </row>
    <row r="241" spans="1:11" ht="20.25">
      <c r="A241" s="715"/>
      <c r="B241" s="715"/>
      <c r="C241" s="715"/>
      <c r="D241" s="715"/>
      <c r="E241" s="715"/>
      <c r="F241" s="715"/>
      <c r="G241" s="715"/>
      <c r="H241" s="715"/>
      <c r="I241" s="715"/>
      <c r="J241" s="715"/>
      <c r="K241" s="715"/>
    </row>
    <row r="242" spans="1:11" ht="20.25">
      <c r="A242" s="715"/>
      <c r="B242" s="715"/>
      <c r="C242" s="715"/>
      <c r="D242" s="715"/>
      <c r="E242" s="715"/>
      <c r="F242" s="715"/>
      <c r="G242" s="715"/>
      <c r="H242" s="715"/>
      <c r="I242" s="715"/>
      <c r="J242" s="715"/>
      <c r="K242" s="715"/>
    </row>
    <row r="243" spans="1:11" ht="20.25">
      <c r="A243" s="715"/>
      <c r="B243" s="715"/>
      <c r="C243" s="715"/>
      <c r="D243" s="715"/>
      <c r="E243" s="715"/>
      <c r="F243" s="715"/>
      <c r="G243" s="715"/>
      <c r="H243" s="715"/>
      <c r="I243" s="715"/>
      <c r="J243" s="715"/>
      <c r="K243" s="715"/>
    </row>
    <row r="244" spans="1:11" ht="20.25">
      <c r="A244" s="715"/>
      <c r="B244" s="715"/>
      <c r="C244" s="715"/>
      <c r="D244" s="715"/>
      <c r="E244" s="715"/>
      <c r="F244" s="715"/>
      <c r="G244" s="715"/>
      <c r="H244" s="715"/>
      <c r="I244" s="715"/>
      <c r="J244" s="715"/>
      <c r="K244" s="715"/>
    </row>
    <row r="245" spans="1:11" ht="20.25">
      <c r="A245" s="715"/>
      <c r="B245" s="715"/>
      <c r="C245" s="715"/>
      <c r="D245" s="715"/>
      <c r="E245" s="715"/>
      <c r="F245" s="715"/>
      <c r="G245" s="715"/>
      <c r="H245" s="715"/>
      <c r="I245" s="715"/>
      <c r="J245" s="715"/>
      <c r="K245" s="715"/>
    </row>
    <row r="246" spans="1:11" ht="20.25">
      <c r="A246" s="715"/>
      <c r="B246" s="715"/>
      <c r="C246" s="715"/>
      <c r="D246" s="715"/>
      <c r="E246" s="715"/>
      <c r="F246" s="715"/>
      <c r="G246" s="715"/>
      <c r="H246" s="715"/>
      <c r="I246" s="715"/>
      <c r="J246" s="715"/>
      <c r="K246" s="715"/>
    </row>
    <row r="247" spans="1:11" ht="20.25">
      <c r="A247" s="715"/>
      <c r="B247" s="715"/>
      <c r="C247" s="715"/>
      <c r="D247" s="715"/>
      <c r="E247" s="715"/>
      <c r="F247" s="715"/>
      <c r="G247" s="715"/>
      <c r="H247" s="715"/>
      <c r="I247" s="715"/>
      <c r="J247" s="715"/>
      <c r="K247" s="715"/>
    </row>
    <row r="248" spans="1:11" ht="20.25">
      <c r="A248" s="715"/>
      <c r="B248" s="715"/>
      <c r="C248" s="715"/>
      <c r="D248" s="715"/>
      <c r="E248" s="715"/>
      <c r="F248" s="715"/>
      <c r="G248" s="715"/>
      <c r="H248" s="715"/>
      <c r="I248" s="715"/>
      <c r="J248" s="715"/>
      <c r="K248" s="715"/>
    </row>
    <row r="249" spans="1:11" ht="20.25">
      <c r="A249" s="715"/>
      <c r="B249" s="715"/>
      <c r="C249" s="715"/>
      <c r="D249" s="715"/>
      <c r="E249" s="715"/>
      <c r="F249" s="715"/>
      <c r="G249" s="715"/>
      <c r="H249" s="715"/>
      <c r="I249" s="715"/>
      <c r="J249" s="715"/>
      <c r="K249" s="715"/>
    </row>
    <row r="250" spans="1:11" ht="20.25">
      <c r="A250" s="715"/>
      <c r="B250" s="715"/>
      <c r="C250" s="715"/>
      <c r="D250" s="715"/>
      <c r="E250" s="715"/>
      <c r="F250" s="715"/>
      <c r="G250" s="715"/>
      <c r="H250" s="715"/>
      <c r="I250" s="715"/>
      <c r="J250" s="715"/>
      <c r="K250" s="715"/>
    </row>
    <row r="251" spans="1:11" ht="20.25">
      <c r="A251" s="715"/>
      <c r="B251" s="715"/>
      <c r="C251" s="715"/>
      <c r="D251" s="715"/>
      <c r="E251" s="715"/>
      <c r="F251" s="715"/>
      <c r="G251" s="715"/>
      <c r="H251" s="715"/>
      <c r="I251" s="715"/>
      <c r="J251" s="715"/>
      <c r="K251" s="715"/>
    </row>
    <row r="252" spans="1:11" ht="20.25">
      <c r="A252" s="715"/>
      <c r="B252" s="715"/>
      <c r="C252" s="715"/>
      <c r="D252" s="715"/>
      <c r="E252" s="715"/>
      <c r="F252" s="715"/>
      <c r="G252" s="715"/>
      <c r="H252" s="715"/>
      <c r="I252" s="715"/>
      <c r="J252" s="715"/>
      <c r="K252" s="715"/>
    </row>
    <row r="253" spans="1:11" ht="20.25">
      <c r="A253" s="715"/>
      <c r="B253" s="715"/>
      <c r="C253" s="715"/>
      <c r="D253" s="715"/>
      <c r="E253" s="715"/>
      <c r="F253" s="715"/>
      <c r="G253" s="715"/>
      <c r="H253" s="715"/>
      <c r="I253" s="715"/>
      <c r="J253" s="715"/>
      <c r="K253" s="715"/>
    </row>
    <row r="254" spans="1:11" ht="20.25">
      <c r="A254" s="715"/>
      <c r="B254" s="715"/>
      <c r="C254" s="715"/>
      <c r="D254" s="715"/>
      <c r="E254" s="715"/>
      <c r="F254" s="715"/>
      <c r="G254" s="715"/>
      <c r="H254" s="715"/>
      <c r="I254" s="715"/>
      <c r="J254" s="715"/>
      <c r="K254" s="715"/>
    </row>
    <row r="255" spans="1:11" ht="20.25">
      <c r="A255" s="715"/>
      <c r="B255" s="715"/>
      <c r="C255" s="715"/>
      <c r="D255" s="715"/>
      <c r="E255" s="715"/>
      <c r="F255" s="715"/>
      <c r="G255" s="715"/>
      <c r="H255" s="715"/>
      <c r="I255" s="715"/>
      <c r="J255" s="715"/>
      <c r="K255" s="715"/>
    </row>
    <row r="256" spans="1:11" ht="20.25">
      <c r="A256" s="715"/>
      <c r="B256" s="715"/>
      <c r="C256" s="715"/>
      <c r="D256" s="715"/>
      <c r="E256" s="715"/>
      <c r="F256" s="715"/>
      <c r="G256" s="715"/>
      <c r="H256" s="715"/>
      <c r="I256" s="715"/>
      <c r="J256" s="715"/>
      <c r="K256" s="715"/>
    </row>
    <row r="257" spans="1:11" ht="20.25">
      <c r="A257" s="715"/>
      <c r="B257" s="715"/>
      <c r="C257" s="715"/>
      <c r="D257" s="715"/>
      <c r="E257" s="715"/>
      <c r="F257" s="715"/>
      <c r="G257" s="715"/>
      <c r="H257" s="715"/>
      <c r="I257" s="715"/>
      <c r="J257" s="715"/>
      <c r="K257" s="715"/>
    </row>
    <row r="258" spans="1:11" ht="20.25">
      <c r="A258" s="715"/>
      <c r="B258" s="715"/>
      <c r="C258" s="715"/>
      <c r="D258" s="715"/>
      <c r="E258" s="715"/>
      <c r="F258" s="715"/>
      <c r="G258" s="715"/>
      <c r="H258" s="715"/>
      <c r="I258" s="715"/>
      <c r="J258" s="715"/>
      <c r="K258" s="715"/>
    </row>
    <row r="259" spans="1:11" ht="20.25">
      <c r="A259" s="715"/>
      <c r="B259" s="715"/>
      <c r="C259" s="715"/>
      <c r="D259" s="715"/>
      <c r="E259" s="715"/>
      <c r="F259" s="715"/>
      <c r="G259" s="715"/>
      <c r="H259" s="715"/>
      <c r="I259" s="715"/>
      <c r="J259" s="715"/>
      <c r="K259" s="715"/>
    </row>
    <row r="260" spans="1:11" ht="20.25">
      <c r="A260" s="715"/>
      <c r="B260" s="715"/>
      <c r="C260" s="715"/>
      <c r="D260" s="715"/>
      <c r="E260" s="715"/>
      <c r="F260" s="715"/>
      <c r="G260" s="715"/>
      <c r="H260" s="715"/>
      <c r="I260" s="715"/>
      <c r="J260" s="715"/>
      <c r="K260" s="715"/>
    </row>
    <row r="261" spans="1:11" ht="20.25">
      <c r="A261" s="715"/>
      <c r="B261" s="715"/>
      <c r="C261" s="715"/>
      <c r="D261" s="715"/>
      <c r="E261" s="715"/>
      <c r="F261" s="715"/>
      <c r="G261" s="715"/>
      <c r="H261" s="715"/>
      <c r="I261" s="715"/>
      <c r="J261" s="715"/>
      <c r="K261" s="715"/>
    </row>
    <row r="262" spans="1:11" ht="20.25">
      <c r="A262" s="715"/>
      <c r="B262" s="715"/>
      <c r="C262" s="715"/>
      <c r="D262" s="715"/>
      <c r="E262" s="715"/>
      <c r="F262" s="715"/>
      <c r="G262" s="715"/>
      <c r="H262" s="715"/>
      <c r="I262" s="715"/>
      <c r="J262" s="715"/>
      <c r="K262" s="715"/>
    </row>
    <row r="263" spans="1:11" ht="20.25">
      <c r="A263" s="715"/>
      <c r="B263" s="715"/>
      <c r="C263" s="715"/>
      <c r="D263" s="715"/>
      <c r="E263" s="715"/>
      <c r="F263" s="715"/>
      <c r="G263" s="715"/>
      <c r="H263" s="715"/>
      <c r="I263" s="715"/>
      <c r="J263" s="715"/>
      <c r="K263" s="715"/>
    </row>
    <row r="264" spans="1:11" ht="20.25">
      <c r="A264" s="715"/>
      <c r="B264" s="715"/>
      <c r="C264" s="715"/>
      <c r="D264" s="715"/>
      <c r="E264" s="715"/>
      <c r="F264" s="715"/>
      <c r="G264" s="715"/>
      <c r="H264" s="715"/>
      <c r="I264" s="715"/>
      <c r="J264" s="715"/>
      <c r="K264" s="715"/>
    </row>
    <row r="265" spans="1:11" ht="20.25">
      <c r="A265" s="715"/>
      <c r="B265" s="715"/>
      <c r="C265" s="715"/>
      <c r="D265" s="715"/>
      <c r="E265" s="715"/>
      <c r="F265" s="715"/>
      <c r="G265" s="715"/>
      <c r="H265" s="715"/>
      <c r="I265" s="715"/>
      <c r="J265" s="715"/>
      <c r="K265" s="715"/>
    </row>
    <row r="266" spans="1:11" ht="20.25">
      <c r="A266" s="715"/>
      <c r="B266" s="715"/>
      <c r="C266" s="715"/>
      <c r="D266" s="715"/>
      <c r="E266" s="715"/>
      <c r="F266" s="715"/>
      <c r="G266" s="715"/>
      <c r="H266" s="715"/>
      <c r="I266" s="715"/>
      <c r="J266" s="715"/>
      <c r="K266" s="715"/>
    </row>
    <row r="267" spans="1:11" ht="20.25">
      <c r="A267" s="715"/>
      <c r="B267" s="715"/>
      <c r="C267" s="715"/>
      <c r="D267" s="715"/>
      <c r="E267" s="715"/>
      <c r="F267" s="715"/>
      <c r="G267" s="715"/>
      <c r="H267" s="715"/>
      <c r="I267" s="715"/>
      <c r="J267" s="715"/>
      <c r="K267" s="715"/>
    </row>
    <row r="268" spans="1:11" ht="20.25">
      <c r="A268" s="715"/>
      <c r="B268" s="715"/>
      <c r="C268" s="715"/>
      <c r="D268" s="715"/>
      <c r="E268" s="715"/>
      <c r="F268" s="715"/>
      <c r="G268" s="715"/>
      <c r="H268" s="715"/>
      <c r="I268" s="715"/>
      <c r="J268" s="715"/>
      <c r="K268" s="715"/>
    </row>
    <row r="269" spans="1:11" ht="20.25">
      <c r="A269" s="715"/>
      <c r="B269" s="715"/>
      <c r="C269" s="715"/>
      <c r="D269" s="715"/>
      <c r="E269" s="715"/>
      <c r="F269" s="715"/>
      <c r="G269" s="715"/>
      <c r="H269" s="715"/>
      <c r="I269" s="715"/>
      <c r="J269" s="715"/>
      <c r="K269" s="715"/>
    </row>
    <row r="270" spans="1:11" ht="20.25">
      <c r="A270" s="715"/>
      <c r="B270" s="715"/>
      <c r="C270" s="715"/>
      <c r="D270" s="715"/>
      <c r="E270" s="715"/>
      <c r="F270" s="715"/>
      <c r="G270" s="715"/>
      <c r="H270" s="715"/>
      <c r="I270" s="715"/>
      <c r="J270" s="715"/>
      <c r="K270" s="715"/>
    </row>
    <row r="271" spans="1:11" ht="20.25">
      <c r="A271" s="715"/>
      <c r="B271" s="715"/>
      <c r="C271" s="715"/>
      <c r="D271" s="715"/>
      <c r="E271" s="715"/>
      <c r="F271" s="715"/>
      <c r="G271" s="715"/>
      <c r="H271" s="715"/>
      <c r="I271" s="715"/>
      <c r="J271" s="715"/>
      <c r="K271" s="715"/>
    </row>
    <row r="272" spans="1:11" ht="20.25">
      <c r="A272" s="715"/>
      <c r="B272" s="715"/>
      <c r="C272" s="715"/>
      <c r="D272" s="715"/>
      <c r="E272" s="715"/>
      <c r="F272" s="715"/>
      <c r="G272" s="715"/>
      <c r="H272" s="715"/>
      <c r="I272" s="715"/>
      <c r="J272" s="715"/>
      <c r="K272" s="715"/>
    </row>
    <row r="273" spans="1:11" ht="20.25">
      <c r="A273" s="715"/>
      <c r="B273" s="715"/>
      <c r="C273" s="715"/>
      <c r="D273" s="715"/>
      <c r="E273" s="715"/>
      <c r="F273" s="715"/>
      <c r="G273" s="715"/>
      <c r="H273" s="715"/>
      <c r="I273" s="715"/>
      <c r="J273" s="715"/>
      <c r="K273" s="715"/>
    </row>
    <row r="274" spans="1:11" ht="20.25">
      <c r="A274" s="715"/>
      <c r="B274" s="715"/>
      <c r="C274" s="715"/>
      <c r="D274" s="715"/>
      <c r="E274" s="715"/>
      <c r="F274" s="715"/>
      <c r="G274" s="715"/>
      <c r="H274" s="715"/>
      <c r="I274" s="715"/>
      <c r="J274" s="715"/>
      <c r="K274" s="715"/>
    </row>
    <row r="275" spans="1:11" ht="20.25">
      <c r="A275" s="715"/>
      <c r="B275" s="715"/>
      <c r="C275" s="715"/>
      <c r="D275" s="715"/>
      <c r="E275" s="715"/>
      <c r="F275" s="715"/>
      <c r="G275" s="715"/>
      <c r="H275" s="715"/>
      <c r="I275" s="715"/>
      <c r="J275" s="715"/>
      <c r="K275" s="715"/>
    </row>
    <row r="276" spans="1:11" ht="20.25">
      <c r="A276" s="715"/>
      <c r="B276" s="715"/>
      <c r="C276" s="715"/>
      <c r="D276" s="715"/>
      <c r="E276" s="715"/>
      <c r="F276" s="715"/>
      <c r="G276" s="715"/>
      <c r="H276" s="715"/>
      <c r="I276" s="715"/>
      <c r="J276" s="715"/>
      <c r="K276" s="715"/>
    </row>
    <row r="277" spans="1:11" ht="20.25">
      <c r="A277" s="715"/>
      <c r="B277" s="715"/>
      <c r="C277" s="715"/>
      <c r="D277" s="715"/>
      <c r="E277" s="715"/>
      <c r="F277" s="715"/>
      <c r="G277" s="715"/>
      <c r="H277" s="715"/>
      <c r="I277" s="715"/>
      <c r="J277" s="715"/>
      <c r="K277" s="715"/>
    </row>
    <row r="278" spans="1:11" ht="20.25">
      <c r="A278" s="715"/>
      <c r="B278" s="715"/>
      <c r="C278" s="715"/>
      <c r="D278" s="715"/>
      <c r="E278" s="715"/>
      <c r="F278" s="715"/>
      <c r="G278" s="715"/>
      <c r="H278" s="715"/>
      <c r="I278" s="715"/>
      <c r="J278" s="715"/>
      <c r="K278" s="715"/>
    </row>
    <row r="279" spans="1:11" ht="20.25">
      <c r="A279" s="715"/>
      <c r="B279" s="715"/>
      <c r="C279" s="715"/>
      <c r="D279" s="715"/>
      <c r="E279" s="715"/>
      <c r="F279" s="715"/>
      <c r="G279" s="715"/>
      <c r="H279" s="715"/>
      <c r="I279" s="715"/>
      <c r="J279" s="715"/>
      <c r="K279" s="715"/>
    </row>
    <row r="280" spans="1:11" ht="20.25">
      <c r="A280" s="715"/>
      <c r="B280" s="715"/>
      <c r="C280" s="715"/>
      <c r="D280" s="715"/>
      <c r="E280" s="715"/>
      <c r="F280" s="715"/>
      <c r="G280" s="715"/>
      <c r="H280" s="715"/>
      <c r="I280" s="715"/>
      <c r="J280" s="715"/>
      <c r="K280" s="715"/>
    </row>
    <row r="281" spans="1:11" ht="20.25">
      <c r="A281" s="715"/>
      <c r="B281" s="715"/>
      <c r="C281" s="715"/>
      <c r="D281" s="715"/>
      <c r="E281" s="715"/>
      <c r="F281" s="715"/>
      <c r="G281" s="715"/>
      <c r="H281" s="715"/>
      <c r="I281" s="715"/>
      <c r="J281" s="715"/>
      <c r="K281" s="715"/>
    </row>
    <row r="282" spans="1:11" ht="20.25">
      <c r="A282" s="715"/>
      <c r="B282" s="715"/>
      <c r="C282" s="715"/>
      <c r="D282" s="715"/>
      <c r="E282" s="715"/>
      <c r="F282" s="715"/>
      <c r="G282" s="715"/>
      <c r="H282" s="715"/>
      <c r="I282" s="715"/>
      <c r="J282" s="715"/>
      <c r="K282" s="715"/>
    </row>
    <row r="283" spans="1:11" ht="20.25">
      <c r="A283" s="715"/>
      <c r="B283" s="715"/>
      <c r="C283" s="715"/>
      <c r="D283" s="715"/>
      <c r="E283" s="715"/>
      <c r="F283" s="715"/>
      <c r="G283" s="715"/>
      <c r="H283" s="715"/>
      <c r="I283" s="715"/>
      <c r="J283" s="715"/>
      <c r="K283" s="715"/>
    </row>
    <row r="284" spans="1:11" ht="20.25">
      <c r="A284" s="715"/>
      <c r="B284" s="715"/>
      <c r="C284" s="715"/>
      <c r="D284" s="715"/>
      <c r="E284" s="715"/>
      <c r="F284" s="715"/>
      <c r="G284" s="715"/>
      <c r="H284" s="715"/>
      <c r="I284" s="715"/>
      <c r="J284" s="715"/>
      <c r="K284" s="715"/>
    </row>
    <row r="285" spans="1:11" ht="20.25">
      <c r="A285" s="715"/>
      <c r="B285" s="715"/>
      <c r="C285" s="715"/>
      <c r="D285" s="715"/>
      <c r="E285" s="715"/>
      <c r="F285" s="715"/>
      <c r="G285" s="715"/>
      <c r="H285" s="715"/>
      <c r="I285" s="715"/>
      <c r="J285" s="715"/>
      <c r="K285" s="715"/>
    </row>
    <row r="286" spans="1:11" ht="20.25">
      <c r="A286" s="715"/>
      <c r="B286" s="715"/>
      <c r="C286" s="715"/>
      <c r="D286" s="715"/>
      <c r="E286" s="715"/>
      <c r="F286" s="715"/>
      <c r="G286" s="715"/>
      <c r="H286" s="715"/>
      <c r="I286" s="715"/>
      <c r="J286" s="715"/>
      <c r="K286" s="715"/>
    </row>
    <row r="287" spans="1:11" ht="20.25">
      <c r="A287" s="715"/>
      <c r="B287" s="715"/>
      <c r="C287" s="715"/>
      <c r="D287" s="715"/>
      <c r="E287" s="715"/>
      <c r="F287" s="715"/>
      <c r="G287" s="715"/>
      <c r="H287" s="715"/>
      <c r="I287" s="715"/>
      <c r="J287" s="715"/>
      <c r="K287" s="715"/>
    </row>
    <row r="288" spans="1:11" ht="20.25">
      <c r="A288" s="715"/>
      <c r="B288" s="715"/>
      <c r="C288" s="715"/>
      <c r="D288" s="715"/>
      <c r="E288" s="715"/>
      <c r="F288" s="715"/>
      <c r="G288" s="715"/>
      <c r="H288" s="715"/>
      <c r="I288" s="715"/>
      <c r="J288" s="715"/>
      <c r="K288" s="715"/>
    </row>
    <row r="289" spans="1:11" ht="20.25">
      <c r="A289" s="715"/>
      <c r="B289" s="715"/>
      <c r="C289" s="715"/>
      <c r="D289" s="715"/>
      <c r="E289" s="715"/>
      <c r="F289" s="715"/>
      <c r="G289" s="715"/>
      <c r="H289" s="715"/>
      <c r="I289" s="715"/>
      <c r="J289" s="715"/>
      <c r="K289" s="715"/>
    </row>
    <row r="290" spans="1:11" ht="20.25">
      <c r="A290" s="715"/>
      <c r="B290" s="715"/>
      <c r="C290" s="715"/>
      <c r="D290" s="715"/>
      <c r="E290" s="715"/>
      <c r="F290" s="715"/>
      <c r="G290" s="715"/>
      <c r="H290" s="715"/>
      <c r="I290" s="715"/>
      <c r="J290" s="715"/>
      <c r="K290" s="715"/>
    </row>
    <row r="291" spans="1:11" ht="20.25">
      <c r="A291" s="715"/>
      <c r="B291" s="715"/>
      <c r="C291" s="715"/>
      <c r="D291" s="715"/>
      <c r="E291" s="715"/>
      <c r="F291" s="715"/>
      <c r="G291" s="715"/>
      <c r="H291" s="715"/>
      <c r="I291" s="715"/>
      <c r="J291" s="715"/>
      <c r="K291" s="715"/>
    </row>
    <row r="292" spans="1:11" ht="20.25">
      <c r="A292" s="715"/>
      <c r="B292" s="715"/>
      <c r="C292" s="715"/>
      <c r="D292" s="715"/>
      <c r="E292" s="715"/>
      <c r="F292" s="715"/>
      <c r="G292" s="715"/>
      <c r="H292" s="715"/>
      <c r="I292" s="715"/>
      <c r="J292" s="715"/>
      <c r="K292" s="715"/>
    </row>
    <row r="293" spans="1:11" ht="20.25">
      <c r="A293" s="715"/>
      <c r="B293" s="715"/>
      <c r="C293" s="715"/>
      <c r="D293" s="715"/>
      <c r="E293" s="715"/>
      <c r="F293" s="715"/>
      <c r="G293" s="715"/>
      <c r="H293" s="715"/>
      <c r="I293" s="715"/>
      <c r="J293" s="715"/>
      <c r="K293" s="715"/>
    </row>
    <row r="294" spans="1:11" ht="20.25">
      <c r="A294" s="715"/>
      <c r="B294" s="715"/>
      <c r="C294" s="715"/>
      <c r="D294" s="715"/>
      <c r="E294" s="715"/>
      <c r="F294" s="715"/>
      <c r="G294" s="715"/>
      <c r="H294" s="715"/>
      <c r="I294" s="715"/>
      <c r="J294" s="715"/>
      <c r="K294" s="715"/>
    </row>
    <row r="295" spans="1:11" ht="20.25">
      <c r="A295" s="715"/>
      <c r="B295" s="715"/>
      <c r="C295" s="715"/>
      <c r="D295" s="715"/>
      <c r="E295" s="715"/>
      <c r="F295" s="715"/>
      <c r="G295" s="715"/>
      <c r="H295" s="715"/>
      <c r="I295" s="715"/>
      <c r="J295" s="715"/>
      <c r="K295" s="715"/>
    </row>
    <row r="296" spans="1:11" ht="20.25">
      <c r="A296" s="715"/>
      <c r="B296" s="715"/>
      <c r="C296" s="715"/>
      <c r="D296" s="715"/>
      <c r="E296" s="715"/>
      <c r="F296" s="715"/>
      <c r="G296" s="715"/>
      <c r="H296" s="715"/>
      <c r="I296" s="715"/>
      <c r="J296" s="715"/>
      <c r="K296" s="715"/>
    </row>
    <row r="297" spans="1:11" ht="20.25">
      <c r="A297" s="715"/>
      <c r="B297" s="715"/>
      <c r="C297" s="715"/>
      <c r="D297" s="715"/>
      <c r="E297" s="715"/>
      <c r="F297" s="715"/>
      <c r="G297" s="715"/>
      <c r="H297" s="715"/>
      <c r="I297" s="715"/>
      <c r="J297" s="715"/>
      <c r="K297" s="715"/>
    </row>
    <row r="298" spans="1:11" ht="20.25">
      <c r="A298" s="715"/>
      <c r="B298" s="715"/>
      <c r="C298" s="715"/>
      <c r="D298" s="715"/>
      <c r="E298" s="715"/>
      <c r="F298" s="715"/>
      <c r="G298" s="715"/>
      <c r="H298" s="715"/>
      <c r="I298" s="715"/>
      <c r="J298" s="715"/>
      <c r="K298" s="715"/>
    </row>
    <row r="299" spans="1:11" ht="20.25">
      <c r="A299" s="715"/>
      <c r="B299" s="715"/>
      <c r="C299" s="715"/>
      <c r="D299" s="715"/>
      <c r="E299" s="715"/>
      <c r="F299" s="715"/>
      <c r="G299" s="715"/>
      <c r="H299" s="715"/>
      <c r="I299" s="715"/>
      <c r="J299" s="715"/>
      <c r="K299" s="715"/>
    </row>
    <row r="300" spans="1:11" ht="20.25">
      <c r="A300" s="715"/>
      <c r="B300" s="715"/>
      <c r="C300" s="715"/>
      <c r="D300" s="715"/>
      <c r="E300" s="715"/>
      <c r="F300" s="715"/>
      <c r="G300" s="715"/>
      <c r="H300" s="715"/>
      <c r="I300" s="715"/>
      <c r="J300" s="715"/>
      <c r="K300" s="715"/>
    </row>
    <row r="301" spans="1:11" ht="20.25">
      <c r="A301" s="715"/>
      <c r="B301" s="715"/>
      <c r="C301" s="715"/>
      <c r="D301" s="715"/>
      <c r="E301" s="715"/>
      <c r="F301" s="715"/>
      <c r="G301" s="715"/>
      <c r="H301" s="715"/>
      <c r="I301" s="715"/>
      <c r="J301" s="715"/>
      <c r="K301" s="715"/>
    </row>
    <row r="302" spans="1:11" ht="20.25">
      <c r="A302" s="715"/>
      <c r="B302" s="715"/>
      <c r="C302" s="715"/>
      <c r="D302" s="715"/>
      <c r="E302" s="715"/>
      <c r="F302" s="715"/>
      <c r="G302" s="715"/>
      <c r="H302" s="715"/>
      <c r="I302" s="715"/>
      <c r="J302" s="715"/>
      <c r="K302" s="715"/>
    </row>
    <row r="303" spans="1:11" ht="20.25">
      <c r="A303" s="715"/>
      <c r="B303" s="715"/>
      <c r="C303" s="715"/>
      <c r="D303" s="715"/>
      <c r="E303" s="715"/>
      <c r="F303" s="715"/>
      <c r="G303" s="715"/>
      <c r="H303" s="715"/>
      <c r="I303" s="715"/>
      <c r="J303" s="715"/>
      <c r="K303" s="715"/>
    </row>
    <row r="304" spans="1:11" ht="20.25">
      <c r="A304" s="715"/>
      <c r="B304" s="715"/>
      <c r="C304" s="715"/>
      <c r="D304" s="715"/>
      <c r="E304" s="715"/>
      <c r="F304" s="715"/>
      <c r="G304" s="715"/>
      <c r="H304" s="715"/>
      <c r="I304" s="715"/>
      <c r="J304" s="715"/>
      <c r="K304" s="715"/>
    </row>
    <row r="305" spans="1:11" ht="20.25">
      <c r="A305" s="715"/>
      <c r="B305" s="715"/>
      <c r="C305" s="715"/>
      <c r="D305" s="715"/>
      <c r="E305" s="715"/>
      <c r="F305" s="715"/>
      <c r="G305" s="715"/>
      <c r="H305" s="715"/>
      <c r="I305" s="715"/>
      <c r="J305" s="715"/>
      <c r="K305" s="715"/>
    </row>
    <row r="306" spans="1:11" ht="20.25">
      <c r="A306" s="715"/>
      <c r="B306" s="715"/>
      <c r="C306" s="715"/>
      <c r="D306" s="715"/>
      <c r="E306" s="715"/>
      <c r="F306" s="715"/>
      <c r="G306" s="715"/>
      <c r="H306" s="715"/>
      <c r="I306" s="715"/>
      <c r="J306" s="715"/>
      <c r="K306" s="715"/>
    </row>
    <row r="307" spans="1:11" ht="20.25">
      <c r="A307" s="715"/>
      <c r="B307" s="715"/>
      <c r="C307" s="715"/>
      <c r="D307" s="715"/>
      <c r="E307" s="715"/>
      <c r="F307" s="715"/>
      <c r="G307" s="715"/>
      <c r="H307" s="715"/>
      <c r="I307" s="715"/>
      <c r="J307" s="715"/>
      <c r="K307" s="715"/>
    </row>
    <row r="308" spans="1:11" ht="20.25">
      <c r="A308" s="715"/>
      <c r="B308" s="715"/>
      <c r="C308" s="715"/>
      <c r="D308" s="715"/>
      <c r="E308" s="715"/>
      <c r="F308" s="715"/>
      <c r="G308" s="715"/>
      <c r="H308" s="715"/>
      <c r="I308" s="715"/>
      <c r="J308" s="715"/>
      <c r="K308" s="715"/>
    </row>
    <row r="309" spans="1:11" ht="20.25">
      <c r="A309" s="715"/>
      <c r="B309" s="715"/>
      <c r="C309" s="715"/>
      <c r="D309" s="715"/>
      <c r="E309" s="715"/>
      <c r="F309" s="715"/>
      <c r="G309" s="715"/>
      <c r="H309" s="715"/>
      <c r="I309" s="715"/>
      <c r="J309" s="715"/>
      <c r="K309" s="715"/>
    </row>
    <row r="310" spans="1:11" ht="20.25">
      <c r="A310" s="715"/>
      <c r="B310" s="715"/>
      <c r="C310" s="715"/>
      <c r="D310" s="715"/>
      <c r="E310" s="715"/>
      <c r="F310" s="715"/>
      <c r="G310" s="715"/>
      <c r="H310" s="715"/>
      <c r="I310" s="715"/>
      <c r="J310" s="715"/>
      <c r="K310" s="715"/>
    </row>
    <row r="311" spans="1:11" ht="20.25">
      <c r="A311" s="715"/>
      <c r="B311" s="715"/>
      <c r="C311" s="715"/>
      <c r="D311" s="715"/>
      <c r="E311" s="715"/>
      <c r="F311" s="715"/>
      <c r="G311" s="715"/>
      <c r="H311" s="715"/>
      <c r="I311" s="715"/>
      <c r="J311" s="715"/>
      <c r="K311" s="715"/>
    </row>
    <row r="312" spans="1:11" ht="20.25">
      <c r="A312" s="715"/>
      <c r="B312" s="715"/>
      <c r="C312" s="715"/>
      <c r="D312" s="715"/>
      <c r="E312" s="715"/>
      <c r="F312" s="715"/>
      <c r="G312" s="715"/>
      <c r="H312" s="715"/>
      <c r="I312" s="715"/>
      <c r="J312" s="715"/>
      <c r="K312" s="715"/>
    </row>
    <row r="313" spans="1:11" ht="20.25">
      <c r="A313" s="715"/>
      <c r="B313" s="715"/>
      <c r="C313" s="715"/>
      <c r="D313" s="715"/>
      <c r="E313" s="715"/>
      <c r="F313" s="715"/>
      <c r="G313" s="715"/>
      <c r="H313" s="715"/>
      <c r="I313" s="715"/>
      <c r="J313" s="715"/>
      <c r="K313" s="715"/>
    </row>
    <row r="314" spans="1:11" ht="20.25">
      <c r="A314" s="715"/>
      <c r="B314" s="715"/>
      <c r="C314" s="715"/>
      <c r="D314" s="715"/>
      <c r="E314" s="715"/>
      <c r="F314" s="715"/>
      <c r="G314" s="715"/>
      <c r="H314" s="715"/>
      <c r="I314" s="715"/>
      <c r="J314" s="715"/>
      <c r="K314" s="715"/>
    </row>
    <row r="315" spans="1:11" ht="20.25">
      <c r="A315" s="715"/>
      <c r="B315" s="715"/>
      <c r="C315" s="715"/>
      <c r="D315" s="715"/>
      <c r="E315" s="715"/>
      <c r="F315" s="715"/>
      <c r="G315" s="715"/>
      <c r="H315" s="715"/>
      <c r="I315" s="715"/>
      <c r="J315" s="715"/>
      <c r="K315" s="715"/>
    </row>
    <row r="316" spans="1:11" ht="20.25">
      <c r="A316" s="715"/>
      <c r="B316" s="715"/>
      <c r="C316" s="715"/>
      <c r="D316" s="715"/>
      <c r="E316" s="715"/>
      <c r="F316" s="715"/>
      <c r="G316" s="715"/>
      <c r="H316" s="715"/>
      <c r="I316" s="715"/>
      <c r="J316" s="715"/>
      <c r="K316" s="715"/>
    </row>
    <row r="317" spans="1:11" ht="20.25">
      <c r="A317" s="715"/>
      <c r="B317" s="715"/>
      <c r="C317" s="715"/>
      <c r="D317" s="715"/>
      <c r="E317" s="715"/>
      <c r="F317" s="715"/>
      <c r="G317" s="715"/>
      <c r="H317" s="715"/>
      <c r="I317" s="715"/>
      <c r="J317" s="715"/>
      <c r="K317" s="715"/>
    </row>
    <row r="318" spans="1:11" ht="20.25">
      <c r="A318" s="715"/>
      <c r="B318" s="715"/>
      <c r="C318" s="715"/>
      <c r="D318" s="715"/>
      <c r="E318" s="715"/>
      <c r="F318" s="715"/>
      <c r="G318" s="715"/>
      <c r="H318" s="715"/>
      <c r="I318" s="715"/>
      <c r="J318" s="715"/>
      <c r="K318" s="715"/>
    </row>
    <row r="319" spans="1:11" ht="20.25">
      <c r="A319" s="715"/>
      <c r="B319" s="715"/>
      <c r="C319" s="715"/>
      <c r="D319" s="715"/>
      <c r="E319" s="715"/>
      <c r="F319" s="715"/>
      <c r="G319" s="715"/>
      <c r="H319" s="715"/>
      <c r="I319" s="715"/>
      <c r="J319" s="715"/>
      <c r="K319" s="715"/>
    </row>
    <row r="320" spans="1:11" ht="20.25">
      <c r="A320" s="715"/>
      <c r="B320" s="715"/>
      <c r="C320" s="715"/>
      <c r="D320" s="715"/>
      <c r="E320" s="715"/>
      <c r="F320" s="715"/>
      <c r="G320" s="715"/>
      <c r="H320" s="715"/>
      <c r="I320" s="715"/>
      <c r="J320" s="715"/>
      <c r="K320" s="715"/>
    </row>
    <row r="321" spans="1:11" ht="20.25">
      <c r="A321" s="715"/>
      <c r="B321" s="715"/>
      <c r="C321" s="715"/>
      <c r="D321" s="715"/>
      <c r="E321" s="715"/>
      <c r="F321" s="715"/>
      <c r="G321" s="715"/>
      <c r="H321" s="715"/>
      <c r="I321" s="715"/>
      <c r="J321" s="715"/>
      <c r="K321" s="715"/>
    </row>
    <row r="322" spans="1:11" ht="20.25">
      <c r="A322" s="715"/>
      <c r="B322" s="715"/>
      <c r="C322" s="715"/>
      <c r="D322" s="715"/>
      <c r="E322" s="715"/>
      <c r="F322" s="715"/>
      <c r="G322" s="715"/>
      <c r="H322" s="715"/>
      <c r="I322" s="715"/>
      <c r="J322" s="715"/>
      <c r="K322" s="715"/>
    </row>
    <row r="323" spans="1:11" ht="20.25">
      <c r="A323" s="715"/>
      <c r="B323" s="715"/>
      <c r="C323" s="715"/>
      <c r="D323" s="715"/>
      <c r="E323" s="715"/>
      <c r="F323" s="715"/>
      <c r="G323" s="715"/>
      <c r="H323" s="715"/>
      <c r="I323" s="715"/>
      <c r="J323" s="715"/>
      <c r="K323" s="715"/>
    </row>
    <row r="324" spans="1:11" ht="20.25">
      <c r="A324" s="715"/>
      <c r="B324" s="715"/>
      <c r="C324" s="715"/>
      <c r="D324" s="715"/>
      <c r="E324" s="715"/>
      <c r="F324" s="715"/>
      <c r="G324" s="715"/>
      <c r="H324" s="715"/>
      <c r="I324" s="715"/>
      <c r="J324" s="715"/>
      <c r="K324" s="715"/>
    </row>
    <row r="325" spans="1:11" ht="20.25">
      <c r="A325" s="715"/>
      <c r="B325" s="715"/>
      <c r="C325" s="715"/>
      <c r="D325" s="715"/>
      <c r="E325" s="715"/>
      <c r="F325" s="715"/>
      <c r="G325" s="715"/>
      <c r="H325" s="715"/>
      <c r="I325" s="715"/>
      <c r="J325" s="715"/>
      <c r="K325" s="715"/>
    </row>
    <row r="326" spans="1:11" ht="20.25">
      <c r="A326" s="715"/>
      <c r="B326" s="715"/>
      <c r="C326" s="715"/>
      <c r="D326" s="715"/>
      <c r="E326" s="715"/>
      <c r="F326" s="715"/>
      <c r="G326" s="715"/>
      <c r="H326" s="715"/>
      <c r="I326" s="715"/>
      <c r="J326" s="715"/>
      <c r="K326" s="715"/>
    </row>
    <row r="327" spans="1:11" ht="20.25">
      <c r="A327" s="715"/>
      <c r="B327" s="715"/>
      <c r="C327" s="715"/>
      <c r="D327" s="715"/>
      <c r="E327" s="715"/>
      <c r="F327" s="715"/>
      <c r="G327" s="715"/>
      <c r="H327" s="715"/>
      <c r="I327" s="715"/>
      <c r="J327" s="715"/>
      <c r="K327" s="715"/>
    </row>
    <row r="328" spans="1:11" ht="20.25">
      <c r="A328" s="715"/>
      <c r="B328" s="715"/>
      <c r="C328" s="715"/>
      <c r="D328" s="715"/>
      <c r="E328" s="715"/>
      <c r="F328" s="715"/>
      <c r="G328" s="715"/>
      <c r="H328" s="715"/>
      <c r="I328" s="715"/>
      <c r="J328" s="715"/>
      <c r="K328" s="715"/>
    </row>
    <row r="329" spans="1:11" ht="20.25">
      <c r="A329" s="715"/>
      <c r="B329" s="715"/>
      <c r="C329" s="715"/>
      <c r="D329" s="715"/>
      <c r="E329" s="715"/>
      <c r="F329" s="715"/>
      <c r="G329" s="715"/>
      <c r="H329" s="715"/>
      <c r="I329" s="715"/>
      <c r="J329" s="715"/>
      <c r="K329" s="715"/>
    </row>
    <row r="330" spans="1:11" ht="20.25">
      <c r="A330" s="715"/>
      <c r="B330" s="715"/>
      <c r="C330" s="715"/>
      <c r="D330" s="715"/>
      <c r="E330" s="715"/>
      <c r="F330" s="715"/>
      <c r="G330" s="715"/>
      <c r="H330" s="715"/>
      <c r="I330" s="715"/>
      <c r="J330" s="715"/>
      <c r="K330" s="715"/>
    </row>
    <row r="331" spans="1:11" ht="20.25">
      <c r="A331" s="715"/>
      <c r="B331" s="715"/>
      <c r="C331" s="715"/>
      <c r="D331" s="715"/>
      <c r="E331" s="715"/>
      <c r="F331" s="715"/>
      <c r="G331" s="715"/>
      <c r="H331" s="715"/>
      <c r="I331" s="715"/>
      <c r="J331" s="715"/>
      <c r="K331" s="715"/>
    </row>
    <row r="332" spans="1:11" ht="20.25">
      <c r="A332" s="715"/>
      <c r="B332" s="715"/>
      <c r="C332" s="715"/>
      <c r="D332" s="715"/>
      <c r="E332" s="715"/>
      <c r="F332" s="715"/>
      <c r="G332" s="715"/>
      <c r="H332" s="715"/>
      <c r="I332" s="715"/>
      <c r="J332" s="715"/>
      <c r="K332" s="715"/>
    </row>
    <row r="333" spans="1:11" ht="20.25">
      <c r="A333" s="715"/>
      <c r="B333" s="715"/>
      <c r="C333" s="715"/>
      <c r="D333" s="715"/>
      <c r="E333" s="715"/>
      <c r="F333" s="715"/>
      <c r="G333" s="715"/>
      <c r="H333" s="715"/>
      <c r="I333" s="715"/>
      <c r="J333" s="715"/>
      <c r="K333" s="715"/>
    </row>
    <row r="334" spans="1:11" ht="20.25">
      <c r="A334" s="715"/>
      <c r="B334" s="715"/>
      <c r="C334" s="715"/>
      <c r="D334" s="715"/>
      <c r="E334" s="715"/>
      <c r="F334" s="715"/>
      <c r="G334" s="715"/>
      <c r="H334" s="715"/>
      <c r="I334" s="715"/>
      <c r="J334" s="715"/>
      <c r="K334" s="715"/>
    </row>
    <row r="335" spans="1:11" ht="20.25">
      <c r="A335" s="715"/>
      <c r="B335" s="715"/>
      <c r="C335" s="715"/>
      <c r="D335" s="715"/>
      <c r="E335" s="715"/>
      <c r="F335" s="715"/>
      <c r="G335" s="715"/>
      <c r="H335" s="715"/>
      <c r="I335" s="715"/>
      <c r="J335" s="715"/>
      <c r="K335" s="715"/>
    </row>
    <row r="336" spans="1:11" ht="20.25">
      <c r="A336" s="715"/>
      <c r="B336" s="715"/>
      <c r="C336" s="715"/>
      <c r="D336" s="715"/>
      <c r="E336" s="715"/>
      <c r="F336" s="715"/>
      <c r="G336" s="715"/>
      <c r="H336" s="715"/>
      <c r="I336" s="715"/>
      <c r="J336" s="715"/>
      <c r="K336" s="715"/>
    </row>
    <row r="337" spans="1:11" ht="20.25">
      <c r="A337" s="715"/>
      <c r="B337" s="715"/>
      <c r="C337" s="715"/>
      <c r="D337" s="715"/>
      <c r="E337" s="715"/>
      <c r="F337" s="715"/>
      <c r="G337" s="715"/>
      <c r="H337" s="715"/>
      <c r="I337" s="715"/>
      <c r="J337" s="715"/>
      <c r="K337" s="715"/>
    </row>
    <row r="338" spans="1:11" ht="20.25">
      <c r="A338" s="715"/>
      <c r="B338" s="715"/>
      <c r="C338" s="715"/>
      <c r="D338" s="715"/>
      <c r="E338" s="715"/>
      <c r="F338" s="715"/>
      <c r="G338" s="715"/>
      <c r="H338" s="715"/>
      <c r="I338" s="715"/>
      <c r="J338" s="715"/>
      <c r="K338" s="715"/>
    </row>
    <row r="339" spans="1:11" ht="20.25">
      <c r="A339" s="715"/>
      <c r="B339" s="715"/>
      <c r="C339" s="715"/>
      <c r="D339" s="715"/>
      <c r="E339" s="715"/>
      <c r="F339" s="715"/>
      <c r="G339" s="715"/>
      <c r="H339" s="715"/>
      <c r="I339" s="715"/>
      <c r="J339" s="715"/>
      <c r="K339" s="715"/>
    </row>
    <row r="340" spans="1:11" ht="20.25">
      <c r="A340" s="715"/>
      <c r="B340" s="715"/>
      <c r="C340" s="715"/>
      <c r="D340" s="715"/>
      <c r="E340" s="715"/>
      <c r="F340" s="715"/>
      <c r="G340" s="715"/>
      <c r="H340" s="715"/>
      <c r="I340" s="715"/>
      <c r="J340" s="715"/>
      <c r="K340" s="715"/>
    </row>
    <row r="341" spans="1:11" ht="20.25">
      <c r="A341" s="715"/>
      <c r="B341" s="715"/>
      <c r="C341" s="715"/>
      <c r="D341" s="715"/>
      <c r="E341" s="715"/>
      <c r="F341" s="715"/>
      <c r="G341" s="715"/>
      <c r="H341" s="715"/>
      <c r="I341" s="715"/>
      <c r="J341" s="715"/>
      <c r="K341" s="715"/>
    </row>
    <row r="342" spans="1:11" ht="20.25">
      <c r="A342" s="715"/>
      <c r="B342" s="715"/>
      <c r="C342" s="715"/>
      <c r="D342" s="715"/>
      <c r="E342" s="715"/>
      <c r="F342" s="715"/>
      <c r="G342" s="715"/>
      <c r="H342" s="715"/>
      <c r="I342" s="715"/>
      <c r="J342" s="715"/>
      <c r="K342" s="715"/>
    </row>
    <row r="343" spans="1:11" ht="20.25">
      <c r="A343" s="715"/>
      <c r="B343" s="715"/>
      <c r="C343" s="715"/>
      <c r="D343" s="715"/>
      <c r="E343" s="715"/>
      <c r="F343" s="715"/>
      <c r="G343" s="715"/>
      <c r="H343" s="715"/>
      <c r="I343" s="715"/>
      <c r="J343" s="715"/>
      <c r="K343" s="715"/>
    </row>
    <row r="344" spans="1:11" ht="20.25">
      <c r="A344" s="715"/>
      <c r="B344" s="715"/>
      <c r="C344" s="715"/>
      <c r="D344" s="715"/>
      <c r="E344" s="715"/>
      <c r="F344" s="715"/>
      <c r="G344" s="715"/>
      <c r="H344" s="715"/>
      <c r="I344" s="715"/>
      <c r="J344" s="715"/>
      <c r="K344" s="715"/>
    </row>
    <row r="345" spans="1:11" ht="20.25">
      <c r="A345" s="715"/>
      <c r="B345" s="715"/>
      <c r="C345" s="715"/>
      <c r="D345" s="715"/>
      <c r="E345" s="715"/>
      <c r="F345" s="715"/>
      <c r="G345" s="715"/>
      <c r="H345" s="715"/>
      <c r="I345" s="715"/>
      <c r="J345" s="715"/>
      <c r="K345" s="715"/>
    </row>
    <row r="346" spans="1:11" ht="20.25">
      <c r="A346" s="715"/>
      <c r="B346" s="715"/>
      <c r="C346" s="715"/>
      <c r="D346" s="715"/>
      <c r="E346" s="715"/>
      <c r="F346" s="715"/>
      <c r="G346" s="715"/>
      <c r="H346" s="715"/>
      <c r="I346" s="715"/>
      <c r="J346" s="715"/>
      <c r="K346" s="715"/>
    </row>
    <row r="347" spans="1:11" ht="20.25">
      <c r="A347" s="715"/>
      <c r="B347" s="715"/>
      <c r="C347" s="715"/>
      <c r="D347" s="715"/>
      <c r="E347" s="715"/>
      <c r="F347" s="715"/>
      <c r="G347" s="715"/>
      <c r="H347" s="715"/>
      <c r="I347" s="715"/>
      <c r="J347" s="715"/>
      <c r="K347" s="715"/>
    </row>
    <row r="348" spans="1:11" ht="20.25">
      <c r="A348" s="715"/>
      <c r="B348" s="715"/>
      <c r="C348" s="715"/>
      <c r="D348" s="715"/>
      <c r="E348" s="715"/>
      <c r="F348" s="715"/>
      <c r="G348" s="715"/>
      <c r="H348" s="715"/>
      <c r="I348" s="715"/>
      <c r="J348" s="715"/>
      <c r="K348" s="715"/>
    </row>
    <row r="349" spans="1:11" ht="20.25">
      <c r="A349" s="715"/>
      <c r="B349" s="715"/>
      <c r="C349" s="715"/>
      <c r="D349" s="715"/>
      <c r="E349" s="715"/>
      <c r="F349" s="715"/>
      <c r="G349" s="715"/>
      <c r="H349" s="715"/>
      <c r="I349" s="715"/>
      <c r="J349" s="715"/>
      <c r="K349" s="715"/>
    </row>
    <row r="350" spans="1:11" ht="20.25">
      <c r="A350" s="715"/>
      <c r="B350" s="715"/>
      <c r="C350" s="715"/>
      <c r="D350" s="715"/>
      <c r="E350" s="715"/>
      <c r="F350" s="715"/>
      <c r="G350" s="715"/>
      <c r="H350" s="715"/>
      <c r="I350" s="715"/>
      <c r="J350" s="715"/>
      <c r="K350" s="715"/>
    </row>
    <row r="351" spans="1:11" ht="20.25">
      <c r="A351" s="715"/>
      <c r="B351" s="715"/>
      <c r="C351" s="715"/>
      <c r="D351" s="715"/>
      <c r="E351" s="715"/>
      <c r="F351" s="715"/>
      <c r="G351" s="715"/>
      <c r="H351" s="715"/>
      <c r="I351" s="715"/>
      <c r="J351" s="715"/>
      <c r="K351" s="715"/>
    </row>
    <row r="352" spans="1:11" ht="20.25">
      <c r="A352" s="715"/>
      <c r="B352" s="715"/>
      <c r="C352" s="715"/>
      <c r="D352" s="715"/>
      <c r="E352" s="715"/>
      <c r="F352" s="715"/>
      <c r="G352" s="715"/>
      <c r="H352" s="715"/>
      <c r="I352" s="715"/>
      <c r="J352" s="715"/>
      <c r="K352" s="715"/>
    </row>
    <row r="353" spans="1:11" ht="20.25">
      <c r="A353" s="715"/>
      <c r="B353" s="715"/>
      <c r="C353" s="715"/>
      <c r="D353" s="715"/>
      <c r="E353" s="715"/>
      <c r="F353" s="715"/>
      <c r="G353" s="715"/>
      <c r="H353" s="715"/>
      <c r="I353" s="715"/>
      <c r="J353" s="715"/>
      <c r="K353" s="715"/>
    </row>
    <row r="354" spans="1:11" ht="20.25">
      <c r="A354" s="715"/>
      <c r="B354" s="715"/>
      <c r="C354" s="715"/>
      <c r="D354" s="715"/>
      <c r="E354" s="715"/>
      <c r="F354" s="715"/>
      <c r="G354" s="715"/>
      <c r="H354" s="715"/>
      <c r="I354" s="715"/>
      <c r="J354" s="715"/>
      <c r="K354" s="715"/>
    </row>
    <row r="355" spans="1:11" ht="20.25">
      <c r="A355" s="715"/>
      <c r="B355" s="715"/>
      <c r="C355" s="715"/>
      <c r="D355" s="715"/>
      <c r="E355" s="715"/>
      <c r="F355" s="715"/>
      <c r="G355" s="715"/>
      <c r="H355" s="715"/>
      <c r="I355" s="715"/>
      <c r="J355" s="715"/>
      <c r="K355" s="715"/>
    </row>
    <row r="356" spans="1:11" ht="20.25">
      <c r="A356" s="715"/>
      <c r="B356" s="715"/>
      <c r="C356" s="715"/>
      <c r="D356" s="715"/>
      <c r="E356" s="715"/>
      <c r="F356" s="715"/>
      <c r="G356" s="715"/>
      <c r="H356" s="715"/>
      <c r="I356" s="715"/>
      <c r="J356" s="715"/>
      <c r="K356" s="715"/>
    </row>
    <row r="357" spans="1:11" ht="20.25">
      <c r="A357" s="715"/>
      <c r="B357" s="715"/>
      <c r="C357" s="715"/>
      <c r="D357" s="715"/>
      <c r="E357" s="715"/>
      <c r="F357" s="715"/>
      <c r="G357" s="715"/>
      <c r="H357" s="715"/>
      <c r="I357" s="715"/>
      <c r="J357" s="715"/>
      <c r="K357" s="715"/>
    </row>
    <row r="358" spans="1:11" ht="20.25">
      <c r="A358" s="715"/>
      <c r="B358" s="715"/>
      <c r="C358" s="715"/>
      <c r="D358" s="715"/>
      <c r="E358" s="715"/>
      <c r="F358" s="715"/>
      <c r="G358" s="715"/>
      <c r="H358" s="715"/>
      <c r="I358" s="715"/>
      <c r="J358" s="715"/>
      <c r="K358" s="715"/>
    </row>
    <row r="359" spans="1:11" ht="20.25">
      <c r="A359" s="715"/>
      <c r="B359" s="715"/>
      <c r="C359" s="715"/>
      <c r="D359" s="715"/>
      <c r="E359" s="715"/>
      <c r="F359" s="715"/>
      <c r="G359" s="715"/>
      <c r="H359" s="715"/>
      <c r="I359" s="715"/>
      <c r="J359" s="715"/>
      <c r="K359" s="715"/>
    </row>
    <row r="360" spans="1:11" ht="20.25">
      <c r="A360" s="715"/>
      <c r="B360" s="715"/>
      <c r="C360" s="715"/>
      <c r="D360" s="715"/>
      <c r="E360" s="715"/>
      <c r="F360" s="715"/>
      <c r="G360" s="715"/>
      <c r="H360" s="715"/>
      <c r="I360" s="715"/>
      <c r="J360" s="715"/>
      <c r="K360" s="715"/>
    </row>
    <row r="361" spans="1:11" ht="20.25">
      <c r="A361" s="715"/>
      <c r="B361" s="715"/>
      <c r="C361" s="715"/>
      <c r="D361" s="715"/>
      <c r="E361" s="715"/>
      <c r="F361" s="715"/>
      <c r="G361" s="715"/>
      <c r="H361" s="715"/>
      <c r="I361" s="715"/>
      <c r="J361" s="715"/>
      <c r="K361" s="715"/>
    </row>
    <row r="362" spans="1:11" ht="20.25">
      <c r="A362" s="715"/>
      <c r="B362" s="715"/>
      <c r="C362" s="715"/>
      <c r="D362" s="715"/>
      <c r="E362" s="715"/>
      <c r="F362" s="715"/>
      <c r="G362" s="715"/>
      <c r="H362" s="715"/>
      <c r="I362" s="715"/>
      <c r="J362" s="715"/>
      <c r="K362" s="715"/>
    </row>
    <row r="363" spans="1:11" ht="20.25">
      <c r="A363" s="715"/>
      <c r="B363" s="715"/>
      <c r="C363" s="715"/>
      <c r="D363" s="715"/>
      <c r="E363" s="715"/>
      <c r="F363" s="715"/>
      <c r="G363" s="715"/>
      <c r="H363" s="715"/>
      <c r="I363" s="715"/>
      <c r="J363" s="715"/>
      <c r="K363" s="715"/>
    </row>
    <row r="364" spans="1:11" ht="20.25">
      <c r="A364" s="715"/>
      <c r="B364" s="715"/>
      <c r="C364" s="715"/>
      <c r="D364" s="715"/>
      <c r="E364" s="715"/>
      <c r="F364" s="715"/>
      <c r="G364" s="715"/>
      <c r="H364" s="715"/>
      <c r="I364" s="715"/>
      <c r="J364" s="715"/>
      <c r="K364" s="715"/>
    </row>
    <row r="365" spans="1:11" ht="20.25">
      <c r="A365" s="715"/>
      <c r="B365" s="715"/>
      <c r="C365" s="715"/>
      <c r="D365" s="715"/>
      <c r="E365" s="715"/>
      <c r="F365" s="715"/>
      <c r="G365" s="715"/>
      <c r="H365" s="715"/>
      <c r="I365" s="715"/>
      <c r="J365" s="715"/>
      <c r="K365" s="715"/>
    </row>
    <row r="366" spans="1:11" ht="20.25">
      <c r="A366" s="715"/>
      <c r="B366" s="715"/>
      <c r="C366" s="715"/>
      <c r="D366" s="715"/>
      <c r="E366" s="715"/>
      <c r="F366" s="715"/>
      <c r="G366" s="715"/>
      <c r="H366" s="715"/>
      <c r="I366" s="715"/>
      <c r="J366" s="715"/>
      <c r="K366" s="715"/>
    </row>
    <row r="367" spans="1:11" ht="20.25">
      <c r="A367" s="715"/>
      <c r="B367" s="715"/>
      <c r="C367" s="715"/>
      <c r="D367" s="715"/>
      <c r="E367" s="715"/>
      <c r="F367" s="715"/>
      <c r="G367" s="715"/>
      <c r="H367" s="715"/>
      <c r="I367" s="715"/>
      <c r="J367" s="715"/>
      <c r="K367" s="715"/>
    </row>
    <row r="368" spans="1:11" ht="20.25">
      <c r="A368" s="715"/>
      <c r="B368" s="715"/>
      <c r="C368" s="715"/>
      <c r="D368" s="715"/>
      <c r="E368" s="715"/>
      <c r="F368" s="715"/>
      <c r="G368" s="715"/>
      <c r="H368" s="715"/>
      <c r="I368" s="715"/>
      <c r="J368" s="715"/>
      <c r="K368" s="715"/>
    </row>
    <row r="369" spans="1:11" ht="20.25">
      <c r="A369" s="715"/>
      <c r="B369" s="715"/>
      <c r="C369" s="715"/>
      <c r="D369" s="715"/>
      <c r="E369" s="715"/>
      <c r="F369" s="715"/>
      <c r="G369" s="715"/>
      <c r="H369" s="715"/>
      <c r="I369" s="715"/>
      <c r="J369" s="715"/>
      <c r="K369" s="715"/>
    </row>
    <row r="370" spans="1:11" ht="20.25">
      <c r="A370" s="715"/>
      <c r="B370" s="715"/>
      <c r="C370" s="715"/>
      <c r="D370" s="715"/>
      <c r="E370" s="715"/>
      <c r="F370" s="715"/>
      <c r="G370" s="715"/>
      <c r="H370" s="715"/>
      <c r="I370" s="715"/>
      <c r="J370" s="715"/>
      <c r="K370" s="715"/>
    </row>
    <row r="371" spans="1:11" ht="20.25">
      <c r="A371" s="715"/>
      <c r="B371" s="715"/>
      <c r="C371" s="715"/>
      <c r="D371" s="715"/>
      <c r="E371" s="715"/>
      <c r="F371" s="715"/>
      <c r="G371" s="715"/>
      <c r="H371" s="715"/>
      <c r="I371" s="715"/>
      <c r="J371" s="715"/>
      <c r="K371" s="715"/>
    </row>
    <row r="372" spans="1:11" ht="20.25">
      <c r="A372" s="715"/>
      <c r="B372" s="715"/>
      <c r="C372" s="715"/>
      <c r="D372" s="715"/>
      <c r="E372" s="715"/>
      <c r="F372" s="715"/>
      <c r="G372" s="715"/>
      <c r="H372" s="715"/>
      <c r="I372" s="715"/>
      <c r="J372" s="715"/>
      <c r="K372" s="715"/>
    </row>
    <row r="373" spans="1:11" ht="20.25">
      <c r="A373" s="715"/>
      <c r="B373" s="715"/>
      <c r="C373" s="715"/>
      <c r="D373" s="715"/>
      <c r="E373" s="715"/>
      <c r="F373" s="715"/>
      <c r="G373" s="715"/>
      <c r="H373" s="715"/>
      <c r="I373" s="715"/>
      <c r="J373" s="715"/>
      <c r="K373" s="715"/>
    </row>
    <row r="374" spans="1:11" ht="20.25">
      <c r="A374" s="715"/>
      <c r="B374" s="715"/>
      <c r="C374" s="715"/>
      <c r="D374" s="715"/>
      <c r="E374" s="715"/>
      <c r="F374" s="715"/>
      <c r="G374" s="715"/>
      <c r="H374" s="715"/>
      <c r="I374" s="715"/>
      <c r="J374" s="715"/>
      <c r="K374" s="715"/>
    </row>
    <row r="375" spans="1:11" ht="20.25">
      <c r="A375" s="715"/>
      <c r="B375" s="715"/>
      <c r="C375" s="715"/>
      <c r="D375" s="715"/>
      <c r="E375" s="715"/>
      <c r="F375" s="715"/>
      <c r="G375" s="715"/>
      <c r="H375" s="715"/>
      <c r="I375" s="715"/>
      <c r="J375" s="715"/>
      <c r="K375" s="715"/>
    </row>
    <row r="376" spans="1:11" ht="20.25">
      <c r="A376" s="715"/>
      <c r="B376" s="715"/>
      <c r="C376" s="715"/>
      <c r="D376" s="715"/>
      <c r="E376" s="715"/>
      <c r="F376" s="715"/>
      <c r="G376" s="715"/>
      <c r="H376" s="715"/>
      <c r="I376" s="715"/>
      <c r="J376" s="715"/>
      <c r="K376" s="715"/>
    </row>
    <row r="377" spans="1:11" ht="20.25">
      <c r="A377" s="715"/>
      <c r="B377" s="715"/>
      <c r="C377" s="715"/>
      <c r="D377" s="715"/>
      <c r="E377" s="715"/>
      <c r="F377" s="715"/>
      <c r="G377" s="715"/>
      <c r="H377" s="715"/>
      <c r="I377" s="715"/>
      <c r="J377" s="715"/>
      <c r="K377" s="715"/>
    </row>
    <row r="378" spans="1:11" ht="20.25">
      <c r="A378" s="715"/>
      <c r="B378" s="715"/>
      <c r="C378" s="715"/>
      <c r="D378" s="715"/>
      <c r="E378" s="715"/>
      <c r="F378" s="715"/>
      <c r="G378" s="715"/>
      <c r="H378" s="715"/>
      <c r="I378" s="715"/>
      <c r="J378" s="715"/>
      <c r="K378" s="715"/>
    </row>
    <row r="379" spans="1:11" ht="20.25">
      <c r="A379" s="715"/>
      <c r="B379" s="715"/>
      <c r="C379" s="715"/>
      <c r="D379" s="715"/>
      <c r="E379" s="715"/>
      <c r="F379" s="715"/>
      <c r="G379" s="715"/>
      <c r="H379" s="715"/>
      <c r="I379" s="715"/>
      <c r="J379" s="715"/>
      <c r="K379" s="715"/>
    </row>
    <row r="380" spans="1:11" ht="20.25">
      <c r="A380" s="715"/>
      <c r="B380" s="715"/>
      <c r="C380" s="715"/>
      <c r="D380" s="715"/>
      <c r="E380" s="715"/>
      <c r="F380" s="715"/>
      <c r="G380" s="715"/>
      <c r="H380" s="715"/>
      <c r="I380" s="715"/>
      <c r="J380" s="715"/>
      <c r="K380" s="715"/>
    </row>
    <row r="381" spans="1:11" ht="20.25">
      <c r="A381" s="715"/>
      <c r="B381" s="715"/>
      <c r="C381" s="715"/>
      <c r="D381" s="715"/>
      <c r="E381" s="715"/>
      <c r="F381" s="715"/>
      <c r="G381" s="715"/>
      <c r="H381" s="715"/>
      <c r="I381" s="715"/>
      <c r="J381" s="715"/>
      <c r="K381" s="715"/>
    </row>
    <row r="382" spans="1:11" ht="20.25">
      <c r="A382" s="715"/>
      <c r="B382" s="715"/>
      <c r="C382" s="715"/>
      <c r="D382" s="715"/>
      <c r="E382" s="715"/>
      <c r="F382" s="715"/>
      <c r="G382" s="715"/>
      <c r="H382" s="715"/>
      <c r="I382" s="715"/>
      <c r="J382" s="715"/>
      <c r="K382" s="715"/>
    </row>
    <row r="383" spans="1:11" ht="20.25">
      <c r="A383" s="715"/>
      <c r="B383" s="715"/>
      <c r="C383" s="715"/>
      <c r="D383" s="715"/>
      <c r="E383" s="715"/>
      <c r="F383" s="715"/>
      <c r="G383" s="715"/>
      <c r="H383" s="715"/>
      <c r="I383" s="715"/>
      <c r="J383" s="715"/>
      <c r="K383" s="715"/>
    </row>
    <row r="384" spans="1:11" ht="20.25">
      <c r="A384" s="715"/>
      <c r="B384" s="715"/>
      <c r="C384" s="715"/>
      <c r="D384" s="715"/>
      <c r="E384" s="715"/>
      <c r="F384" s="715"/>
      <c r="G384" s="715"/>
      <c r="H384" s="715"/>
      <c r="I384" s="715"/>
      <c r="J384" s="715"/>
      <c r="K384" s="715"/>
    </row>
    <row r="385" spans="1:11" ht="20.25">
      <c r="A385" s="715"/>
      <c r="B385" s="715"/>
      <c r="C385" s="715"/>
      <c r="D385" s="715"/>
      <c r="E385" s="715"/>
      <c r="F385" s="715"/>
      <c r="G385" s="715"/>
      <c r="H385" s="715"/>
      <c r="I385" s="715"/>
      <c r="J385" s="715"/>
      <c r="K385" s="715"/>
    </row>
    <row r="386" spans="1:11" ht="20.25">
      <c r="A386" s="715"/>
      <c r="B386" s="715"/>
      <c r="C386" s="715"/>
      <c r="D386" s="715"/>
      <c r="E386" s="715"/>
      <c r="F386" s="715"/>
      <c r="G386" s="715"/>
      <c r="H386" s="715"/>
      <c r="I386" s="715"/>
      <c r="J386" s="715"/>
      <c r="K386" s="715"/>
    </row>
    <row r="387" spans="1:11" ht="20.25">
      <c r="A387" s="715"/>
      <c r="B387" s="715"/>
      <c r="C387" s="715"/>
      <c r="D387" s="715"/>
      <c r="E387" s="715"/>
      <c r="F387" s="715"/>
      <c r="G387" s="715"/>
      <c r="H387" s="715"/>
      <c r="I387" s="715"/>
      <c r="J387" s="715"/>
      <c r="K387" s="715"/>
    </row>
    <row r="388" spans="1:11" ht="20.25">
      <c r="A388" s="715"/>
      <c r="B388" s="715"/>
      <c r="C388" s="715"/>
      <c r="D388" s="715"/>
      <c r="E388" s="715"/>
      <c r="F388" s="715"/>
      <c r="G388" s="715"/>
      <c r="H388" s="715"/>
      <c r="I388" s="715"/>
      <c r="J388" s="715"/>
      <c r="K388" s="715"/>
    </row>
    <row r="389" spans="1:11" ht="20.25">
      <c r="A389" s="715"/>
      <c r="B389" s="715"/>
      <c r="C389" s="715"/>
      <c r="D389" s="715"/>
      <c r="E389" s="715"/>
      <c r="F389" s="715"/>
      <c r="G389" s="715"/>
      <c r="H389" s="715"/>
      <c r="I389" s="715"/>
      <c r="J389" s="715"/>
      <c r="K389" s="715"/>
    </row>
    <row r="390" spans="1:11" ht="20.25">
      <c r="A390" s="715"/>
      <c r="B390" s="715"/>
      <c r="C390" s="715"/>
      <c r="D390" s="715"/>
      <c r="E390" s="715"/>
      <c r="F390" s="715"/>
      <c r="G390" s="715"/>
      <c r="H390" s="715"/>
      <c r="I390" s="715"/>
      <c r="J390" s="715"/>
      <c r="K390" s="715"/>
    </row>
    <row r="391" spans="1:11" ht="20.25">
      <c r="A391" s="715"/>
      <c r="B391" s="715"/>
      <c r="C391" s="715"/>
      <c r="D391" s="715"/>
      <c r="E391" s="715"/>
      <c r="F391" s="715"/>
      <c r="G391" s="715"/>
      <c r="H391" s="715"/>
      <c r="I391" s="715"/>
      <c r="J391" s="715"/>
      <c r="K391" s="715"/>
    </row>
    <row r="392" spans="1:11" ht="20.25">
      <c r="A392" s="715"/>
      <c r="B392" s="715"/>
      <c r="C392" s="715"/>
      <c r="D392" s="715"/>
      <c r="E392" s="715"/>
      <c r="F392" s="715"/>
      <c r="G392" s="715"/>
      <c r="H392" s="715"/>
      <c r="I392" s="715"/>
      <c r="J392" s="715"/>
      <c r="K392" s="715"/>
    </row>
    <row r="393" spans="1:11" ht="20.25">
      <c r="A393" s="715"/>
      <c r="B393" s="715"/>
      <c r="C393" s="715"/>
      <c r="D393" s="715"/>
      <c r="E393" s="715"/>
      <c r="F393" s="715"/>
      <c r="G393" s="715"/>
      <c r="H393" s="715"/>
      <c r="I393" s="715"/>
      <c r="J393" s="715"/>
      <c r="K393" s="715"/>
    </row>
    <row r="394" spans="1:11" ht="20.25">
      <c r="A394" s="715"/>
      <c r="B394" s="715"/>
      <c r="C394" s="715"/>
      <c r="D394" s="715"/>
      <c r="E394" s="715"/>
      <c r="F394" s="715"/>
      <c r="G394" s="715"/>
      <c r="H394" s="715"/>
      <c r="I394" s="715"/>
      <c r="J394" s="715"/>
      <c r="K394" s="715"/>
    </row>
    <row r="395" spans="1:11" ht="20.25">
      <c r="A395" s="715"/>
      <c r="B395" s="715"/>
      <c r="C395" s="715"/>
      <c r="D395" s="715"/>
      <c r="E395" s="715"/>
      <c r="F395" s="715"/>
      <c r="G395" s="715"/>
      <c r="H395" s="715"/>
      <c r="I395" s="715"/>
      <c r="J395" s="715"/>
      <c r="K395" s="715"/>
    </row>
    <row r="396" spans="1:11" ht="20.25">
      <c r="A396" s="715"/>
      <c r="B396" s="715"/>
      <c r="C396" s="715"/>
      <c r="D396" s="715"/>
      <c r="E396" s="715"/>
      <c r="F396" s="715"/>
      <c r="G396" s="715"/>
      <c r="H396" s="715"/>
      <c r="I396" s="715"/>
      <c r="J396" s="715"/>
      <c r="K396" s="715"/>
    </row>
    <row r="397" spans="1:11" ht="20.25">
      <c r="A397" s="715"/>
      <c r="B397" s="715"/>
      <c r="C397" s="715"/>
      <c r="D397" s="715"/>
      <c r="E397" s="715"/>
      <c r="F397" s="715"/>
      <c r="G397" s="715"/>
      <c r="H397" s="715"/>
      <c r="I397" s="715"/>
      <c r="J397" s="715"/>
      <c r="K397" s="715"/>
    </row>
    <row r="398" spans="1:11" ht="20.25">
      <c r="A398" s="715"/>
      <c r="B398" s="715"/>
      <c r="C398" s="715"/>
      <c r="D398" s="715"/>
      <c r="E398" s="715"/>
      <c r="F398" s="715"/>
      <c r="G398" s="715"/>
      <c r="H398" s="715"/>
      <c r="I398" s="715"/>
      <c r="J398" s="715"/>
      <c r="K398" s="715"/>
    </row>
    <row r="399" spans="1:11" ht="20.25">
      <c r="A399" s="715"/>
      <c r="B399" s="715"/>
      <c r="C399" s="715"/>
      <c r="D399" s="715"/>
      <c r="E399" s="715"/>
      <c r="F399" s="715"/>
      <c r="G399" s="715"/>
      <c r="H399" s="715"/>
      <c r="I399" s="715"/>
      <c r="J399" s="715"/>
      <c r="K399" s="715"/>
    </row>
    <row r="400" spans="1:11" ht="20.25">
      <c r="A400" s="715"/>
      <c r="B400" s="715"/>
      <c r="C400" s="715"/>
      <c r="D400" s="715"/>
      <c r="E400" s="715"/>
      <c r="F400" s="715"/>
      <c r="G400" s="715"/>
      <c r="H400" s="715"/>
      <c r="I400" s="715"/>
      <c r="J400" s="715"/>
      <c r="K400" s="715"/>
    </row>
    <row r="401" spans="1:11" ht="20.25">
      <c r="A401" s="715"/>
      <c r="B401" s="715"/>
      <c r="C401" s="715"/>
      <c r="D401" s="715"/>
      <c r="E401" s="715"/>
      <c r="F401" s="715"/>
      <c r="G401" s="715"/>
      <c r="H401" s="715"/>
      <c r="I401" s="715"/>
      <c r="J401" s="715"/>
      <c r="K401" s="715"/>
    </row>
    <row r="402" spans="1:11" ht="20.25">
      <c r="A402" s="715"/>
      <c r="B402" s="715"/>
      <c r="C402" s="715"/>
      <c r="D402" s="715"/>
      <c r="E402" s="715"/>
      <c r="F402" s="715"/>
      <c r="G402" s="715"/>
      <c r="H402" s="715"/>
      <c r="I402" s="715"/>
      <c r="J402" s="715"/>
      <c r="K402" s="715"/>
    </row>
    <row r="403" spans="1:11" ht="20.25">
      <c r="A403" s="715"/>
      <c r="B403" s="715"/>
      <c r="C403" s="715"/>
      <c r="D403" s="715"/>
      <c r="E403" s="715"/>
      <c r="F403" s="715"/>
      <c r="G403" s="715"/>
      <c r="H403" s="715"/>
      <c r="I403" s="715"/>
      <c r="J403" s="715"/>
      <c r="K403" s="715"/>
    </row>
    <row r="404" spans="1:11" ht="20.25">
      <c r="A404" s="715"/>
      <c r="B404" s="715"/>
      <c r="C404" s="715"/>
      <c r="D404" s="715"/>
      <c r="E404" s="715"/>
      <c r="F404" s="715"/>
      <c r="G404" s="715"/>
      <c r="H404" s="715"/>
      <c r="I404" s="715"/>
      <c r="J404" s="715"/>
      <c r="K404" s="715"/>
    </row>
    <row r="405" spans="1:11" ht="20.25">
      <c r="A405" s="715"/>
      <c r="B405" s="715"/>
      <c r="C405" s="715"/>
      <c r="D405" s="715"/>
      <c r="E405" s="715"/>
      <c r="F405" s="715"/>
      <c r="G405" s="715"/>
      <c r="H405" s="715"/>
      <c r="I405" s="715"/>
      <c r="J405" s="715"/>
      <c r="K405" s="715"/>
    </row>
    <row r="406" spans="1:11" ht="20.25">
      <c r="A406" s="715"/>
      <c r="B406" s="715"/>
      <c r="C406" s="715"/>
      <c r="D406" s="715"/>
      <c r="E406" s="715"/>
      <c r="F406" s="715"/>
      <c r="G406" s="715"/>
      <c r="H406" s="715"/>
      <c r="I406" s="715"/>
      <c r="J406" s="715"/>
      <c r="K406" s="715"/>
    </row>
    <row r="407" spans="1:11" ht="20.25">
      <c r="A407" s="715"/>
      <c r="B407" s="715"/>
      <c r="C407" s="715"/>
      <c r="D407" s="715"/>
      <c r="E407" s="715"/>
      <c r="F407" s="715"/>
      <c r="G407" s="715"/>
      <c r="H407" s="715"/>
      <c r="I407" s="715"/>
      <c r="J407" s="715"/>
      <c r="K407" s="715"/>
    </row>
    <row r="408" spans="1:11" ht="20.25">
      <c r="A408" s="715"/>
      <c r="B408" s="715"/>
      <c r="C408" s="715"/>
      <c r="D408" s="715"/>
      <c r="E408" s="715"/>
      <c r="F408" s="715"/>
      <c r="G408" s="715"/>
      <c r="H408" s="715"/>
      <c r="I408" s="715"/>
      <c r="J408" s="715"/>
      <c r="K408" s="715"/>
    </row>
    <row r="409" spans="1:11" ht="20.25">
      <c r="A409" s="715"/>
      <c r="B409" s="715"/>
      <c r="C409" s="715"/>
      <c r="D409" s="715"/>
      <c r="E409" s="715"/>
      <c r="F409" s="715"/>
      <c r="G409" s="715"/>
      <c r="H409" s="715"/>
      <c r="I409" s="715"/>
      <c r="J409" s="715"/>
      <c r="K409" s="715"/>
    </row>
    <row r="410" spans="1:11" ht="20.25">
      <c r="A410" s="715"/>
      <c r="B410" s="715"/>
      <c r="C410" s="715"/>
      <c r="D410" s="715"/>
      <c r="E410" s="715"/>
      <c r="F410" s="715"/>
      <c r="G410" s="715"/>
      <c r="H410" s="715"/>
      <c r="I410" s="715"/>
      <c r="J410" s="715"/>
      <c r="K410" s="715"/>
    </row>
    <row r="411" spans="1:11" ht="20.25">
      <c r="A411" s="715"/>
      <c r="B411" s="715"/>
      <c r="C411" s="715"/>
      <c r="D411" s="715"/>
      <c r="E411" s="715"/>
      <c r="F411" s="715"/>
      <c r="G411" s="715"/>
      <c r="H411" s="715"/>
      <c r="I411" s="715"/>
      <c r="J411" s="715"/>
      <c r="K411" s="715"/>
    </row>
    <row r="412" spans="1:11" ht="20.25">
      <c r="A412" s="715"/>
      <c r="B412" s="715"/>
      <c r="C412" s="715"/>
      <c r="D412" s="715"/>
      <c r="E412" s="715"/>
      <c r="F412" s="715"/>
      <c r="G412" s="715"/>
      <c r="H412" s="715"/>
      <c r="I412" s="715"/>
      <c r="J412" s="715"/>
      <c r="K412" s="715"/>
    </row>
    <row r="413" spans="1:11" ht="20.25">
      <c r="A413" s="715"/>
      <c r="B413" s="715"/>
      <c r="C413" s="715"/>
      <c r="D413" s="715"/>
      <c r="E413" s="715"/>
      <c r="F413" s="715"/>
      <c r="G413" s="715"/>
      <c r="H413" s="715"/>
      <c r="I413" s="715"/>
      <c r="J413" s="715"/>
      <c r="K413" s="715"/>
    </row>
    <row r="414" spans="1:11" ht="20.25">
      <c r="A414" s="715"/>
      <c r="B414" s="715"/>
      <c r="C414" s="715"/>
      <c r="D414" s="715"/>
      <c r="E414" s="715"/>
      <c r="F414" s="715"/>
      <c r="G414" s="715"/>
      <c r="H414" s="715"/>
      <c r="I414" s="715"/>
      <c r="J414" s="715"/>
      <c r="K414" s="715"/>
    </row>
    <row r="415" spans="1:11" ht="20.25">
      <c r="A415" s="715"/>
      <c r="B415" s="715"/>
      <c r="C415" s="715"/>
      <c r="D415" s="715"/>
      <c r="E415" s="715"/>
      <c r="F415" s="715"/>
      <c r="G415" s="715"/>
      <c r="H415" s="715"/>
      <c r="I415" s="715"/>
      <c r="J415" s="715"/>
      <c r="K415" s="715"/>
    </row>
    <row r="416" spans="1:11" ht="20.25">
      <c r="A416" s="715"/>
      <c r="B416" s="715"/>
      <c r="C416" s="715"/>
      <c r="D416" s="715"/>
      <c r="E416" s="715"/>
      <c r="F416" s="715"/>
      <c r="G416" s="715"/>
      <c r="H416" s="715"/>
      <c r="I416" s="715"/>
      <c r="J416" s="715"/>
      <c r="K416" s="715"/>
    </row>
    <row r="417" spans="1:11" ht="20.25">
      <c r="A417" s="715"/>
      <c r="B417" s="715"/>
      <c r="C417" s="715"/>
      <c r="D417" s="715"/>
      <c r="E417" s="715"/>
      <c r="F417" s="715"/>
      <c r="G417" s="715"/>
      <c r="H417" s="715"/>
      <c r="I417" s="715"/>
      <c r="J417" s="715"/>
      <c r="K417" s="715"/>
    </row>
    <row r="418" spans="1:11" ht="20.25">
      <c r="A418" s="715"/>
      <c r="B418" s="715"/>
      <c r="C418" s="715"/>
      <c r="D418" s="715"/>
      <c r="E418" s="715"/>
      <c r="F418" s="715"/>
      <c r="G418" s="715"/>
      <c r="H418" s="715"/>
      <c r="I418" s="715"/>
      <c r="J418" s="715"/>
      <c r="K418" s="715"/>
    </row>
    <row r="419" spans="1:11" ht="20.25">
      <c r="A419" s="715"/>
      <c r="B419" s="715"/>
      <c r="C419" s="715"/>
      <c r="D419" s="715"/>
      <c r="E419" s="715"/>
      <c r="F419" s="715"/>
      <c r="G419" s="715"/>
      <c r="H419" s="715"/>
      <c r="I419" s="715"/>
      <c r="J419" s="715"/>
      <c r="K419" s="715"/>
    </row>
    <row r="420" spans="1:11" ht="20.25">
      <c r="A420" s="715"/>
      <c r="B420" s="715"/>
      <c r="C420" s="715"/>
      <c r="D420" s="715"/>
      <c r="E420" s="715"/>
      <c r="F420" s="715"/>
      <c r="G420" s="715"/>
      <c r="H420" s="715"/>
      <c r="I420" s="715"/>
      <c r="J420" s="715"/>
      <c r="K420" s="715"/>
    </row>
    <row r="421" spans="1:11" ht="20.25">
      <c r="A421" s="715"/>
      <c r="B421" s="715"/>
      <c r="C421" s="715"/>
      <c r="D421" s="715"/>
      <c r="E421" s="715"/>
      <c r="F421" s="715"/>
      <c r="G421" s="715"/>
      <c r="H421" s="715"/>
      <c r="I421" s="715"/>
      <c r="J421" s="715"/>
      <c r="K421" s="715"/>
    </row>
    <row r="422" spans="1:11" ht="20.25">
      <c r="A422" s="715"/>
      <c r="B422" s="715"/>
      <c r="C422" s="715"/>
      <c r="D422" s="715"/>
      <c r="E422" s="715"/>
      <c r="F422" s="715"/>
      <c r="G422" s="715"/>
      <c r="H422" s="715"/>
      <c r="I422" s="715"/>
      <c r="J422" s="715"/>
      <c r="K422" s="715"/>
    </row>
    <row r="423" spans="1:11" ht="20.25">
      <c r="A423" s="715"/>
      <c r="B423" s="715"/>
      <c r="C423" s="715"/>
      <c r="D423" s="715"/>
      <c r="E423" s="715"/>
      <c r="F423" s="715"/>
      <c r="G423" s="715"/>
      <c r="H423" s="715"/>
      <c r="I423" s="715"/>
      <c r="J423" s="715"/>
      <c r="K423" s="715"/>
    </row>
    <row r="424" spans="1:11" ht="20.25">
      <c r="A424" s="715"/>
      <c r="B424" s="715"/>
      <c r="C424" s="715"/>
      <c r="D424" s="715"/>
      <c r="E424" s="715"/>
      <c r="F424" s="715"/>
      <c r="G424" s="715"/>
      <c r="H424" s="715"/>
      <c r="I424" s="715"/>
      <c r="J424" s="715"/>
      <c r="K424" s="715"/>
    </row>
    <row r="425" spans="1:11" ht="20.25">
      <c r="A425" s="715"/>
      <c r="B425" s="715"/>
      <c r="C425" s="715"/>
      <c r="D425" s="715"/>
      <c r="E425" s="715"/>
      <c r="F425" s="715"/>
      <c r="G425" s="715"/>
      <c r="H425" s="715"/>
      <c r="I425" s="715"/>
      <c r="J425" s="715"/>
      <c r="K425" s="715"/>
    </row>
    <row r="426" spans="1:11" ht="20.25">
      <c r="A426" s="715"/>
      <c r="B426" s="715"/>
      <c r="C426" s="715"/>
      <c r="D426" s="715"/>
      <c r="E426" s="715"/>
      <c r="F426" s="715"/>
      <c r="G426" s="715"/>
      <c r="H426" s="715"/>
      <c r="I426" s="715"/>
      <c r="J426" s="715"/>
      <c r="K426" s="715"/>
    </row>
    <row r="427" spans="1:11" ht="20.25">
      <c r="A427" s="715"/>
      <c r="B427" s="715"/>
      <c r="C427" s="715"/>
      <c r="D427" s="715"/>
      <c r="E427" s="715"/>
      <c r="F427" s="715"/>
      <c r="G427" s="715"/>
      <c r="H427" s="715"/>
      <c r="I427" s="715"/>
      <c r="J427" s="715"/>
      <c r="K427" s="715"/>
    </row>
    <row r="428" spans="1:11" ht="20.25">
      <c r="A428" s="715"/>
      <c r="B428" s="715"/>
      <c r="C428" s="715"/>
      <c r="D428" s="715"/>
      <c r="E428" s="715"/>
      <c r="F428" s="715"/>
      <c r="G428" s="715"/>
      <c r="H428" s="715"/>
      <c r="I428" s="715"/>
      <c r="J428" s="715"/>
      <c r="K428" s="715"/>
    </row>
    <row r="429" spans="1:11" ht="20.25">
      <c r="A429" s="715"/>
      <c r="B429" s="715"/>
      <c r="C429" s="715"/>
      <c r="D429" s="715"/>
      <c r="E429" s="715"/>
      <c r="F429" s="715"/>
      <c r="G429" s="715"/>
      <c r="H429" s="715"/>
      <c r="I429" s="715"/>
      <c r="J429" s="715"/>
      <c r="K429" s="715"/>
    </row>
    <row r="430" spans="1:11" ht="20.25">
      <c r="A430" s="715"/>
      <c r="B430" s="715"/>
      <c r="C430" s="715"/>
      <c r="D430" s="715"/>
      <c r="E430" s="715"/>
      <c r="F430" s="715"/>
      <c r="G430" s="715"/>
      <c r="H430" s="715"/>
      <c r="I430" s="715"/>
      <c r="J430" s="715"/>
      <c r="K430" s="715"/>
    </row>
    <row r="431" spans="1:11" ht="20.25">
      <c r="A431" s="715"/>
      <c r="B431" s="715"/>
      <c r="C431" s="715"/>
      <c r="D431" s="715"/>
      <c r="E431" s="715"/>
      <c r="F431" s="715"/>
      <c r="G431" s="715"/>
      <c r="H431" s="715"/>
      <c r="I431" s="715"/>
      <c r="J431" s="715"/>
      <c r="K431" s="715"/>
    </row>
    <row r="432" spans="1:11" ht="20.25">
      <c r="A432" s="715"/>
      <c r="B432" s="715"/>
      <c r="C432" s="715"/>
      <c r="D432" s="715"/>
      <c r="E432" s="715"/>
      <c r="F432" s="715"/>
      <c r="G432" s="715"/>
      <c r="H432" s="715"/>
      <c r="I432" s="715"/>
      <c r="J432" s="715"/>
      <c r="K432" s="715"/>
    </row>
    <row r="433" spans="1:11" ht="20.25">
      <c r="A433" s="715"/>
      <c r="B433" s="715"/>
      <c r="C433" s="715"/>
      <c r="D433" s="715"/>
      <c r="E433" s="715"/>
      <c r="F433" s="715"/>
      <c r="G433" s="715"/>
      <c r="H433" s="715"/>
      <c r="I433" s="715"/>
      <c r="J433" s="715"/>
      <c r="K433" s="715"/>
    </row>
    <row r="434" spans="1:11" ht="20.25">
      <c r="A434" s="715"/>
      <c r="B434" s="715"/>
      <c r="C434" s="715"/>
      <c r="D434" s="715"/>
      <c r="E434" s="715"/>
      <c r="F434" s="715"/>
      <c r="G434" s="715"/>
      <c r="H434" s="715"/>
      <c r="I434" s="715"/>
      <c r="J434" s="715"/>
      <c r="K434" s="715"/>
    </row>
    <row r="435" spans="1:11" ht="20.25">
      <c r="A435" s="715"/>
      <c r="B435" s="715"/>
      <c r="C435" s="715"/>
      <c r="D435" s="715"/>
      <c r="E435" s="715"/>
      <c r="F435" s="715"/>
      <c r="G435" s="715"/>
      <c r="H435" s="715"/>
      <c r="I435" s="715"/>
      <c r="J435" s="715"/>
      <c r="K435" s="715"/>
    </row>
    <row r="436" spans="1:11" ht="20.25">
      <c r="A436" s="715"/>
      <c r="B436" s="715"/>
      <c r="C436" s="715"/>
      <c r="D436" s="715"/>
      <c r="E436" s="715"/>
      <c r="F436" s="715"/>
      <c r="G436" s="715"/>
      <c r="H436" s="715"/>
      <c r="I436" s="715"/>
      <c r="J436" s="715"/>
      <c r="K436" s="715"/>
    </row>
    <row r="437" spans="1:11" ht="20.25">
      <c r="A437" s="715"/>
      <c r="B437" s="715"/>
      <c r="C437" s="715"/>
      <c r="D437" s="715"/>
      <c r="E437" s="715"/>
      <c r="F437" s="715"/>
      <c r="G437" s="715"/>
      <c r="H437" s="715"/>
      <c r="I437" s="715"/>
      <c r="J437" s="715"/>
      <c r="K437" s="715"/>
    </row>
    <row r="438" spans="1:11" ht="20.25">
      <c r="A438" s="715"/>
      <c r="B438" s="715"/>
      <c r="C438" s="715"/>
      <c r="D438" s="715"/>
      <c r="E438" s="715"/>
      <c r="F438" s="715"/>
      <c r="G438" s="715"/>
      <c r="H438" s="715"/>
      <c r="I438" s="715"/>
      <c r="J438" s="715"/>
      <c r="K438" s="715"/>
    </row>
    <row r="439" spans="1:11" ht="20.25">
      <c r="A439" s="715"/>
      <c r="B439" s="715"/>
      <c r="C439" s="715"/>
      <c r="D439" s="715"/>
      <c r="E439" s="715"/>
      <c r="F439" s="715"/>
      <c r="G439" s="715"/>
      <c r="H439" s="715"/>
      <c r="I439" s="715"/>
      <c r="J439" s="715"/>
      <c r="K439" s="715"/>
    </row>
    <row r="440" spans="1:11" ht="20.25">
      <c r="A440" s="715"/>
      <c r="B440" s="715"/>
      <c r="C440" s="715"/>
      <c r="D440" s="715"/>
      <c r="E440" s="715"/>
      <c r="F440" s="715"/>
      <c r="G440" s="715"/>
      <c r="H440" s="715"/>
      <c r="I440" s="715"/>
      <c r="J440" s="715"/>
      <c r="K440" s="715"/>
    </row>
    <row r="441" spans="1:11" ht="20.25">
      <c r="A441" s="715"/>
      <c r="B441" s="715"/>
      <c r="C441" s="715"/>
      <c r="D441" s="715"/>
      <c r="E441" s="715"/>
      <c r="F441" s="715"/>
      <c r="G441" s="715"/>
      <c r="H441" s="715"/>
      <c r="I441" s="715"/>
      <c r="J441" s="715"/>
      <c r="K441" s="715"/>
    </row>
    <row r="442" spans="1:11" ht="20.25">
      <c r="A442" s="715"/>
      <c r="B442" s="715"/>
      <c r="C442" s="715"/>
      <c r="D442" s="715"/>
      <c r="E442" s="715"/>
      <c r="F442" s="715"/>
      <c r="G442" s="715"/>
      <c r="H442" s="715"/>
      <c r="I442" s="715"/>
      <c r="J442" s="715"/>
      <c r="K442" s="715"/>
    </row>
    <row r="443" spans="1:11" ht="20.25">
      <c r="A443" s="715"/>
      <c r="B443" s="715"/>
      <c r="C443" s="715"/>
      <c r="D443" s="715"/>
      <c r="E443" s="715"/>
      <c r="F443" s="715"/>
      <c r="G443" s="715"/>
      <c r="H443" s="715"/>
      <c r="I443" s="715"/>
      <c r="J443" s="715"/>
      <c r="K443" s="715"/>
    </row>
    <row r="444" spans="1:11" ht="20.25">
      <c r="A444" s="715"/>
      <c r="B444" s="715"/>
      <c r="C444" s="715"/>
      <c r="D444" s="715"/>
      <c r="E444" s="715"/>
      <c r="F444" s="715"/>
      <c r="G444" s="715"/>
      <c r="H444" s="715"/>
      <c r="I444" s="715"/>
      <c r="J444" s="715"/>
      <c r="K444" s="715"/>
    </row>
    <row r="445" spans="1:11" ht="20.25">
      <c r="A445" s="715"/>
      <c r="B445" s="715"/>
      <c r="C445" s="715"/>
      <c r="D445" s="715"/>
      <c r="E445" s="715"/>
      <c r="F445" s="715"/>
      <c r="G445" s="715"/>
      <c r="H445" s="715"/>
      <c r="I445" s="715"/>
      <c r="J445" s="715"/>
      <c r="K445" s="715"/>
    </row>
    <row r="446" spans="1:11" ht="20.25">
      <c r="A446" s="715"/>
      <c r="B446" s="715"/>
      <c r="C446" s="715"/>
      <c r="D446" s="715"/>
      <c r="E446" s="715"/>
      <c r="F446" s="715"/>
      <c r="G446" s="715"/>
      <c r="H446" s="715"/>
      <c r="I446" s="715"/>
      <c r="J446" s="715"/>
      <c r="K446" s="715"/>
    </row>
    <row r="447" spans="1:11" ht="20.25">
      <c r="A447" s="715"/>
      <c r="B447" s="715"/>
      <c r="C447" s="715"/>
      <c r="D447" s="715"/>
      <c r="E447" s="715"/>
      <c r="F447" s="715"/>
      <c r="G447" s="715"/>
      <c r="H447" s="715"/>
      <c r="I447" s="715"/>
      <c r="J447" s="715"/>
      <c r="K447" s="715"/>
    </row>
    <row r="448" spans="1:11" ht="20.25">
      <c r="A448" s="715"/>
      <c r="B448" s="715"/>
      <c r="C448" s="715"/>
      <c r="D448" s="715"/>
      <c r="E448" s="715"/>
      <c r="F448" s="715"/>
      <c r="G448" s="715"/>
      <c r="H448" s="715"/>
      <c r="I448" s="715"/>
      <c r="J448" s="715"/>
      <c r="K448" s="715"/>
    </row>
    <row r="449" spans="1:11" ht="20.25">
      <c r="A449" s="715"/>
      <c r="B449" s="715"/>
      <c r="C449" s="715"/>
      <c r="D449" s="715"/>
      <c r="E449" s="715"/>
      <c r="F449" s="715"/>
      <c r="G449" s="715"/>
      <c r="H449" s="715"/>
      <c r="I449" s="715"/>
      <c r="J449" s="715"/>
      <c r="K449" s="715"/>
    </row>
    <row r="450" spans="1:11" ht="20.25">
      <c r="A450" s="715"/>
      <c r="B450" s="715"/>
      <c r="C450" s="715"/>
      <c r="D450" s="715"/>
      <c r="E450" s="715"/>
      <c r="F450" s="715"/>
      <c r="G450" s="715"/>
      <c r="H450" s="715"/>
      <c r="I450" s="715"/>
      <c r="J450" s="715"/>
      <c r="K450" s="715"/>
    </row>
    <row r="451" spans="1:11" ht="20.25">
      <c r="A451" s="715"/>
      <c r="B451" s="715"/>
      <c r="C451" s="715"/>
      <c r="D451" s="715"/>
      <c r="E451" s="715"/>
      <c r="F451" s="715"/>
      <c r="G451" s="715"/>
      <c r="H451" s="715"/>
      <c r="I451" s="715"/>
      <c r="J451" s="715"/>
      <c r="K451" s="715"/>
    </row>
    <row r="452" spans="1:11" ht="20.25">
      <c r="A452" s="715"/>
      <c r="B452" s="715"/>
      <c r="C452" s="715"/>
      <c r="D452" s="715"/>
      <c r="E452" s="715"/>
      <c r="F452" s="715"/>
      <c r="G452" s="715"/>
      <c r="H452" s="715"/>
      <c r="I452" s="715"/>
      <c r="J452" s="715"/>
      <c r="K452" s="715"/>
    </row>
    <row r="453" spans="1:11" ht="20.25">
      <c r="A453" s="715"/>
      <c r="B453" s="715"/>
      <c r="C453" s="715"/>
      <c r="D453" s="715"/>
      <c r="E453" s="715"/>
      <c r="F453" s="715"/>
      <c r="G453" s="715"/>
      <c r="H453" s="715"/>
      <c r="I453" s="715"/>
      <c r="J453" s="715"/>
      <c r="K453" s="715"/>
    </row>
    <row r="454" spans="1:11" ht="20.25">
      <c r="A454" s="715"/>
      <c r="B454" s="715"/>
      <c r="C454" s="715"/>
      <c r="D454" s="715"/>
      <c r="E454" s="715"/>
      <c r="F454" s="715"/>
      <c r="G454" s="715"/>
      <c r="H454" s="715"/>
      <c r="I454" s="715"/>
      <c r="J454" s="715"/>
      <c r="K454" s="715"/>
    </row>
    <row r="455" spans="1:11" ht="20.25">
      <c r="A455" s="715"/>
      <c r="B455" s="715"/>
      <c r="C455" s="715"/>
      <c r="D455" s="715"/>
      <c r="E455" s="715"/>
      <c r="F455" s="715"/>
      <c r="G455" s="715"/>
      <c r="H455" s="715"/>
      <c r="I455" s="715"/>
      <c r="J455" s="715"/>
      <c r="K455" s="715"/>
    </row>
    <row r="456" spans="1:11" ht="20.25">
      <c r="A456" s="715"/>
      <c r="B456" s="715"/>
      <c r="C456" s="715"/>
      <c r="D456" s="715"/>
      <c r="E456" s="715"/>
      <c r="F456" s="715"/>
      <c r="G456" s="715"/>
      <c r="H456" s="715"/>
      <c r="I456" s="715"/>
      <c r="J456" s="715"/>
      <c r="K456" s="715"/>
    </row>
    <row r="457" spans="1:11" ht="20.25">
      <c r="A457" s="715"/>
      <c r="B457" s="715"/>
      <c r="C457" s="715"/>
      <c r="D457" s="715"/>
      <c r="E457" s="715"/>
      <c r="F457" s="715"/>
      <c r="G457" s="715"/>
      <c r="H457" s="715"/>
      <c r="I457" s="715"/>
      <c r="J457" s="715"/>
      <c r="K457" s="715"/>
    </row>
    <row r="458" spans="1:11" ht="20.25">
      <c r="A458" s="715"/>
      <c r="B458" s="715"/>
      <c r="C458" s="715"/>
      <c r="D458" s="715"/>
      <c r="E458" s="715"/>
      <c r="F458" s="715"/>
      <c r="G458" s="715"/>
      <c r="H458" s="715"/>
      <c r="I458" s="715"/>
      <c r="J458" s="715"/>
      <c r="K458" s="715"/>
    </row>
    <row r="459" spans="1:11" ht="20.25">
      <c r="A459" s="715"/>
      <c r="B459" s="715"/>
      <c r="C459" s="715"/>
      <c r="D459" s="715"/>
      <c r="E459" s="715"/>
      <c r="F459" s="715"/>
      <c r="G459" s="715"/>
      <c r="H459" s="715"/>
      <c r="I459" s="715"/>
      <c r="J459" s="715"/>
      <c r="K459" s="715"/>
    </row>
    <row r="460" spans="1:11" ht="20.25">
      <c r="A460" s="715"/>
      <c r="B460" s="715"/>
      <c r="C460" s="715"/>
      <c r="D460" s="715"/>
      <c r="E460" s="715"/>
      <c r="F460" s="715"/>
      <c r="G460" s="715"/>
      <c r="H460" s="715"/>
      <c r="I460" s="715"/>
      <c r="J460" s="715"/>
      <c r="K460" s="715"/>
    </row>
    <row r="461" spans="1:11" ht="20.25">
      <c r="A461" s="715"/>
      <c r="B461" s="715"/>
      <c r="C461" s="715"/>
      <c r="D461" s="715"/>
      <c r="E461" s="715"/>
      <c r="F461" s="715"/>
      <c r="G461" s="715"/>
      <c r="H461" s="715"/>
      <c r="I461" s="715"/>
      <c r="J461" s="715"/>
      <c r="K461" s="715"/>
    </row>
    <row r="462" spans="1:11" ht="20.25">
      <c r="A462" s="715"/>
      <c r="B462" s="715"/>
      <c r="C462" s="715"/>
      <c r="D462" s="715"/>
      <c r="E462" s="715"/>
      <c r="F462" s="715"/>
      <c r="G462" s="715"/>
      <c r="H462" s="715"/>
      <c r="I462" s="715"/>
      <c r="J462" s="715"/>
      <c r="K462" s="715"/>
    </row>
    <row r="463" spans="1:11" ht="20.25">
      <c r="A463" s="715"/>
      <c r="B463" s="715"/>
      <c r="C463" s="715"/>
      <c r="D463" s="715"/>
      <c r="E463" s="715"/>
      <c r="F463" s="715"/>
      <c r="G463" s="715"/>
      <c r="H463" s="715"/>
      <c r="I463" s="715"/>
      <c r="J463" s="715"/>
      <c r="K463" s="715"/>
    </row>
    <row r="464" spans="1:11" ht="20.25">
      <c r="A464" s="715"/>
      <c r="B464" s="715"/>
      <c r="C464" s="715"/>
      <c r="D464" s="715"/>
      <c r="E464" s="715"/>
      <c r="F464" s="715"/>
      <c r="G464" s="715"/>
      <c r="H464" s="715"/>
      <c r="I464" s="715"/>
      <c r="J464" s="715"/>
      <c r="K464" s="715"/>
    </row>
    <row r="465" spans="1:11" ht="20.25">
      <c r="A465" s="715"/>
      <c r="B465" s="715"/>
      <c r="C465" s="715"/>
      <c r="D465" s="715"/>
      <c r="E465" s="715"/>
      <c r="F465" s="715"/>
      <c r="G465" s="715"/>
      <c r="H465" s="715"/>
      <c r="I465" s="715"/>
      <c r="J465" s="715"/>
      <c r="K465" s="715"/>
    </row>
    <row r="466" spans="1:11" ht="20.25">
      <c r="A466" s="715"/>
      <c r="B466" s="715"/>
      <c r="C466" s="715"/>
      <c r="D466" s="715"/>
      <c r="E466" s="715"/>
      <c r="F466" s="715"/>
      <c r="G466" s="715"/>
      <c r="H466" s="715"/>
      <c r="I466" s="715"/>
      <c r="J466" s="715"/>
      <c r="K466" s="715"/>
    </row>
    <row r="467" spans="1:11" ht="20.25">
      <c r="A467" s="715"/>
      <c r="B467" s="715"/>
      <c r="C467" s="715"/>
      <c r="D467" s="715"/>
      <c r="E467" s="715"/>
      <c r="F467" s="715"/>
      <c r="G467" s="715"/>
      <c r="H467" s="715"/>
      <c r="I467" s="715"/>
      <c r="J467" s="715"/>
      <c r="K467" s="715"/>
    </row>
    <row r="468" spans="1:11" ht="20.25">
      <c r="A468" s="715"/>
      <c r="B468" s="715"/>
      <c r="C468" s="715"/>
      <c r="D468" s="715"/>
      <c r="E468" s="715"/>
      <c r="F468" s="715"/>
      <c r="G468" s="715"/>
      <c r="H468" s="715"/>
      <c r="I468" s="715"/>
      <c r="J468" s="715"/>
      <c r="K468" s="715"/>
    </row>
    <row r="469" spans="1:11" ht="20.25">
      <c r="A469" s="715"/>
      <c r="B469" s="715"/>
      <c r="C469" s="715"/>
      <c r="D469" s="715"/>
      <c r="E469" s="715"/>
      <c r="F469" s="715"/>
      <c r="G469" s="715"/>
      <c r="H469" s="715"/>
      <c r="I469" s="715"/>
      <c r="J469" s="715"/>
      <c r="K469" s="715"/>
    </row>
    <row r="470" spans="1:11" ht="20.25">
      <c r="A470" s="715"/>
      <c r="B470" s="715"/>
      <c r="C470" s="715"/>
      <c r="D470" s="715"/>
      <c r="E470" s="715"/>
      <c r="F470" s="715"/>
      <c r="G470" s="715"/>
      <c r="H470" s="715"/>
      <c r="I470" s="715"/>
      <c r="J470" s="715"/>
      <c r="K470" s="715"/>
    </row>
    <row r="471" spans="1:11" ht="20.25">
      <c r="A471" s="715"/>
      <c r="B471" s="715"/>
      <c r="C471" s="715"/>
      <c r="D471" s="715"/>
      <c r="E471" s="715"/>
      <c r="F471" s="715"/>
      <c r="G471" s="715"/>
      <c r="H471" s="715"/>
      <c r="I471" s="715"/>
      <c r="J471" s="715"/>
      <c r="K471" s="715"/>
    </row>
    <row r="472" spans="1:11" ht="20.25">
      <c r="A472" s="715"/>
      <c r="B472" s="715"/>
      <c r="C472" s="715"/>
      <c r="D472" s="715"/>
      <c r="E472" s="715"/>
      <c r="F472" s="715"/>
      <c r="G472" s="715"/>
      <c r="H472" s="715"/>
      <c r="I472" s="715"/>
      <c r="J472" s="715"/>
      <c r="K472" s="715"/>
    </row>
    <row r="473" spans="1:11" ht="20.25">
      <c r="A473" s="715"/>
      <c r="B473" s="715"/>
      <c r="C473" s="715"/>
      <c r="D473" s="715"/>
      <c r="E473" s="715"/>
      <c r="F473" s="715"/>
      <c r="G473" s="715"/>
      <c r="H473" s="715"/>
      <c r="I473" s="715"/>
      <c r="J473" s="715"/>
      <c r="K473" s="715"/>
    </row>
    <row r="474" spans="1:11" ht="20.25">
      <c r="A474" s="715"/>
      <c r="B474" s="715"/>
      <c r="C474" s="715"/>
      <c r="D474" s="715"/>
      <c r="E474" s="715"/>
      <c r="F474" s="715"/>
      <c r="G474" s="715"/>
      <c r="H474" s="715"/>
      <c r="I474" s="715"/>
      <c r="J474" s="715"/>
      <c r="K474" s="715"/>
    </row>
    <row r="475" spans="1:11" ht="20.25">
      <c r="A475" s="715"/>
      <c r="B475" s="715"/>
      <c r="C475" s="715"/>
      <c r="D475" s="715"/>
      <c r="E475" s="715"/>
      <c r="F475" s="715"/>
      <c r="G475" s="715"/>
      <c r="H475" s="715"/>
      <c r="I475" s="715"/>
      <c r="J475" s="715"/>
      <c r="K475" s="715"/>
    </row>
    <row r="476" spans="1:11" ht="20.25">
      <c r="A476" s="715"/>
      <c r="B476" s="715"/>
      <c r="C476" s="715"/>
      <c r="D476" s="715"/>
      <c r="E476" s="715"/>
      <c r="F476" s="715"/>
      <c r="G476" s="715"/>
      <c r="H476" s="715"/>
      <c r="I476" s="715"/>
      <c r="J476" s="715"/>
      <c r="K476" s="715"/>
    </row>
    <row r="477" spans="1:11" ht="20.25">
      <c r="A477" s="715"/>
      <c r="B477" s="715"/>
      <c r="C477" s="715"/>
      <c r="D477" s="715"/>
      <c r="E477" s="715"/>
      <c r="F477" s="715"/>
      <c r="G477" s="715"/>
      <c r="H477" s="715"/>
      <c r="I477" s="715"/>
      <c r="J477" s="715"/>
      <c r="K477" s="715"/>
    </row>
    <row r="478" spans="1:11" ht="20.25">
      <c r="A478" s="715"/>
      <c r="B478" s="715"/>
      <c r="C478" s="715"/>
      <c r="D478" s="715"/>
      <c r="E478" s="715"/>
      <c r="F478" s="715"/>
      <c r="G478" s="715"/>
      <c r="H478" s="715"/>
      <c r="I478" s="715"/>
      <c r="J478" s="715"/>
      <c r="K478" s="715"/>
    </row>
    <row r="479" spans="1:11" ht="20.25">
      <c r="A479" s="715"/>
      <c r="B479" s="715"/>
      <c r="C479" s="715"/>
      <c r="D479" s="715"/>
      <c r="E479" s="715"/>
      <c r="F479" s="715"/>
      <c r="G479" s="715"/>
      <c r="H479" s="715"/>
      <c r="I479" s="715"/>
      <c r="J479" s="715"/>
      <c r="K479" s="715"/>
    </row>
    <row r="480" spans="1:11" ht="20.25">
      <c r="A480" s="715"/>
      <c r="B480" s="715"/>
      <c r="C480" s="715"/>
      <c r="D480" s="715"/>
      <c r="E480" s="715"/>
      <c r="F480" s="715"/>
      <c r="G480" s="715"/>
      <c r="H480" s="715"/>
      <c r="I480" s="715"/>
      <c r="J480" s="715"/>
      <c r="K480" s="715"/>
    </row>
    <row r="481" spans="1:11" ht="20.25">
      <c r="A481" s="715"/>
      <c r="B481" s="715"/>
      <c r="C481" s="715"/>
      <c r="D481" s="715"/>
      <c r="E481" s="715"/>
      <c r="F481" s="715"/>
      <c r="G481" s="715"/>
      <c r="H481" s="715"/>
      <c r="I481" s="715"/>
      <c r="J481" s="715"/>
      <c r="K481" s="715"/>
    </row>
    <row r="482" spans="1:11" ht="20.25">
      <c r="A482" s="715"/>
      <c r="B482" s="715"/>
      <c r="C482" s="715"/>
      <c r="D482" s="715"/>
      <c r="E482" s="715"/>
      <c r="F482" s="715"/>
      <c r="G482" s="715"/>
      <c r="H482" s="715"/>
      <c r="I482" s="715"/>
      <c r="J482" s="715"/>
      <c r="K482" s="715"/>
    </row>
    <row r="483" spans="1:11" ht="20.25">
      <c r="A483" s="715"/>
      <c r="B483" s="715"/>
      <c r="C483" s="715"/>
      <c r="D483" s="715"/>
      <c r="E483" s="715"/>
      <c r="F483" s="715"/>
      <c r="G483" s="715"/>
      <c r="H483" s="715"/>
      <c r="I483" s="715"/>
      <c r="J483" s="715"/>
      <c r="K483" s="715"/>
    </row>
    <row r="484" spans="1:11" ht="20.25">
      <c r="A484" s="715"/>
      <c r="B484" s="715"/>
      <c r="C484" s="715"/>
      <c r="D484" s="715"/>
      <c r="E484" s="715"/>
      <c r="F484" s="715"/>
      <c r="G484" s="715"/>
      <c r="H484" s="715"/>
      <c r="I484" s="715"/>
      <c r="J484" s="715"/>
      <c r="K484" s="715"/>
    </row>
    <row r="485" spans="1:11" ht="20.25">
      <c r="A485" s="715"/>
      <c r="B485" s="715"/>
      <c r="C485" s="715"/>
      <c r="D485" s="715"/>
      <c r="E485" s="715"/>
      <c r="F485" s="715"/>
      <c r="G485" s="715"/>
      <c r="H485" s="715"/>
      <c r="I485" s="715"/>
      <c r="J485" s="715"/>
      <c r="K485" s="715"/>
    </row>
    <row r="486" spans="1:11" ht="20.25">
      <c r="A486" s="715"/>
      <c r="B486" s="715"/>
      <c r="C486" s="715"/>
      <c r="D486" s="715"/>
      <c r="E486" s="715"/>
      <c r="F486" s="715"/>
      <c r="G486" s="715"/>
      <c r="H486" s="715"/>
      <c r="I486" s="715"/>
      <c r="J486" s="715"/>
      <c r="K486" s="715"/>
    </row>
    <row r="487" spans="1:11" ht="20.25">
      <c r="A487" s="715"/>
      <c r="B487" s="715"/>
      <c r="C487" s="715"/>
      <c r="D487" s="715"/>
      <c r="E487" s="715"/>
      <c r="F487" s="715"/>
      <c r="G487" s="715"/>
      <c r="H487" s="715"/>
      <c r="I487" s="715"/>
      <c r="J487" s="715"/>
      <c r="K487" s="715"/>
    </row>
    <row r="488" spans="1:11" ht="20.25">
      <c r="A488" s="715"/>
      <c r="B488" s="715"/>
      <c r="C488" s="715"/>
      <c r="D488" s="715"/>
      <c r="E488" s="715"/>
      <c r="F488" s="715"/>
      <c r="G488" s="715"/>
      <c r="H488" s="715"/>
      <c r="I488" s="715"/>
      <c r="J488" s="715"/>
      <c r="K488" s="715"/>
    </row>
    <row r="489" spans="1:11" ht="20.25">
      <c r="A489" s="715"/>
      <c r="B489" s="715"/>
      <c r="C489" s="715"/>
      <c r="D489" s="715"/>
      <c r="E489" s="715"/>
      <c r="F489" s="715"/>
      <c r="G489" s="715"/>
      <c r="H489" s="715"/>
      <c r="I489" s="715"/>
      <c r="J489" s="715"/>
      <c r="K489" s="715"/>
    </row>
    <row r="490" spans="1:11" ht="20.25">
      <c r="A490" s="715"/>
      <c r="B490" s="715"/>
      <c r="C490" s="715"/>
      <c r="D490" s="715"/>
      <c r="E490" s="715"/>
      <c r="F490" s="715"/>
      <c r="G490" s="715"/>
      <c r="H490" s="715"/>
      <c r="I490" s="715"/>
      <c r="J490" s="715"/>
      <c r="K490" s="715"/>
    </row>
    <row r="491" spans="1:11" ht="20.25">
      <c r="A491" s="715"/>
      <c r="B491" s="715"/>
      <c r="C491" s="715"/>
      <c r="D491" s="715"/>
      <c r="E491" s="715"/>
      <c r="F491" s="715"/>
      <c r="G491" s="715"/>
      <c r="H491" s="715"/>
      <c r="I491" s="715"/>
      <c r="J491" s="715"/>
      <c r="K491" s="715"/>
    </row>
    <row r="492" spans="1:11" ht="20.25">
      <c r="A492" s="715"/>
      <c r="B492" s="715"/>
      <c r="C492" s="715"/>
      <c r="D492" s="715"/>
      <c r="E492" s="715"/>
      <c r="F492" s="715"/>
      <c r="G492" s="715"/>
      <c r="H492" s="715"/>
      <c r="I492" s="715"/>
      <c r="J492" s="715"/>
      <c r="K492" s="715"/>
    </row>
    <row r="493" spans="1:11" ht="20.25">
      <c r="A493" s="715"/>
      <c r="B493" s="715"/>
      <c r="C493" s="715"/>
      <c r="D493" s="715"/>
      <c r="E493" s="715"/>
      <c r="F493" s="715"/>
      <c r="G493" s="715"/>
      <c r="H493" s="715"/>
      <c r="I493" s="715"/>
      <c r="J493" s="715"/>
      <c r="K493" s="715"/>
    </row>
    <row r="494" spans="1:11" ht="20.25">
      <c r="A494" s="715"/>
      <c r="B494" s="715"/>
      <c r="C494" s="715"/>
      <c r="D494" s="715"/>
      <c r="E494" s="715"/>
      <c r="F494" s="715"/>
      <c r="G494" s="715"/>
      <c r="H494" s="715"/>
      <c r="I494" s="715"/>
      <c r="J494" s="715"/>
      <c r="K494" s="715"/>
    </row>
    <row r="495" spans="1:11" ht="20.25">
      <c r="A495" s="715"/>
      <c r="B495" s="715"/>
      <c r="C495" s="715"/>
      <c r="D495" s="715"/>
      <c r="E495" s="715"/>
      <c r="F495" s="715"/>
      <c r="G495" s="715"/>
      <c r="H495" s="715"/>
      <c r="I495" s="715"/>
      <c r="J495" s="715"/>
      <c r="K495" s="715"/>
    </row>
    <row r="496" spans="1:11" ht="20.25">
      <c r="A496" s="715"/>
      <c r="B496" s="715"/>
      <c r="C496" s="715"/>
      <c r="D496" s="715"/>
      <c r="E496" s="715"/>
      <c r="F496" s="715"/>
      <c r="G496" s="715"/>
      <c r="H496" s="715"/>
      <c r="I496" s="715"/>
      <c r="J496" s="715"/>
      <c r="K496" s="715"/>
    </row>
    <row r="497" spans="1:11" ht="20.25">
      <c r="A497" s="715"/>
      <c r="B497" s="715"/>
      <c r="C497" s="715"/>
      <c r="D497" s="715"/>
      <c r="E497" s="715"/>
      <c r="F497" s="715"/>
      <c r="G497" s="715"/>
      <c r="H497" s="715"/>
      <c r="I497" s="715"/>
      <c r="J497" s="715"/>
      <c r="K497" s="715"/>
    </row>
    <row r="498" spans="1:11" ht="20.25">
      <c r="A498" s="715"/>
      <c r="B498" s="715"/>
      <c r="C498" s="715"/>
      <c r="D498" s="715"/>
      <c r="E498" s="715"/>
      <c r="F498" s="715"/>
      <c r="G498" s="715"/>
      <c r="H498" s="715"/>
      <c r="I498" s="715"/>
      <c r="J498" s="715"/>
      <c r="K498" s="715"/>
    </row>
    <row r="499" spans="1:11" ht="20.25">
      <c r="A499" s="715"/>
      <c r="B499" s="715"/>
      <c r="C499" s="715"/>
      <c r="D499" s="715"/>
      <c r="E499" s="715"/>
      <c r="F499" s="715"/>
      <c r="G499" s="715"/>
      <c r="H499" s="715"/>
      <c r="I499" s="715"/>
      <c r="J499" s="715"/>
      <c r="K499" s="715"/>
    </row>
    <row r="500" spans="1:11" ht="20.25">
      <c r="A500" s="715"/>
      <c r="B500" s="715"/>
      <c r="C500" s="715"/>
      <c r="D500" s="715"/>
      <c r="E500" s="715"/>
      <c r="F500" s="715"/>
      <c r="G500" s="715"/>
      <c r="H500" s="715"/>
      <c r="I500" s="715"/>
      <c r="J500" s="715"/>
      <c r="K500" s="715"/>
    </row>
    <row r="501" spans="1:11" ht="20.25">
      <c r="A501" s="715"/>
      <c r="B501" s="715"/>
      <c r="C501" s="715"/>
      <c r="D501" s="715"/>
      <c r="E501" s="715"/>
      <c r="F501" s="715"/>
      <c r="G501" s="715"/>
      <c r="H501" s="715"/>
      <c r="I501" s="715"/>
      <c r="J501" s="715"/>
      <c r="K501" s="715"/>
    </row>
    <row r="502" spans="1:11" ht="20.25">
      <c r="A502" s="715"/>
      <c r="B502" s="715"/>
      <c r="C502" s="715"/>
      <c r="D502" s="715"/>
      <c r="E502" s="715"/>
      <c r="F502" s="715"/>
      <c r="G502" s="715"/>
      <c r="H502" s="715"/>
      <c r="I502" s="715"/>
      <c r="J502" s="715"/>
      <c r="K502" s="715"/>
    </row>
    <row r="503" spans="1:11" ht="20.25">
      <c r="A503" s="715"/>
      <c r="B503" s="715"/>
      <c r="C503" s="715"/>
      <c r="D503" s="715"/>
      <c r="E503" s="715"/>
      <c r="F503" s="715"/>
      <c r="G503" s="715"/>
      <c r="H503" s="715"/>
      <c r="I503" s="715"/>
      <c r="J503" s="715"/>
      <c r="K503" s="715"/>
    </row>
    <row r="504" spans="1:11" ht="20.25">
      <c r="A504" s="715"/>
      <c r="B504" s="715"/>
      <c r="C504" s="715"/>
      <c r="D504" s="715"/>
      <c r="E504" s="715"/>
      <c r="F504" s="715"/>
      <c r="G504" s="715"/>
      <c r="H504" s="715"/>
      <c r="I504" s="715"/>
      <c r="J504" s="715"/>
      <c r="K504" s="715"/>
    </row>
    <row r="505" spans="1:11" ht="20.25">
      <c r="A505" s="715"/>
      <c r="B505" s="715"/>
      <c r="C505" s="715"/>
      <c r="D505" s="715"/>
      <c r="E505" s="715"/>
      <c r="F505" s="715"/>
      <c r="G505" s="715"/>
      <c r="H505" s="715"/>
      <c r="I505" s="715"/>
      <c r="J505" s="715"/>
      <c r="K505" s="715"/>
    </row>
    <row r="506" spans="1:11" ht="20.25">
      <c r="A506" s="715"/>
      <c r="B506" s="715"/>
      <c r="C506" s="715"/>
      <c r="D506" s="715"/>
      <c r="E506" s="715"/>
      <c r="F506" s="715"/>
      <c r="G506" s="715"/>
      <c r="H506" s="715"/>
      <c r="I506" s="715"/>
      <c r="J506" s="715"/>
      <c r="K506" s="715"/>
    </row>
    <row r="507" spans="1:11" ht="20.25">
      <c r="A507" s="715"/>
      <c r="B507" s="715"/>
      <c r="C507" s="715"/>
      <c r="D507" s="715"/>
      <c r="E507" s="715"/>
      <c r="F507" s="715"/>
      <c r="G507" s="715"/>
      <c r="H507" s="715"/>
      <c r="I507" s="715"/>
      <c r="J507" s="715"/>
      <c r="K507" s="715"/>
    </row>
    <row r="508" spans="1:11" ht="20.25">
      <c r="A508" s="715"/>
      <c r="B508" s="715"/>
      <c r="C508" s="715"/>
      <c r="D508" s="715"/>
      <c r="E508" s="715"/>
      <c r="F508" s="715"/>
      <c r="G508" s="715"/>
      <c r="H508" s="715"/>
      <c r="I508" s="715"/>
      <c r="J508" s="715"/>
      <c r="K508" s="715"/>
    </row>
    <row r="509" spans="1:11" ht="20.25">
      <c r="A509" s="715"/>
      <c r="B509" s="715"/>
      <c r="C509" s="715"/>
      <c r="D509" s="715"/>
      <c r="E509" s="715"/>
      <c r="F509" s="715"/>
      <c r="G509" s="715"/>
      <c r="H509" s="715"/>
      <c r="I509" s="715"/>
      <c r="J509" s="715"/>
      <c r="K509" s="715"/>
    </row>
    <row r="510" spans="1:11" ht="20.25">
      <c r="A510" s="715"/>
      <c r="B510" s="715"/>
      <c r="C510" s="715"/>
      <c r="D510" s="715"/>
      <c r="E510" s="715"/>
      <c r="F510" s="715"/>
      <c r="G510" s="715"/>
      <c r="H510" s="715"/>
      <c r="I510" s="715"/>
      <c r="J510" s="715"/>
      <c r="K510" s="715"/>
    </row>
    <row r="511" spans="1:11" ht="20.25">
      <c r="A511" s="715"/>
      <c r="B511" s="715"/>
      <c r="C511" s="715"/>
      <c r="D511" s="715"/>
      <c r="E511" s="715"/>
      <c r="F511" s="715"/>
      <c r="G511" s="715"/>
      <c r="H511" s="715"/>
      <c r="I511" s="715"/>
      <c r="J511" s="715"/>
      <c r="K511" s="715"/>
    </row>
    <row r="512" spans="1:11" ht="20.25">
      <c r="A512" s="715"/>
      <c r="B512" s="715"/>
      <c r="C512" s="715"/>
      <c r="D512" s="715"/>
      <c r="E512" s="715"/>
      <c r="F512" s="715"/>
      <c r="G512" s="715"/>
      <c r="H512" s="715"/>
      <c r="I512" s="715"/>
      <c r="J512" s="715"/>
      <c r="K512" s="715"/>
    </row>
    <row r="513" spans="1:11" ht="20.25">
      <c r="A513" s="715"/>
      <c r="B513" s="715"/>
      <c r="C513" s="715"/>
      <c r="D513" s="715"/>
      <c r="E513" s="715"/>
      <c r="F513" s="715"/>
      <c r="G513" s="715"/>
      <c r="H513" s="715"/>
      <c r="I513" s="715"/>
      <c r="J513" s="715"/>
      <c r="K513" s="715"/>
    </row>
    <row r="514" spans="1:11" ht="20.25">
      <c r="A514" s="715"/>
      <c r="B514" s="715"/>
      <c r="C514" s="715"/>
      <c r="D514" s="715"/>
      <c r="E514" s="715"/>
      <c r="F514" s="715"/>
      <c r="G514" s="715"/>
      <c r="H514" s="715"/>
      <c r="I514" s="715"/>
      <c r="J514" s="715"/>
      <c r="K514" s="715"/>
    </row>
    <row r="515" spans="1:11" ht="20.25">
      <c r="A515" s="715"/>
      <c r="B515" s="715"/>
      <c r="C515" s="715"/>
      <c r="D515" s="715"/>
      <c r="E515" s="715"/>
      <c r="F515" s="715"/>
      <c r="G515" s="715"/>
      <c r="H515" s="715"/>
      <c r="I515" s="715"/>
      <c r="J515" s="715"/>
      <c r="K515" s="715"/>
    </row>
    <row r="516" spans="1:11" ht="20.25">
      <c r="A516" s="715"/>
      <c r="B516" s="715"/>
      <c r="C516" s="715"/>
      <c r="D516" s="715"/>
      <c r="E516" s="715"/>
      <c r="F516" s="715"/>
      <c r="G516" s="715"/>
      <c r="H516" s="715"/>
      <c r="I516" s="715"/>
      <c r="J516" s="715"/>
      <c r="K516" s="715"/>
    </row>
    <row r="517" spans="1:11" ht="20.25">
      <c r="A517" s="715"/>
      <c r="B517" s="715"/>
      <c r="C517" s="715"/>
      <c r="D517" s="715"/>
      <c r="E517" s="715"/>
      <c r="F517" s="715"/>
      <c r="G517" s="715"/>
      <c r="H517" s="715"/>
      <c r="I517" s="715"/>
      <c r="J517" s="715"/>
      <c r="K517" s="715"/>
    </row>
    <row r="518" spans="1:11" ht="20.25">
      <c r="A518" s="715"/>
      <c r="B518" s="715"/>
      <c r="C518" s="715"/>
      <c r="D518" s="715"/>
      <c r="E518" s="715"/>
      <c r="F518" s="715"/>
      <c r="G518" s="715"/>
      <c r="H518" s="715"/>
      <c r="I518" s="715"/>
      <c r="J518" s="715"/>
      <c r="K518" s="715"/>
    </row>
    <row r="519" spans="1:11" ht="20.25">
      <c r="A519" s="715"/>
      <c r="B519" s="715"/>
      <c r="C519" s="715"/>
      <c r="D519" s="715"/>
      <c r="E519" s="715"/>
      <c r="F519" s="715"/>
      <c r="G519" s="715"/>
      <c r="H519" s="715"/>
      <c r="I519" s="715"/>
      <c r="J519" s="715"/>
      <c r="K519" s="715"/>
    </row>
    <row r="520" spans="1:11" ht="20.25">
      <c r="A520" s="715"/>
      <c r="B520" s="715"/>
      <c r="C520" s="715"/>
      <c r="D520" s="715"/>
      <c r="E520" s="715"/>
      <c r="F520" s="715"/>
      <c r="G520" s="715"/>
      <c r="H520" s="715"/>
      <c r="I520" s="715"/>
      <c r="J520" s="715"/>
      <c r="K520" s="715"/>
    </row>
    <row r="521" spans="1:11" ht="20.25">
      <c r="A521" s="715"/>
      <c r="B521" s="715"/>
      <c r="C521" s="715"/>
      <c r="D521" s="715"/>
      <c r="E521" s="715"/>
      <c r="F521" s="715"/>
      <c r="G521" s="715"/>
      <c r="H521" s="715"/>
      <c r="I521" s="715"/>
      <c r="J521" s="715"/>
      <c r="K521" s="715"/>
    </row>
    <row r="522" spans="1:11" ht="20.25">
      <c r="A522" s="715"/>
      <c r="B522" s="715"/>
      <c r="C522" s="715"/>
      <c r="D522" s="715"/>
      <c r="E522" s="715"/>
      <c r="F522" s="715"/>
      <c r="G522" s="715"/>
      <c r="H522" s="715"/>
      <c r="I522" s="715"/>
      <c r="J522" s="715"/>
      <c r="K522" s="715"/>
    </row>
    <row r="523" spans="1:11" ht="20.25">
      <c r="A523" s="715"/>
      <c r="B523" s="715"/>
      <c r="C523" s="715"/>
      <c r="D523" s="715"/>
      <c r="E523" s="715"/>
      <c r="F523" s="715"/>
      <c r="G523" s="715"/>
      <c r="H523" s="715"/>
      <c r="I523" s="715"/>
      <c r="J523" s="715"/>
      <c r="K523" s="715"/>
    </row>
    <row r="524" spans="1:11" ht="20.25">
      <c r="A524" s="715"/>
      <c r="B524" s="715"/>
      <c r="C524" s="715"/>
      <c r="D524" s="715"/>
      <c r="E524" s="715"/>
      <c r="F524" s="715"/>
      <c r="G524" s="715"/>
      <c r="H524" s="715"/>
      <c r="I524" s="715"/>
      <c r="J524" s="715"/>
      <c r="K524" s="715"/>
    </row>
    <row r="525" spans="1:11" ht="20.25">
      <c r="A525" s="715"/>
      <c r="B525" s="715"/>
      <c r="C525" s="715"/>
      <c r="D525" s="715"/>
      <c r="E525" s="715"/>
      <c r="F525" s="715"/>
      <c r="G525" s="715"/>
      <c r="H525" s="715"/>
      <c r="I525" s="715"/>
      <c r="J525" s="715"/>
      <c r="K525" s="715"/>
    </row>
    <row r="526" spans="1:11" ht="20.25">
      <c r="A526" s="715"/>
      <c r="B526" s="715"/>
      <c r="C526" s="715"/>
      <c r="D526" s="715"/>
      <c r="E526" s="715"/>
      <c r="F526" s="715"/>
      <c r="G526" s="715"/>
      <c r="H526" s="715"/>
      <c r="I526" s="715"/>
      <c r="J526" s="715"/>
      <c r="K526" s="715"/>
    </row>
    <row r="527" spans="1:11" ht="20.25">
      <c r="A527" s="715"/>
      <c r="B527" s="715"/>
      <c r="C527" s="715"/>
      <c r="D527" s="715"/>
      <c r="E527" s="715"/>
      <c r="F527" s="715"/>
      <c r="G527" s="715"/>
      <c r="H527" s="715"/>
      <c r="I527" s="715"/>
      <c r="J527" s="715"/>
      <c r="K527" s="715"/>
    </row>
    <row r="528" spans="1:11" ht="20.25">
      <c r="A528" s="715"/>
      <c r="B528" s="715"/>
      <c r="C528" s="715"/>
      <c r="D528" s="715"/>
      <c r="E528" s="715"/>
      <c r="F528" s="715"/>
      <c r="G528" s="715"/>
      <c r="H528" s="715"/>
      <c r="I528" s="715"/>
      <c r="J528" s="715"/>
      <c r="K528" s="715"/>
    </row>
    <row r="529" spans="1:11" ht="20.25">
      <c r="A529" s="715"/>
      <c r="B529" s="715"/>
      <c r="C529" s="715"/>
      <c r="D529" s="715"/>
      <c r="E529" s="715"/>
      <c r="F529" s="715"/>
      <c r="G529" s="715"/>
      <c r="H529" s="715"/>
      <c r="I529" s="715"/>
      <c r="J529" s="715"/>
      <c r="K529" s="715"/>
    </row>
    <row r="530" spans="1:11" ht="20.25">
      <c r="A530" s="715"/>
      <c r="B530" s="715"/>
      <c r="C530" s="715"/>
      <c r="D530" s="715"/>
      <c r="E530" s="715"/>
      <c r="F530" s="715"/>
      <c r="G530" s="715"/>
      <c r="H530" s="715"/>
      <c r="I530" s="715"/>
      <c r="J530" s="715"/>
      <c r="K530" s="715"/>
    </row>
    <row r="531" spans="1:11" ht="20.25">
      <c r="A531" s="715"/>
      <c r="B531" s="715"/>
      <c r="C531" s="715"/>
      <c r="D531" s="715"/>
      <c r="E531" s="715"/>
      <c r="F531" s="715"/>
      <c r="G531" s="715"/>
      <c r="H531" s="715"/>
      <c r="I531" s="715"/>
      <c r="J531" s="715"/>
      <c r="K531" s="715"/>
    </row>
    <row r="532" spans="1:11" ht="20.25">
      <c r="A532" s="715"/>
      <c r="B532" s="715"/>
      <c r="C532" s="715"/>
      <c r="D532" s="715"/>
      <c r="E532" s="715"/>
      <c r="F532" s="715"/>
      <c r="G532" s="715"/>
      <c r="H532" s="715"/>
      <c r="I532" s="715"/>
      <c r="J532" s="715"/>
      <c r="K532" s="715"/>
    </row>
    <row r="533" spans="1:11" ht="20.25">
      <c r="A533" s="715"/>
      <c r="B533" s="715"/>
      <c r="C533" s="715"/>
      <c r="D533" s="715"/>
      <c r="E533" s="715"/>
      <c r="F533" s="715"/>
      <c r="G533" s="715"/>
      <c r="H533" s="715"/>
      <c r="I533" s="715"/>
      <c r="J533" s="715"/>
      <c r="K533" s="715"/>
    </row>
    <row r="534" spans="1:11" ht="20.25">
      <c r="A534" s="715"/>
      <c r="B534" s="715"/>
      <c r="C534" s="715"/>
      <c r="D534" s="715"/>
      <c r="E534" s="715"/>
      <c r="F534" s="715"/>
      <c r="G534" s="715"/>
      <c r="H534" s="715"/>
      <c r="I534" s="715"/>
      <c r="J534" s="715"/>
      <c r="K534" s="715"/>
    </row>
    <row r="535" spans="1:11" ht="20.25">
      <c r="A535" s="715"/>
      <c r="B535" s="715"/>
      <c r="C535" s="715"/>
      <c r="D535" s="715"/>
      <c r="E535" s="715"/>
      <c r="F535" s="715"/>
      <c r="G535" s="715"/>
      <c r="H535" s="715"/>
      <c r="I535" s="715"/>
      <c r="J535" s="715"/>
      <c r="K535" s="715"/>
    </row>
    <row r="536" spans="1:11" ht="20.25">
      <c r="A536" s="715"/>
      <c r="B536" s="715"/>
      <c r="C536" s="715"/>
      <c r="D536" s="715"/>
      <c r="E536" s="715"/>
      <c r="F536" s="715"/>
      <c r="G536" s="715"/>
      <c r="H536" s="715"/>
      <c r="I536" s="715"/>
      <c r="J536" s="715"/>
      <c r="K536" s="715"/>
    </row>
    <row r="537" spans="1:11" ht="20.25">
      <c r="A537" s="715"/>
      <c r="B537" s="715"/>
      <c r="C537" s="715"/>
      <c r="D537" s="715"/>
      <c r="E537" s="715"/>
      <c r="F537" s="715"/>
      <c r="G537" s="715"/>
      <c r="H537" s="715"/>
      <c r="I537" s="715"/>
      <c r="J537" s="715"/>
      <c r="K537" s="715"/>
    </row>
    <row r="538" spans="1:11" ht="20.25">
      <c r="A538" s="715"/>
      <c r="B538" s="715"/>
      <c r="C538" s="715"/>
      <c r="D538" s="715"/>
      <c r="E538" s="715"/>
      <c r="F538" s="715"/>
      <c r="G538" s="715"/>
      <c r="H538" s="715"/>
      <c r="I538" s="715"/>
      <c r="J538" s="715"/>
      <c r="K538" s="715"/>
    </row>
    <row r="539" spans="1:11" ht="20.25">
      <c r="A539" s="715"/>
      <c r="B539" s="715"/>
      <c r="C539" s="715"/>
      <c r="D539" s="715"/>
      <c r="E539" s="715"/>
      <c r="F539" s="715"/>
      <c r="G539" s="715"/>
      <c r="H539" s="715"/>
      <c r="I539" s="715"/>
      <c r="J539" s="715"/>
      <c r="K539" s="715"/>
    </row>
    <row r="540" spans="1:11" ht="20.25">
      <c r="A540" s="715"/>
      <c r="B540" s="715"/>
      <c r="C540" s="715"/>
      <c r="D540" s="715"/>
      <c r="E540" s="715"/>
      <c r="F540" s="715"/>
      <c r="G540" s="715"/>
      <c r="H540" s="715"/>
      <c r="I540" s="715"/>
      <c r="J540" s="715"/>
      <c r="K540" s="715"/>
    </row>
    <row r="541" spans="1:11" ht="20.25">
      <c r="A541" s="715"/>
      <c r="B541" s="715"/>
      <c r="C541" s="715"/>
      <c r="D541" s="715"/>
      <c r="E541" s="715"/>
      <c r="F541" s="715"/>
      <c r="G541" s="715"/>
      <c r="H541" s="715"/>
      <c r="I541" s="715"/>
      <c r="J541" s="715"/>
      <c r="K541" s="715"/>
    </row>
    <row r="542" spans="1:11" ht="20.25">
      <c r="A542" s="715"/>
      <c r="B542" s="715"/>
      <c r="C542" s="715"/>
      <c r="D542" s="715"/>
      <c r="E542" s="715"/>
      <c r="F542" s="715"/>
      <c r="G542" s="715"/>
      <c r="H542" s="715"/>
      <c r="I542" s="715"/>
      <c r="J542" s="715"/>
      <c r="K542" s="715"/>
    </row>
    <row r="543" spans="1:11" ht="20.25">
      <c r="A543" s="715"/>
      <c r="B543" s="715"/>
      <c r="C543" s="715"/>
      <c r="D543" s="715"/>
      <c r="E543" s="715"/>
      <c r="F543" s="715"/>
      <c r="G543" s="715"/>
      <c r="H543" s="715"/>
      <c r="I543" s="715"/>
      <c r="J543" s="715"/>
      <c r="K543" s="715"/>
    </row>
    <row r="544" spans="1:11" ht="20.25">
      <c r="A544" s="715"/>
      <c r="B544" s="715"/>
      <c r="C544" s="715"/>
      <c r="D544" s="715"/>
      <c r="E544" s="715"/>
      <c r="F544" s="715"/>
      <c r="G544" s="715"/>
      <c r="H544" s="715"/>
      <c r="I544" s="715"/>
      <c r="J544" s="715"/>
      <c r="K544" s="715"/>
    </row>
    <row r="545" spans="1:11" ht="20.25">
      <c r="A545" s="715"/>
      <c r="B545" s="715"/>
      <c r="C545" s="715"/>
      <c r="D545" s="715"/>
      <c r="E545" s="715"/>
      <c r="F545" s="715"/>
      <c r="G545" s="715"/>
      <c r="H545" s="715"/>
      <c r="I545" s="715"/>
      <c r="J545" s="715"/>
      <c r="K545" s="715"/>
    </row>
    <row r="546" spans="1:11" ht="20.25">
      <c r="A546" s="715"/>
      <c r="B546" s="715"/>
      <c r="C546" s="715"/>
      <c r="D546" s="715"/>
      <c r="E546" s="715"/>
      <c r="F546" s="715"/>
      <c r="G546" s="715"/>
      <c r="H546" s="715"/>
      <c r="I546" s="715"/>
      <c r="J546" s="715"/>
      <c r="K546" s="715"/>
    </row>
    <row r="547" spans="1:11" ht="20.25">
      <c r="A547" s="715"/>
      <c r="B547" s="715"/>
      <c r="C547" s="715"/>
      <c r="D547" s="715"/>
      <c r="E547" s="715"/>
      <c r="F547" s="715"/>
      <c r="G547" s="715"/>
      <c r="H547" s="715"/>
      <c r="I547" s="715"/>
      <c r="J547" s="715"/>
      <c r="K547" s="715"/>
    </row>
    <row r="548" spans="1:11" ht="20.25">
      <c r="A548" s="715"/>
      <c r="B548" s="715"/>
      <c r="C548" s="715"/>
      <c r="D548" s="715"/>
      <c r="E548" s="715"/>
      <c r="F548" s="715"/>
      <c r="G548" s="715"/>
      <c r="H548" s="715"/>
      <c r="I548" s="715"/>
      <c r="J548" s="715"/>
      <c r="K548" s="715"/>
    </row>
    <row r="549" spans="1:11" ht="20.25">
      <c r="A549" s="715"/>
      <c r="B549" s="715"/>
      <c r="C549" s="715"/>
      <c r="D549" s="715"/>
      <c r="E549" s="715"/>
      <c r="F549" s="715"/>
      <c r="G549" s="715"/>
      <c r="H549" s="715"/>
      <c r="I549" s="715"/>
      <c r="J549" s="715"/>
      <c r="K549" s="715"/>
    </row>
    <row r="550" spans="1:11" ht="20.25">
      <c r="A550" s="715"/>
      <c r="B550" s="715"/>
      <c r="C550" s="715"/>
      <c r="D550" s="715"/>
      <c r="E550" s="715"/>
      <c r="F550" s="715"/>
      <c r="G550" s="715"/>
      <c r="H550" s="715"/>
      <c r="I550" s="715"/>
      <c r="J550" s="715"/>
      <c r="K550" s="715"/>
    </row>
    <row r="551" spans="1:11" ht="20.25">
      <c r="A551" s="715"/>
      <c r="B551" s="715"/>
      <c r="C551" s="715"/>
      <c r="D551" s="715"/>
      <c r="E551" s="715"/>
      <c r="F551" s="715"/>
      <c r="G551" s="715"/>
      <c r="H551" s="715"/>
      <c r="I551" s="715"/>
      <c r="J551" s="715"/>
      <c r="K551" s="715"/>
    </row>
    <row r="552" spans="1:11" ht="20.25">
      <c r="A552" s="715"/>
      <c r="B552" s="715"/>
      <c r="C552" s="715"/>
      <c r="D552" s="715"/>
      <c r="E552" s="715"/>
      <c r="F552" s="715"/>
      <c r="G552" s="715"/>
      <c r="H552" s="715"/>
      <c r="I552" s="715"/>
      <c r="J552" s="715"/>
      <c r="K552" s="715"/>
    </row>
    <row r="553" spans="1:11" ht="20.25">
      <c r="A553" s="715"/>
      <c r="B553" s="715"/>
      <c r="C553" s="715"/>
      <c r="D553" s="715"/>
      <c r="E553" s="715"/>
      <c r="F553" s="715"/>
      <c r="G553" s="715"/>
      <c r="H553" s="715"/>
      <c r="I553" s="715"/>
      <c r="J553" s="715"/>
      <c r="K553" s="715"/>
    </row>
    <row r="554" spans="1:11" ht="20.25">
      <c r="A554" s="715"/>
      <c r="B554" s="715"/>
      <c r="C554" s="715"/>
      <c r="D554" s="715"/>
      <c r="E554" s="715"/>
      <c r="F554" s="715"/>
      <c r="G554" s="715"/>
      <c r="H554" s="715"/>
      <c r="I554" s="715"/>
      <c r="J554" s="715"/>
      <c r="K554" s="715"/>
    </row>
    <row r="555" spans="1:11" ht="20.25">
      <c r="A555" s="715"/>
      <c r="B555" s="715"/>
      <c r="C555" s="715"/>
      <c r="D555" s="715"/>
      <c r="E555" s="715"/>
      <c r="F555" s="715"/>
      <c r="G555" s="715"/>
      <c r="H555" s="715"/>
      <c r="I555" s="715"/>
      <c r="J555" s="715"/>
      <c r="K555" s="715"/>
    </row>
    <row r="556" spans="1:11" ht="20.25">
      <c r="A556" s="715"/>
      <c r="B556" s="715"/>
      <c r="C556" s="715"/>
      <c r="D556" s="715"/>
      <c r="E556" s="715"/>
      <c r="F556" s="715"/>
      <c r="G556" s="715"/>
      <c r="H556" s="715"/>
      <c r="I556" s="715"/>
      <c r="J556" s="715"/>
      <c r="K556" s="715"/>
    </row>
    <row r="557" spans="1:11" ht="20.25">
      <c r="A557" s="715"/>
      <c r="B557" s="715"/>
      <c r="C557" s="715"/>
      <c r="D557" s="715"/>
      <c r="E557" s="715"/>
      <c r="F557" s="715"/>
      <c r="G557" s="715"/>
      <c r="H557" s="715"/>
      <c r="I557" s="715"/>
      <c r="J557" s="715"/>
      <c r="K557" s="715"/>
    </row>
    <row r="558" spans="1:11" ht="20.25">
      <c r="A558" s="715"/>
      <c r="B558" s="715"/>
      <c r="C558" s="715"/>
      <c r="D558" s="715"/>
      <c r="E558" s="715"/>
      <c r="F558" s="715"/>
      <c r="G558" s="715"/>
      <c r="H558" s="715"/>
      <c r="I558" s="715"/>
      <c r="J558" s="715"/>
      <c r="K558" s="715"/>
    </row>
    <row r="559" spans="1:11" ht="20.25">
      <c r="A559" s="715"/>
      <c r="B559" s="715"/>
      <c r="C559" s="715"/>
      <c r="D559" s="715"/>
      <c r="E559" s="715"/>
      <c r="F559" s="715"/>
      <c r="G559" s="715"/>
      <c r="H559" s="715"/>
      <c r="I559" s="715"/>
      <c r="J559" s="715"/>
      <c r="K559" s="715"/>
    </row>
    <row r="560" spans="1:11" ht="20.25">
      <c r="A560" s="715"/>
      <c r="B560" s="715"/>
      <c r="C560" s="715"/>
      <c r="D560" s="715"/>
      <c r="E560" s="715"/>
      <c r="F560" s="715"/>
      <c r="G560" s="715"/>
      <c r="H560" s="715"/>
      <c r="I560" s="715"/>
      <c r="J560" s="715"/>
      <c r="K560" s="715"/>
    </row>
    <row r="561" spans="1:11" ht="20.25">
      <c r="A561" s="715"/>
      <c r="B561" s="715"/>
      <c r="C561" s="715"/>
      <c r="D561" s="715"/>
      <c r="E561" s="715"/>
      <c r="F561" s="715"/>
      <c r="G561" s="715"/>
      <c r="H561" s="715"/>
      <c r="I561" s="715"/>
      <c r="J561" s="715"/>
      <c r="K561" s="715"/>
    </row>
    <row r="562" spans="1:11" ht="20.25">
      <c r="A562" s="715"/>
      <c r="B562" s="715"/>
      <c r="C562" s="715"/>
      <c r="D562" s="715"/>
      <c r="E562" s="715"/>
      <c r="F562" s="715"/>
      <c r="G562" s="715"/>
      <c r="H562" s="715"/>
      <c r="I562" s="715"/>
      <c r="J562" s="715"/>
      <c r="K562" s="715"/>
    </row>
    <row r="563" spans="1:11" ht="20.25">
      <c r="A563" s="715"/>
      <c r="B563" s="715"/>
      <c r="C563" s="715"/>
      <c r="D563" s="715"/>
      <c r="E563" s="715"/>
      <c r="F563" s="715"/>
      <c r="G563" s="715"/>
      <c r="H563" s="715"/>
      <c r="I563" s="715"/>
      <c r="J563" s="715"/>
      <c r="K563" s="715"/>
    </row>
    <row r="564" spans="1:11" ht="20.25">
      <c r="A564" s="715"/>
      <c r="B564" s="715"/>
      <c r="C564" s="715"/>
      <c r="D564" s="715"/>
      <c r="E564" s="715"/>
      <c r="F564" s="715"/>
      <c r="G564" s="715"/>
      <c r="H564" s="715"/>
      <c r="I564" s="715"/>
      <c r="J564" s="715"/>
      <c r="K564" s="715"/>
    </row>
    <row r="565" spans="1:11" ht="20.25">
      <c r="A565" s="715"/>
      <c r="B565" s="715"/>
      <c r="C565" s="715"/>
      <c r="D565" s="715"/>
      <c r="E565" s="715"/>
      <c r="F565" s="715"/>
      <c r="G565" s="715"/>
      <c r="H565" s="715"/>
      <c r="I565" s="715"/>
      <c r="J565" s="715"/>
      <c r="K565" s="715"/>
    </row>
    <row r="566" spans="1:11" ht="20.25">
      <c r="A566" s="715"/>
      <c r="B566" s="715"/>
      <c r="C566" s="715"/>
      <c r="D566" s="715"/>
      <c r="E566" s="715"/>
      <c r="F566" s="715"/>
      <c r="G566" s="715"/>
      <c r="H566" s="715"/>
      <c r="I566" s="715"/>
      <c r="J566" s="715"/>
      <c r="K566" s="715"/>
    </row>
    <row r="567" spans="1:11" ht="20.25">
      <c r="A567" s="715"/>
      <c r="B567" s="715"/>
      <c r="C567" s="715"/>
      <c r="D567" s="715"/>
      <c r="E567" s="715"/>
      <c r="F567" s="715"/>
      <c r="G567" s="715"/>
      <c r="H567" s="715"/>
      <c r="I567" s="715"/>
      <c r="J567" s="715"/>
      <c r="K567" s="715"/>
    </row>
    <row r="568" spans="1:11" ht="20.25">
      <c r="A568" s="715"/>
      <c r="B568" s="715"/>
      <c r="C568" s="715"/>
      <c r="D568" s="715"/>
      <c r="E568" s="715"/>
      <c r="F568" s="715"/>
      <c r="G568" s="715"/>
      <c r="H568" s="715"/>
      <c r="I568" s="715"/>
      <c r="J568" s="715"/>
      <c r="K568" s="715"/>
    </row>
    <row r="569" spans="1:11" ht="20.25">
      <c r="A569" s="715"/>
      <c r="B569" s="715"/>
      <c r="C569" s="715"/>
      <c r="D569" s="715"/>
      <c r="E569" s="715"/>
      <c r="F569" s="715"/>
      <c r="G569" s="715"/>
      <c r="H569" s="715"/>
      <c r="I569" s="715"/>
      <c r="J569" s="715"/>
      <c r="K569" s="715"/>
    </row>
    <row r="570" spans="1:11" ht="20.25">
      <c r="A570" s="715"/>
      <c r="B570" s="715"/>
      <c r="C570" s="715"/>
      <c r="D570" s="715"/>
      <c r="E570" s="715"/>
      <c r="F570" s="715"/>
      <c r="G570" s="715"/>
      <c r="H570" s="715"/>
      <c r="I570" s="715"/>
      <c r="J570" s="715"/>
      <c r="K570" s="715"/>
    </row>
    <row r="571" spans="1:11" ht="20.25">
      <c r="A571" s="715"/>
      <c r="B571" s="715"/>
      <c r="C571" s="715"/>
      <c r="D571" s="715"/>
      <c r="E571" s="715"/>
      <c r="F571" s="715"/>
      <c r="G571" s="715"/>
      <c r="H571" s="715"/>
      <c r="I571" s="715"/>
      <c r="J571" s="715"/>
      <c r="K571" s="715"/>
    </row>
    <row r="572" spans="1:11" ht="20.25">
      <c r="A572" s="715"/>
      <c r="B572" s="715"/>
      <c r="C572" s="715"/>
      <c r="D572" s="715"/>
      <c r="E572" s="715"/>
      <c r="F572" s="715"/>
      <c r="G572" s="715"/>
      <c r="H572" s="715"/>
      <c r="I572" s="715"/>
      <c r="J572" s="715"/>
      <c r="K572" s="715"/>
    </row>
    <row r="573" spans="1:11" ht="20.25">
      <c r="A573" s="715"/>
      <c r="B573" s="715"/>
      <c r="C573" s="715"/>
      <c r="D573" s="715"/>
      <c r="E573" s="715"/>
      <c r="F573" s="715"/>
      <c r="G573" s="715"/>
      <c r="H573" s="715"/>
      <c r="I573" s="715"/>
      <c r="J573" s="715"/>
      <c r="K573" s="715"/>
    </row>
    <row r="574" spans="1:11" ht="20.25">
      <c r="A574" s="715"/>
      <c r="B574" s="715"/>
      <c r="C574" s="715"/>
      <c r="D574" s="715"/>
      <c r="E574" s="715"/>
      <c r="F574" s="715"/>
      <c r="G574" s="715"/>
      <c r="H574" s="715"/>
      <c r="I574" s="715"/>
      <c r="J574" s="715"/>
      <c r="K574" s="715"/>
    </row>
    <row r="575" spans="1:11" ht="20.25">
      <c r="A575" s="715"/>
      <c r="B575" s="715"/>
      <c r="C575" s="715"/>
      <c r="D575" s="715"/>
      <c r="E575" s="715"/>
      <c r="F575" s="715"/>
      <c r="G575" s="715"/>
      <c r="H575" s="715"/>
      <c r="I575" s="715"/>
      <c r="J575" s="715"/>
      <c r="K575" s="715"/>
    </row>
    <row r="576" spans="1:11" ht="20.25">
      <c r="A576" s="715"/>
      <c r="B576" s="715"/>
      <c r="C576" s="715"/>
      <c r="D576" s="715"/>
      <c r="E576" s="715"/>
      <c r="F576" s="715"/>
      <c r="G576" s="715"/>
      <c r="H576" s="715"/>
      <c r="I576" s="715"/>
      <c r="J576" s="715"/>
      <c r="K576" s="715"/>
    </row>
    <row r="577" spans="1:11" ht="20.25">
      <c r="A577" s="715"/>
      <c r="B577" s="715"/>
      <c r="C577" s="715"/>
      <c r="D577" s="715"/>
      <c r="E577" s="715"/>
      <c r="F577" s="715"/>
      <c r="G577" s="715"/>
      <c r="H577" s="715"/>
      <c r="I577" s="715"/>
      <c r="J577" s="715"/>
      <c r="K577" s="715"/>
    </row>
    <row r="578" spans="1:11" ht="20.25">
      <c r="A578" s="715"/>
      <c r="B578" s="715"/>
      <c r="C578" s="715"/>
      <c r="D578" s="715"/>
      <c r="E578" s="715"/>
      <c r="F578" s="715"/>
      <c r="G578" s="715"/>
      <c r="H578" s="715"/>
      <c r="I578" s="715"/>
      <c r="J578" s="715"/>
      <c r="K578" s="715"/>
    </row>
    <row r="579" spans="1:11" ht="20.25">
      <c r="A579" s="715"/>
      <c r="B579" s="715"/>
      <c r="C579" s="715"/>
      <c r="D579" s="715"/>
      <c r="E579" s="715"/>
      <c r="F579" s="715"/>
      <c r="G579" s="715"/>
      <c r="H579" s="715"/>
      <c r="I579" s="715"/>
      <c r="J579" s="715"/>
      <c r="K579" s="715"/>
    </row>
    <row r="580" spans="1:11" ht="20.25">
      <c r="A580" s="715"/>
      <c r="B580" s="715"/>
      <c r="C580" s="715"/>
      <c r="D580" s="715"/>
      <c r="E580" s="715"/>
      <c r="F580" s="715"/>
      <c r="G580" s="715"/>
      <c r="H580" s="715"/>
      <c r="I580" s="715"/>
      <c r="J580" s="715"/>
      <c r="K580" s="715"/>
    </row>
    <row r="581" spans="1:11" ht="20.25">
      <c r="A581" s="715"/>
      <c r="B581" s="715"/>
      <c r="C581" s="715"/>
      <c r="D581" s="715"/>
      <c r="E581" s="715"/>
      <c r="F581" s="715"/>
      <c r="G581" s="715"/>
      <c r="H581" s="715"/>
      <c r="I581" s="715"/>
      <c r="J581" s="715"/>
      <c r="K581" s="715"/>
    </row>
    <row r="582" spans="1:11" ht="20.25">
      <c r="A582" s="715"/>
      <c r="B582" s="715"/>
      <c r="C582" s="715"/>
      <c r="D582" s="715"/>
      <c r="E582" s="715"/>
      <c r="F582" s="715"/>
      <c r="G582" s="715"/>
      <c r="H582" s="715"/>
      <c r="I582" s="715"/>
      <c r="J582" s="715"/>
      <c r="K582" s="715"/>
    </row>
    <row r="583" spans="1:11" ht="20.25">
      <c r="A583" s="715"/>
      <c r="B583" s="715"/>
      <c r="C583" s="715"/>
      <c r="D583" s="715"/>
      <c r="E583" s="715"/>
      <c r="F583" s="715"/>
      <c r="G583" s="715"/>
      <c r="H583" s="715"/>
      <c r="I583" s="715"/>
      <c r="J583" s="715"/>
      <c r="K583" s="715"/>
    </row>
    <row r="584" spans="1:11" ht="20.25">
      <c r="A584" s="715"/>
      <c r="B584" s="715"/>
      <c r="C584" s="715"/>
      <c r="D584" s="715"/>
      <c r="E584" s="715"/>
      <c r="F584" s="715"/>
      <c r="G584" s="715"/>
      <c r="H584" s="715"/>
      <c r="I584" s="715"/>
      <c r="J584" s="715"/>
      <c r="K584" s="715"/>
    </row>
    <row r="585" spans="1:11" ht="20.25">
      <c r="A585" s="715"/>
      <c r="B585" s="715"/>
      <c r="C585" s="715"/>
      <c r="D585" s="715"/>
      <c r="E585" s="715"/>
      <c r="F585" s="715"/>
      <c r="G585" s="715"/>
      <c r="H585" s="715"/>
      <c r="I585" s="715"/>
      <c r="J585" s="715"/>
      <c r="K585" s="715"/>
    </row>
    <row r="586" spans="1:11" ht="20.25">
      <c r="A586" s="715"/>
      <c r="B586" s="715"/>
      <c r="C586" s="715"/>
      <c r="D586" s="715"/>
      <c r="E586" s="715"/>
      <c r="F586" s="715"/>
      <c r="G586" s="715"/>
      <c r="H586" s="715"/>
      <c r="I586" s="715"/>
      <c r="J586" s="715"/>
      <c r="K586" s="715"/>
    </row>
    <row r="587" spans="1:11" ht="20.25">
      <c r="A587" s="715"/>
      <c r="B587" s="715"/>
      <c r="C587" s="715"/>
      <c r="D587" s="715"/>
      <c r="E587" s="715"/>
      <c r="F587" s="715"/>
      <c r="G587" s="715"/>
      <c r="H587" s="715"/>
      <c r="I587" s="715"/>
      <c r="J587" s="715"/>
      <c r="K587" s="715"/>
    </row>
    <row r="588" spans="1:11" ht="20.25">
      <c r="A588" s="715"/>
      <c r="B588" s="715"/>
      <c r="C588" s="715"/>
      <c r="D588" s="715"/>
      <c r="E588" s="715"/>
      <c r="F588" s="715"/>
      <c r="G588" s="715"/>
      <c r="H588" s="715"/>
      <c r="I588" s="715"/>
      <c r="J588" s="715"/>
      <c r="K588" s="715"/>
    </row>
    <row r="589" spans="1:11" ht="20.25">
      <c r="A589" s="715"/>
      <c r="B589" s="715"/>
      <c r="C589" s="715"/>
      <c r="D589" s="715"/>
      <c r="E589" s="715"/>
      <c r="F589" s="715"/>
      <c r="G589" s="715"/>
      <c r="H589" s="715"/>
      <c r="I589" s="715"/>
      <c r="J589" s="715"/>
      <c r="K589" s="715"/>
    </row>
    <row r="590" spans="1:11" ht="20.25">
      <c r="A590" s="715"/>
      <c r="B590" s="715"/>
      <c r="C590" s="715"/>
      <c r="D590" s="715"/>
      <c r="E590" s="715"/>
      <c r="F590" s="715"/>
      <c r="G590" s="715"/>
      <c r="H590" s="715"/>
      <c r="I590" s="715"/>
      <c r="J590" s="715"/>
      <c r="K590" s="715"/>
    </row>
    <row r="591" spans="1:11" ht="20.25">
      <c r="A591" s="715"/>
      <c r="B591" s="715"/>
      <c r="C591" s="715"/>
      <c r="D591" s="715"/>
      <c r="E591" s="715"/>
      <c r="F591" s="715"/>
      <c r="G591" s="715"/>
      <c r="H591" s="715"/>
      <c r="I591" s="715"/>
      <c r="J591" s="715"/>
      <c r="K591" s="715"/>
    </row>
    <row r="592" spans="1:11" ht="20.25">
      <c r="A592" s="715"/>
      <c r="B592" s="715"/>
      <c r="C592" s="715"/>
      <c r="D592" s="715"/>
      <c r="E592" s="715"/>
      <c r="F592" s="715"/>
      <c r="G592" s="715"/>
      <c r="H592" s="715"/>
      <c r="I592" s="715"/>
      <c r="J592" s="715"/>
      <c r="K592" s="715"/>
    </row>
    <row r="593" spans="1:11" ht="20.25">
      <c r="A593" s="715"/>
      <c r="B593" s="715"/>
      <c r="C593" s="715"/>
      <c r="D593" s="715"/>
      <c r="E593" s="715"/>
      <c r="F593" s="715"/>
      <c r="G593" s="715"/>
      <c r="H593" s="715"/>
      <c r="I593" s="715"/>
      <c r="J593" s="715"/>
      <c r="K593" s="715"/>
    </row>
    <row r="594" spans="1:11" ht="20.25">
      <c r="A594" s="715"/>
      <c r="B594" s="715"/>
      <c r="C594" s="715"/>
      <c r="D594" s="715"/>
      <c r="E594" s="715"/>
      <c r="F594" s="715"/>
      <c r="G594" s="715"/>
      <c r="H594" s="715"/>
      <c r="I594" s="715"/>
      <c r="J594" s="715"/>
      <c r="K594" s="715"/>
    </row>
    <row r="595" spans="1:11" ht="20.25">
      <c r="A595" s="715"/>
      <c r="B595" s="715"/>
      <c r="C595" s="715"/>
      <c r="D595" s="715"/>
      <c r="E595" s="715"/>
      <c r="F595" s="715"/>
      <c r="G595" s="715"/>
      <c r="H595" s="715"/>
      <c r="I595" s="715"/>
      <c r="J595" s="715"/>
      <c r="K595" s="715"/>
    </row>
    <row r="596" spans="1:11" ht="20.25">
      <c r="A596" s="715"/>
      <c r="B596" s="715"/>
      <c r="C596" s="715"/>
      <c r="D596" s="715"/>
      <c r="E596" s="715"/>
      <c r="F596" s="715"/>
      <c r="G596" s="715"/>
      <c r="H596" s="715"/>
      <c r="I596" s="715"/>
      <c r="J596" s="715"/>
      <c r="K596" s="715"/>
    </row>
    <row r="597" spans="1:11" ht="20.25">
      <c r="A597" s="715"/>
      <c r="B597" s="715"/>
      <c r="C597" s="715"/>
      <c r="D597" s="715"/>
      <c r="E597" s="715"/>
      <c r="F597" s="715"/>
      <c r="G597" s="715"/>
      <c r="H597" s="715"/>
      <c r="I597" s="715"/>
      <c r="J597" s="715"/>
      <c r="K597" s="715"/>
    </row>
    <row r="598" spans="1:11" ht="20.25">
      <c r="A598" s="715"/>
      <c r="B598" s="715"/>
      <c r="C598" s="715"/>
      <c r="D598" s="715"/>
      <c r="E598" s="715"/>
      <c r="F598" s="715"/>
      <c r="G598" s="715"/>
      <c r="H598" s="715"/>
      <c r="I598" s="715"/>
      <c r="J598" s="715"/>
      <c r="K598" s="715"/>
    </row>
    <row r="599" spans="1:11" ht="20.25">
      <c r="A599" s="715"/>
      <c r="B599" s="715"/>
      <c r="C599" s="715"/>
      <c r="D599" s="715"/>
      <c r="E599" s="715"/>
      <c r="F599" s="715"/>
      <c r="G599" s="715"/>
      <c r="H599" s="715"/>
      <c r="I599" s="715"/>
      <c r="J599" s="715"/>
      <c r="K599" s="715"/>
    </row>
    <row r="600" spans="1:11" ht="20.25">
      <c r="A600" s="715"/>
      <c r="B600" s="715"/>
      <c r="C600" s="715"/>
      <c r="D600" s="715"/>
      <c r="E600" s="715"/>
      <c r="F600" s="715"/>
      <c r="G600" s="715"/>
      <c r="H600" s="715"/>
      <c r="I600" s="715"/>
      <c r="J600" s="715"/>
      <c r="K600" s="715"/>
    </row>
    <row r="601" spans="1:11" ht="20.25">
      <c r="A601" s="715"/>
      <c r="B601" s="715"/>
      <c r="C601" s="715"/>
      <c r="D601" s="715"/>
      <c r="E601" s="715"/>
      <c r="F601" s="715"/>
      <c r="G601" s="715"/>
      <c r="H601" s="715"/>
      <c r="I601" s="715"/>
      <c r="J601" s="715"/>
      <c r="K601" s="715"/>
    </row>
    <row r="602" spans="1:11" ht="20.25">
      <c r="A602" s="715"/>
      <c r="B602" s="715"/>
      <c r="C602" s="715"/>
      <c r="D602" s="715"/>
      <c r="E602" s="715"/>
      <c r="F602" s="715"/>
      <c r="G602" s="715"/>
      <c r="H602" s="715"/>
      <c r="I602" s="715"/>
      <c r="J602" s="715"/>
      <c r="K602" s="715"/>
    </row>
    <row r="603" spans="1:11" ht="20.25">
      <c r="A603" s="715"/>
      <c r="B603" s="715"/>
      <c r="C603" s="715"/>
      <c r="D603" s="715"/>
      <c r="E603" s="715"/>
      <c r="F603" s="715"/>
      <c r="G603" s="715"/>
      <c r="H603" s="715"/>
      <c r="I603" s="715"/>
      <c r="J603" s="715"/>
      <c r="K603" s="715"/>
    </row>
    <row r="604" spans="1:11" ht="20.25">
      <c r="A604" s="715"/>
      <c r="B604" s="715"/>
      <c r="C604" s="715"/>
      <c r="D604" s="715"/>
      <c r="E604" s="715"/>
      <c r="F604" s="715"/>
      <c r="G604" s="715"/>
      <c r="H604" s="715"/>
      <c r="I604" s="715"/>
      <c r="J604" s="715"/>
      <c r="K604" s="715"/>
    </row>
    <row r="605" spans="1:11" ht="20.25">
      <c r="A605" s="715"/>
      <c r="B605" s="715"/>
      <c r="C605" s="715"/>
      <c r="D605" s="715"/>
      <c r="E605" s="715"/>
      <c r="F605" s="715"/>
      <c r="G605" s="715"/>
      <c r="H605" s="715"/>
      <c r="I605" s="715"/>
      <c r="J605" s="715"/>
      <c r="K605" s="715"/>
    </row>
    <row r="606" spans="1:11" ht="20.25">
      <c r="A606" s="715"/>
      <c r="B606" s="715"/>
      <c r="C606" s="715"/>
      <c r="D606" s="715"/>
      <c r="E606" s="715"/>
      <c r="F606" s="715"/>
      <c r="G606" s="715"/>
      <c r="H606" s="715"/>
      <c r="I606" s="715"/>
      <c r="J606" s="715"/>
      <c r="K606" s="715"/>
    </row>
    <row r="607" spans="1:11" ht="20.25">
      <c r="A607" s="715"/>
      <c r="B607" s="715"/>
      <c r="C607" s="715"/>
      <c r="D607" s="715"/>
      <c r="E607" s="715"/>
      <c r="F607" s="715"/>
      <c r="G607" s="715"/>
      <c r="H607" s="715"/>
      <c r="I607" s="715"/>
      <c r="J607" s="715"/>
      <c r="K607" s="715"/>
    </row>
    <row r="608" spans="1:11" ht="20.25">
      <c r="A608" s="715"/>
      <c r="B608" s="715"/>
      <c r="C608" s="715"/>
      <c r="D608" s="715"/>
      <c r="E608" s="715"/>
      <c r="F608" s="715"/>
      <c r="G608" s="715"/>
      <c r="H608" s="715"/>
      <c r="I608" s="715"/>
      <c r="J608" s="715"/>
      <c r="K608" s="715"/>
    </row>
    <row r="609" spans="1:11" ht="20.25">
      <c r="A609" s="715"/>
      <c r="B609" s="715"/>
      <c r="C609" s="715"/>
      <c r="D609" s="715"/>
      <c r="E609" s="715"/>
      <c r="F609" s="715"/>
      <c r="G609" s="715"/>
      <c r="H609" s="715"/>
      <c r="I609" s="715"/>
      <c r="J609" s="715"/>
      <c r="K609" s="715"/>
    </row>
    <row r="610" spans="1:11" ht="20.25">
      <c r="A610" s="715"/>
      <c r="B610" s="715"/>
      <c r="C610" s="715"/>
      <c r="D610" s="715"/>
      <c r="E610" s="715"/>
      <c r="F610" s="715"/>
      <c r="G610" s="715"/>
      <c r="H610" s="715"/>
      <c r="I610" s="715"/>
      <c r="J610" s="715"/>
      <c r="K610" s="715"/>
    </row>
    <row r="611" spans="1:11" ht="20.25">
      <c r="A611" s="715"/>
      <c r="B611" s="715"/>
      <c r="C611" s="715"/>
      <c r="D611" s="715"/>
      <c r="E611" s="715"/>
      <c r="F611" s="715"/>
      <c r="G611" s="715"/>
      <c r="H611" s="715"/>
      <c r="I611" s="715"/>
      <c r="J611" s="715"/>
      <c r="K611" s="715"/>
    </row>
    <row r="612" spans="1:11" ht="20.25">
      <c r="A612" s="715"/>
      <c r="B612" s="715"/>
      <c r="C612" s="715"/>
      <c r="D612" s="715"/>
      <c r="E612" s="715"/>
      <c r="F612" s="715"/>
      <c r="G612" s="715"/>
      <c r="H612" s="715"/>
      <c r="I612" s="715"/>
      <c r="J612" s="715"/>
      <c r="K612" s="715"/>
    </row>
    <row r="613" spans="1:11" ht="20.25">
      <c r="A613" s="715"/>
      <c r="B613" s="715"/>
      <c r="C613" s="715"/>
      <c r="D613" s="715"/>
      <c r="E613" s="715"/>
      <c r="F613" s="715"/>
      <c r="G613" s="715"/>
      <c r="H613" s="715"/>
      <c r="I613" s="715"/>
      <c r="J613" s="715"/>
      <c r="K613" s="715"/>
    </row>
    <row r="614" spans="1:11" ht="20.25">
      <c r="A614" s="715"/>
      <c r="B614" s="715"/>
      <c r="C614" s="715"/>
      <c r="D614" s="715"/>
      <c r="E614" s="715"/>
      <c r="F614" s="715"/>
      <c r="G614" s="715"/>
      <c r="H614" s="715"/>
      <c r="I614" s="715"/>
      <c r="J614" s="715"/>
      <c r="K614" s="715"/>
    </row>
    <row r="615" spans="1:11" ht="20.25">
      <c r="A615" s="715"/>
      <c r="B615" s="715"/>
      <c r="C615" s="715"/>
      <c r="D615" s="715"/>
      <c r="E615" s="715"/>
      <c r="F615" s="715"/>
      <c r="G615" s="715"/>
      <c r="H615" s="715"/>
      <c r="I615" s="715"/>
      <c r="J615" s="715"/>
      <c r="K615" s="715"/>
    </row>
    <row r="616" spans="1:11" ht="20.25">
      <c r="A616" s="715"/>
      <c r="B616" s="715"/>
      <c r="C616" s="715"/>
      <c r="D616" s="715"/>
      <c r="E616" s="715"/>
      <c r="F616" s="715"/>
      <c r="G616" s="715"/>
      <c r="H616" s="715"/>
      <c r="I616" s="715"/>
      <c r="J616" s="715"/>
      <c r="K616" s="715"/>
    </row>
    <row r="617" spans="1:11" ht="20.25">
      <c r="A617" s="715"/>
      <c r="B617" s="715"/>
      <c r="C617" s="715"/>
      <c r="D617" s="715"/>
      <c r="E617" s="715"/>
      <c r="F617" s="715"/>
      <c r="G617" s="715"/>
      <c r="H617" s="715"/>
      <c r="I617" s="715"/>
      <c r="J617" s="715"/>
      <c r="K617" s="715"/>
    </row>
    <row r="618" spans="1:11" ht="20.25">
      <c r="A618" s="715"/>
      <c r="B618" s="715"/>
      <c r="C618" s="715"/>
      <c r="D618" s="715"/>
      <c r="E618" s="715"/>
      <c r="F618" s="715"/>
      <c r="G618" s="715"/>
      <c r="H618" s="715"/>
      <c r="I618" s="715"/>
      <c r="J618" s="715"/>
      <c r="K618" s="715"/>
    </row>
    <row r="619" spans="1:11" ht="20.25">
      <c r="A619" s="715"/>
      <c r="B619" s="715"/>
      <c r="C619" s="715"/>
      <c r="D619" s="715"/>
      <c r="E619" s="715"/>
      <c r="F619" s="715"/>
      <c r="G619" s="715"/>
      <c r="H619" s="715"/>
      <c r="I619" s="715"/>
      <c r="J619" s="715"/>
      <c r="K619" s="715"/>
    </row>
    <row r="620" spans="1:11" ht="20.25">
      <c r="A620" s="715"/>
      <c r="B620" s="715"/>
      <c r="C620" s="715"/>
      <c r="D620" s="715"/>
      <c r="E620" s="715"/>
      <c r="F620" s="715"/>
      <c r="G620" s="715"/>
      <c r="H620" s="715"/>
      <c r="I620" s="715"/>
      <c r="J620" s="715"/>
      <c r="K620" s="715"/>
    </row>
    <row r="621" spans="1:11" ht="20.25">
      <c r="A621" s="715"/>
      <c r="B621" s="715"/>
      <c r="C621" s="715"/>
      <c r="D621" s="715"/>
      <c r="E621" s="715"/>
      <c r="F621" s="715"/>
      <c r="G621" s="715"/>
      <c r="H621" s="715"/>
      <c r="I621" s="715"/>
      <c r="J621" s="715"/>
      <c r="K621" s="715"/>
    </row>
    <row r="622" spans="1:11" ht="20.25">
      <c r="A622" s="715"/>
      <c r="B622" s="715"/>
      <c r="C622" s="715"/>
      <c r="D622" s="715"/>
      <c r="E622" s="715"/>
      <c r="F622" s="715"/>
      <c r="G622" s="715"/>
      <c r="H622" s="715"/>
      <c r="I622" s="715"/>
      <c r="J622" s="715"/>
      <c r="K622" s="715"/>
    </row>
    <row r="623" spans="1:11" ht="20.25">
      <c r="A623" s="715"/>
      <c r="B623" s="715"/>
      <c r="C623" s="715"/>
      <c r="D623" s="715"/>
      <c r="E623" s="715"/>
      <c r="F623" s="715"/>
      <c r="G623" s="715"/>
      <c r="H623" s="715"/>
      <c r="I623" s="715"/>
      <c r="J623" s="715"/>
      <c r="K623" s="715"/>
    </row>
    <row r="624" spans="1:11" ht="20.25">
      <c r="A624" s="715"/>
      <c r="B624" s="715"/>
      <c r="C624" s="715"/>
      <c r="D624" s="715"/>
      <c r="E624" s="715"/>
      <c r="F624" s="715"/>
      <c r="G624" s="715"/>
      <c r="H624" s="715"/>
      <c r="I624" s="715"/>
      <c r="J624" s="715"/>
      <c r="K624" s="715"/>
    </row>
    <row r="625" spans="1:11" ht="20.25">
      <c r="A625" s="715"/>
      <c r="B625" s="715"/>
      <c r="C625" s="715"/>
      <c r="D625" s="715"/>
      <c r="E625" s="715"/>
      <c r="F625" s="715"/>
      <c r="G625" s="715"/>
      <c r="H625" s="715"/>
      <c r="I625" s="715"/>
      <c r="J625" s="715"/>
      <c r="K625" s="715"/>
    </row>
    <row r="626" spans="1:11" ht="20.25">
      <c r="A626" s="715"/>
      <c r="B626" s="715"/>
      <c r="C626" s="715"/>
      <c r="D626" s="715"/>
      <c r="E626" s="715"/>
      <c r="F626" s="715"/>
      <c r="G626" s="715"/>
      <c r="H626" s="715"/>
      <c r="I626" s="715"/>
      <c r="J626" s="715"/>
      <c r="K626" s="715"/>
    </row>
    <row r="627" spans="1:11" ht="20.25">
      <c r="A627" s="715"/>
      <c r="B627" s="715"/>
      <c r="C627" s="715"/>
      <c r="D627" s="715"/>
      <c r="E627" s="715"/>
      <c r="F627" s="715"/>
      <c r="G627" s="715"/>
      <c r="H627" s="715"/>
      <c r="I627" s="715"/>
      <c r="J627" s="715"/>
      <c r="K627" s="715"/>
    </row>
    <row r="628" spans="1:11" ht="20.25">
      <c r="A628" s="715"/>
      <c r="B628" s="715"/>
      <c r="C628" s="715"/>
      <c r="D628" s="715"/>
      <c r="E628" s="715"/>
      <c r="F628" s="715"/>
      <c r="G628" s="715"/>
      <c r="H628" s="715"/>
      <c r="I628" s="715"/>
      <c r="J628" s="715"/>
      <c r="K628" s="715"/>
    </row>
    <row r="629" spans="1:11" ht="20.25">
      <c r="A629" s="715"/>
      <c r="B629" s="715"/>
      <c r="C629" s="715"/>
      <c r="D629" s="715"/>
      <c r="E629" s="715"/>
      <c r="F629" s="715"/>
      <c r="G629" s="715"/>
      <c r="H629" s="715"/>
      <c r="I629" s="715"/>
      <c r="J629" s="715"/>
      <c r="K629" s="715"/>
    </row>
    <row r="630" spans="1:11" ht="20.25">
      <c r="A630" s="715"/>
      <c r="B630" s="715"/>
      <c r="C630" s="715"/>
      <c r="D630" s="715"/>
      <c r="E630" s="715"/>
      <c r="F630" s="715"/>
      <c r="G630" s="715"/>
      <c r="H630" s="715"/>
      <c r="I630" s="715"/>
      <c r="J630" s="715"/>
      <c r="K630" s="715"/>
    </row>
    <row r="631" spans="1:11" ht="20.25">
      <c r="A631" s="715"/>
      <c r="B631" s="715"/>
      <c r="C631" s="715"/>
      <c r="D631" s="715"/>
      <c r="E631" s="715"/>
      <c r="F631" s="715"/>
      <c r="G631" s="715"/>
      <c r="H631" s="715"/>
      <c r="I631" s="715"/>
      <c r="J631" s="715"/>
      <c r="K631" s="715"/>
    </row>
    <row r="632" spans="1:11" ht="20.25">
      <c r="A632" s="715"/>
      <c r="B632" s="715"/>
      <c r="C632" s="715"/>
      <c r="D632" s="715"/>
      <c r="E632" s="715"/>
      <c r="F632" s="715"/>
      <c r="G632" s="715"/>
      <c r="H632" s="715"/>
      <c r="I632" s="715"/>
      <c r="J632" s="715"/>
      <c r="K632" s="715"/>
    </row>
    <row r="633" spans="1:11" ht="20.25">
      <c r="A633" s="715"/>
      <c r="B633" s="715"/>
      <c r="C633" s="715"/>
      <c r="D633" s="715"/>
      <c r="E633" s="715"/>
      <c r="F633" s="715"/>
      <c r="G633" s="715"/>
      <c r="H633" s="715"/>
      <c r="I633" s="715"/>
      <c r="J633" s="715"/>
      <c r="K633" s="715"/>
    </row>
    <row r="634" spans="1:11" ht="20.25">
      <c r="A634" s="715"/>
      <c r="B634" s="715"/>
      <c r="C634" s="715"/>
      <c r="D634" s="715"/>
      <c r="E634" s="715"/>
      <c r="F634" s="715"/>
      <c r="G634" s="715"/>
      <c r="H634" s="715"/>
      <c r="I634" s="715"/>
      <c r="J634" s="715"/>
      <c r="K634" s="715"/>
    </row>
    <row r="635" spans="1:11" ht="20.25">
      <c r="A635" s="715"/>
      <c r="B635" s="715"/>
      <c r="C635" s="715"/>
      <c r="D635" s="715"/>
      <c r="E635" s="715"/>
      <c r="F635" s="715"/>
      <c r="G635" s="715"/>
      <c r="H635" s="715"/>
      <c r="I635" s="715"/>
      <c r="J635" s="715"/>
      <c r="K635" s="715"/>
    </row>
    <row r="636" spans="1:11" ht="20.25">
      <c r="A636" s="715"/>
      <c r="B636" s="715"/>
      <c r="C636" s="715"/>
      <c r="D636" s="715"/>
      <c r="E636" s="715"/>
      <c r="F636" s="715"/>
      <c r="G636" s="715"/>
      <c r="H636" s="715"/>
      <c r="I636" s="715"/>
      <c r="J636" s="715"/>
      <c r="K636" s="715"/>
    </row>
    <row r="637" spans="1:11" ht="20.25">
      <c r="A637" s="715"/>
      <c r="B637" s="715"/>
      <c r="C637" s="715"/>
      <c r="D637" s="715"/>
      <c r="E637" s="715"/>
      <c r="F637" s="715"/>
      <c r="G637" s="715"/>
      <c r="H637" s="715"/>
      <c r="I637" s="715"/>
      <c r="J637" s="715"/>
      <c r="K637" s="715"/>
    </row>
    <row r="638" spans="1:11" ht="20.25">
      <c r="A638" s="715"/>
      <c r="B638" s="715"/>
      <c r="C638" s="715"/>
      <c r="D638" s="715"/>
      <c r="E638" s="715"/>
      <c r="F638" s="715"/>
      <c r="G638" s="715"/>
      <c r="H638" s="715"/>
      <c r="I638" s="715"/>
      <c r="J638" s="715"/>
      <c r="K638" s="715"/>
    </row>
    <row r="639" spans="1:11" ht="20.25">
      <c r="A639" s="715"/>
      <c r="B639" s="715"/>
      <c r="C639" s="715"/>
      <c r="D639" s="715"/>
      <c r="E639" s="715"/>
      <c r="F639" s="715"/>
      <c r="G639" s="715"/>
      <c r="H639" s="715"/>
      <c r="I639" s="715"/>
      <c r="J639" s="715"/>
      <c r="K639" s="715"/>
    </row>
    <row r="640" spans="1:11" ht="20.25">
      <c r="A640" s="715"/>
      <c r="B640" s="715"/>
      <c r="C640" s="715"/>
      <c r="D640" s="715"/>
      <c r="E640" s="715"/>
      <c r="F640" s="715"/>
      <c r="G640" s="715"/>
      <c r="H640" s="715"/>
      <c r="I640" s="715"/>
      <c r="J640" s="715"/>
      <c r="K640" s="715"/>
    </row>
    <row r="641" spans="1:11" ht="20.25">
      <c r="A641" s="715"/>
      <c r="B641" s="715"/>
      <c r="C641" s="715"/>
      <c r="D641" s="715"/>
      <c r="E641" s="715"/>
      <c r="F641" s="715"/>
      <c r="G641" s="715"/>
      <c r="H641" s="715"/>
      <c r="I641" s="715"/>
      <c r="J641" s="715"/>
      <c r="K641" s="715"/>
    </row>
    <row r="642" spans="1:11" ht="20.25">
      <c r="A642" s="715"/>
      <c r="B642" s="715"/>
      <c r="C642" s="715"/>
      <c r="D642" s="715"/>
      <c r="E642" s="715"/>
      <c r="F642" s="715"/>
      <c r="G642" s="715"/>
      <c r="H642" s="715"/>
      <c r="I642" s="715"/>
      <c r="J642" s="715"/>
      <c r="K642" s="715"/>
    </row>
    <row r="643" spans="1:11" ht="20.25">
      <c r="A643" s="715"/>
      <c r="B643" s="715"/>
      <c r="C643" s="715"/>
      <c r="D643" s="715"/>
      <c r="E643" s="715"/>
      <c r="F643" s="715"/>
      <c r="G643" s="715"/>
      <c r="H643" s="715"/>
      <c r="I643" s="715"/>
      <c r="J643" s="715"/>
      <c r="K643" s="715"/>
    </row>
    <row r="644" spans="1:11" ht="20.25">
      <c r="A644" s="715"/>
      <c r="B644" s="715"/>
      <c r="C644" s="715"/>
      <c r="D644" s="715"/>
      <c r="E644" s="715"/>
      <c r="F644" s="715"/>
      <c r="G644" s="715"/>
      <c r="H644" s="715"/>
      <c r="I644" s="715"/>
      <c r="J644" s="715"/>
      <c r="K644" s="715"/>
    </row>
    <row r="645" spans="1:11" ht="20.25">
      <c r="A645" s="715"/>
      <c r="B645" s="715"/>
      <c r="C645" s="715"/>
      <c r="D645" s="715"/>
      <c r="E645" s="715"/>
      <c r="F645" s="715"/>
      <c r="G645" s="715"/>
      <c r="H645" s="715"/>
      <c r="I645" s="715"/>
      <c r="J645" s="715"/>
      <c r="K645" s="715"/>
    </row>
    <row r="646" spans="1:11" ht="20.25">
      <c r="A646" s="715"/>
      <c r="B646" s="715"/>
      <c r="C646" s="715"/>
      <c r="D646" s="715"/>
      <c r="E646" s="715"/>
      <c r="F646" s="715"/>
      <c r="G646" s="715"/>
      <c r="H646" s="715"/>
      <c r="I646" s="715"/>
      <c r="J646" s="715"/>
      <c r="K646" s="715"/>
    </row>
    <row r="647" spans="1:11" ht="20.25">
      <c r="A647" s="715"/>
      <c r="B647" s="715"/>
      <c r="C647" s="715"/>
      <c r="D647" s="715"/>
      <c r="E647" s="715"/>
      <c r="F647" s="715"/>
      <c r="G647" s="715"/>
      <c r="H647" s="715"/>
      <c r="I647" s="715"/>
      <c r="J647" s="715"/>
      <c r="K647" s="715"/>
    </row>
    <row r="648" spans="1:11" ht="20.25">
      <c r="A648" s="715"/>
      <c r="B648" s="715"/>
      <c r="C648" s="715"/>
      <c r="D648" s="715"/>
      <c r="E648" s="715"/>
      <c r="F648" s="715"/>
      <c r="G648" s="715"/>
      <c r="H648" s="715"/>
      <c r="I648" s="715"/>
      <c r="J648" s="715"/>
      <c r="K648" s="715"/>
    </row>
    <row r="649" spans="1:11" ht="20.25">
      <c r="A649" s="715"/>
      <c r="B649" s="715"/>
      <c r="C649" s="715"/>
      <c r="D649" s="715"/>
      <c r="E649" s="715"/>
      <c r="F649" s="715"/>
      <c r="G649" s="715"/>
      <c r="H649" s="715"/>
      <c r="I649" s="715"/>
      <c r="J649" s="715"/>
      <c r="K649" s="715"/>
    </row>
    <row r="650" spans="1:11" ht="20.25">
      <c r="A650" s="715"/>
      <c r="B650" s="715"/>
      <c r="C650" s="715"/>
      <c r="D650" s="715"/>
      <c r="E650" s="715"/>
      <c r="F650" s="715"/>
      <c r="G650" s="715"/>
      <c r="H650" s="715"/>
      <c r="I650" s="715"/>
      <c r="J650" s="715"/>
      <c r="K650" s="715"/>
    </row>
    <row r="651" spans="1:11" ht="20.25">
      <c r="A651" s="715"/>
      <c r="B651" s="715"/>
      <c r="C651" s="715"/>
      <c r="D651" s="715"/>
      <c r="E651" s="715"/>
      <c r="F651" s="715"/>
      <c r="G651" s="715"/>
      <c r="H651" s="715"/>
      <c r="I651" s="715"/>
      <c r="J651" s="715"/>
      <c r="K651" s="715"/>
    </row>
    <row r="652" spans="1:11" ht="20.25">
      <c r="A652" s="715"/>
      <c r="B652" s="715"/>
      <c r="C652" s="715"/>
      <c r="D652" s="715"/>
      <c r="E652" s="715"/>
      <c r="F652" s="715"/>
      <c r="G652" s="715"/>
      <c r="H652" s="715"/>
      <c r="I652" s="715"/>
      <c r="J652" s="715"/>
      <c r="K652" s="715"/>
    </row>
    <row r="653" spans="1:11" ht="20.25">
      <c r="A653" s="715"/>
      <c r="B653" s="715"/>
      <c r="C653" s="715"/>
      <c r="D653" s="715"/>
      <c r="E653" s="715"/>
      <c r="F653" s="715"/>
      <c r="G653" s="715"/>
      <c r="H653" s="715"/>
      <c r="I653" s="715"/>
      <c r="J653" s="715"/>
      <c r="K653" s="715"/>
    </row>
    <row r="654" spans="1:11" ht="20.25">
      <c r="A654" s="715"/>
      <c r="B654" s="715"/>
      <c r="C654" s="715"/>
      <c r="D654" s="715"/>
      <c r="E654" s="715"/>
      <c r="F654" s="715"/>
      <c r="G654" s="715"/>
      <c r="H654" s="715"/>
      <c r="I654" s="715"/>
      <c r="J654" s="715"/>
      <c r="K654" s="715"/>
    </row>
    <row r="655" spans="1:11" ht="20.25">
      <c r="A655" s="715"/>
      <c r="B655" s="715"/>
      <c r="C655" s="715"/>
      <c r="D655" s="715"/>
      <c r="E655" s="715"/>
      <c r="F655" s="715"/>
      <c r="G655" s="715"/>
      <c r="H655" s="715"/>
      <c r="I655" s="715"/>
      <c r="J655" s="715"/>
      <c r="K655" s="715"/>
    </row>
    <row r="656" spans="1:11" ht="20.25">
      <c r="A656" s="715"/>
      <c r="B656" s="715"/>
      <c r="C656" s="715"/>
      <c r="D656" s="715"/>
      <c r="E656" s="715"/>
      <c r="F656" s="715"/>
      <c r="G656" s="715"/>
      <c r="H656" s="715"/>
      <c r="I656" s="715"/>
      <c r="J656" s="715"/>
      <c r="K656" s="715"/>
    </row>
    <row r="657" spans="1:11" ht="20.25">
      <c r="A657" s="715"/>
      <c r="B657" s="715"/>
      <c r="C657" s="715"/>
      <c r="D657" s="715"/>
      <c r="E657" s="715"/>
      <c r="F657" s="715"/>
      <c r="G657" s="715"/>
      <c r="H657" s="715"/>
      <c r="I657" s="715"/>
      <c r="J657" s="715"/>
      <c r="K657" s="715"/>
    </row>
    <row r="658" spans="1:11" ht="20.25">
      <c r="A658" s="715"/>
      <c r="B658" s="715"/>
      <c r="C658" s="715"/>
      <c r="D658" s="715"/>
      <c r="E658" s="715"/>
      <c r="F658" s="715"/>
      <c r="G658" s="715"/>
      <c r="H658" s="715"/>
      <c r="I658" s="715"/>
      <c r="J658" s="715"/>
      <c r="K658" s="715"/>
    </row>
    <row r="659" spans="1:11" ht="20.25">
      <c r="A659" s="715"/>
      <c r="B659" s="715"/>
      <c r="C659" s="715"/>
      <c r="D659" s="715"/>
      <c r="E659" s="715"/>
      <c r="F659" s="715"/>
      <c r="G659" s="715"/>
      <c r="H659" s="715"/>
      <c r="I659" s="715"/>
      <c r="J659" s="715"/>
      <c r="K659" s="715"/>
    </row>
    <row r="660" spans="1:11" ht="20.25">
      <c r="A660" s="715"/>
      <c r="B660" s="715"/>
      <c r="C660" s="715"/>
      <c r="D660" s="715"/>
      <c r="E660" s="715"/>
      <c r="F660" s="715"/>
      <c r="G660" s="715"/>
      <c r="H660" s="715"/>
      <c r="I660" s="715"/>
      <c r="J660" s="715"/>
      <c r="K660" s="715"/>
    </row>
    <row r="661" spans="1:11" ht="20.25">
      <c r="A661" s="715"/>
      <c r="B661" s="715"/>
      <c r="C661" s="715"/>
      <c r="D661" s="715"/>
      <c r="E661" s="715"/>
      <c r="F661" s="715"/>
      <c r="G661" s="715"/>
      <c r="H661" s="715"/>
      <c r="I661" s="715"/>
      <c r="J661" s="715"/>
      <c r="K661" s="715"/>
    </row>
    <row r="662" spans="1:11" ht="20.25">
      <c r="A662" s="715"/>
      <c r="B662" s="715"/>
      <c r="C662" s="715"/>
      <c r="D662" s="715"/>
      <c r="E662" s="715"/>
      <c r="F662" s="715"/>
      <c r="G662" s="715"/>
      <c r="H662" s="715"/>
      <c r="I662" s="715"/>
      <c r="J662" s="715"/>
      <c r="K662" s="715"/>
    </row>
    <row r="663" spans="1:11" ht="20.25">
      <c r="A663" s="715"/>
      <c r="B663" s="715"/>
      <c r="C663" s="715"/>
      <c r="D663" s="715"/>
      <c r="E663" s="715"/>
      <c r="F663" s="715"/>
      <c r="G663" s="715"/>
      <c r="H663" s="715"/>
      <c r="I663" s="715"/>
      <c r="J663" s="715"/>
      <c r="K663" s="715"/>
    </row>
    <row r="664" spans="1:11" ht="20.25">
      <c r="A664" s="715"/>
      <c r="B664" s="715"/>
      <c r="C664" s="715"/>
      <c r="D664" s="715"/>
      <c r="E664" s="715"/>
      <c r="F664" s="715"/>
      <c r="G664" s="715"/>
      <c r="H664" s="715"/>
      <c r="I664" s="715"/>
      <c r="J664" s="715"/>
      <c r="K664" s="715"/>
    </row>
    <row r="665" spans="1:11" ht="20.25">
      <c r="A665" s="715"/>
      <c r="B665" s="715"/>
      <c r="C665" s="715"/>
      <c r="D665" s="715"/>
      <c r="E665" s="715"/>
      <c r="F665" s="715"/>
      <c r="G665" s="715"/>
      <c r="H665" s="715"/>
      <c r="I665" s="715"/>
      <c r="J665" s="715"/>
      <c r="K665" s="715"/>
    </row>
    <row r="666" spans="1:11" ht="20.25">
      <c r="A666" s="715"/>
      <c r="B666" s="715"/>
      <c r="C666" s="715"/>
      <c r="D666" s="715"/>
      <c r="E666" s="715"/>
      <c r="F666" s="715"/>
      <c r="G666" s="715"/>
      <c r="H666" s="715"/>
      <c r="I666" s="715"/>
      <c r="J666" s="715"/>
      <c r="K666" s="715"/>
    </row>
    <row r="667" spans="1:11" ht="20.25">
      <c r="A667" s="715"/>
      <c r="B667" s="715"/>
      <c r="C667" s="715"/>
      <c r="D667" s="715"/>
      <c r="E667" s="715"/>
      <c r="F667" s="715"/>
      <c r="G667" s="715"/>
      <c r="H667" s="715"/>
      <c r="I667" s="715"/>
      <c r="J667" s="715"/>
      <c r="K667" s="715"/>
    </row>
    <row r="668" spans="1:11" ht="20.25">
      <c r="A668" s="715"/>
      <c r="B668" s="715"/>
      <c r="C668" s="715"/>
      <c r="D668" s="715"/>
      <c r="E668" s="715"/>
      <c r="F668" s="715"/>
      <c r="G668" s="715"/>
      <c r="H668" s="715"/>
      <c r="I668" s="715"/>
      <c r="J668" s="715"/>
      <c r="K668" s="715"/>
    </row>
    <row r="669" spans="1:11" ht="20.25">
      <c r="A669" s="715"/>
      <c r="B669" s="715"/>
      <c r="C669" s="715"/>
      <c r="D669" s="715"/>
      <c r="E669" s="715"/>
      <c r="F669" s="715"/>
      <c r="G669" s="715"/>
      <c r="H669" s="715"/>
      <c r="I669" s="715"/>
      <c r="J669" s="715"/>
      <c r="K669" s="715"/>
    </row>
    <row r="670" spans="1:11" ht="20.25">
      <c r="A670" s="715"/>
      <c r="B670" s="715"/>
      <c r="C670" s="715"/>
      <c r="D670" s="715"/>
      <c r="E670" s="715"/>
      <c r="F670" s="715"/>
      <c r="G670" s="715"/>
      <c r="H670" s="715"/>
      <c r="I670" s="715"/>
      <c r="J670" s="715"/>
      <c r="K670" s="715"/>
    </row>
    <row r="671" spans="1:11" ht="20.25">
      <c r="A671" s="715"/>
      <c r="B671" s="715"/>
      <c r="C671" s="715"/>
      <c r="D671" s="715"/>
      <c r="E671" s="715"/>
      <c r="F671" s="715"/>
      <c r="G671" s="715"/>
      <c r="H671" s="715"/>
      <c r="I671" s="715"/>
      <c r="J671" s="715"/>
      <c r="K671" s="715"/>
    </row>
    <row r="672" spans="1:11" ht="20.25">
      <c r="A672" s="715"/>
      <c r="B672" s="715"/>
      <c r="C672" s="715"/>
      <c r="D672" s="715"/>
      <c r="E672" s="715"/>
      <c r="F672" s="715"/>
      <c r="G672" s="715"/>
      <c r="H672" s="715"/>
      <c r="I672" s="715"/>
      <c r="J672" s="715"/>
      <c r="K672" s="715"/>
    </row>
    <row r="673" spans="1:11" ht="20.25">
      <c r="A673" s="715"/>
      <c r="B673" s="715"/>
      <c r="C673" s="715"/>
      <c r="D673" s="715"/>
      <c r="E673" s="715"/>
      <c r="F673" s="715"/>
      <c r="G673" s="715"/>
      <c r="H673" s="715"/>
      <c r="I673" s="715"/>
      <c r="J673" s="715"/>
      <c r="K673" s="715"/>
    </row>
    <row r="674" spans="1:11" ht="20.25">
      <c r="A674" s="715"/>
      <c r="B674" s="715"/>
      <c r="C674" s="715"/>
      <c r="D674" s="715"/>
      <c r="E674" s="715"/>
      <c r="F674" s="715"/>
      <c r="G674" s="715"/>
      <c r="H674" s="715"/>
      <c r="I674" s="715"/>
      <c r="J674" s="715"/>
      <c r="K674" s="715"/>
    </row>
    <row r="675" spans="1:11" ht="20.25">
      <c r="A675" s="715"/>
      <c r="B675" s="715"/>
      <c r="C675" s="715"/>
      <c r="D675" s="715"/>
      <c r="E675" s="715"/>
      <c r="F675" s="715"/>
      <c r="G675" s="715"/>
      <c r="H675" s="715"/>
      <c r="I675" s="715"/>
      <c r="J675" s="715"/>
      <c r="K675" s="715"/>
    </row>
    <row r="676" spans="1:11" ht="20.25">
      <c r="A676" s="715"/>
      <c r="B676" s="715"/>
      <c r="C676" s="715"/>
      <c r="D676" s="715"/>
      <c r="E676" s="715"/>
      <c r="F676" s="715"/>
      <c r="G676" s="715"/>
      <c r="H676" s="715"/>
      <c r="I676" s="715"/>
      <c r="J676" s="715"/>
      <c r="K676" s="715"/>
    </row>
    <row r="677" spans="1:11" ht="20.25">
      <c r="A677" s="715"/>
      <c r="B677" s="715"/>
      <c r="C677" s="715"/>
      <c r="D677" s="715"/>
      <c r="E677" s="715"/>
      <c r="F677" s="715"/>
      <c r="G677" s="715"/>
      <c r="H677" s="715"/>
      <c r="I677" s="715"/>
      <c r="J677" s="715"/>
      <c r="K677" s="715"/>
    </row>
    <row r="678" spans="1:11" ht="20.25">
      <c r="A678" s="715"/>
      <c r="B678" s="715"/>
      <c r="C678" s="715"/>
      <c r="D678" s="715"/>
      <c r="E678" s="715"/>
      <c r="F678" s="715"/>
      <c r="G678" s="715"/>
      <c r="H678" s="715"/>
      <c r="I678" s="715"/>
      <c r="J678" s="715"/>
      <c r="K678" s="715"/>
    </row>
    <row r="679" spans="1:11" ht="20.25">
      <c r="A679" s="715"/>
      <c r="B679" s="715"/>
      <c r="C679" s="715"/>
      <c r="D679" s="715"/>
      <c r="E679" s="715"/>
      <c r="F679" s="715"/>
      <c r="G679" s="715"/>
      <c r="H679" s="715"/>
      <c r="I679" s="715"/>
      <c r="J679" s="715"/>
      <c r="K679" s="715"/>
    </row>
    <row r="680" spans="1:11" ht="20.25">
      <c r="A680" s="715"/>
      <c r="B680" s="715"/>
      <c r="C680" s="715"/>
      <c r="D680" s="715"/>
      <c r="E680" s="715"/>
      <c r="F680" s="715"/>
      <c r="G680" s="715"/>
      <c r="H680" s="715"/>
      <c r="I680" s="715"/>
      <c r="J680" s="715"/>
      <c r="K680" s="715"/>
    </row>
    <row r="681" spans="1:11" ht="20.25">
      <c r="A681" s="715"/>
      <c r="B681" s="715"/>
      <c r="C681" s="715"/>
      <c r="D681" s="715"/>
      <c r="E681" s="715"/>
      <c r="F681" s="715"/>
      <c r="G681" s="715"/>
      <c r="H681" s="715"/>
      <c r="I681" s="715"/>
      <c r="J681" s="715"/>
      <c r="K681" s="715"/>
    </row>
    <row r="682" spans="1:11" ht="20.25">
      <c r="A682" s="715"/>
      <c r="B682" s="715"/>
      <c r="C682" s="715"/>
      <c r="D682" s="715"/>
      <c r="E682" s="715"/>
      <c r="F682" s="715"/>
      <c r="G682" s="715"/>
      <c r="H682" s="715"/>
      <c r="I682" s="715"/>
      <c r="J682" s="715"/>
      <c r="K682" s="715"/>
    </row>
    <row r="683" spans="1:11" ht="20.25">
      <c r="A683" s="715"/>
      <c r="B683" s="715"/>
      <c r="C683" s="715"/>
      <c r="D683" s="715"/>
      <c r="E683" s="715"/>
      <c r="F683" s="715"/>
      <c r="G683" s="715"/>
      <c r="H683" s="715"/>
      <c r="I683" s="715"/>
      <c r="J683" s="715"/>
      <c r="K683" s="715"/>
    </row>
    <row r="684" spans="1:11" ht="20.25">
      <c r="A684" s="715"/>
      <c r="B684" s="715"/>
      <c r="C684" s="715"/>
      <c r="D684" s="715"/>
      <c r="E684" s="715"/>
      <c r="F684" s="715"/>
      <c r="G684" s="715"/>
      <c r="H684" s="715"/>
      <c r="I684" s="715"/>
      <c r="J684" s="715"/>
      <c r="K684" s="715"/>
    </row>
    <row r="685" spans="1:11" ht="20.25">
      <c r="A685" s="715"/>
      <c r="B685" s="715"/>
      <c r="C685" s="715"/>
      <c r="D685" s="715"/>
      <c r="E685" s="715"/>
      <c r="F685" s="715"/>
      <c r="G685" s="715"/>
      <c r="H685" s="715"/>
      <c r="I685" s="715"/>
      <c r="J685" s="715"/>
      <c r="K685" s="715"/>
    </row>
    <row r="686" spans="1:11" ht="20.25">
      <c r="A686" s="715"/>
      <c r="B686" s="715"/>
      <c r="C686" s="715"/>
      <c r="D686" s="715"/>
      <c r="E686" s="715"/>
      <c r="F686" s="715"/>
      <c r="G686" s="715"/>
      <c r="H686" s="715"/>
      <c r="I686" s="715"/>
      <c r="J686" s="715"/>
      <c r="K686" s="715"/>
    </row>
    <row r="687" spans="1:11" ht="20.25">
      <c r="A687" s="715"/>
      <c r="B687" s="715"/>
      <c r="C687" s="715"/>
      <c r="D687" s="715"/>
      <c r="E687" s="715"/>
      <c r="F687" s="715"/>
      <c r="G687" s="715"/>
      <c r="H687" s="715"/>
      <c r="I687" s="715"/>
      <c r="J687" s="715"/>
      <c r="K687" s="715"/>
    </row>
    <row r="688" spans="1:11" ht="20.25">
      <c r="A688" s="715"/>
      <c r="B688" s="715"/>
      <c r="C688" s="715"/>
      <c r="D688" s="715"/>
      <c r="E688" s="715"/>
      <c r="F688" s="715"/>
      <c r="G688" s="715"/>
      <c r="H688" s="715"/>
      <c r="I688" s="715"/>
      <c r="J688" s="715"/>
      <c r="K688" s="715"/>
    </row>
    <row r="689" spans="1:11" ht="20.25">
      <c r="A689" s="715"/>
      <c r="B689" s="715"/>
      <c r="C689" s="715"/>
      <c r="D689" s="715"/>
      <c r="E689" s="715"/>
      <c r="F689" s="715"/>
      <c r="G689" s="715"/>
      <c r="H689" s="715"/>
      <c r="I689" s="715"/>
      <c r="J689" s="715"/>
      <c r="K689" s="715"/>
    </row>
    <row r="690" spans="1:11" ht="20.25">
      <c r="A690" s="715"/>
      <c r="B690" s="715"/>
      <c r="C690" s="715"/>
      <c r="D690" s="715"/>
      <c r="E690" s="715"/>
      <c r="F690" s="715"/>
      <c r="G690" s="715"/>
      <c r="H690" s="715"/>
      <c r="I690" s="715"/>
      <c r="J690" s="715"/>
      <c r="K690" s="715"/>
    </row>
    <row r="691" spans="1:11" ht="20.25">
      <c r="A691" s="715"/>
      <c r="B691" s="715"/>
      <c r="C691" s="715"/>
      <c r="D691" s="715"/>
      <c r="E691" s="715"/>
      <c r="F691" s="715"/>
      <c r="G691" s="715"/>
      <c r="H691" s="715"/>
      <c r="I691" s="715"/>
      <c r="J691" s="715"/>
      <c r="K691" s="715"/>
    </row>
    <row r="692" spans="1:11" ht="20.25">
      <c r="A692" s="715"/>
      <c r="B692" s="715"/>
      <c r="C692" s="715"/>
      <c r="D692" s="715"/>
      <c r="E692" s="715"/>
      <c r="F692" s="715"/>
      <c r="G692" s="715"/>
      <c r="H692" s="715"/>
      <c r="I692" s="715"/>
      <c r="J692" s="715"/>
      <c r="K692" s="715"/>
    </row>
    <row r="693" spans="1:11" ht="20.25">
      <c r="A693" s="715"/>
      <c r="B693" s="715"/>
      <c r="C693" s="715"/>
      <c r="D693" s="715"/>
      <c r="E693" s="715"/>
      <c r="F693" s="715"/>
      <c r="G693" s="715"/>
      <c r="H693" s="715"/>
      <c r="I693" s="715"/>
      <c r="J693" s="715"/>
      <c r="K693" s="715"/>
    </row>
    <row r="694" spans="1:11" ht="20.25">
      <c r="A694" s="715"/>
      <c r="B694" s="715"/>
      <c r="C694" s="715"/>
      <c r="D694" s="715"/>
      <c r="E694" s="715"/>
      <c r="F694" s="715"/>
      <c r="G694" s="715"/>
      <c r="H694" s="715"/>
      <c r="I694" s="715"/>
      <c r="J694" s="715"/>
      <c r="K694" s="715"/>
    </row>
    <row r="695" spans="1:11" ht="20.25">
      <c r="A695" s="715"/>
      <c r="B695" s="715"/>
      <c r="C695" s="715"/>
      <c r="D695" s="715"/>
      <c r="E695" s="715"/>
      <c r="F695" s="715"/>
      <c r="G695" s="715"/>
      <c r="H695" s="715"/>
      <c r="I695" s="715"/>
      <c r="J695" s="715"/>
      <c r="K695" s="715"/>
    </row>
    <row r="696" spans="1:11" ht="20.25">
      <c r="A696" s="715"/>
      <c r="B696" s="715"/>
      <c r="C696" s="715"/>
      <c r="D696" s="715"/>
      <c r="E696" s="715"/>
      <c r="F696" s="715"/>
      <c r="G696" s="715"/>
      <c r="H696" s="715"/>
      <c r="I696" s="715"/>
      <c r="J696" s="715"/>
      <c r="K696" s="715"/>
    </row>
    <row r="697" spans="1:11" ht="20.25">
      <c r="A697" s="715"/>
      <c r="B697" s="715"/>
      <c r="C697" s="715"/>
      <c r="D697" s="715"/>
      <c r="E697" s="715"/>
      <c r="F697" s="715"/>
      <c r="G697" s="715"/>
      <c r="H697" s="715"/>
      <c r="I697" s="715"/>
      <c r="J697" s="715"/>
      <c r="K697" s="715"/>
    </row>
    <row r="698" spans="1:11" ht="20.25">
      <c r="A698" s="715"/>
      <c r="B698" s="715"/>
      <c r="C698" s="715"/>
      <c r="D698" s="715"/>
      <c r="E698" s="715"/>
      <c r="F698" s="715"/>
      <c r="G698" s="715"/>
      <c r="H698" s="715"/>
      <c r="I698" s="715"/>
      <c r="J698" s="715"/>
      <c r="K698" s="715"/>
    </row>
    <row r="699" spans="1:11" ht="20.25">
      <c r="A699" s="715"/>
      <c r="B699" s="715"/>
      <c r="C699" s="715"/>
      <c r="D699" s="715"/>
      <c r="E699" s="715"/>
      <c r="F699" s="715"/>
      <c r="G699" s="715"/>
      <c r="H699" s="715"/>
      <c r="I699" s="715"/>
      <c r="J699" s="715"/>
      <c r="K699" s="715"/>
    </row>
    <row r="700" spans="1:11" ht="20.25">
      <c r="A700" s="715"/>
      <c r="B700" s="715"/>
      <c r="C700" s="715"/>
      <c r="D700" s="715"/>
      <c r="E700" s="715"/>
      <c r="F700" s="715"/>
      <c r="G700" s="715"/>
      <c r="H700" s="715"/>
      <c r="I700" s="715"/>
      <c r="J700" s="715"/>
      <c r="K700" s="715"/>
    </row>
    <row r="701" spans="1:11" ht="20.25">
      <c r="A701" s="715"/>
      <c r="B701" s="715"/>
      <c r="C701" s="715"/>
      <c r="D701" s="715"/>
      <c r="E701" s="715"/>
      <c r="F701" s="715"/>
      <c r="G701" s="715"/>
      <c r="H701" s="715"/>
      <c r="I701" s="715"/>
      <c r="J701" s="715"/>
      <c r="K701" s="715"/>
    </row>
    <row r="702" spans="1:11" ht="20.25">
      <c r="A702" s="715"/>
      <c r="B702" s="715"/>
      <c r="C702" s="715"/>
      <c r="D702" s="715"/>
      <c r="E702" s="715"/>
      <c r="F702" s="715"/>
      <c r="G702" s="715"/>
      <c r="H702" s="715"/>
      <c r="I702" s="715"/>
      <c r="J702" s="715"/>
      <c r="K702" s="715"/>
    </row>
    <row r="703" spans="1:11" ht="20.25">
      <c r="A703" s="715"/>
      <c r="B703" s="715"/>
      <c r="C703" s="715"/>
      <c r="D703" s="715"/>
      <c r="E703" s="715"/>
      <c r="F703" s="715"/>
      <c r="G703" s="715"/>
      <c r="H703" s="715"/>
      <c r="I703" s="715"/>
      <c r="J703" s="715"/>
      <c r="K703" s="715"/>
    </row>
    <row r="704" spans="1:11" ht="20.25">
      <c r="A704" s="715"/>
      <c r="B704" s="715"/>
      <c r="C704" s="715"/>
      <c r="D704" s="715"/>
      <c r="E704" s="715"/>
      <c r="F704" s="715"/>
      <c r="G704" s="715"/>
      <c r="H704" s="715"/>
      <c r="I704" s="715"/>
      <c r="J704" s="715"/>
      <c r="K704" s="715"/>
    </row>
    <row r="705" spans="1:11" ht="20.25">
      <c r="A705" s="715"/>
      <c r="B705" s="715"/>
      <c r="C705" s="715"/>
      <c r="D705" s="715"/>
      <c r="E705" s="715"/>
      <c r="F705" s="715"/>
      <c r="G705" s="715"/>
      <c r="H705" s="715"/>
      <c r="I705" s="715"/>
      <c r="J705" s="715"/>
      <c r="K705" s="715"/>
    </row>
    <row r="706" spans="1:11" ht="20.25">
      <c r="A706" s="715"/>
      <c r="B706" s="715"/>
      <c r="C706" s="715"/>
      <c r="D706" s="715"/>
      <c r="E706" s="715"/>
      <c r="F706" s="715"/>
      <c r="G706" s="715"/>
      <c r="H706" s="715"/>
      <c r="I706" s="715"/>
      <c r="J706" s="715"/>
      <c r="K706" s="715"/>
    </row>
    <row r="707" spans="1:11" ht="20.25">
      <c r="A707" s="715"/>
      <c r="B707" s="715"/>
      <c r="C707" s="715"/>
      <c r="D707" s="715"/>
      <c r="E707" s="715"/>
      <c r="F707" s="715"/>
      <c r="G707" s="715"/>
      <c r="H707" s="715"/>
      <c r="I707" s="715"/>
      <c r="J707" s="715"/>
      <c r="K707" s="715"/>
    </row>
    <row r="708" spans="1:11" ht="20.25">
      <c r="A708" s="715"/>
      <c r="B708" s="715"/>
      <c r="C708" s="715"/>
      <c r="D708" s="715"/>
      <c r="E708" s="715"/>
      <c r="F708" s="715"/>
      <c r="G708" s="715"/>
      <c r="H708" s="715"/>
      <c r="I708" s="715"/>
      <c r="J708" s="715"/>
      <c r="K708" s="715"/>
    </row>
    <row r="709" spans="1:11" ht="20.25">
      <c r="A709" s="715"/>
      <c r="B709" s="715"/>
      <c r="C709" s="715"/>
      <c r="D709" s="715"/>
      <c r="E709" s="715"/>
      <c r="F709" s="715"/>
      <c r="G709" s="715"/>
      <c r="H709" s="715"/>
      <c r="I709" s="715"/>
      <c r="J709" s="715"/>
      <c r="K709" s="715"/>
    </row>
    <row r="710" spans="1:11" ht="20.25">
      <c r="A710" s="715"/>
      <c r="B710" s="715"/>
      <c r="C710" s="715"/>
      <c r="D710" s="715"/>
      <c r="E710" s="715"/>
      <c r="F710" s="715"/>
      <c r="G710" s="715"/>
      <c r="H710" s="715"/>
      <c r="I710" s="715"/>
      <c r="J710" s="715"/>
      <c r="K710" s="715"/>
    </row>
    <row r="711" spans="1:11" ht="20.25">
      <c r="A711" s="715"/>
      <c r="B711" s="715"/>
      <c r="C711" s="715"/>
      <c r="D711" s="715"/>
      <c r="E711" s="715"/>
      <c r="F711" s="715"/>
      <c r="G711" s="715"/>
      <c r="H711" s="715"/>
      <c r="I711" s="715"/>
      <c r="J711" s="715"/>
      <c r="K711" s="715"/>
    </row>
    <row r="712" spans="1:11" ht="20.25">
      <c r="A712" s="715"/>
      <c r="B712" s="715"/>
      <c r="C712" s="715"/>
      <c r="D712" s="715"/>
      <c r="E712" s="715"/>
      <c r="F712" s="715"/>
      <c r="G712" s="715"/>
      <c r="H712" s="715"/>
      <c r="I712" s="715"/>
      <c r="J712" s="715"/>
      <c r="K712" s="715"/>
    </row>
    <row r="713" spans="1:11" ht="20.25">
      <c r="A713" s="715"/>
      <c r="B713" s="715"/>
      <c r="C713" s="715"/>
      <c r="D713" s="715"/>
      <c r="E713" s="715"/>
      <c r="F713" s="715"/>
      <c r="G713" s="715"/>
      <c r="H713" s="715"/>
      <c r="I713" s="715"/>
      <c r="J713" s="715"/>
      <c r="K713" s="715"/>
    </row>
    <row r="714" spans="1:11" ht="20.25">
      <c r="A714" s="715"/>
      <c r="B714" s="715"/>
      <c r="C714" s="715"/>
      <c r="D714" s="715"/>
      <c r="E714" s="715"/>
      <c r="F714" s="715"/>
      <c r="G714" s="715"/>
      <c r="H714" s="715"/>
      <c r="I714" s="715"/>
      <c r="J714" s="715"/>
      <c r="K714" s="715"/>
    </row>
    <row r="715" spans="1:11" ht="20.25">
      <c r="A715" s="715"/>
      <c r="B715" s="715"/>
      <c r="C715" s="715"/>
      <c r="D715" s="715"/>
      <c r="E715" s="715"/>
      <c r="F715" s="715"/>
      <c r="G715" s="715"/>
      <c r="H715" s="715"/>
      <c r="I715" s="715"/>
      <c r="J715" s="715"/>
      <c r="K715" s="715"/>
    </row>
    <row r="716" spans="1:11" ht="20.25">
      <c r="A716" s="715"/>
      <c r="B716" s="715"/>
      <c r="C716" s="715"/>
      <c r="D716" s="715"/>
      <c r="E716" s="715"/>
      <c r="F716" s="715"/>
      <c r="G716" s="715"/>
      <c r="H716" s="715"/>
      <c r="I716" s="715"/>
      <c r="J716" s="715"/>
      <c r="K716" s="715"/>
    </row>
    <row r="717" spans="1:11" ht="20.25">
      <c r="A717" s="715"/>
      <c r="B717" s="715"/>
      <c r="C717" s="715"/>
      <c r="D717" s="715"/>
      <c r="E717" s="715"/>
      <c r="F717" s="715"/>
      <c r="G717" s="715"/>
      <c r="H717" s="715"/>
      <c r="I717" s="715"/>
      <c r="J717" s="715"/>
      <c r="K717" s="715"/>
    </row>
    <row r="718" spans="1:11" ht="20.25">
      <c r="A718" s="715"/>
      <c r="B718" s="715"/>
      <c r="C718" s="715"/>
      <c r="D718" s="715"/>
      <c r="E718" s="715"/>
      <c r="F718" s="715"/>
      <c r="G718" s="715"/>
      <c r="H718" s="715"/>
      <c r="I718" s="715"/>
      <c r="J718" s="715"/>
      <c r="K718" s="715"/>
    </row>
    <row r="719" spans="1:11" ht="20.25">
      <c r="A719" s="715"/>
      <c r="B719" s="715"/>
      <c r="C719" s="715"/>
      <c r="D719" s="715"/>
      <c r="E719" s="715"/>
      <c r="F719" s="715"/>
      <c r="G719" s="715"/>
      <c r="H719" s="715"/>
      <c r="I719" s="715"/>
      <c r="J719" s="715"/>
      <c r="K719" s="715"/>
    </row>
    <row r="720" spans="1:11" ht="20.25">
      <c r="A720" s="715"/>
      <c r="B720" s="715"/>
      <c r="C720" s="715"/>
      <c r="D720" s="715"/>
      <c r="E720" s="715"/>
      <c r="F720" s="715"/>
      <c r="G720" s="715"/>
      <c r="H720" s="715"/>
      <c r="I720" s="715"/>
      <c r="J720" s="715"/>
      <c r="K720" s="715"/>
    </row>
    <row r="721" spans="1:11" ht="20.25">
      <c r="A721" s="715"/>
      <c r="B721" s="715"/>
      <c r="C721" s="715"/>
      <c r="D721" s="715"/>
      <c r="E721" s="715"/>
      <c r="F721" s="715"/>
      <c r="G721" s="715"/>
      <c r="H721" s="715"/>
      <c r="I721" s="715"/>
      <c r="J721" s="715"/>
      <c r="K721" s="715"/>
    </row>
    <row r="722" spans="1:11" ht="20.25">
      <c r="A722" s="715"/>
      <c r="B722" s="715"/>
      <c r="C722" s="715"/>
      <c r="D722" s="715"/>
      <c r="E722" s="715"/>
      <c r="F722" s="715"/>
      <c r="G722" s="715"/>
      <c r="H722" s="715"/>
      <c r="I722" s="715"/>
      <c r="J722" s="715"/>
      <c r="K722" s="715"/>
    </row>
    <row r="723" spans="1:11" ht="20.25">
      <c r="A723" s="715"/>
      <c r="B723" s="715"/>
      <c r="C723" s="715"/>
      <c r="D723" s="715"/>
      <c r="E723" s="715"/>
      <c r="F723" s="715"/>
      <c r="G723" s="715"/>
      <c r="H723" s="715"/>
      <c r="I723" s="715"/>
      <c r="J723" s="715"/>
      <c r="K723" s="715"/>
    </row>
    <row r="724" spans="1:11" ht="20.25">
      <c r="A724" s="715"/>
      <c r="B724" s="715"/>
      <c r="C724" s="715"/>
      <c r="D724" s="715"/>
      <c r="E724" s="715"/>
      <c r="F724" s="715"/>
      <c r="G724" s="715"/>
      <c r="H724" s="715"/>
      <c r="I724" s="715"/>
      <c r="J724" s="715"/>
      <c r="K724" s="715"/>
    </row>
    <row r="725" spans="1:11" ht="20.25">
      <c r="A725" s="715"/>
      <c r="B725" s="715"/>
      <c r="C725" s="715"/>
      <c r="D725" s="715"/>
      <c r="E725" s="715"/>
      <c r="F725" s="715"/>
      <c r="G725" s="715"/>
      <c r="H725" s="715"/>
      <c r="I725" s="715"/>
      <c r="J725" s="715"/>
      <c r="K725" s="715"/>
    </row>
    <row r="726" spans="1:11" ht="20.25">
      <c r="A726" s="715"/>
      <c r="B726" s="715"/>
      <c r="C726" s="715"/>
      <c r="D726" s="715"/>
      <c r="E726" s="715"/>
      <c r="F726" s="715"/>
      <c r="G726" s="715"/>
      <c r="H726" s="715"/>
      <c r="I726" s="715"/>
      <c r="J726" s="715"/>
      <c r="K726" s="715"/>
    </row>
    <row r="727" spans="1:11" ht="20.25">
      <c r="A727" s="715"/>
      <c r="B727" s="715"/>
      <c r="C727" s="715"/>
      <c r="D727" s="715"/>
      <c r="E727" s="715"/>
      <c r="F727" s="715"/>
      <c r="G727" s="715"/>
      <c r="H727" s="715"/>
      <c r="I727" s="715"/>
      <c r="J727" s="715"/>
      <c r="K727" s="715"/>
    </row>
    <row r="728" spans="1:11" ht="20.25">
      <c r="A728" s="715"/>
      <c r="B728" s="715"/>
      <c r="C728" s="715"/>
      <c r="D728" s="715"/>
      <c r="E728" s="715"/>
      <c r="F728" s="715"/>
      <c r="G728" s="715"/>
      <c r="H728" s="715"/>
      <c r="I728" s="715"/>
      <c r="J728" s="715"/>
      <c r="K728" s="715"/>
    </row>
    <row r="729" spans="1:11" ht="20.25">
      <c r="A729" s="715"/>
      <c r="B729" s="715"/>
      <c r="C729" s="715"/>
      <c r="D729" s="715"/>
      <c r="E729" s="715"/>
      <c r="F729" s="715"/>
      <c r="G729" s="715"/>
      <c r="H729" s="715"/>
      <c r="I729" s="715"/>
      <c r="J729" s="715"/>
      <c r="K729" s="715"/>
    </row>
    <row r="730" spans="1:11" ht="20.25">
      <c r="A730" s="715"/>
      <c r="B730" s="715"/>
      <c r="C730" s="715"/>
      <c r="D730" s="715"/>
      <c r="E730" s="715"/>
      <c r="F730" s="715"/>
      <c r="G730" s="715"/>
      <c r="H730" s="715"/>
      <c r="I730" s="715"/>
      <c r="J730" s="715"/>
      <c r="K730" s="715"/>
    </row>
    <row r="731" spans="1:11" ht="20.25">
      <c r="A731" s="715"/>
      <c r="B731" s="715"/>
      <c r="C731" s="715"/>
      <c r="D731" s="715"/>
      <c r="E731" s="715"/>
      <c r="F731" s="715"/>
      <c r="G731" s="715"/>
      <c r="H731" s="715"/>
      <c r="I731" s="715"/>
      <c r="J731" s="715"/>
      <c r="K731" s="715"/>
    </row>
    <row r="732" spans="1:11" ht="20.25">
      <c r="A732" s="715"/>
      <c r="B732" s="715"/>
      <c r="C732" s="715"/>
      <c r="D732" s="715"/>
      <c r="E732" s="715"/>
      <c r="F732" s="715"/>
      <c r="G732" s="715"/>
      <c r="H732" s="715"/>
      <c r="I732" s="715"/>
      <c r="J732" s="715"/>
      <c r="K732" s="715"/>
    </row>
    <row r="733" spans="1:11" ht="20.25">
      <c r="A733" s="715"/>
      <c r="B733" s="715"/>
      <c r="C733" s="715"/>
      <c r="D733" s="715"/>
      <c r="E733" s="715"/>
      <c r="F733" s="715"/>
      <c r="G733" s="715"/>
      <c r="H733" s="715"/>
      <c r="I733" s="715"/>
      <c r="J733" s="715"/>
      <c r="K733" s="715"/>
    </row>
    <row r="734" spans="1:11" ht="20.25">
      <c r="A734" s="715"/>
      <c r="B734" s="715"/>
      <c r="C734" s="715"/>
      <c r="D734" s="715"/>
      <c r="E734" s="715"/>
      <c r="F734" s="715"/>
      <c r="G734" s="715"/>
      <c r="H734" s="715"/>
      <c r="I734" s="715"/>
      <c r="J734" s="715"/>
      <c r="K734" s="715"/>
    </row>
    <row r="735" spans="1:11" ht="20.25">
      <c r="A735" s="715"/>
      <c r="B735" s="715"/>
      <c r="C735" s="715"/>
      <c r="D735" s="715"/>
      <c r="E735" s="715"/>
      <c r="F735" s="715"/>
      <c r="G735" s="715"/>
      <c r="H735" s="715"/>
      <c r="I735" s="715"/>
      <c r="J735" s="715"/>
      <c r="K735" s="715"/>
    </row>
    <row r="736" spans="1:11" ht="20.25">
      <c r="A736" s="715"/>
      <c r="B736" s="715"/>
      <c r="C736" s="715"/>
      <c r="D736" s="715"/>
      <c r="E736" s="715"/>
      <c r="F736" s="715"/>
      <c r="G736" s="715"/>
      <c r="H736" s="715"/>
      <c r="I736" s="715"/>
      <c r="J736" s="715"/>
      <c r="K736" s="715"/>
    </row>
    <row r="737" spans="1:11" ht="20.25">
      <c r="A737" s="715"/>
      <c r="B737" s="715"/>
      <c r="C737" s="715"/>
      <c r="D737" s="715"/>
      <c r="E737" s="715"/>
      <c r="F737" s="715"/>
      <c r="G737" s="715"/>
      <c r="H737" s="715"/>
      <c r="I737" s="715"/>
      <c r="J737" s="715"/>
      <c r="K737" s="715"/>
    </row>
    <row r="738" spans="1:11" ht="20.25">
      <c r="A738" s="715"/>
      <c r="B738" s="715"/>
      <c r="C738" s="715"/>
      <c r="D738" s="715"/>
      <c r="E738" s="715"/>
      <c r="F738" s="715"/>
      <c r="G738" s="715"/>
      <c r="H738" s="715"/>
      <c r="I738" s="715"/>
      <c r="J738" s="715"/>
      <c r="K738" s="715"/>
    </row>
    <row r="739" spans="1:11" ht="20.25">
      <c r="A739" s="715"/>
      <c r="B739" s="715"/>
      <c r="C739" s="715"/>
      <c r="D739" s="715"/>
      <c r="E739" s="715"/>
      <c r="F739" s="715"/>
      <c r="G739" s="715"/>
      <c r="H739" s="715"/>
      <c r="I739" s="715"/>
      <c r="J739" s="715"/>
      <c r="K739" s="715"/>
    </row>
    <row r="740" spans="1:11" ht="20.25">
      <c r="A740" s="715"/>
      <c r="B740" s="715"/>
      <c r="C740" s="715"/>
      <c r="D740" s="715"/>
      <c r="E740" s="715"/>
      <c r="F740" s="715"/>
      <c r="G740" s="715"/>
      <c r="H740" s="715"/>
      <c r="I740" s="715"/>
      <c r="J740" s="715"/>
      <c r="K740" s="715"/>
    </row>
    <row r="741" spans="1:11" ht="20.25">
      <c r="A741" s="715"/>
      <c r="B741" s="715"/>
      <c r="C741" s="715"/>
      <c r="D741" s="715"/>
      <c r="E741" s="715"/>
      <c r="F741" s="715"/>
      <c r="G741" s="715"/>
      <c r="H741" s="715"/>
      <c r="I741" s="715"/>
      <c r="J741" s="715"/>
      <c r="K741" s="715"/>
    </row>
    <row r="742" spans="1:11" ht="20.25">
      <c r="A742" s="715"/>
      <c r="B742" s="715"/>
      <c r="C742" s="715"/>
      <c r="D742" s="715"/>
      <c r="E742" s="715"/>
      <c r="F742" s="715"/>
      <c r="G742" s="715"/>
      <c r="H742" s="715"/>
      <c r="I742" s="715"/>
      <c r="J742" s="715"/>
      <c r="K742" s="715"/>
    </row>
    <row r="743" spans="1:11" ht="20.25">
      <c r="A743" s="715"/>
      <c r="B743" s="715"/>
      <c r="C743" s="715"/>
      <c r="D743" s="715"/>
      <c r="E743" s="715"/>
      <c r="F743" s="715"/>
      <c r="G743" s="715"/>
      <c r="H743" s="715"/>
      <c r="I743" s="715"/>
      <c r="J743" s="715"/>
      <c r="K743" s="715"/>
    </row>
    <row r="744" spans="1:11" ht="20.25">
      <c r="A744" s="715"/>
      <c r="B744" s="715"/>
      <c r="C744" s="715"/>
      <c r="D744" s="715"/>
      <c r="E744" s="715"/>
      <c r="F744" s="715"/>
      <c r="G744" s="715"/>
      <c r="H744" s="715"/>
      <c r="I744" s="715"/>
      <c r="J744" s="715"/>
      <c r="K744" s="715"/>
    </row>
    <row r="745" spans="1:11" ht="20.25">
      <c r="A745" s="715"/>
      <c r="B745" s="715"/>
      <c r="C745" s="715"/>
      <c r="D745" s="715"/>
      <c r="E745" s="715"/>
      <c r="F745" s="715"/>
      <c r="G745" s="715"/>
      <c r="H745" s="715"/>
      <c r="I745" s="715"/>
      <c r="J745" s="715"/>
      <c r="K745" s="715"/>
    </row>
    <row r="746" spans="1:11" ht="20.25">
      <c r="A746" s="715"/>
      <c r="B746" s="715"/>
      <c r="C746" s="715"/>
      <c r="D746" s="715"/>
      <c r="E746" s="715"/>
      <c r="F746" s="715"/>
      <c r="G746" s="715"/>
      <c r="H746" s="715"/>
      <c r="I746" s="715"/>
      <c r="J746" s="715"/>
      <c r="K746" s="715"/>
    </row>
    <row r="747" spans="1:11" ht="20.25">
      <c r="A747" s="715"/>
      <c r="B747" s="715"/>
      <c r="C747" s="715"/>
      <c r="D747" s="715"/>
      <c r="E747" s="715"/>
      <c r="F747" s="715"/>
      <c r="G747" s="715"/>
      <c r="H747" s="715"/>
      <c r="I747" s="715"/>
      <c r="J747" s="715"/>
      <c r="K747" s="715"/>
    </row>
    <row r="748" spans="1:11" ht="20.25">
      <c r="A748" s="715"/>
      <c r="B748" s="715"/>
      <c r="C748" s="715"/>
      <c r="D748" s="715"/>
      <c r="E748" s="715"/>
      <c r="F748" s="715"/>
      <c r="G748" s="715"/>
      <c r="H748" s="715"/>
      <c r="I748" s="715"/>
      <c r="J748" s="715"/>
      <c r="K748" s="715"/>
    </row>
    <row r="749" spans="1:11" ht="20.25">
      <c r="A749" s="715"/>
      <c r="B749" s="715"/>
      <c r="C749" s="715"/>
      <c r="D749" s="715"/>
      <c r="E749" s="715"/>
      <c r="F749" s="715"/>
      <c r="G749" s="715"/>
      <c r="H749" s="715"/>
      <c r="I749" s="715"/>
      <c r="J749" s="715"/>
      <c r="K749" s="715"/>
    </row>
    <row r="750" spans="1:11" ht="20.25">
      <c r="A750" s="715"/>
      <c r="B750" s="715"/>
      <c r="C750" s="715"/>
      <c r="D750" s="715"/>
      <c r="E750" s="715"/>
      <c r="F750" s="715"/>
      <c r="G750" s="715"/>
      <c r="H750" s="715"/>
      <c r="I750" s="715"/>
      <c r="J750" s="715"/>
      <c r="K750" s="715"/>
    </row>
    <row r="751" spans="1:11" ht="20.25">
      <c r="A751" s="715"/>
      <c r="B751" s="715"/>
      <c r="C751" s="715"/>
      <c r="D751" s="715"/>
      <c r="E751" s="715"/>
      <c r="F751" s="715"/>
      <c r="G751" s="715"/>
      <c r="H751" s="715"/>
      <c r="I751" s="715"/>
      <c r="J751" s="715"/>
      <c r="K751" s="715"/>
    </row>
    <row r="752" spans="1:11" ht="20.25">
      <c r="A752" s="715"/>
      <c r="B752" s="715"/>
      <c r="C752" s="715"/>
      <c r="D752" s="715"/>
      <c r="E752" s="715"/>
      <c r="F752" s="715"/>
      <c r="G752" s="715"/>
      <c r="H752" s="715"/>
      <c r="I752" s="715"/>
      <c r="J752" s="715"/>
      <c r="K752" s="715"/>
    </row>
    <row r="753" spans="1:11" ht="20.25">
      <c r="A753" s="715"/>
      <c r="B753" s="715"/>
      <c r="C753" s="715"/>
      <c r="D753" s="715"/>
      <c r="E753" s="715"/>
      <c r="F753" s="715"/>
      <c r="G753" s="715"/>
      <c r="H753" s="715"/>
      <c r="I753" s="715"/>
      <c r="J753" s="715"/>
      <c r="K753" s="715"/>
    </row>
    <row r="754" spans="1:11" ht="20.25">
      <c r="A754" s="715"/>
      <c r="B754" s="715"/>
      <c r="C754" s="715"/>
      <c r="D754" s="715"/>
      <c r="E754" s="715"/>
      <c r="F754" s="715"/>
      <c r="G754" s="715"/>
      <c r="H754" s="715"/>
      <c r="I754" s="715"/>
      <c r="J754" s="715"/>
      <c r="K754" s="715"/>
    </row>
    <row r="755" spans="1:11" ht="20.25">
      <c r="A755" s="715"/>
      <c r="B755" s="715"/>
      <c r="C755" s="715"/>
      <c r="D755" s="715"/>
      <c r="E755" s="715"/>
      <c r="F755" s="715"/>
      <c r="G755" s="715"/>
      <c r="H755" s="715"/>
      <c r="I755" s="715"/>
      <c r="J755" s="715"/>
      <c r="K755" s="715"/>
    </row>
    <row r="756" spans="1:11" ht="20.25">
      <c r="A756" s="715"/>
      <c r="B756" s="715"/>
      <c r="C756" s="715"/>
      <c r="D756" s="715"/>
      <c r="E756" s="715"/>
      <c r="F756" s="715"/>
      <c r="G756" s="715"/>
      <c r="H756" s="715"/>
      <c r="I756" s="715"/>
      <c r="J756" s="715"/>
      <c r="K756" s="715"/>
    </row>
    <row r="757" spans="1:11" ht="20.25">
      <c r="A757" s="715"/>
      <c r="B757" s="715"/>
      <c r="C757" s="715"/>
      <c r="D757" s="715"/>
      <c r="E757" s="715"/>
      <c r="F757" s="715"/>
      <c r="G757" s="715"/>
      <c r="H757" s="715"/>
      <c r="I757" s="715"/>
      <c r="J757" s="715"/>
      <c r="K757" s="715"/>
    </row>
    <row r="758" spans="1:11" ht="20.25">
      <c r="A758" s="715"/>
      <c r="B758" s="715"/>
      <c r="C758" s="715"/>
      <c r="D758" s="715"/>
      <c r="E758" s="715"/>
      <c r="F758" s="715"/>
      <c r="G758" s="715"/>
      <c r="H758" s="715"/>
      <c r="I758" s="715"/>
      <c r="J758" s="715"/>
      <c r="K758" s="715"/>
    </row>
  </sheetData>
  <mergeCells count="56">
    <mergeCell ref="B6:C6"/>
    <mergeCell ref="A47:K47"/>
    <mergeCell ref="F2:K2"/>
    <mergeCell ref="A3:K3"/>
    <mergeCell ref="A4:B4"/>
    <mergeCell ref="C4:E4"/>
    <mergeCell ref="F4:G4"/>
    <mergeCell ref="H4:I4"/>
    <mergeCell ref="A5:B5"/>
    <mergeCell ref="C5:E5"/>
    <mergeCell ref="F5:G5"/>
    <mergeCell ref="H5:I5"/>
    <mergeCell ref="F6:G6"/>
    <mergeCell ref="H10:I10"/>
    <mergeCell ref="H11:I11"/>
    <mergeCell ref="H12:I12"/>
    <mergeCell ref="B7:K7"/>
    <mergeCell ref="B8:D8"/>
    <mergeCell ref="E8:G8"/>
    <mergeCell ref="I8:K8"/>
    <mergeCell ref="H9:I9"/>
    <mergeCell ref="J9:K9"/>
    <mergeCell ref="H16:I16"/>
    <mergeCell ref="H17:I17"/>
    <mergeCell ref="H18:I18"/>
    <mergeCell ref="H13:I13"/>
    <mergeCell ref="H14:I14"/>
    <mergeCell ref="H15:I15"/>
    <mergeCell ref="H22:I22"/>
    <mergeCell ref="H23:I23"/>
    <mergeCell ref="H24:I24"/>
    <mergeCell ref="H19:I19"/>
    <mergeCell ref="H20:I20"/>
    <mergeCell ref="H21:I21"/>
    <mergeCell ref="H28:I28"/>
    <mergeCell ref="H29:I29"/>
    <mergeCell ref="H30:I30"/>
    <mergeCell ref="H25:I25"/>
    <mergeCell ref="H26:I26"/>
    <mergeCell ref="H27:I27"/>
    <mergeCell ref="A31:K31"/>
    <mergeCell ref="H32:I32"/>
    <mergeCell ref="H33:I33"/>
    <mergeCell ref="H34:I34"/>
    <mergeCell ref="H35:I35"/>
    <mergeCell ref="A41:K41"/>
    <mergeCell ref="H36:I36"/>
    <mergeCell ref="H37:I37"/>
    <mergeCell ref="H38:I38"/>
    <mergeCell ref="H39:I39"/>
    <mergeCell ref="H40:J40"/>
    <mergeCell ref="B42:I42"/>
    <mergeCell ref="A43:K43"/>
    <mergeCell ref="B45:C45"/>
    <mergeCell ref="F45:G45"/>
    <mergeCell ref="B46:C46"/>
  </mergeCells>
  <phoneticPr fontId="76" type="noConversion"/>
  <dataValidations count="2">
    <dataValidation type="list" allowBlank="1" showInputMessage="1" showErrorMessage="1" sqref="I6 F6:G6">
      <formula1>$V$2:$V$9</formula1>
    </dataValidation>
    <dataValidation type="list" allowBlank="1" showInputMessage="1" showErrorMessage="1" sqref="B6:C6">
      <formula1>$P$1:$P$6</formula1>
    </dataValidation>
  </dataValidations>
  <printOptions horizontalCentered="1"/>
  <pageMargins left="0.39370078740157483" right="0.39370078740157483" top="0.43307086614173229" bottom="0.59055118110236227" header="0.51181102362204722" footer="0.39370078740157483"/>
  <pageSetup paperSize="9"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sheetPr>
    <tabColor rgb="FFFF00FF"/>
  </sheetPr>
  <dimension ref="A1:AL56"/>
  <sheetViews>
    <sheetView view="pageBreakPreview" zoomScaleSheetLayoutView="100" workbookViewId="0">
      <selection activeCell="G27" sqref="G27"/>
    </sheetView>
  </sheetViews>
  <sheetFormatPr defaultRowHeight="15" customHeight="1"/>
  <cols>
    <col min="1" max="1" width="4.75" style="296" customWidth="1"/>
    <col min="2" max="2" width="6.875" style="296" customWidth="1"/>
    <col min="3" max="3" width="18.5" style="296" customWidth="1"/>
    <col min="4" max="4" width="10.875" style="296" customWidth="1"/>
    <col min="5" max="5" width="6.75" style="296" customWidth="1"/>
    <col min="6" max="6" width="10.375" style="403" customWidth="1"/>
    <col min="7" max="7" width="8.875" style="296" customWidth="1"/>
    <col min="8" max="8" width="14.75" style="296" customWidth="1"/>
    <col min="9" max="9" width="5" style="296" customWidth="1"/>
    <col min="10" max="10" width="13" style="296" customWidth="1"/>
    <col min="11" max="11" width="4.75" style="296" customWidth="1"/>
    <col min="12" max="12" width="4.75" style="473" customWidth="1"/>
    <col min="13" max="13" width="7.5" style="473" customWidth="1"/>
    <col min="14" max="14" width="6.625" style="296" customWidth="1"/>
    <col min="15" max="15" width="18.125" style="296" customWidth="1"/>
    <col min="16" max="16" width="15.625" style="296" customWidth="1"/>
    <col min="17" max="17" width="10" style="296" customWidth="1"/>
    <col min="18" max="18" width="6.625" style="296" customWidth="1"/>
    <col min="19" max="19" width="20.375" style="669" customWidth="1"/>
    <col min="20" max="20" width="10.625" style="669" customWidth="1"/>
    <col min="21" max="21" width="15.25" style="488" bestFit="1" customWidth="1"/>
    <col min="22" max="24" width="10.625" style="669" customWidth="1"/>
    <col min="25" max="27" width="9" style="296"/>
    <col min="28" max="28" width="0" style="296" hidden="1" customWidth="1"/>
    <col min="29" max="29" width="12.125" style="296" customWidth="1"/>
    <col min="30" max="30" width="13.75" style="296" customWidth="1"/>
    <col min="31" max="31" width="17.375" style="296" customWidth="1"/>
    <col min="32" max="16384" width="9" style="296"/>
  </cols>
  <sheetData>
    <row r="1" spans="1:38" ht="15" customHeight="1">
      <c r="A1" s="1035" t="s">
        <v>1328</v>
      </c>
      <c r="B1" s="1035"/>
      <c r="C1" s="1035"/>
      <c r="D1" s="1035"/>
      <c r="E1" s="1035"/>
      <c r="F1" s="1035"/>
      <c r="G1" s="1035"/>
      <c r="H1" s="1035"/>
      <c r="I1" s="1035"/>
      <c r="J1" s="1035"/>
      <c r="K1" s="470"/>
      <c r="M1" s="471" t="s">
        <v>1329</v>
      </c>
      <c r="N1" s="472"/>
      <c r="P1" s="296" t="s">
        <v>1329</v>
      </c>
      <c r="AD1" s="296" t="s">
        <v>1372</v>
      </c>
    </row>
    <row r="2" spans="1:38" ht="15" customHeight="1" thickBot="1">
      <c r="A2" s="1033" t="s">
        <v>17</v>
      </c>
      <c r="B2" s="1033"/>
      <c r="C2" s="1033" t="str">
        <f>哑光门板!C5</f>
        <v>S400332724</v>
      </c>
      <c r="D2" s="1033"/>
      <c r="E2" s="1033"/>
      <c r="F2" s="1033"/>
      <c r="G2" s="731"/>
      <c r="H2" s="1033" t="s">
        <v>795</v>
      </c>
      <c r="I2" s="1033"/>
      <c r="J2" s="670">
        <f>+哑光门板!K40</f>
        <v>0</v>
      </c>
      <c r="M2" s="296"/>
      <c r="N2" s="472"/>
      <c r="O2" s="296" t="s">
        <v>1331</v>
      </c>
      <c r="V2" s="488" t="s">
        <v>1332</v>
      </c>
      <c r="W2" s="669" t="s">
        <v>1333</v>
      </c>
      <c r="X2" s="669" t="s">
        <v>1334</v>
      </c>
      <c r="AF2" s="488" t="s">
        <v>1332</v>
      </c>
      <c r="AG2" s="669" t="s">
        <v>1333</v>
      </c>
      <c r="AH2" s="669" t="s">
        <v>1334</v>
      </c>
      <c r="AI2" s="296" t="s">
        <v>1335</v>
      </c>
      <c r="AJ2" s="296" t="s">
        <v>1046</v>
      </c>
    </row>
    <row r="3" spans="1:38" ht="15" customHeight="1">
      <c r="A3" s="1041" t="s">
        <v>10</v>
      </c>
      <c r="B3" s="1042"/>
      <c r="C3" s="729" t="str">
        <f>哑光门板!C4</f>
        <v>黑丹丹</v>
      </c>
      <c r="D3" s="1042"/>
      <c r="E3" s="1042"/>
      <c r="F3" s="1043"/>
      <c r="G3" s="729" t="s">
        <v>18</v>
      </c>
      <c r="H3" s="732">
        <f>哑光转序单!I3</f>
        <v>0</v>
      </c>
      <c r="I3" s="1045" t="s">
        <v>1336</v>
      </c>
      <c r="J3" s="1036" t="str">
        <f>+哑光门板!K6</f>
        <v>色诱</v>
      </c>
      <c r="O3" s="296" t="s">
        <v>1338</v>
      </c>
      <c r="P3" s="478" t="s">
        <v>1471</v>
      </c>
      <c r="S3" s="671" t="s">
        <v>1339</v>
      </c>
      <c r="T3" s="644" t="s">
        <v>1340</v>
      </c>
      <c r="U3" s="762" t="str">
        <f>IF($M$1=$P$1,$P$5,$P$6)</f>
        <v>稀料PX903</v>
      </c>
      <c r="V3" s="671">
        <v>1</v>
      </c>
      <c r="W3" s="671">
        <v>0.5</v>
      </c>
      <c r="X3" s="671">
        <v>0.6</v>
      </c>
      <c r="Y3" s="644">
        <v>325</v>
      </c>
      <c r="Z3" s="644">
        <v>2</v>
      </c>
      <c r="AA3" s="644">
        <f>Y3*Z3</f>
        <v>650</v>
      </c>
      <c r="AC3" s="719" t="s">
        <v>1373</v>
      </c>
      <c r="AD3" s="720" t="s">
        <v>1063</v>
      </c>
      <c r="AE3" s="720" t="s">
        <v>1064</v>
      </c>
      <c r="AF3" s="720">
        <v>1</v>
      </c>
      <c r="AG3" s="720">
        <v>0.4</v>
      </c>
      <c r="AH3" s="720">
        <v>0.35</v>
      </c>
      <c r="AI3" s="721">
        <v>323</v>
      </c>
      <c r="AJ3" s="721">
        <v>1</v>
      </c>
      <c r="AK3" s="720">
        <f>AI3*AJ3</f>
        <v>323</v>
      </c>
      <c r="AL3" s="296" t="s">
        <v>1401</v>
      </c>
    </row>
    <row r="4" spans="1:38" ht="15" customHeight="1">
      <c r="A4" s="1038" t="s">
        <v>448</v>
      </c>
      <c r="B4" s="1039"/>
      <c r="C4" s="730" t="str">
        <f>哑光门板!H4</f>
        <v>161116-2.1</v>
      </c>
      <c r="D4" s="1040"/>
      <c r="E4" s="1040"/>
      <c r="F4" s="1044"/>
      <c r="G4" s="790" t="s">
        <v>1474</v>
      </c>
      <c r="H4" s="676" t="str">
        <f>[7]下料单!$X$2</f>
        <v>2017.2.20</v>
      </c>
      <c r="I4" s="1046"/>
      <c r="J4" s="1037"/>
      <c r="K4" s="487"/>
      <c r="O4" s="296" t="s">
        <v>1344</v>
      </c>
      <c r="S4" s="671" t="s">
        <v>1305</v>
      </c>
      <c r="T4" s="644" t="s">
        <v>1340</v>
      </c>
      <c r="U4" s="762" t="str">
        <f t="shared" ref="U4:U10" si="0">IF($M$1=$P$1,$P$5,$P$6)</f>
        <v>稀料PX903</v>
      </c>
      <c r="V4" s="671">
        <v>1</v>
      </c>
      <c r="W4" s="671">
        <v>0.5</v>
      </c>
      <c r="X4" s="671">
        <v>0.6</v>
      </c>
      <c r="Y4" s="644">
        <v>325</v>
      </c>
      <c r="Z4" s="644">
        <v>2</v>
      </c>
      <c r="AA4" s="644">
        <f t="shared" ref="AA4:AA25" si="1">Y4*Z4</f>
        <v>650</v>
      </c>
      <c r="AC4" s="719" t="s">
        <v>1373</v>
      </c>
      <c r="AD4" s="720" t="s">
        <v>1063</v>
      </c>
      <c r="AE4" s="720" t="s">
        <v>1064</v>
      </c>
      <c r="AF4" s="720">
        <v>1</v>
      </c>
      <c r="AG4" s="720">
        <v>0.4</v>
      </c>
      <c r="AH4" s="720">
        <v>0.35</v>
      </c>
      <c r="AI4" s="721">
        <v>323</v>
      </c>
      <c r="AJ4" s="721">
        <v>1</v>
      </c>
      <c r="AK4" s="720">
        <f t="shared" ref="AK4:AK25" si="2">AI4*AJ4</f>
        <v>323</v>
      </c>
      <c r="AL4" s="296" t="s">
        <v>1401</v>
      </c>
    </row>
    <row r="5" spans="1:38" ht="15" customHeight="1">
      <c r="A5" s="820" t="s">
        <v>24</v>
      </c>
      <c r="B5" s="820" t="s">
        <v>1</v>
      </c>
      <c r="C5" s="825" t="s">
        <v>20</v>
      </c>
      <c r="D5" s="1040" t="s">
        <v>4</v>
      </c>
      <c r="E5" s="1040"/>
      <c r="F5" s="821" t="s">
        <v>6</v>
      </c>
      <c r="G5" s="820" t="s">
        <v>3</v>
      </c>
      <c r="H5" s="1040" t="s">
        <v>1374</v>
      </c>
      <c r="I5" s="1040"/>
      <c r="J5" s="1040"/>
      <c r="K5" s="487"/>
      <c r="P5" s="478" t="s">
        <v>1406</v>
      </c>
      <c r="S5" s="644" t="s">
        <v>1308</v>
      </c>
      <c r="T5" s="644" t="s">
        <v>1058</v>
      </c>
      <c r="U5" s="762" t="str">
        <f t="shared" si="0"/>
        <v>稀料PX903</v>
      </c>
      <c r="V5" s="671">
        <v>1</v>
      </c>
      <c r="W5" s="671">
        <v>0.5</v>
      </c>
      <c r="X5" s="671">
        <v>0.8</v>
      </c>
      <c r="Y5" s="644">
        <v>325</v>
      </c>
      <c r="Z5" s="644">
        <v>2</v>
      </c>
      <c r="AA5" s="644">
        <f t="shared" si="1"/>
        <v>650</v>
      </c>
      <c r="AC5" s="719" t="s">
        <v>1373</v>
      </c>
      <c r="AD5" s="720" t="s">
        <v>1063</v>
      </c>
      <c r="AE5" s="720" t="s">
        <v>1064</v>
      </c>
      <c r="AF5" s="720">
        <v>1</v>
      </c>
      <c r="AG5" s="720">
        <v>0.4</v>
      </c>
      <c r="AH5" s="720">
        <v>0.35</v>
      </c>
      <c r="AI5" s="721">
        <v>323</v>
      </c>
      <c r="AJ5" s="721">
        <v>1</v>
      </c>
      <c r="AK5" s="720">
        <f t="shared" si="2"/>
        <v>323</v>
      </c>
      <c r="AL5" s="296" t="s">
        <v>1402</v>
      </c>
    </row>
    <row r="6" spans="1:38" ht="27.75" customHeight="1">
      <c r="A6" s="978" t="s">
        <v>1073</v>
      </c>
      <c r="B6" s="822">
        <v>1</v>
      </c>
      <c r="C6" s="755" t="str">
        <f>哑光门板!I8</f>
        <v>18A暖白双贴三聚氰胺刨花板</v>
      </c>
      <c r="D6" s="956" t="s">
        <v>1375</v>
      </c>
      <c r="E6" s="956"/>
      <c r="F6" s="829">
        <f>+哑光门板!N40</f>
        <v>0</v>
      </c>
      <c r="G6" s="822" t="s">
        <v>26</v>
      </c>
      <c r="H6" s="1047">
        <f>+哑光门板!F6</f>
        <v>0</v>
      </c>
      <c r="I6" s="1048" t="str">
        <f>+哑光门板!H6</f>
        <v>+</v>
      </c>
      <c r="J6" s="1047">
        <f>+哑光门板!I6</f>
        <v>0</v>
      </c>
      <c r="L6" s="1034"/>
      <c r="M6" s="1034"/>
      <c r="P6" s="478" t="s">
        <v>1407</v>
      </c>
      <c r="S6" s="644" t="s">
        <v>1310</v>
      </c>
      <c r="T6" s="644" t="s">
        <v>1058</v>
      </c>
      <c r="U6" s="762" t="str">
        <f t="shared" si="0"/>
        <v>稀料PX903</v>
      </c>
      <c r="V6" s="644">
        <v>1</v>
      </c>
      <c r="W6" s="644">
        <v>0.5</v>
      </c>
      <c r="X6" s="644">
        <v>0.8</v>
      </c>
      <c r="Y6" s="644">
        <v>325</v>
      </c>
      <c r="Z6" s="644">
        <v>2</v>
      </c>
      <c r="AA6" s="644">
        <f t="shared" si="1"/>
        <v>650</v>
      </c>
      <c r="AC6" s="719" t="s">
        <v>1373</v>
      </c>
      <c r="AD6" s="720" t="s">
        <v>1063</v>
      </c>
      <c r="AE6" s="720" t="s">
        <v>1064</v>
      </c>
      <c r="AF6" s="720">
        <v>1</v>
      </c>
      <c r="AG6" s="720">
        <v>0.4</v>
      </c>
      <c r="AH6" s="720">
        <v>0.35</v>
      </c>
      <c r="AI6" s="721">
        <v>323</v>
      </c>
      <c r="AJ6" s="721">
        <v>1</v>
      </c>
      <c r="AK6" s="720">
        <f t="shared" si="2"/>
        <v>323</v>
      </c>
      <c r="AL6" s="296" t="s">
        <v>1402</v>
      </c>
    </row>
    <row r="7" spans="1:38" ht="15" customHeight="1">
      <c r="A7" s="978"/>
      <c r="B7" s="822">
        <v>2</v>
      </c>
      <c r="C7" s="690" t="s">
        <v>2</v>
      </c>
      <c r="D7" s="978" t="s">
        <v>1376</v>
      </c>
      <c r="E7" s="978"/>
      <c r="F7" s="829">
        <f>+哑光门板!L40</f>
        <v>0</v>
      </c>
      <c r="G7" s="822" t="s">
        <v>22</v>
      </c>
      <c r="H7" s="1047"/>
      <c r="I7" s="1048"/>
      <c r="J7" s="1047"/>
      <c r="L7" s="1034"/>
      <c r="M7" s="1034"/>
      <c r="S7" s="644" t="s">
        <v>1314</v>
      </c>
      <c r="T7" s="644" t="s">
        <v>1058</v>
      </c>
      <c r="U7" s="762" t="str">
        <f t="shared" si="0"/>
        <v>稀料PX903</v>
      </c>
      <c r="V7" s="644">
        <v>1</v>
      </c>
      <c r="W7" s="644">
        <v>0.5</v>
      </c>
      <c r="X7" s="644">
        <v>0.7</v>
      </c>
      <c r="Y7" s="644">
        <v>325</v>
      </c>
      <c r="Z7" s="644">
        <v>2</v>
      </c>
      <c r="AA7" s="644">
        <f t="shared" si="1"/>
        <v>650</v>
      </c>
      <c r="AC7" s="719" t="s">
        <v>1373</v>
      </c>
      <c r="AD7" s="720" t="s">
        <v>1063</v>
      </c>
      <c r="AE7" s="720" t="s">
        <v>1064</v>
      </c>
      <c r="AF7" s="720">
        <v>1</v>
      </c>
      <c r="AG7" s="720">
        <v>0.4</v>
      </c>
      <c r="AH7" s="720">
        <v>0.35</v>
      </c>
      <c r="AI7" s="721">
        <v>323</v>
      </c>
      <c r="AJ7" s="721">
        <v>1</v>
      </c>
      <c r="AK7" s="720">
        <f t="shared" si="2"/>
        <v>323</v>
      </c>
      <c r="AL7" s="296" t="s">
        <v>1402</v>
      </c>
    </row>
    <row r="8" spans="1:38" ht="15" customHeight="1">
      <c r="A8" s="978"/>
      <c r="B8" s="822">
        <v>3</v>
      </c>
      <c r="C8" s="690" t="s">
        <v>848</v>
      </c>
      <c r="D8" s="956" t="s">
        <v>1089</v>
      </c>
      <c r="E8" s="956"/>
      <c r="F8" s="829">
        <f>F7*4.1</f>
        <v>0</v>
      </c>
      <c r="G8" s="822" t="s">
        <v>27</v>
      </c>
      <c r="H8" s="1047"/>
      <c r="I8" s="1048"/>
      <c r="J8" s="1047"/>
      <c r="L8" s="1034"/>
      <c r="M8" s="1034"/>
      <c r="S8" s="644" t="s">
        <v>1377</v>
      </c>
      <c r="T8" s="644" t="s">
        <v>1058</v>
      </c>
      <c r="U8" s="762" t="str">
        <f t="shared" si="0"/>
        <v>稀料PX903</v>
      </c>
      <c r="V8" s="644">
        <v>1</v>
      </c>
      <c r="W8" s="644">
        <v>0.5</v>
      </c>
      <c r="X8" s="644">
        <v>0.8</v>
      </c>
      <c r="Y8" s="644">
        <v>325</v>
      </c>
      <c r="Z8" s="644">
        <v>2</v>
      </c>
      <c r="AA8" s="644">
        <f t="shared" si="1"/>
        <v>650</v>
      </c>
      <c r="AC8" s="719" t="s">
        <v>1373</v>
      </c>
      <c r="AD8" s="720" t="s">
        <v>1063</v>
      </c>
      <c r="AE8" s="720" t="s">
        <v>1064</v>
      </c>
      <c r="AF8" s="720">
        <v>1</v>
      </c>
      <c r="AG8" s="720">
        <v>0.4</v>
      </c>
      <c r="AH8" s="720">
        <v>0.35</v>
      </c>
      <c r="AI8" s="721">
        <v>323</v>
      </c>
      <c r="AJ8" s="721">
        <v>1</v>
      </c>
      <c r="AK8" s="720">
        <f t="shared" si="2"/>
        <v>323</v>
      </c>
      <c r="AL8" s="296" t="s">
        <v>1402</v>
      </c>
    </row>
    <row r="9" spans="1:38" ht="15" customHeight="1">
      <c r="A9" s="978" t="s">
        <v>1112</v>
      </c>
      <c r="B9" s="822">
        <v>1</v>
      </c>
      <c r="C9" s="822" t="s">
        <v>990</v>
      </c>
      <c r="D9" s="956" t="s">
        <v>1399</v>
      </c>
      <c r="E9" s="956"/>
      <c r="F9" s="829">
        <f>哑光门板!M40*25*1/1000</f>
        <v>0</v>
      </c>
      <c r="G9" s="822" t="s">
        <v>1115</v>
      </c>
      <c r="H9" s="956"/>
      <c r="I9" s="956"/>
      <c r="J9" s="956"/>
      <c r="S9" s="644" t="s">
        <v>1378</v>
      </c>
      <c r="T9" s="644" t="s">
        <v>1058</v>
      </c>
      <c r="U9" s="762" t="str">
        <f t="shared" si="0"/>
        <v>稀料PX903</v>
      </c>
      <c r="V9" s="644">
        <v>1</v>
      </c>
      <c r="W9" s="644">
        <v>0.5</v>
      </c>
      <c r="X9" s="644">
        <v>0.8</v>
      </c>
      <c r="Y9" s="644">
        <v>325</v>
      </c>
      <c r="Z9" s="644">
        <v>2</v>
      </c>
      <c r="AA9" s="644">
        <f t="shared" si="1"/>
        <v>650</v>
      </c>
      <c r="AC9" s="719" t="s">
        <v>1373</v>
      </c>
      <c r="AD9" s="720" t="s">
        <v>1063</v>
      </c>
      <c r="AE9" s="720" t="s">
        <v>1064</v>
      </c>
      <c r="AF9" s="720">
        <v>1</v>
      </c>
      <c r="AG9" s="720">
        <v>0.4</v>
      </c>
      <c r="AH9" s="720">
        <v>0.35</v>
      </c>
      <c r="AI9" s="721">
        <v>323</v>
      </c>
      <c r="AJ9" s="721">
        <v>1</v>
      </c>
      <c r="AK9" s="720">
        <f t="shared" si="2"/>
        <v>323</v>
      </c>
      <c r="AL9" s="296" t="s">
        <v>1402</v>
      </c>
    </row>
    <row r="10" spans="1:38" ht="15" customHeight="1">
      <c r="A10" s="978"/>
      <c r="B10" s="822">
        <v>2</v>
      </c>
      <c r="C10" s="822" t="s">
        <v>990</v>
      </c>
      <c r="D10" s="956" t="s">
        <v>1400</v>
      </c>
      <c r="E10" s="956"/>
      <c r="F10" s="829">
        <f>哑光门板!M40*35*1/1000</f>
        <v>0</v>
      </c>
      <c r="G10" s="822" t="s">
        <v>1115</v>
      </c>
      <c r="H10" s="956"/>
      <c r="I10" s="956"/>
      <c r="J10" s="956"/>
      <c r="L10" s="975" t="s">
        <v>1118</v>
      </c>
      <c r="M10" s="976"/>
      <c r="N10" s="976"/>
      <c r="O10" s="976"/>
      <c r="P10" s="976"/>
      <c r="Q10" s="977"/>
      <c r="S10" s="644" t="s">
        <v>1379</v>
      </c>
      <c r="T10" s="644" t="s">
        <v>1058</v>
      </c>
      <c r="U10" s="762" t="str">
        <f t="shared" si="0"/>
        <v>稀料PX903</v>
      </c>
      <c r="V10" s="644">
        <v>1</v>
      </c>
      <c r="W10" s="644">
        <v>1</v>
      </c>
      <c r="X10" s="644">
        <v>0.8</v>
      </c>
      <c r="Y10" s="644">
        <v>325</v>
      </c>
      <c r="Z10" s="644">
        <v>2</v>
      </c>
      <c r="AA10" s="644">
        <f t="shared" si="1"/>
        <v>650</v>
      </c>
      <c r="AC10" s="719" t="s">
        <v>1373</v>
      </c>
      <c r="AD10" s="720" t="s">
        <v>1063</v>
      </c>
      <c r="AE10" s="720" t="s">
        <v>1064</v>
      </c>
      <c r="AF10" s="720">
        <v>1</v>
      </c>
      <c r="AG10" s="720">
        <v>0.4</v>
      </c>
      <c r="AH10" s="720">
        <v>0.35</v>
      </c>
      <c r="AI10" s="721">
        <v>323</v>
      </c>
      <c r="AJ10" s="721">
        <v>1</v>
      </c>
      <c r="AK10" s="720">
        <f t="shared" si="2"/>
        <v>323</v>
      </c>
      <c r="AL10" s="296" t="s">
        <v>1402</v>
      </c>
    </row>
    <row r="11" spans="1:38" ht="15" customHeight="1">
      <c r="A11" s="978"/>
      <c r="B11" s="822">
        <v>3</v>
      </c>
      <c r="C11" s="978" t="s">
        <v>1380</v>
      </c>
      <c r="D11" s="956" t="s">
        <v>1062</v>
      </c>
      <c r="E11" s="956"/>
      <c r="F11" s="829">
        <f>Q11</f>
        <v>0</v>
      </c>
      <c r="G11" s="822" t="s">
        <v>1115</v>
      </c>
      <c r="H11" s="956"/>
      <c r="I11" s="956"/>
      <c r="J11" s="956"/>
      <c r="L11" s="953"/>
      <c r="M11" s="953"/>
      <c r="N11" s="953"/>
      <c r="O11" s="675" t="str">
        <f>D11</f>
        <v>主剂PD3200</v>
      </c>
      <c r="P11" s="681">
        <v>1</v>
      </c>
      <c r="Q11" s="682">
        <f>N$11*(M$11/(P$11+P$12+P$13)*P11)/1000</f>
        <v>0</v>
      </c>
      <c r="S11" s="644" t="s">
        <v>1377</v>
      </c>
      <c r="T11" s="644" t="s">
        <v>1058</v>
      </c>
      <c r="U11" s="671"/>
      <c r="V11" s="671"/>
      <c r="W11" s="671"/>
      <c r="X11" s="671"/>
      <c r="Y11" s="644">
        <v>325</v>
      </c>
      <c r="Z11" s="644">
        <v>2</v>
      </c>
      <c r="AA11" s="644">
        <f t="shared" si="1"/>
        <v>650</v>
      </c>
      <c r="AC11" s="719" t="s">
        <v>1373</v>
      </c>
      <c r="AD11" s="720" t="s">
        <v>1063</v>
      </c>
      <c r="AE11" s="720" t="s">
        <v>1064</v>
      </c>
      <c r="AF11" s="720">
        <v>1</v>
      </c>
      <c r="AG11" s="720">
        <v>0.4</v>
      </c>
      <c r="AH11" s="720">
        <v>0.35</v>
      </c>
      <c r="AI11" s="721">
        <v>323</v>
      </c>
      <c r="AJ11" s="721">
        <v>1</v>
      </c>
      <c r="AK11" s="720">
        <f t="shared" si="2"/>
        <v>323</v>
      </c>
    </row>
    <row r="12" spans="1:38" ht="15" customHeight="1">
      <c r="A12" s="978"/>
      <c r="B12" s="822">
        <v>4</v>
      </c>
      <c r="C12" s="978"/>
      <c r="D12" s="956" t="s">
        <v>1063</v>
      </c>
      <c r="E12" s="956"/>
      <c r="F12" s="829">
        <f t="shared" ref="F12:F16" si="3">Q12</f>
        <v>0</v>
      </c>
      <c r="G12" s="822" t="s">
        <v>1115</v>
      </c>
      <c r="H12" s="956"/>
      <c r="I12" s="956"/>
      <c r="J12" s="956"/>
      <c r="L12" s="954"/>
      <c r="M12" s="954"/>
      <c r="N12" s="954"/>
      <c r="O12" s="675" t="str">
        <f t="shared" ref="O12:O13" si="4">D12</f>
        <v>固化剂PR66</v>
      </c>
      <c r="P12" s="681">
        <v>0.5</v>
      </c>
      <c r="Q12" s="682">
        <f>N$11*(M$11/(P$11+P$12+P$13)*P12)/1000</f>
        <v>0</v>
      </c>
      <c r="S12" s="644" t="s">
        <v>1323</v>
      </c>
      <c r="T12" s="644" t="s">
        <v>1058</v>
      </c>
      <c r="U12" s="671"/>
      <c r="V12" s="671"/>
      <c r="W12" s="671"/>
      <c r="X12" s="671"/>
      <c r="Y12" s="644">
        <v>325</v>
      </c>
      <c r="Z12" s="644">
        <v>2</v>
      </c>
      <c r="AA12" s="644">
        <f t="shared" si="1"/>
        <v>650</v>
      </c>
      <c r="AC12" s="719" t="s">
        <v>1373</v>
      </c>
      <c r="AD12" s="720" t="s">
        <v>1063</v>
      </c>
      <c r="AE12" s="720" t="s">
        <v>1064</v>
      </c>
      <c r="AF12" s="720">
        <v>1</v>
      </c>
      <c r="AG12" s="720">
        <v>0.4</v>
      </c>
      <c r="AH12" s="720">
        <v>0.35</v>
      </c>
      <c r="AI12" s="721">
        <v>323</v>
      </c>
      <c r="AJ12" s="721">
        <v>1</v>
      </c>
      <c r="AK12" s="720">
        <f t="shared" si="2"/>
        <v>323</v>
      </c>
    </row>
    <row r="13" spans="1:38" ht="15" customHeight="1">
      <c r="A13" s="978"/>
      <c r="B13" s="822">
        <v>5</v>
      </c>
      <c r="C13" s="978"/>
      <c r="D13" s="956" t="s">
        <v>1381</v>
      </c>
      <c r="E13" s="956"/>
      <c r="F13" s="829">
        <f>Q13</f>
        <v>0</v>
      </c>
      <c r="G13" s="822" t="s">
        <v>1115</v>
      </c>
      <c r="H13" s="956"/>
      <c r="I13" s="956"/>
      <c r="J13" s="956"/>
      <c r="L13" s="955"/>
      <c r="M13" s="955"/>
      <c r="N13" s="955"/>
      <c r="O13" s="675" t="str">
        <f t="shared" si="4"/>
        <v>稀料PX707/稀料PX705</v>
      </c>
      <c r="P13" s="681">
        <v>0.5</v>
      </c>
      <c r="Q13" s="682">
        <f>N$11*(M$11/(P$11+P$12+P$13)*P13)/1000</f>
        <v>0</v>
      </c>
      <c r="S13" s="644" t="s">
        <v>1379</v>
      </c>
      <c r="T13" s="644" t="s">
        <v>1058</v>
      </c>
      <c r="U13" s="644"/>
      <c r="V13" s="671"/>
      <c r="W13" s="671"/>
      <c r="X13" s="671"/>
      <c r="Y13" s="644">
        <v>325</v>
      </c>
      <c r="Z13" s="644">
        <v>2</v>
      </c>
      <c r="AA13" s="644">
        <f t="shared" si="1"/>
        <v>650</v>
      </c>
      <c r="AC13" s="719" t="s">
        <v>1373</v>
      </c>
      <c r="AD13" s="720" t="s">
        <v>1063</v>
      </c>
      <c r="AE13" s="720" t="s">
        <v>1064</v>
      </c>
      <c r="AF13" s="720">
        <v>1</v>
      </c>
      <c r="AG13" s="720">
        <v>0.4</v>
      </c>
      <c r="AH13" s="720">
        <v>0.35</v>
      </c>
      <c r="AI13" s="721">
        <v>323</v>
      </c>
      <c r="AJ13" s="721">
        <v>1</v>
      </c>
      <c r="AK13" s="720">
        <f t="shared" si="2"/>
        <v>323</v>
      </c>
    </row>
    <row r="14" spans="1:38" ht="15" customHeight="1">
      <c r="A14" s="978"/>
      <c r="B14" s="822">
        <v>6</v>
      </c>
      <c r="C14" s="978"/>
      <c r="D14" s="968"/>
      <c r="E14" s="968"/>
      <c r="F14" s="756"/>
      <c r="G14" s="683"/>
      <c r="H14" s="822"/>
      <c r="I14" s="822"/>
      <c r="J14" s="822"/>
      <c r="L14" s="684"/>
      <c r="M14" s="684"/>
      <c r="N14" s="684"/>
      <c r="O14" s="675"/>
      <c r="P14" s="681"/>
      <c r="Q14" s="682">
        <f>+Q13*0.34</f>
        <v>0</v>
      </c>
      <c r="S14" s="644"/>
      <c r="T14" s="644"/>
      <c r="U14" s="644"/>
      <c r="V14" s="671"/>
      <c r="W14" s="671"/>
      <c r="X14" s="671"/>
      <c r="Y14" s="644">
        <v>325</v>
      </c>
      <c r="Z14" s="644">
        <v>2</v>
      </c>
      <c r="AA14" s="644">
        <f t="shared" si="1"/>
        <v>650</v>
      </c>
      <c r="AC14" s="719" t="s">
        <v>1373</v>
      </c>
      <c r="AD14" s="720" t="s">
        <v>1063</v>
      </c>
      <c r="AE14" s="720" t="s">
        <v>1064</v>
      </c>
      <c r="AF14" s="720">
        <v>1</v>
      </c>
      <c r="AG14" s="720">
        <v>0.4</v>
      </c>
      <c r="AH14" s="720">
        <v>0.35</v>
      </c>
      <c r="AI14" s="721">
        <v>323</v>
      </c>
      <c r="AJ14" s="721">
        <v>1</v>
      </c>
      <c r="AK14" s="720">
        <f t="shared" si="2"/>
        <v>323</v>
      </c>
    </row>
    <row r="15" spans="1:38" ht="15" customHeight="1">
      <c r="A15" s="978"/>
      <c r="B15" s="822">
        <v>7</v>
      </c>
      <c r="C15" s="978" t="s">
        <v>1393</v>
      </c>
      <c r="D15" s="956" t="e">
        <f>O15</f>
        <v>#N/A</v>
      </c>
      <c r="E15" s="956"/>
      <c r="F15" s="829" t="e">
        <f>Q15</f>
        <v>#N/A</v>
      </c>
      <c r="G15" s="822" t="s">
        <v>1115</v>
      </c>
      <c r="H15" s="956"/>
      <c r="I15" s="956"/>
      <c r="J15" s="956"/>
      <c r="L15" s="953" t="str">
        <f>C15</f>
        <v>PU白底（手工喷涂）</v>
      </c>
      <c r="M15" s="953" t="e">
        <f>VLOOKUP(H6,S:AK,19,0)</f>
        <v>#N/A</v>
      </c>
      <c r="N15" s="953">
        <f>+哑光门板!K40</f>
        <v>0</v>
      </c>
      <c r="O15" s="675" t="e">
        <f>VLOOKUP(H6,S:AC,11,0)</f>
        <v>#N/A</v>
      </c>
      <c r="P15" s="681" t="e">
        <f>VLOOKUP(H6,S:AF,14,0)</f>
        <v>#N/A</v>
      </c>
      <c r="Q15" s="682" t="e">
        <f>N$15*(M$15/(P$15+P$16+P$17)*P15)/1000</f>
        <v>#N/A</v>
      </c>
      <c r="S15" s="671" t="s">
        <v>1478</v>
      </c>
      <c r="T15" s="644" t="s">
        <v>1382</v>
      </c>
      <c r="U15" s="671" t="s">
        <v>1383</v>
      </c>
      <c r="V15" s="671">
        <v>1</v>
      </c>
      <c r="W15" s="671">
        <v>0.5</v>
      </c>
      <c r="X15" s="671">
        <v>0.6</v>
      </c>
      <c r="Y15" s="644">
        <v>325</v>
      </c>
      <c r="Z15" s="644">
        <v>2</v>
      </c>
      <c r="AA15" s="644">
        <f t="shared" si="1"/>
        <v>650</v>
      </c>
      <c r="AC15" s="719" t="s">
        <v>1373</v>
      </c>
      <c r="AD15" s="720" t="s">
        <v>1063</v>
      </c>
      <c r="AE15" s="720" t="s">
        <v>1064</v>
      </c>
      <c r="AF15" s="720">
        <v>1</v>
      </c>
      <c r="AG15" s="720">
        <v>0.4</v>
      </c>
      <c r="AH15" s="720">
        <v>0.35</v>
      </c>
      <c r="AI15" s="721">
        <v>323</v>
      </c>
      <c r="AJ15" s="721">
        <v>1</v>
      </c>
      <c r="AK15" s="720">
        <f t="shared" si="2"/>
        <v>323</v>
      </c>
      <c r="AL15" s="296" t="s">
        <v>1401</v>
      </c>
    </row>
    <row r="16" spans="1:38" ht="15" customHeight="1">
      <c r="A16" s="978"/>
      <c r="B16" s="822">
        <v>8</v>
      </c>
      <c r="C16" s="978"/>
      <c r="D16" s="956" t="e">
        <f>O16</f>
        <v>#N/A</v>
      </c>
      <c r="E16" s="956"/>
      <c r="F16" s="829" t="e">
        <f t="shared" si="3"/>
        <v>#N/A</v>
      </c>
      <c r="G16" s="822" t="s">
        <v>1115</v>
      </c>
      <c r="H16" s="956"/>
      <c r="I16" s="956"/>
      <c r="J16" s="956"/>
      <c r="L16" s="954"/>
      <c r="M16" s="954"/>
      <c r="N16" s="954"/>
      <c r="O16" s="675" t="e">
        <f>VLOOKUP(H6,S:AD,12,0)</f>
        <v>#N/A</v>
      </c>
      <c r="P16" s="681" t="e">
        <f>VLOOKUP(H6,S:AG,15,0)</f>
        <v>#N/A</v>
      </c>
      <c r="Q16" s="682" t="e">
        <f>N$15*(M$15/(P$15+P$16+P$17)*P16)/1000</f>
        <v>#N/A</v>
      </c>
      <c r="S16" s="671" t="s">
        <v>1363</v>
      </c>
      <c r="T16" s="644" t="s">
        <v>1340</v>
      </c>
      <c r="U16" s="762" t="str">
        <f t="shared" ref="U16:U24" si="5">IF($M$1=$P$1,$P$5,$P$6)</f>
        <v>稀料PX903</v>
      </c>
      <c r="V16" s="685">
        <v>1</v>
      </c>
      <c r="W16" s="685">
        <v>0.5</v>
      </c>
      <c r="X16" s="685">
        <v>0.6</v>
      </c>
      <c r="Y16" s="644">
        <v>310</v>
      </c>
      <c r="Z16" s="644">
        <v>1</v>
      </c>
      <c r="AA16" s="644">
        <f t="shared" si="1"/>
        <v>310</v>
      </c>
      <c r="AC16" s="719" t="s">
        <v>1373</v>
      </c>
      <c r="AD16" s="720" t="s">
        <v>1063</v>
      </c>
      <c r="AE16" s="720" t="s">
        <v>1064</v>
      </c>
      <c r="AF16" s="720">
        <v>1</v>
      </c>
      <c r="AG16" s="720">
        <v>0.4</v>
      </c>
      <c r="AH16" s="720">
        <v>0.35</v>
      </c>
      <c r="AI16" s="721">
        <v>323</v>
      </c>
      <c r="AJ16" s="721">
        <v>1</v>
      </c>
      <c r="AK16" s="720">
        <f t="shared" si="2"/>
        <v>323</v>
      </c>
      <c r="AL16" s="296" t="s">
        <v>1401</v>
      </c>
    </row>
    <row r="17" spans="1:38" ht="15" customHeight="1">
      <c r="A17" s="978"/>
      <c r="B17" s="822">
        <v>9</v>
      </c>
      <c r="C17" s="978"/>
      <c r="D17" s="956" t="e">
        <f>O17</f>
        <v>#N/A</v>
      </c>
      <c r="E17" s="956"/>
      <c r="F17" s="829" t="e">
        <f>IF(D22="",Q17,Q17*0.66)</f>
        <v>#N/A</v>
      </c>
      <c r="G17" s="822" t="s">
        <v>1115</v>
      </c>
      <c r="H17" s="956"/>
      <c r="I17" s="956"/>
      <c r="J17" s="956"/>
      <c r="L17" s="955"/>
      <c r="M17" s="955"/>
      <c r="N17" s="955"/>
      <c r="O17" s="675" t="e">
        <f>VLOOKUP(H6,S:AE,13,0)</f>
        <v>#N/A</v>
      </c>
      <c r="P17" s="681" t="e">
        <f>VLOOKUP(H6,S:AH,16,0)</f>
        <v>#N/A</v>
      </c>
      <c r="Q17" s="682" t="e">
        <f>N$15*(M$15/(P$15+P$16+P$17)*P17)/1000</f>
        <v>#N/A</v>
      </c>
      <c r="S17" s="671" t="s">
        <v>1364</v>
      </c>
      <c r="T17" s="644" t="s">
        <v>1340</v>
      </c>
      <c r="U17" s="762" t="str">
        <f t="shared" si="5"/>
        <v>稀料PX903</v>
      </c>
      <c r="V17" s="685">
        <v>1</v>
      </c>
      <c r="W17" s="685">
        <v>0.5</v>
      </c>
      <c r="X17" s="685">
        <v>0.6</v>
      </c>
      <c r="Y17" s="644">
        <v>310</v>
      </c>
      <c r="Z17" s="644">
        <v>1</v>
      </c>
      <c r="AA17" s="644">
        <f t="shared" si="1"/>
        <v>310</v>
      </c>
      <c r="AC17" s="719" t="s">
        <v>1373</v>
      </c>
      <c r="AD17" s="720" t="s">
        <v>1063</v>
      </c>
      <c r="AE17" s="720" t="s">
        <v>1064</v>
      </c>
      <c r="AF17" s="720">
        <v>1</v>
      </c>
      <c r="AG17" s="720">
        <v>0.4</v>
      </c>
      <c r="AH17" s="720">
        <v>0.35</v>
      </c>
      <c r="AI17" s="721">
        <v>323</v>
      </c>
      <c r="AJ17" s="721">
        <v>1</v>
      </c>
      <c r="AK17" s="720">
        <f t="shared" si="2"/>
        <v>323</v>
      </c>
      <c r="AL17" s="296" t="s">
        <v>1401</v>
      </c>
    </row>
    <row r="18" spans="1:38" ht="15" customHeight="1">
      <c r="A18" s="978"/>
      <c r="B18" s="822">
        <v>10</v>
      </c>
      <c r="C18" s="978"/>
      <c r="D18" s="956"/>
      <c r="E18" s="956"/>
      <c r="F18" s="829"/>
      <c r="G18" s="822" t="s">
        <v>1115</v>
      </c>
      <c r="H18" s="956" t="str">
        <f>IF(D18="G11纯黑","P1270","")</f>
        <v/>
      </c>
      <c r="I18" s="956"/>
      <c r="J18" s="956"/>
      <c r="L18" s="953"/>
      <c r="M18" s="953"/>
      <c r="N18" s="953"/>
      <c r="O18" s="675"/>
      <c r="P18" s="675"/>
      <c r="Q18" s="682" t="e">
        <f>+Q17*0.34</f>
        <v>#N/A</v>
      </c>
      <c r="S18" s="644"/>
      <c r="T18" s="671"/>
      <c r="U18" s="762" t="str">
        <f t="shared" si="5"/>
        <v>稀料PX903</v>
      </c>
      <c r="V18" s="685"/>
      <c r="W18" s="685"/>
      <c r="X18" s="685"/>
      <c r="Y18" s="761">
        <v>310</v>
      </c>
      <c r="Z18" s="644">
        <v>1</v>
      </c>
      <c r="AA18" s="644">
        <f t="shared" si="1"/>
        <v>310</v>
      </c>
      <c r="AC18" s="719" t="s">
        <v>1373</v>
      </c>
      <c r="AD18" s="720" t="s">
        <v>1063</v>
      </c>
      <c r="AE18" s="720" t="s">
        <v>1064</v>
      </c>
      <c r="AF18" s="720">
        <v>1</v>
      </c>
      <c r="AG18" s="720">
        <v>0.4</v>
      </c>
      <c r="AH18" s="720">
        <v>0.35</v>
      </c>
      <c r="AI18" s="721">
        <v>323</v>
      </c>
      <c r="AJ18" s="721">
        <v>1</v>
      </c>
      <c r="AK18" s="720">
        <f t="shared" si="2"/>
        <v>323</v>
      </c>
      <c r="AL18" s="296" t="s">
        <v>1401</v>
      </c>
    </row>
    <row r="19" spans="1:38" ht="15" customHeight="1">
      <c r="A19" s="978"/>
      <c r="B19" s="822">
        <v>11</v>
      </c>
      <c r="C19" s="978"/>
      <c r="D19" s="956"/>
      <c r="E19" s="956"/>
      <c r="F19" s="829"/>
      <c r="G19" s="822" t="s">
        <v>1115</v>
      </c>
      <c r="H19" s="956"/>
      <c r="I19" s="956"/>
      <c r="J19" s="956"/>
      <c r="L19" s="954"/>
      <c r="M19" s="954"/>
      <c r="N19" s="954"/>
      <c r="O19" s="675"/>
      <c r="P19" s="681"/>
      <c r="Q19" s="682"/>
      <c r="S19" s="644"/>
      <c r="T19" s="671"/>
      <c r="U19" s="762" t="str">
        <f t="shared" si="5"/>
        <v>稀料PX903</v>
      </c>
      <c r="V19" s="685"/>
      <c r="W19" s="685"/>
      <c r="X19" s="685"/>
      <c r="Y19" s="761">
        <v>310</v>
      </c>
      <c r="Z19" s="644">
        <v>1</v>
      </c>
      <c r="AA19" s="644">
        <f t="shared" si="1"/>
        <v>310</v>
      </c>
      <c r="AC19" s="719" t="s">
        <v>1373</v>
      </c>
      <c r="AD19" s="720" t="s">
        <v>1063</v>
      </c>
      <c r="AE19" s="720" t="s">
        <v>1064</v>
      </c>
      <c r="AF19" s="720">
        <v>1</v>
      </c>
      <c r="AG19" s="720">
        <v>0.4</v>
      </c>
      <c r="AH19" s="720">
        <v>0.35</v>
      </c>
      <c r="AI19" s="721">
        <v>323</v>
      </c>
      <c r="AJ19" s="721">
        <v>1</v>
      </c>
      <c r="AK19" s="720">
        <f t="shared" si="2"/>
        <v>323</v>
      </c>
    </row>
    <row r="20" spans="1:38" ht="15" customHeight="1">
      <c r="A20" s="978"/>
      <c r="B20" s="822">
        <v>12</v>
      </c>
      <c r="C20" s="978"/>
      <c r="D20" s="956"/>
      <c r="E20" s="956"/>
      <c r="F20" s="829"/>
      <c r="G20" s="822" t="s">
        <v>1115</v>
      </c>
      <c r="H20" s="956"/>
      <c r="I20" s="956"/>
      <c r="J20" s="956"/>
      <c r="L20" s="954"/>
      <c r="M20" s="954"/>
      <c r="N20" s="954"/>
      <c r="O20" s="675"/>
      <c r="P20" s="681"/>
      <c r="Q20" s="682"/>
      <c r="S20" s="644"/>
      <c r="T20" s="671"/>
      <c r="U20" s="762" t="str">
        <f t="shared" si="5"/>
        <v>稀料PX903</v>
      </c>
      <c r="V20" s="685"/>
      <c r="W20" s="685"/>
      <c r="X20" s="685"/>
      <c r="Y20" s="761">
        <v>310</v>
      </c>
      <c r="Z20" s="644">
        <v>1</v>
      </c>
      <c r="AA20" s="644">
        <f t="shared" si="1"/>
        <v>310</v>
      </c>
      <c r="AC20" s="719" t="s">
        <v>1373</v>
      </c>
      <c r="AD20" s="720" t="s">
        <v>1063</v>
      </c>
      <c r="AE20" s="720" t="s">
        <v>1064</v>
      </c>
      <c r="AF20" s="720">
        <v>1</v>
      </c>
      <c r="AG20" s="720">
        <v>0.4</v>
      </c>
      <c r="AH20" s="720">
        <v>0.35</v>
      </c>
      <c r="AI20" s="721">
        <v>323</v>
      </c>
      <c r="AJ20" s="721">
        <v>1</v>
      </c>
      <c r="AK20" s="720">
        <f t="shared" si="2"/>
        <v>323</v>
      </c>
    </row>
    <row r="21" spans="1:38" ht="15" customHeight="1">
      <c r="A21" s="978"/>
      <c r="B21" s="822">
        <v>13</v>
      </c>
      <c r="C21" s="978"/>
      <c r="D21" s="956"/>
      <c r="E21" s="956"/>
      <c r="F21" s="829"/>
      <c r="G21" s="822" t="s">
        <v>1115</v>
      </c>
      <c r="H21" s="956"/>
      <c r="I21" s="956"/>
      <c r="J21" s="956"/>
      <c r="L21" s="955"/>
      <c r="M21" s="955"/>
      <c r="N21" s="955"/>
      <c r="O21" s="675"/>
      <c r="P21" s="681"/>
      <c r="Q21" s="682"/>
      <c r="S21" s="644"/>
      <c r="T21" s="671"/>
      <c r="U21" s="762" t="str">
        <f t="shared" si="5"/>
        <v>稀料PX903</v>
      </c>
      <c r="V21" s="685"/>
      <c r="W21" s="685"/>
      <c r="X21" s="685"/>
      <c r="Y21" s="761">
        <v>310</v>
      </c>
      <c r="Z21" s="644">
        <v>1</v>
      </c>
      <c r="AA21" s="644">
        <f t="shared" si="1"/>
        <v>310</v>
      </c>
      <c r="AC21" s="719" t="s">
        <v>1373</v>
      </c>
      <c r="AD21" s="720" t="s">
        <v>1063</v>
      </c>
      <c r="AE21" s="720" t="s">
        <v>1064</v>
      </c>
      <c r="AF21" s="720">
        <v>1</v>
      </c>
      <c r="AG21" s="720">
        <v>0.4</v>
      </c>
      <c r="AH21" s="720">
        <v>0.35</v>
      </c>
      <c r="AI21" s="721">
        <v>323</v>
      </c>
      <c r="AJ21" s="721">
        <v>1</v>
      </c>
      <c r="AK21" s="720">
        <f t="shared" si="2"/>
        <v>323</v>
      </c>
    </row>
    <row r="22" spans="1:38" ht="15" customHeight="1">
      <c r="A22" s="978"/>
      <c r="B22" s="822">
        <v>14</v>
      </c>
      <c r="C22" s="978"/>
      <c r="D22" s="956" t="e">
        <f>+D26</f>
        <v>#N/A</v>
      </c>
      <c r="E22" s="956"/>
      <c r="F22" s="829" t="e">
        <f>IF(D22="","",Q17*0.34)</f>
        <v>#N/A</v>
      </c>
      <c r="G22" s="822" t="e">
        <f>IF(D22="","","千克")</f>
        <v>#N/A</v>
      </c>
      <c r="H22" s="956"/>
      <c r="I22" s="956"/>
      <c r="J22" s="956"/>
      <c r="L22" s="684"/>
      <c r="M22" s="684"/>
      <c r="N22" s="684"/>
      <c r="O22" s="675"/>
      <c r="P22" s="681"/>
      <c r="Q22" s="682"/>
      <c r="S22" s="644" t="s">
        <v>1365</v>
      </c>
      <c r="T22" s="644" t="s">
        <v>1058</v>
      </c>
      <c r="U22" s="762" t="str">
        <f t="shared" si="5"/>
        <v>稀料PX903</v>
      </c>
      <c r="V22" s="685">
        <v>1</v>
      </c>
      <c r="W22" s="685">
        <v>0.5</v>
      </c>
      <c r="X22" s="685">
        <v>0.6</v>
      </c>
      <c r="Y22" s="761">
        <f>IF($M$1=$P$1,310,430)</f>
        <v>310</v>
      </c>
      <c r="Z22" s="644">
        <v>1</v>
      </c>
      <c r="AA22" s="644">
        <f t="shared" si="1"/>
        <v>310</v>
      </c>
      <c r="AB22" s="296" t="s">
        <v>1384</v>
      </c>
      <c r="AC22" s="719" t="s">
        <v>1373</v>
      </c>
      <c r="AD22" s="720" t="s">
        <v>1063</v>
      </c>
      <c r="AE22" s="720" t="s">
        <v>1064</v>
      </c>
      <c r="AF22" s="720">
        <v>1</v>
      </c>
      <c r="AG22" s="720">
        <v>0.4</v>
      </c>
      <c r="AH22" s="720">
        <v>0.35</v>
      </c>
      <c r="AI22" s="721">
        <v>323</v>
      </c>
      <c r="AJ22" s="721">
        <v>1</v>
      </c>
      <c r="AK22" s="720">
        <f t="shared" si="2"/>
        <v>323</v>
      </c>
      <c r="AL22" s="296" t="s">
        <v>1402</v>
      </c>
    </row>
    <row r="23" spans="1:38" ht="15" customHeight="1">
      <c r="A23" s="978"/>
      <c r="B23" s="822">
        <v>15</v>
      </c>
      <c r="C23" s="978" t="s">
        <v>1470</v>
      </c>
      <c r="D23" s="956" t="e">
        <f>O23</f>
        <v>#N/A</v>
      </c>
      <c r="E23" s="956"/>
      <c r="F23" s="829" t="e">
        <f>Q23</f>
        <v>#N/A</v>
      </c>
      <c r="G23" s="822" t="s">
        <v>1115</v>
      </c>
      <c r="H23" s="956" t="e">
        <f>IF(D23="G11纯黑","P1270","")</f>
        <v>#N/A</v>
      </c>
      <c r="I23" s="956"/>
      <c r="J23" s="956"/>
      <c r="L23" s="953" t="str">
        <f>C23</f>
        <v>哑光PU面漆（手工喷涂)</v>
      </c>
      <c r="M23" s="953" t="e">
        <f>VLOOKUP(H6,S:AA,9,0)</f>
        <v>#N/A</v>
      </c>
      <c r="N23" s="953">
        <f>+哑光门板!O40</f>
        <v>0</v>
      </c>
      <c r="O23" s="792" t="e">
        <f>VLOOKUP(H6,S:S,1,0)</f>
        <v>#N/A</v>
      </c>
      <c r="P23" s="675" t="e">
        <f>VLOOKUP(H6,S:V,4,0)</f>
        <v>#N/A</v>
      </c>
      <c r="Q23" s="682" t="e">
        <f>N$23*(M$23/(P$23+P$24+P$25)*P23)/1000</f>
        <v>#N/A</v>
      </c>
      <c r="S23" s="644" t="s">
        <v>1367</v>
      </c>
      <c r="T23" s="644" t="s">
        <v>1058</v>
      </c>
      <c r="U23" s="762" t="str">
        <f t="shared" si="5"/>
        <v>稀料PX903</v>
      </c>
      <c r="V23" s="685">
        <v>1</v>
      </c>
      <c r="W23" s="685">
        <v>0.5</v>
      </c>
      <c r="X23" s="685">
        <v>0.6</v>
      </c>
      <c r="Y23" s="761">
        <f>IF($M$1=$P$1,310,430)</f>
        <v>310</v>
      </c>
      <c r="Z23" s="644">
        <v>1</v>
      </c>
      <c r="AA23" s="644">
        <f t="shared" si="1"/>
        <v>310</v>
      </c>
      <c r="AB23" s="296" t="s">
        <v>1384</v>
      </c>
      <c r="AC23" s="719" t="s">
        <v>1373</v>
      </c>
      <c r="AD23" s="720" t="s">
        <v>1063</v>
      </c>
      <c r="AE23" s="720" t="s">
        <v>1064</v>
      </c>
      <c r="AF23" s="720">
        <v>1</v>
      </c>
      <c r="AG23" s="720">
        <v>0.4</v>
      </c>
      <c r="AH23" s="720">
        <v>0.35</v>
      </c>
      <c r="AI23" s="721">
        <v>323</v>
      </c>
      <c r="AJ23" s="721">
        <v>1</v>
      </c>
      <c r="AK23" s="720">
        <f t="shared" si="2"/>
        <v>323</v>
      </c>
      <c r="AL23" s="296" t="s">
        <v>1402</v>
      </c>
    </row>
    <row r="24" spans="1:38" ht="15" customHeight="1">
      <c r="A24" s="978"/>
      <c r="B24" s="822">
        <v>16</v>
      </c>
      <c r="C24" s="978"/>
      <c r="D24" s="956" t="e">
        <f>O24</f>
        <v>#N/A</v>
      </c>
      <c r="E24" s="956"/>
      <c r="F24" s="829" t="e">
        <f>Q24</f>
        <v>#N/A</v>
      </c>
      <c r="G24" s="822" t="s">
        <v>1115</v>
      </c>
      <c r="H24" s="956"/>
      <c r="I24" s="956"/>
      <c r="J24" s="956"/>
      <c r="L24" s="954"/>
      <c r="M24" s="954"/>
      <c r="N24" s="954"/>
      <c r="O24" s="675" t="e">
        <f>VLOOKUP(H6,S:T,2,0)</f>
        <v>#N/A</v>
      </c>
      <c r="P24" s="681" t="e">
        <f>VLOOKUP(H6,S:W,5,0)</f>
        <v>#N/A</v>
      </c>
      <c r="Q24" s="682" t="e">
        <f>N$23*(M$23/(P$23+P$24+P$25)*P24)/1000</f>
        <v>#N/A</v>
      </c>
      <c r="S24" s="644" t="s">
        <v>1369</v>
      </c>
      <c r="T24" s="644" t="s">
        <v>1058</v>
      </c>
      <c r="U24" s="762" t="str">
        <f t="shared" si="5"/>
        <v>稀料PX903</v>
      </c>
      <c r="V24" s="685">
        <v>1</v>
      </c>
      <c r="W24" s="685">
        <v>0.5</v>
      </c>
      <c r="X24" s="685">
        <v>0.6</v>
      </c>
      <c r="Y24" s="644">
        <v>310</v>
      </c>
      <c r="Z24" s="644">
        <v>1</v>
      </c>
      <c r="AA24" s="644">
        <f t="shared" si="1"/>
        <v>310</v>
      </c>
      <c r="AC24" s="719" t="s">
        <v>1373</v>
      </c>
      <c r="AD24" s="720" t="s">
        <v>1063</v>
      </c>
      <c r="AE24" s="720" t="s">
        <v>1064</v>
      </c>
      <c r="AF24" s="720">
        <v>1</v>
      </c>
      <c r="AG24" s="720">
        <v>0.4</v>
      </c>
      <c r="AH24" s="720">
        <v>0.35</v>
      </c>
      <c r="AI24" s="721">
        <v>323</v>
      </c>
      <c r="AJ24" s="721">
        <v>1</v>
      </c>
      <c r="AK24" s="720">
        <f t="shared" si="2"/>
        <v>323</v>
      </c>
      <c r="AL24" s="296" t="s">
        <v>1402</v>
      </c>
    </row>
    <row r="25" spans="1:38" ht="15" customHeight="1">
      <c r="A25" s="978"/>
      <c r="B25" s="822">
        <v>17</v>
      </c>
      <c r="C25" s="978"/>
      <c r="D25" s="956" t="e">
        <f>O25</f>
        <v>#N/A</v>
      </c>
      <c r="E25" s="956"/>
      <c r="F25" s="829" t="e">
        <f>IF(D26="",Q25,Q25*0.66)</f>
        <v>#N/A</v>
      </c>
      <c r="G25" s="822" t="s">
        <v>1115</v>
      </c>
      <c r="H25" s="956"/>
      <c r="I25" s="956"/>
      <c r="J25" s="956"/>
      <c r="L25" s="954"/>
      <c r="M25" s="954"/>
      <c r="N25" s="954"/>
      <c r="O25" s="675" t="e">
        <f>VLOOKUP(H6,S:U,3,0)</f>
        <v>#N/A</v>
      </c>
      <c r="P25" s="681" t="e">
        <f>VLOOKUP(H6,S:X,6,0)</f>
        <v>#N/A</v>
      </c>
      <c r="Q25" s="682" t="e">
        <f>N$23*(M$23/(P$23+P$24+P$25)*P25)/1000</f>
        <v>#N/A</v>
      </c>
      <c r="S25" s="792" t="s">
        <v>1476</v>
      </c>
      <c r="T25" s="686" t="s">
        <v>1385</v>
      </c>
      <c r="U25" s="644" t="s">
        <v>1386</v>
      </c>
      <c r="V25" s="685">
        <v>1</v>
      </c>
      <c r="W25" s="685">
        <v>0.5</v>
      </c>
      <c r="X25" s="685">
        <v>0.5</v>
      </c>
      <c r="Y25" s="644">
        <v>310</v>
      </c>
      <c r="Z25" s="644">
        <v>1</v>
      </c>
      <c r="AA25" s="644">
        <f t="shared" si="1"/>
        <v>310</v>
      </c>
      <c r="AC25" s="719" t="s">
        <v>1373</v>
      </c>
      <c r="AD25" s="720" t="s">
        <v>1063</v>
      </c>
      <c r="AE25" s="720" t="s">
        <v>1064</v>
      </c>
      <c r="AF25" s="720">
        <v>1</v>
      </c>
      <c r="AG25" s="720">
        <v>0.4</v>
      </c>
      <c r="AH25" s="720">
        <v>0.35</v>
      </c>
      <c r="AI25" s="721">
        <v>323</v>
      </c>
      <c r="AJ25" s="721">
        <v>1</v>
      </c>
      <c r="AK25" s="720">
        <f t="shared" si="2"/>
        <v>323</v>
      </c>
      <c r="AL25" s="296" t="s">
        <v>1401</v>
      </c>
    </row>
    <row r="26" spans="1:38" ht="15" customHeight="1">
      <c r="A26" s="978"/>
      <c r="B26" s="822">
        <v>18</v>
      </c>
      <c r="C26" s="978"/>
      <c r="D26" s="956" t="e">
        <f>IF(D23="L12纯白","",O26)</f>
        <v>#N/A</v>
      </c>
      <c r="E26" s="956"/>
      <c r="F26" s="829" t="e">
        <f>IF(D26="","",Q25*0.34)</f>
        <v>#N/A</v>
      </c>
      <c r="G26" s="822" t="e">
        <f>+G22</f>
        <v>#N/A</v>
      </c>
      <c r="H26" s="956"/>
      <c r="I26" s="956"/>
      <c r="J26" s="956"/>
      <c r="L26" s="955"/>
      <c r="M26" s="955"/>
      <c r="N26" s="955"/>
      <c r="O26" s="675" t="str">
        <f>IF(M1=P1,"",O4)</f>
        <v/>
      </c>
      <c r="P26" s="681"/>
      <c r="Q26" s="682"/>
      <c r="S26" s="761" t="s">
        <v>1403</v>
      </c>
      <c r="T26" s="761" t="s">
        <v>1346</v>
      </c>
      <c r="U26" s="762" t="str">
        <f t="shared" ref="U26:U29" si="6">IF($M$1=$P$1,$P$5,$P$6)</f>
        <v>稀料PX903</v>
      </c>
      <c r="V26" s="685">
        <v>1</v>
      </c>
      <c r="W26" s="685">
        <v>0.5</v>
      </c>
      <c r="X26" s="685">
        <v>0.8</v>
      </c>
      <c r="Y26" s="761">
        <v>310</v>
      </c>
      <c r="Z26" s="761">
        <v>1</v>
      </c>
      <c r="AA26" s="761">
        <f t="shared" ref="AA26" si="7">Y26*Z26</f>
        <v>310</v>
      </c>
      <c r="AC26" s="719" t="s">
        <v>1373</v>
      </c>
      <c r="AD26" s="720" t="s">
        <v>1063</v>
      </c>
      <c r="AE26" s="720" t="s">
        <v>1064</v>
      </c>
      <c r="AF26" s="720">
        <v>1</v>
      </c>
      <c r="AG26" s="720">
        <v>0.4</v>
      </c>
      <c r="AH26" s="720">
        <v>0.35</v>
      </c>
      <c r="AI26" s="721">
        <v>323</v>
      </c>
      <c r="AJ26" s="721">
        <v>1</v>
      </c>
      <c r="AK26" s="720">
        <f t="shared" ref="AK26:AK29" si="8">AI26*AJ26</f>
        <v>323</v>
      </c>
      <c r="AL26" s="296" t="s">
        <v>1402</v>
      </c>
    </row>
    <row r="27" spans="1:38" ht="15" customHeight="1">
      <c r="A27" s="978"/>
      <c r="B27" s="822"/>
      <c r="C27" s="823"/>
      <c r="D27" s="822"/>
      <c r="E27" s="822"/>
      <c r="F27" s="829"/>
      <c r="G27" s="822"/>
      <c r="H27" s="822"/>
      <c r="I27" s="822"/>
      <c r="J27" s="822"/>
      <c r="L27" s="688"/>
      <c r="M27" s="688"/>
      <c r="N27" s="688"/>
      <c r="O27" s="646"/>
      <c r="P27" s="645"/>
      <c r="Q27" s="394"/>
      <c r="S27" s="687"/>
      <c r="T27" s="488"/>
      <c r="U27" s="762" t="str">
        <f t="shared" si="6"/>
        <v>稀料PX903</v>
      </c>
      <c r="V27" s="685">
        <v>1</v>
      </c>
      <c r="W27" s="685">
        <v>0.5</v>
      </c>
      <c r="X27" s="685">
        <v>0.5</v>
      </c>
      <c r="AC27" s="719" t="s">
        <v>1373</v>
      </c>
      <c r="AD27" s="720" t="s">
        <v>1063</v>
      </c>
      <c r="AE27" s="720" t="s">
        <v>1064</v>
      </c>
      <c r="AF27" s="720">
        <v>1</v>
      </c>
      <c r="AG27" s="720">
        <v>0.4</v>
      </c>
      <c r="AH27" s="720">
        <v>0.35</v>
      </c>
      <c r="AI27" s="721">
        <v>323</v>
      </c>
      <c r="AJ27" s="721">
        <v>1</v>
      </c>
      <c r="AK27" s="720">
        <f t="shared" si="8"/>
        <v>323</v>
      </c>
      <c r="AL27" s="296" t="s">
        <v>1402</v>
      </c>
    </row>
    <row r="28" spans="1:38" ht="15" customHeight="1">
      <c r="A28" s="978"/>
      <c r="B28" s="822"/>
      <c r="C28" s="823"/>
      <c r="D28" s="822"/>
      <c r="E28" s="822"/>
      <c r="F28" s="829"/>
      <c r="G28" s="822"/>
      <c r="H28" s="822"/>
      <c r="I28" s="822"/>
      <c r="J28" s="822"/>
      <c r="L28" s="688"/>
      <c r="M28" s="688"/>
      <c r="N28" s="688"/>
      <c r="O28" s="646"/>
      <c r="P28" s="645"/>
      <c r="Q28" s="394"/>
      <c r="S28" s="687"/>
      <c r="T28" s="488"/>
      <c r="U28" s="762" t="str">
        <f t="shared" si="6"/>
        <v>稀料PX903</v>
      </c>
      <c r="V28" s="685">
        <v>1</v>
      </c>
      <c r="W28" s="685">
        <v>0.5</v>
      </c>
      <c r="X28" s="685">
        <v>0.5</v>
      </c>
      <c r="AC28" s="719" t="s">
        <v>1373</v>
      </c>
      <c r="AD28" s="720" t="s">
        <v>1063</v>
      </c>
      <c r="AE28" s="720" t="s">
        <v>1064</v>
      </c>
      <c r="AF28" s="720">
        <v>1</v>
      </c>
      <c r="AG28" s="720">
        <v>0.4</v>
      </c>
      <c r="AH28" s="720">
        <v>0.35</v>
      </c>
      <c r="AI28" s="721">
        <v>323</v>
      </c>
      <c r="AJ28" s="721">
        <v>1</v>
      </c>
      <c r="AK28" s="720">
        <f t="shared" si="8"/>
        <v>323</v>
      </c>
      <c r="AL28" s="296" t="s">
        <v>1402</v>
      </c>
    </row>
    <row r="29" spans="1:38" ht="15" customHeight="1">
      <c r="A29" s="823"/>
      <c r="B29" s="822">
        <v>15</v>
      </c>
      <c r="C29" s="978" t="s">
        <v>1470</v>
      </c>
      <c r="D29" s="956">
        <f>O29</f>
        <v>0</v>
      </c>
      <c r="E29" s="956"/>
      <c r="F29" s="829" t="e">
        <f>Q29</f>
        <v>#N/A</v>
      </c>
      <c r="G29" s="822" t="s">
        <v>1115</v>
      </c>
      <c r="H29" s="956"/>
      <c r="I29" s="956"/>
      <c r="J29" s="956"/>
      <c r="L29" s="953" t="str">
        <f>C29</f>
        <v>哑光PU面漆（手工喷涂)</v>
      </c>
      <c r="M29" s="953" t="e">
        <f>+M23</f>
        <v>#N/A</v>
      </c>
      <c r="N29" s="953">
        <f>+哑光门板!P40</f>
        <v>0</v>
      </c>
      <c r="O29" s="730">
        <f>+J6</f>
        <v>0</v>
      </c>
      <c r="P29" s="730" t="e">
        <f>VLOOKUP(J6,S:V,4,0)</f>
        <v>#N/A</v>
      </c>
      <c r="Q29" s="682" t="e">
        <f>N$29*(M$29/(P$29+P$30+P$31)*P29)/1000</f>
        <v>#N/A</v>
      </c>
      <c r="S29" s="761" t="s">
        <v>1404</v>
      </c>
      <c r="T29" s="761" t="s">
        <v>1348</v>
      </c>
      <c r="U29" s="762" t="str">
        <f t="shared" si="6"/>
        <v>稀料PX903</v>
      </c>
      <c r="V29" s="685">
        <v>1</v>
      </c>
      <c r="W29" s="685">
        <v>0.5</v>
      </c>
      <c r="X29" s="685">
        <v>0.8</v>
      </c>
      <c r="Y29" s="761">
        <v>325</v>
      </c>
      <c r="Z29" s="761">
        <v>2</v>
      </c>
      <c r="AA29" s="761">
        <f t="shared" ref="AA29" si="9">Y29*Z29</f>
        <v>650</v>
      </c>
      <c r="AC29" s="719" t="s">
        <v>1373</v>
      </c>
      <c r="AD29" s="720" t="s">
        <v>1063</v>
      </c>
      <c r="AE29" s="720" t="s">
        <v>1064</v>
      </c>
      <c r="AF29" s="720">
        <v>1</v>
      </c>
      <c r="AG29" s="720">
        <v>0.4</v>
      </c>
      <c r="AH29" s="720">
        <v>0.35</v>
      </c>
      <c r="AI29" s="721">
        <v>323</v>
      </c>
      <c r="AJ29" s="721">
        <v>1</v>
      </c>
      <c r="AK29" s="720">
        <f t="shared" si="8"/>
        <v>323</v>
      </c>
      <c r="AL29" s="296" t="s">
        <v>1402</v>
      </c>
    </row>
    <row r="30" spans="1:38" ht="15" customHeight="1">
      <c r="A30" s="823"/>
      <c r="B30" s="822">
        <v>16</v>
      </c>
      <c r="C30" s="978"/>
      <c r="D30" s="956" t="e">
        <f>O30</f>
        <v>#N/A</v>
      </c>
      <c r="E30" s="956"/>
      <c r="F30" s="829" t="e">
        <f>Q30</f>
        <v>#N/A</v>
      </c>
      <c r="G30" s="822" t="s">
        <v>1115</v>
      </c>
      <c r="H30" s="956"/>
      <c r="I30" s="956"/>
      <c r="J30" s="956"/>
      <c r="L30" s="954"/>
      <c r="M30" s="954"/>
      <c r="N30" s="954"/>
      <c r="O30" s="730" t="e">
        <f>VLOOKUP(J6,S:T,2,0)</f>
        <v>#N/A</v>
      </c>
      <c r="P30" s="681" t="e">
        <f>VLOOKUP(J6,S:W,5,0)</f>
        <v>#N/A</v>
      </c>
      <c r="Q30" s="682" t="e">
        <f>N$23*(M$23/(P$23+P$24+P$25)*P30)/1000</f>
        <v>#N/A</v>
      </c>
      <c r="S30" s="687"/>
      <c r="T30" s="687"/>
      <c r="Y30" s="687"/>
      <c r="Z30" s="687"/>
      <c r="AA30" s="687"/>
      <c r="AC30" s="748"/>
      <c r="AD30" s="749"/>
      <c r="AE30" s="749"/>
      <c r="AF30" s="749"/>
      <c r="AG30" s="749"/>
      <c r="AH30" s="749"/>
      <c r="AI30" s="750"/>
      <c r="AJ30" s="750"/>
      <c r="AK30" s="749"/>
    </row>
    <row r="31" spans="1:38" ht="15" customHeight="1">
      <c r="A31" s="823"/>
      <c r="B31" s="822">
        <v>17</v>
      </c>
      <c r="C31" s="978"/>
      <c r="D31" s="956" t="e">
        <f>O31</f>
        <v>#N/A</v>
      </c>
      <c r="E31" s="956"/>
      <c r="F31" s="829" t="e">
        <f>IF(D32="",Q31,Q31*0.66)</f>
        <v>#N/A</v>
      </c>
      <c r="G31" s="822" t="s">
        <v>1115</v>
      </c>
      <c r="H31" s="956"/>
      <c r="I31" s="956"/>
      <c r="J31" s="956"/>
      <c r="L31" s="954"/>
      <c r="M31" s="954"/>
      <c r="N31" s="954"/>
      <c r="O31" s="730" t="e">
        <f>VLOOKUP(J6,S:U,3,0)</f>
        <v>#N/A</v>
      </c>
      <c r="P31" s="681" t="e">
        <f>VLOOKUP(J6,S:X,6,0)</f>
        <v>#N/A</v>
      </c>
      <c r="Q31" s="682" t="e">
        <f>N$23*(M$23/(P$23+P$24+P$25)*P31)/1000</f>
        <v>#N/A</v>
      </c>
      <c r="S31" s="687"/>
      <c r="T31" s="725"/>
      <c r="U31" s="687"/>
      <c r="Y31" s="687"/>
      <c r="Z31" s="687"/>
      <c r="AA31" s="687"/>
      <c r="AC31" s="748"/>
      <c r="AD31" s="749"/>
      <c r="AE31" s="749"/>
      <c r="AF31" s="749"/>
      <c r="AG31" s="749"/>
      <c r="AH31" s="749"/>
      <c r="AI31" s="750"/>
      <c r="AJ31" s="750"/>
      <c r="AK31" s="749"/>
    </row>
    <row r="32" spans="1:38" ht="15" customHeight="1">
      <c r="A32" s="823"/>
      <c r="B32" s="822">
        <v>18</v>
      </c>
      <c r="C32" s="978"/>
      <c r="D32" s="956" t="e">
        <f>IF(D23="L12纯白","",O32)</f>
        <v>#N/A</v>
      </c>
      <c r="E32" s="956"/>
      <c r="F32" s="829" t="e">
        <f>IF(D32="","",Q31*0.34)</f>
        <v>#N/A</v>
      </c>
      <c r="G32" s="822">
        <f>+G28</f>
        <v>0</v>
      </c>
      <c r="H32" s="956"/>
      <c r="I32" s="956"/>
      <c r="J32" s="956"/>
      <c r="L32" s="955"/>
      <c r="M32" s="955"/>
      <c r="N32" s="955"/>
      <c r="O32" s="730" t="str">
        <f>+O26</f>
        <v/>
      </c>
      <c r="P32" s="681"/>
      <c r="Q32" s="682"/>
      <c r="S32" s="687"/>
      <c r="T32" s="488"/>
      <c r="U32" s="687"/>
    </row>
    <row r="33" spans="1:21" ht="15" customHeight="1">
      <c r="A33" s="959" t="s">
        <v>28</v>
      </c>
      <c r="B33" s="822">
        <v>1</v>
      </c>
      <c r="C33" s="822" t="str">
        <f>哑光门板!B6</f>
        <v>拉手类型</v>
      </c>
      <c r="D33" s="956"/>
      <c r="E33" s="956"/>
      <c r="F33" s="829">
        <f>哑光门板!T42</f>
        <v>0</v>
      </c>
      <c r="G33" s="822" t="s">
        <v>22</v>
      </c>
      <c r="H33" s="956"/>
      <c r="I33" s="956"/>
      <c r="J33" s="956"/>
      <c r="L33" s="688"/>
      <c r="M33" s="688"/>
      <c r="N33" s="688"/>
      <c r="O33" s="646"/>
      <c r="P33" s="645"/>
      <c r="Q33" s="394"/>
      <c r="S33" s="488"/>
      <c r="T33" s="488"/>
      <c r="U33" s="687"/>
    </row>
    <row r="34" spans="1:21" ht="15" customHeight="1">
      <c r="A34" s="959"/>
      <c r="B34" s="822">
        <v>2</v>
      </c>
      <c r="C34" s="822" t="s">
        <v>725</v>
      </c>
      <c r="D34" s="956"/>
      <c r="E34" s="956"/>
      <c r="F34" s="689"/>
      <c r="G34" s="822" t="s">
        <v>1387</v>
      </c>
      <c r="H34" s="956"/>
      <c r="I34" s="956"/>
      <c r="J34" s="956"/>
      <c r="S34" s="488"/>
      <c r="T34" s="488"/>
    </row>
    <row r="35" spans="1:21" ht="15" customHeight="1">
      <c r="A35" s="959"/>
      <c r="B35" s="959"/>
      <c r="C35" s="959"/>
      <c r="D35" s="959"/>
      <c r="E35" s="959"/>
      <c r="F35" s="959"/>
      <c r="G35" s="959"/>
      <c r="H35" s="959"/>
      <c r="I35" s="959"/>
      <c r="J35" s="959"/>
      <c r="T35" s="488"/>
    </row>
    <row r="36" spans="1:21" ht="15" customHeight="1">
      <c r="A36" s="962" t="s">
        <v>1544</v>
      </c>
      <c r="B36" s="822" t="s">
        <v>815</v>
      </c>
      <c r="C36" s="822" t="s">
        <v>1540</v>
      </c>
      <c r="D36" s="965" t="s">
        <v>817</v>
      </c>
      <c r="E36" s="966"/>
      <c r="F36" s="843" t="s">
        <v>1550</v>
      </c>
      <c r="G36" s="840" t="s">
        <v>1551</v>
      </c>
      <c r="H36" s="965"/>
      <c r="I36" s="967"/>
      <c r="J36" s="966"/>
    </row>
    <row r="37" spans="1:21" ht="15" customHeight="1">
      <c r="A37" s="963"/>
      <c r="B37" s="822">
        <v>1</v>
      </c>
      <c r="C37" s="822"/>
      <c r="D37" s="965"/>
      <c r="E37" s="966"/>
      <c r="F37" s="689"/>
      <c r="G37" s="840"/>
      <c r="H37" s="965"/>
      <c r="I37" s="967"/>
      <c r="J37" s="966"/>
    </row>
    <row r="38" spans="1:21" ht="15" customHeight="1">
      <c r="A38" s="963"/>
      <c r="B38" s="840">
        <v>2</v>
      </c>
      <c r="C38" s="822"/>
      <c r="D38" s="965"/>
      <c r="E38" s="966"/>
      <c r="F38" s="689"/>
      <c r="G38" s="840"/>
      <c r="H38" s="965"/>
      <c r="I38" s="967"/>
      <c r="J38" s="966"/>
    </row>
    <row r="39" spans="1:21" ht="15" customHeight="1">
      <c r="A39" s="963"/>
      <c r="B39" s="840">
        <v>3</v>
      </c>
      <c r="C39" s="822"/>
      <c r="D39" s="965"/>
      <c r="E39" s="966"/>
      <c r="F39" s="689"/>
      <c r="G39" s="840"/>
      <c r="H39" s="965"/>
      <c r="I39" s="967"/>
      <c r="J39" s="966"/>
    </row>
    <row r="40" spans="1:21" ht="15" customHeight="1">
      <c r="A40" s="963"/>
      <c r="B40" s="840">
        <v>4</v>
      </c>
      <c r="C40" s="822"/>
      <c r="D40" s="965"/>
      <c r="E40" s="966"/>
      <c r="F40" s="689"/>
      <c r="G40" s="840"/>
      <c r="H40" s="965"/>
      <c r="I40" s="967"/>
      <c r="J40" s="966"/>
    </row>
    <row r="41" spans="1:21" ht="15" customHeight="1">
      <c r="A41" s="963"/>
      <c r="B41" s="840">
        <v>5</v>
      </c>
      <c r="C41" s="822"/>
      <c r="D41" s="965"/>
      <c r="E41" s="966"/>
      <c r="F41" s="689"/>
      <c r="G41" s="840"/>
      <c r="H41" s="965"/>
      <c r="I41" s="967"/>
      <c r="J41" s="966"/>
    </row>
    <row r="42" spans="1:21" ht="15" customHeight="1">
      <c r="A42" s="963"/>
      <c r="B42" s="840">
        <v>6</v>
      </c>
      <c r="C42" s="822"/>
      <c r="D42" s="965"/>
      <c r="E42" s="966"/>
      <c r="F42" s="689"/>
      <c r="G42" s="840"/>
      <c r="H42" s="965"/>
      <c r="I42" s="967"/>
      <c r="J42" s="966"/>
    </row>
    <row r="43" spans="1:21" ht="15" customHeight="1">
      <c r="A43" s="963"/>
      <c r="B43" s="840">
        <v>7</v>
      </c>
      <c r="C43" s="822"/>
      <c r="D43" s="965"/>
      <c r="E43" s="966"/>
      <c r="F43" s="689"/>
      <c r="G43" s="840"/>
      <c r="H43" s="965"/>
      <c r="I43" s="967"/>
      <c r="J43" s="966"/>
    </row>
    <row r="44" spans="1:21" ht="15" customHeight="1">
      <c r="A44" s="963"/>
      <c r="B44" s="840">
        <v>8</v>
      </c>
      <c r="C44" s="822"/>
      <c r="D44" s="965"/>
      <c r="E44" s="966"/>
      <c r="F44" s="689"/>
      <c r="G44" s="840"/>
      <c r="H44" s="965"/>
      <c r="I44" s="967"/>
      <c r="J44" s="966"/>
    </row>
    <row r="45" spans="1:21" ht="15" hidden="1" customHeight="1">
      <c r="A45" s="963"/>
      <c r="B45" s="840">
        <v>9</v>
      </c>
      <c r="C45" s="822"/>
      <c r="D45" s="965"/>
      <c r="E45" s="966"/>
      <c r="F45" s="689"/>
      <c r="G45" s="840"/>
      <c r="H45" s="965"/>
      <c r="I45" s="967"/>
      <c r="J45" s="966"/>
    </row>
    <row r="46" spans="1:21" ht="15" hidden="1" customHeight="1">
      <c r="A46" s="963"/>
      <c r="B46" s="840">
        <v>10</v>
      </c>
      <c r="C46" s="822"/>
      <c r="D46" s="965"/>
      <c r="E46" s="966"/>
      <c r="F46" s="689"/>
      <c r="G46" s="840"/>
      <c r="H46" s="965"/>
      <c r="I46" s="967"/>
      <c r="J46" s="966"/>
    </row>
    <row r="47" spans="1:21" ht="15" hidden="1" customHeight="1">
      <c r="A47" s="963"/>
      <c r="B47" s="840">
        <v>11</v>
      </c>
      <c r="C47" s="822"/>
      <c r="D47" s="965"/>
      <c r="E47" s="966"/>
      <c r="F47" s="689"/>
      <c r="G47" s="840"/>
      <c r="H47" s="965"/>
      <c r="I47" s="967"/>
      <c r="J47" s="966"/>
    </row>
    <row r="48" spans="1:21" ht="15" hidden="1" customHeight="1">
      <c r="A48" s="963"/>
      <c r="B48" s="840">
        <v>12</v>
      </c>
      <c r="C48" s="840"/>
      <c r="D48" s="965"/>
      <c r="E48" s="966"/>
      <c r="F48" s="689"/>
      <c r="G48" s="840"/>
      <c r="H48" s="965"/>
      <c r="I48" s="967"/>
      <c r="J48" s="966"/>
    </row>
    <row r="49" spans="1:10" ht="15" hidden="1" customHeight="1">
      <c r="A49" s="963"/>
      <c r="B49" s="840">
        <v>13</v>
      </c>
      <c r="C49" s="840"/>
      <c r="D49" s="965"/>
      <c r="E49" s="966"/>
      <c r="F49" s="689"/>
      <c r="G49" s="840"/>
      <c r="H49" s="965"/>
      <c r="I49" s="967"/>
      <c r="J49" s="966"/>
    </row>
    <row r="50" spans="1:10" ht="15" hidden="1" customHeight="1">
      <c r="A50" s="963"/>
      <c r="B50" s="840">
        <v>12</v>
      </c>
      <c r="C50" s="822"/>
      <c r="D50" s="965"/>
      <c r="E50" s="966"/>
      <c r="F50" s="689"/>
      <c r="G50" s="840"/>
      <c r="H50" s="965"/>
      <c r="I50" s="967"/>
      <c r="J50" s="966"/>
    </row>
    <row r="51" spans="1:10" ht="15" hidden="1" customHeight="1">
      <c r="A51" s="963"/>
      <c r="B51" s="840">
        <v>13</v>
      </c>
      <c r="C51" s="822"/>
      <c r="D51" s="965"/>
      <c r="E51" s="966"/>
      <c r="F51" s="689"/>
      <c r="G51" s="840"/>
      <c r="H51" s="965"/>
      <c r="I51" s="967"/>
      <c r="J51" s="966"/>
    </row>
    <row r="52" spans="1:10" ht="6.75" customHeight="1">
      <c r="A52" s="525"/>
      <c r="B52" s="687"/>
      <c r="C52" s="687"/>
      <c r="D52" s="841"/>
      <c r="E52" s="841"/>
      <c r="F52" s="691"/>
      <c r="G52" s="687"/>
      <c r="H52" s="692"/>
      <c r="I52" s="692"/>
      <c r="J52" s="692"/>
    </row>
    <row r="53" spans="1:10" ht="15" customHeight="1">
      <c r="A53" s="1032"/>
      <c r="B53" s="1032"/>
      <c r="C53" s="642" t="s">
        <v>13</v>
      </c>
      <c r="D53" s="1033"/>
      <c r="E53" s="1033"/>
      <c r="F53" s="844"/>
      <c r="G53" s="842"/>
      <c r="H53" s="1033"/>
      <c r="I53" s="1033"/>
      <c r="J53" s="527"/>
    </row>
    <row r="54" spans="1:10" ht="15" customHeight="1">
      <c r="A54" s="641"/>
      <c r="B54" s="641"/>
      <c r="C54" s="642"/>
      <c r="D54" s="642"/>
      <c r="E54" s="539"/>
      <c r="F54" s="693"/>
      <c r="G54" s="642"/>
      <c r="H54" s="646"/>
      <c r="I54" s="646"/>
      <c r="J54" s="527"/>
    </row>
    <row r="55" spans="1:10" ht="15" customHeight="1">
      <c r="A55" s="641"/>
      <c r="B55" s="641"/>
      <c r="C55" s="642" t="s">
        <v>15</v>
      </c>
      <c r="D55" s="1030"/>
      <c r="E55" s="1030"/>
      <c r="F55" s="693"/>
      <c r="G55" s="643"/>
      <c r="H55" s="1031"/>
      <c r="I55" s="1031"/>
      <c r="J55" s="527"/>
    </row>
    <row r="56" spans="1:10" ht="15" customHeight="1">
      <c r="A56" s="394"/>
      <c r="B56" s="394"/>
      <c r="C56" s="394"/>
      <c r="D56" s="394"/>
      <c r="E56" s="394"/>
      <c r="F56" s="395"/>
      <c r="G56" s="394"/>
      <c r="H56" s="394"/>
      <c r="I56" s="394"/>
      <c r="J56" s="394"/>
    </row>
  </sheetData>
  <autoFilter ref="A1:J3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30">
    <mergeCell ref="J6:J8"/>
    <mergeCell ref="H48:J48"/>
    <mergeCell ref="D49:E49"/>
    <mergeCell ref="H49:J49"/>
    <mergeCell ref="D51:E51"/>
    <mergeCell ref="H36:J36"/>
    <mergeCell ref="H37:J37"/>
    <mergeCell ref="H38:J38"/>
    <mergeCell ref="H39:J39"/>
    <mergeCell ref="H40:J40"/>
    <mergeCell ref="H41:J41"/>
    <mergeCell ref="H42:J42"/>
    <mergeCell ref="H43:J43"/>
    <mergeCell ref="H44:J44"/>
    <mergeCell ref="H45:J45"/>
    <mergeCell ref="H46:J46"/>
    <mergeCell ref="H47:J47"/>
    <mergeCell ref="H50:J50"/>
    <mergeCell ref="H51:J51"/>
    <mergeCell ref="D48:E48"/>
    <mergeCell ref="D44:E44"/>
    <mergeCell ref="D45:E45"/>
    <mergeCell ref="D46:E46"/>
    <mergeCell ref="D47:E47"/>
    <mergeCell ref="A6:A8"/>
    <mergeCell ref="D6:E6"/>
    <mergeCell ref="A3:B3"/>
    <mergeCell ref="D3:D4"/>
    <mergeCell ref="E3:E4"/>
    <mergeCell ref="F3:F4"/>
    <mergeCell ref="I3:I4"/>
    <mergeCell ref="H6:H8"/>
    <mergeCell ref="I6:I8"/>
    <mergeCell ref="A1:J1"/>
    <mergeCell ref="A2:B2"/>
    <mergeCell ref="C2:D2"/>
    <mergeCell ref="E2:F2"/>
    <mergeCell ref="H2:I2"/>
    <mergeCell ref="J3:J4"/>
    <mergeCell ref="A4:B4"/>
    <mergeCell ref="D5:E5"/>
    <mergeCell ref="H5:J5"/>
    <mergeCell ref="L6:M8"/>
    <mergeCell ref="D7:E7"/>
    <mergeCell ref="D8:E8"/>
    <mergeCell ref="A9:A28"/>
    <mergeCell ref="D9:E9"/>
    <mergeCell ref="H9:J9"/>
    <mergeCell ref="D10:E10"/>
    <mergeCell ref="H10:J10"/>
    <mergeCell ref="L10:Q10"/>
    <mergeCell ref="C11:C14"/>
    <mergeCell ref="D11:E11"/>
    <mergeCell ref="H11:J11"/>
    <mergeCell ref="L11:L13"/>
    <mergeCell ref="M11:M13"/>
    <mergeCell ref="N11:N13"/>
    <mergeCell ref="D12:E12"/>
    <mergeCell ref="C15:C22"/>
    <mergeCell ref="D15:E15"/>
    <mergeCell ref="H15:J15"/>
    <mergeCell ref="D22:E22"/>
    <mergeCell ref="H22:J22"/>
    <mergeCell ref="H18:J18"/>
    <mergeCell ref="L18:L21"/>
    <mergeCell ref="H12:J12"/>
    <mergeCell ref="D13:E13"/>
    <mergeCell ref="H13:J13"/>
    <mergeCell ref="D14:E14"/>
    <mergeCell ref="M18:M21"/>
    <mergeCell ref="N18:N21"/>
    <mergeCell ref="N15:N17"/>
    <mergeCell ref="D16:E16"/>
    <mergeCell ref="H16:J16"/>
    <mergeCell ref="D17:E17"/>
    <mergeCell ref="H17:J17"/>
    <mergeCell ref="M15:M17"/>
    <mergeCell ref="D21:E21"/>
    <mergeCell ref="H21:J21"/>
    <mergeCell ref="L15:L17"/>
    <mergeCell ref="D19:E19"/>
    <mergeCell ref="H19:J19"/>
    <mergeCell ref="D20:E20"/>
    <mergeCell ref="H20:J20"/>
    <mergeCell ref="D18:E18"/>
    <mergeCell ref="C23:C26"/>
    <mergeCell ref="D23:E23"/>
    <mergeCell ref="H23:J23"/>
    <mergeCell ref="L23:L26"/>
    <mergeCell ref="M23:M26"/>
    <mergeCell ref="N23:N26"/>
    <mergeCell ref="D24:E24"/>
    <mergeCell ref="H24:J24"/>
    <mergeCell ref="D25:E25"/>
    <mergeCell ref="H25:J25"/>
    <mergeCell ref="D26:E26"/>
    <mergeCell ref="H26:J26"/>
    <mergeCell ref="D55:E55"/>
    <mergeCell ref="H55:I55"/>
    <mergeCell ref="A33:A34"/>
    <mergeCell ref="D33:E33"/>
    <mergeCell ref="D34:E34"/>
    <mergeCell ref="A53:B53"/>
    <mergeCell ref="D53:E53"/>
    <mergeCell ref="H53:I53"/>
    <mergeCell ref="H33:J33"/>
    <mergeCell ref="H34:J34"/>
    <mergeCell ref="A35:J35"/>
    <mergeCell ref="A36:A51"/>
    <mergeCell ref="D36:E36"/>
    <mergeCell ref="D37:E37"/>
    <mergeCell ref="D38:E38"/>
    <mergeCell ref="D39:E39"/>
    <mergeCell ref="D40:E40"/>
    <mergeCell ref="D41:E41"/>
    <mergeCell ref="D42:E42"/>
    <mergeCell ref="D43:E43"/>
    <mergeCell ref="D50:E50"/>
    <mergeCell ref="C29:C32"/>
    <mergeCell ref="D29:E29"/>
    <mergeCell ref="H29:J29"/>
    <mergeCell ref="L29:L32"/>
    <mergeCell ref="M29:M32"/>
    <mergeCell ref="N29:N32"/>
    <mergeCell ref="D30:E30"/>
    <mergeCell ref="H30:J30"/>
    <mergeCell ref="D31:E31"/>
    <mergeCell ref="H31:J31"/>
    <mergeCell ref="D32:E32"/>
    <mergeCell ref="H32:J32"/>
  </mergeCells>
  <phoneticPr fontId="76" type="noConversion"/>
  <dataValidations count="1">
    <dataValidation type="list" allowBlank="1" showInputMessage="1" showErrorMessage="1" sqref="M1">
      <formula1>$P$1:$P$3</formula1>
    </dataValidation>
  </dataValidations>
  <printOptions horizontalCentered="1"/>
  <pageMargins left="0.11811023622047245" right="0.11811023622047245" top="0.19685039370078741" bottom="0.39370078740157483" header="0.51181102362204722" footer="0.51181102362204722"/>
  <pageSetup paperSize="9" scale="95"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sheetPr>
    <tabColor rgb="FFFF00FF"/>
  </sheetPr>
  <dimension ref="A1:K97"/>
  <sheetViews>
    <sheetView view="pageBreakPreview" zoomScale="115" zoomScaleNormal="115" zoomScaleSheetLayoutView="115" workbookViewId="0">
      <selection activeCell="G27" sqref="G27"/>
    </sheetView>
  </sheetViews>
  <sheetFormatPr defaultRowHeight="20.100000000000001" customHeight="1"/>
  <cols>
    <col min="2" max="2" width="10.75" style="780" customWidth="1"/>
    <col min="3" max="3" width="13.125" style="780" customWidth="1"/>
    <col min="4" max="4" width="11" customWidth="1"/>
    <col min="5" max="5" width="8.125" customWidth="1"/>
    <col min="6" max="6" width="7.75" customWidth="1"/>
    <col min="7" max="7" width="8.625" customWidth="1"/>
    <col min="8" max="8" width="10" customWidth="1"/>
    <col min="9" max="9" width="6.125" customWidth="1"/>
    <col min="10" max="10" width="5.75" customWidth="1"/>
  </cols>
  <sheetData>
    <row r="1" spans="1:11" ht="17.100000000000001" customHeight="1">
      <c r="A1" s="1003" t="s">
        <v>1408</v>
      </c>
      <c r="B1" s="1003"/>
      <c r="C1" s="1003"/>
      <c r="D1" s="1003"/>
      <c r="E1" s="1003"/>
      <c r="F1" s="1003"/>
      <c r="G1" s="1003"/>
      <c r="H1" s="1003"/>
      <c r="I1" s="1003"/>
      <c r="J1" s="1003"/>
    </row>
    <row r="2" spans="1:11" ht="17.100000000000001" customHeight="1">
      <c r="A2" s="763" t="s">
        <v>1409</v>
      </c>
      <c r="B2" s="1002" t="str">
        <f>哑光门板!C4</f>
        <v>黑丹丹</v>
      </c>
      <c r="C2" s="1002"/>
      <c r="D2" s="764" t="s">
        <v>82</v>
      </c>
      <c r="E2" s="1002" t="str">
        <f>哑光门板!C5</f>
        <v>S400332724</v>
      </c>
      <c r="F2" s="1002"/>
      <c r="G2" s="1002"/>
      <c r="H2" s="764" t="s">
        <v>1410</v>
      </c>
      <c r="I2" s="1004">
        <f>[7]柜体!$I$2</f>
        <v>0</v>
      </c>
      <c r="J2" s="1004"/>
    </row>
    <row r="3" spans="1:11" ht="18" customHeight="1">
      <c r="A3" s="764" t="s">
        <v>1411</v>
      </c>
      <c r="B3" s="1002" t="str">
        <f>哑光门板!K6</f>
        <v>色诱</v>
      </c>
      <c r="C3" s="1002"/>
      <c r="D3" s="764" t="s">
        <v>1412</v>
      </c>
      <c r="E3" s="1049" t="str">
        <f>哑光门板!F6&amp;哑光门板!H6&amp;哑光门板!I6</f>
        <v>+</v>
      </c>
      <c r="F3" s="1050"/>
      <c r="G3" s="1051"/>
      <c r="H3" s="764" t="s">
        <v>1413</v>
      </c>
      <c r="I3" s="1004">
        <f>[7]柜体!$I$3</f>
        <v>0</v>
      </c>
      <c r="J3" s="1004"/>
    </row>
    <row r="4" spans="1:11" ht="17.100000000000001" customHeight="1">
      <c r="A4" s="764" t="s">
        <v>1414</v>
      </c>
      <c r="B4" s="1002" t="str">
        <f>[7]下料单!$S$2</f>
        <v>郑州</v>
      </c>
      <c r="C4" s="1002"/>
      <c r="D4" s="765" t="s">
        <v>1415</v>
      </c>
      <c r="E4" s="1005" t="str">
        <f>哑光门板!H4</f>
        <v>161116-2.1</v>
      </c>
      <c r="F4" s="1005"/>
      <c r="G4" s="1005"/>
      <c r="H4" s="764" t="s">
        <v>1416</v>
      </c>
      <c r="I4" s="1004" t="str">
        <f>[7]柜体!$I$4</f>
        <v>2017.2.20</v>
      </c>
      <c r="J4" s="1004"/>
    </row>
    <row r="5" spans="1:11" ht="17.100000000000001" customHeight="1">
      <c r="A5" s="764" t="s">
        <v>1417</v>
      </c>
      <c r="B5" s="764" t="s">
        <v>1418</v>
      </c>
      <c r="C5" s="764" t="s">
        <v>1419</v>
      </c>
      <c r="D5" s="764" t="s">
        <v>1420</v>
      </c>
      <c r="E5" s="764" t="s">
        <v>1421</v>
      </c>
      <c r="F5" s="764" t="s">
        <v>1422</v>
      </c>
      <c r="G5" s="764" t="s">
        <v>1423</v>
      </c>
      <c r="H5" s="789" t="s">
        <v>1472</v>
      </c>
      <c r="I5" s="1002" t="s">
        <v>1473</v>
      </c>
      <c r="J5" s="1002"/>
    </row>
    <row r="6" spans="1:11" ht="17.100000000000001" customHeight="1">
      <c r="A6" s="764" t="s">
        <v>1424</v>
      </c>
      <c r="B6" s="1002"/>
      <c r="C6" s="1002"/>
      <c r="D6" s="764" t="s">
        <v>1425</v>
      </c>
      <c r="E6" s="1002"/>
      <c r="F6" s="1002"/>
      <c r="G6" s="1002"/>
      <c r="H6" s="764" t="s">
        <v>1426</v>
      </c>
      <c r="I6" s="1002"/>
      <c r="J6" s="1002"/>
    </row>
    <row r="7" spans="1:11" ht="17.100000000000001" customHeight="1">
      <c r="A7" s="764" t="s">
        <v>1427</v>
      </c>
      <c r="B7" s="764" t="s">
        <v>1428</v>
      </c>
      <c r="C7" s="764" t="s">
        <v>1429</v>
      </c>
      <c r="D7" s="764" t="s">
        <v>1430</v>
      </c>
      <c r="E7" s="764" t="s">
        <v>1431</v>
      </c>
      <c r="F7" s="764" t="s">
        <v>1410</v>
      </c>
      <c r="G7" s="764" t="s">
        <v>1432</v>
      </c>
      <c r="H7" s="764" t="s">
        <v>1433</v>
      </c>
      <c r="I7" s="764" t="s">
        <v>1434</v>
      </c>
      <c r="J7" s="764" t="s">
        <v>1435</v>
      </c>
    </row>
    <row r="8" spans="1:11" ht="17.100000000000001" customHeight="1">
      <c r="A8" s="764">
        <v>1</v>
      </c>
      <c r="B8" s="1000" t="s">
        <v>1436</v>
      </c>
      <c r="C8" s="766" t="s">
        <v>1437</v>
      </c>
      <c r="D8" s="764"/>
      <c r="E8" s="764" t="s">
        <v>1438</v>
      </c>
      <c r="F8" s="764"/>
      <c r="G8" s="764"/>
      <c r="H8" s="764"/>
      <c r="I8" s="764"/>
      <c r="J8" s="767"/>
    </row>
    <row r="9" spans="1:11" ht="17.100000000000001" customHeight="1">
      <c r="A9" s="764">
        <v>2</v>
      </c>
      <c r="B9" s="1000"/>
      <c r="C9" s="766" t="s">
        <v>1439</v>
      </c>
      <c r="D9" s="764"/>
      <c r="E9" s="764" t="s">
        <v>1438</v>
      </c>
      <c r="F9" s="764"/>
      <c r="G9" s="764"/>
      <c r="H9" s="764"/>
      <c r="I9" s="764"/>
      <c r="J9" s="767"/>
    </row>
    <row r="10" spans="1:11" ht="17.100000000000001" customHeight="1">
      <c r="A10" s="764">
        <v>3</v>
      </c>
      <c r="B10" s="1000"/>
      <c r="C10" s="768" t="s">
        <v>1440</v>
      </c>
      <c r="D10" s="764"/>
      <c r="E10" s="764" t="s">
        <v>1438</v>
      </c>
      <c r="F10" s="764"/>
      <c r="G10" s="764"/>
      <c r="H10" s="764"/>
      <c r="I10" s="764"/>
      <c r="J10" s="767"/>
      <c r="K10" s="795"/>
    </row>
    <row r="11" spans="1:11" ht="17.100000000000001" customHeight="1">
      <c r="A11" s="764">
        <v>4</v>
      </c>
      <c r="B11" s="1000" t="s">
        <v>1441</v>
      </c>
      <c r="C11" s="766" t="s">
        <v>1437</v>
      </c>
      <c r="D11" s="764"/>
      <c r="E11" s="764" t="s">
        <v>1438</v>
      </c>
      <c r="F11" s="764"/>
      <c r="G11" s="764"/>
      <c r="H11" s="764"/>
      <c r="I11" s="764"/>
      <c r="J11" s="767"/>
    </row>
    <row r="12" spans="1:11" ht="17.100000000000001" customHeight="1">
      <c r="A12" s="764">
        <v>5</v>
      </c>
      <c r="B12" s="1000"/>
      <c r="C12" s="766" t="s">
        <v>1439</v>
      </c>
      <c r="D12" s="764"/>
      <c r="E12" s="764" t="s">
        <v>1438</v>
      </c>
      <c r="F12" s="764"/>
      <c r="G12" s="764"/>
      <c r="H12" s="764"/>
      <c r="I12" s="764"/>
      <c r="J12" s="767"/>
    </row>
    <row r="13" spans="1:11" ht="17.100000000000001" customHeight="1">
      <c r="A13" s="764">
        <v>6</v>
      </c>
      <c r="B13" s="1000"/>
      <c r="C13" s="768" t="s">
        <v>1442</v>
      </c>
      <c r="D13" s="764"/>
      <c r="E13" s="764" t="s">
        <v>1438</v>
      </c>
      <c r="F13" s="764"/>
      <c r="G13" s="764"/>
      <c r="H13" s="764"/>
      <c r="I13" s="764"/>
      <c r="J13" s="767"/>
    </row>
    <row r="14" spans="1:11" ht="17.100000000000001" customHeight="1">
      <c r="A14" s="796">
        <v>7</v>
      </c>
      <c r="B14" s="797" t="s">
        <v>1479</v>
      </c>
      <c r="C14" s="768" t="s">
        <v>1480</v>
      </c>
      <c r="D14" s="796"/>
      <c r="E14" s="796" t="s">
        <v>1481</v>
      </c>
      <c r="F14" s="796"/>
      <c r="G14" s="796"/>
      <c r="H14" s="796"/>
      <c r="I14" s="796"/>
      <c r="J14" s="767"/>
    </row>
    <row r="15" spans="1:11" ht="17.100000000000001" customHeight="1">
      <c r="A15" s="796">
        <v>8</v>
      </c>
      <c r="B15" s="1000" t="s">
        <v>1443</v>
      </c>
      <c r="C15" s="766" t="s">
        <v>1444</v>
      </c>
      <c r="D15" s="764"/>
      <c r="E15" s="764" t="s">
        <v>1438</v>
      </c>
      <c r="F15" s="764"/>
      <c r="G15" s="764"/>
      <c r="H15" s="764"/>
      <c r="I15" s="764"/>
      <c r="J15" s="767"/>
    </row>
    <row r="16" spans="1:11" ht="17.100000000000001" customHeight="1">
      <c r="A16" s="796">
        <v>9</v>
      </c>
      <c r="B16" s="1000"/>
      <c r="C16" s="766" t="s">
        <v>1445</v>
      </c>
      <c r="D16" s="764"/>
      <c r="E16" s="764" t="s">
        <v>1438</v>
      </c>
      <c r="F16" s="764"/>
      <c r="G16" s="764"/>
      <c r="H16" s="764"/>
      <c r="I16" s="764"/>
      <c r="J16" s="767"/>
    </row>
    <row r="17" spans="1:10" ht="17.100000000000001" customHeight="1">
      <c r="A17" s="796">
        <v>10</v>
      </c>
      <c r="B17" s="1000" t="s">
        <v>1446</v>
      </c>
      <c r="C17" s="766" t="s">
        <v>1447</v>
      </c>
      <c r="D17" s="764">
        <f>哑光门板!K4</f>
        <v>0</v>
      </c>
      <c r="E17" s="764" t="s">
        <v>1438</v>
      </c>
      <c r="F17" s="764"/>
      <c r="G17" s="764"/>
      <c r="H17" s="764"/>
      <c r="I17" s="764"/>
      <c r="J17" s="767"/>
    </row>
    <row r="18" spans="1:10" ht="17.100000000000001" customHeight="1">
      <c r="A18" s="796">
        <v>11</v>
      </c>
      <c r="B18" s="1000"/>
      <c r="C18" s="766" t="s">
        <v>1448</v>
      </c>
      <c r="D18" s="764"/>
      <c r="E18" s="764" t="s">
        <v>1438</v>
      </c>
      <c r="F18" s="764"/>
      <c r="G18" s="764"/>
      <c r="H18" s="764"/>
      <c r="I18" s="764"/>
      <c r="J18" s="767"/>
    </row>
    <row r="19" spans="1:10" ht="17.100000000000001" customHeight="1">
      <c r="A19" s="796">
        <v>12</v>
      </c>
      <c r="B19" s="1000"/>
      <c r="C19" s="766" t="s">
        <v>1449</v>
      </c>
      <c r="D19" s="764"/>
      <c r="E19" s="764" t="s">
        <v>1438</v>
      </c>
      <c r="F19" s="764"/>
      <c r="G19" s="764"/>
      <c r="H19" s="764"/>
      <c r="I19" s="764"/>
      <c r="J19" s="767"/>
    </row>
    <row r="20" spans="1:10" ht="17.100000000000001" customHeight="1">
      <c r="A20" s="796">
        <v>13</v>
      </c>
      <c r="B20" s="1000"/>
      <c r="C20" s="766" t="s">
        <v>1450</v>
      </c>
      <c r="D20" s="764"/>
      <c r="E20" s="764" t="s">
        <v>1438</v>
      </c>
      <c r="F20" s="764"/>
      <c r="G20" s="764"/>
      <c r="H20" s="764"/>
      <c r="I20" s="764"/>
      <c r="J20" s="767"/>
    </row>
    <row r="21" spans="1:10" ht="17.100000000000001" customHeight="1">
      <c r="A21" s="796">
        <v>14</v>
      </c>
      <c r="B21" s="1000" t="s">
        <v>1451</v>
      </c>
      <c r="C21" s="766" t="s">
        <v>1452</v>
      </c>
      <c r="D21" s="764"/>
      <c r="E21" s="764" t="s">
        <v>1453</v>
      </c>
      <c r="F21" s="764"/>
      <c r="G21" s="764"/>
      <c r="H21" s="764"/>
      <c r="I21" s="764"/>
      <c r="J21" s="767"/>
    </row>
    <row r="22" spans="1:10" ht="17.100000000000001" customHeight="1">
      <c r="A22" s="796">
        <v>15</v>
      </c>
      <c r="B22" s="1000"/>
      <c r="C22" s="766" t="s">
        <v>1454</v>
      </c>
      <c r="D22" s="764"/>
      <c r="E22" s="764" t="s">
        <v>1455</v>
      </c>
      <c r="F22" s="764"/>
      <c r="G22" s="764"/>
      <c r="H22" s="764"/>
      <c r="I22" s="764"/>
      <c r="J22" s="767"/>
    </row>
    <row r="23" spans="1:10" ht="17.100000000000001" customHeight="1">
      <c r="A23" s="796">
        <v>16</v>
      </c>
      <c r="B23" s="1000"/>
      <c r="C23" s="769" t="s">
        <v>1456</v>
      </c>
      <c r="D23" s="764"/>
      <c r="E23" s="764" t="s">
        <v>1457</v>
      </c>
      <c r="F23" s="764"/>
      <c r="G23" s="764"/>
      <c r="H23" s="764"/>
      <c r="I23" s="764"/>
      <c r="J23" s="767"/>
    </row>
    <row r="24" spans="1:10" ht="17.100000000000001" customHeight="1">
      <c r="A24" s="796">
        <v>17</v>
      </c>
      <c r="B24" s="1001" t="s">
        <v>1458</v>
      </c>
      <c r="C24" s="770" t="s">
        <v>1459</v>
      </c>
      <c r="D24" s="764">
        <f>哑光门板!K40</f>
        <v>0</v>
      </c>
      <c r="E24" s="764" t="s">
        <v>1455</v>
      </c>
      <c r="F24" s="764"/>
      <c r="G24" s="764"/>
      <c r="H24" s="764"/>
      <c r="I24" s="764"/>
      <c r="J24" s="767"/>
    </row>
    <row r="25" spans="1:10" ht="17.100000000000001" customHeight="1">
      <c r="A25" s="796">
        <v>18</v>
      </c>
      <c r="B25" s="1001"/>
      <c r="C25" s="770" t="s">
        <v>1460</v>
      </c>
      <c r="D25" s="764">
        <f>D24</f>
        <v>0</v>
      </c>
      <c r="E25" s="764" t="s">
        <v>1455</v>
      </c>
      <c r="F25" s="764"/>
      <c r="G25" s="764"/>
      <c r="H25" s="764"/>
      <c r="I25" s="764"/>
      <c r="J25" s="767"/>
    </row>
    <row r="26" spans="1:10" ht="20.100000000000001" customHeight="1">
      <c r="A26" s="796">
        <v>19</v>
      </c>
      <c r="B26" s="998" t="s">
        <v>1465</v>
      </c>
      <c r="C26" s="785" t="s">
        <v>1466</v>
      </c>
      <c r="D26" s="787">
        <f>D24</f>
        <v>0</v>
      </c>
      <c r="E26" s="784" t="s">
        <v>1467</v>
      </c>
      <c r="F26" s="784"/>
      <c r="G26" s="784"/>
      <c r="H26" s="784"/>
      <c r="I26" s="784"/>
      <c r="J26" s="56"/>
    </row>
    <row r="27" spans="1:10" ht="20.100000000000001" customHeight="1">
      <c r="A27" s="796">
        <v>20</v>
      </c>
      <c r="B27" s="999"/>
      <c r="C27" s="785" t="s">
        <v>1468</v>
      </c>
      <c r="D27" s="784"/>
      <c r="E27" s="784" t="s">
        <v>1467</v>
      </c>
      <c r="F27" s="784"/>
      <c r="G27" s="784"/>
      <c r="H27" s="784"/>
      <c r="I27" s="784"/>
      <c r="J27" s="56"/>
    </row>
    <row r="28" spans="1:10" ht="21" customHeight="1">
      <c r="A28" s="796">
        <v>21</v>
      </c>
      <c r="B28" s="768" t="s">
        <v>1461</v>
      </c>
      <c r="C28" s="770" t="s">
        <v>1462</v>
      </c>
      <c r="D28" s="764">
        <f>哑光门板!K4</f>
        <v>0</v>
      </c>
      <c r="E28" s="764" t="s">
        <v>1438</v>
      </c>
      <c r="F28" s="764"/>
      <c r="G28" s="764"/>
      <c r="H28" s="764"/>
      <c r="I28" s="764"/>
      <c r="J28" s="767"/>
    </row>
    <row r="29" spans="1:10" ht="17.100000000000001" customHeight="1">
      <c r="A29" s="771"/>
      <c r="B29" s="771"/>
      <c r="C29" s="772"/>
      <c r="D29" s="771"/>
      <c r="E29" s="771"/>
      <c r="F29" s="771"/>
      <c r="G29" s="771"/>
      <c r="H29" s="771"/>
      <c r="I29" s="771"/>
      <c r="J29" s="773"/>
    </row>
    <row r="30" spans="1:10" ht="17.100000000000001" customHeight="1">
      <c r="A30" s="771"/>
      <c r="B30" s="771"/>
      <c r="C30" s="774"/>
      <c r="D30" s="771"/>
      <c r="E30" s="771"/>
      <c r="F30" s="771"/>
      <c r="G30" s="771"/>
      <c r="H30" s="771"/>
      <c r="I30" s="771"/>
      <c r="J30" s="773"/>
    </row>
    <row r="31" spans="1:10" ht="17.100000000000001" customHeight="1">
      <c r="A31" s="771"/>
      <c r="B31" s="771"/>
      <c r="C31" s="775"/>
      <c r="D31" s="771"/>
      <c r="E31" s="771"/>
      <c r="F31" s="771"/>
      <c r="G31" s="771"/>
      <c r="H31" s="771"/>
      <c r="I31" s="771"/>
      <c r="J31" s="773"/>
    </row>
    <row r="32" spans="1:10" ht="17.100000000000001" customHeight="1">
      <c r="A32" s="771"/>
      <c r="B32" s="771"/>
      <c r="C32" s="775"/>
      <c r="D32" s="771"/>
      <c r="E32" s="771"/>
      <c r="F32" s="771"/>
      <c r="G32" s="771"/>
      <c r="H32" s="771"/>
      <c r="I32" s="771"/>
      <c r="J32" s="773"/>
    </row>
    <row r="33" spans="1:10" ht="17.100000000000001" customHeight="1">
      <c r="A33" s="771"/>
      <c r="B33" s="771"/>
      <c r="C33" s="771"/>
      <c r="D33" s="771"/>
      <c r="E33" s="771"/>
      <c r="F33" s="771"/>
      <c r="G33" s="771"/>
      <c r="H33" s="771"/>
      <c r="I33" s="771"/>
      <c r="J33" s="773"/>
    </row>
    <row r="34" spans="1:10" ht="17.100000000000001" customHeight="1">
      <c r="A34" s="771"/>
      <c r="B34" s="771"/>
      <c r="C34" s="771"/>
      <c r="D34" s="771"/>
      <c r="E34" s="771"/>
      <c r="F34" s="771"/>
      <c r="G34" s="771"/>
      <c r="H34" s="771"/>
      <c r="I34" s="771"/>
      <c r="J34" s="773"/>
    </row>
    <row r="35" spans="1:10" ht="17.100000000000001" customHeight="1">
      <c r="A35" s="771"/>
      <c r="B35" s="771"/>
      <c r="C35" s="771"/>
      <c r="D35" s="771"/>
      <c r="E35" s="771"/>
      <c r="F35" s="771"/>
      <c r="G35" s="771"/>
      <c r="H35" s="771"/>
      <c r="I35" s="771"/>
      <c r="J35" s="773"/>
    </row>
    <row r="36" spans="1:10" ht="17.100000000000001" customHeight="1">
      <c r="A36" s="771"/>
      <c r="B36" s="771"/>
      <c r="C36" s="771"/>
      <c r="D36" s="771"/>
      <c r="E36" s="771"/>
      <c r="F36" s="771"/>
      <c r="G36" s="771"/>
      <c r="H36" s="771"/>
      <c r="I36" s="771"/>
      <c r="J36" s="773"/>
    </row>
    <row r="37" spans="1:10" ht="17.100000000000001" customHeight="1">
      <c r="A37" s="771"/>
      <c r="B37" s="771"/>
      <c r="C37" s="772"/>
      <c r="D37" s="771"/>
      <c r="E37" s="771"/>
      <c r="F37" s="771"/>
      <c r="G37" s="771"/>
      <c r="H37" s="771"/>
      <c r="I37" s="771"/>
      <c r="J37" s="773"/>
    </row>
    <row r="38" spans="1:10" ht="17.100000000000001" customHeight="1">
      <c r="A38" s="771"/>
      <c r="B38" s="771"/>
      <c r="C38" s="772"/>
      <c r="D38" s="771"/>
      <c r="E38" s="771"/>
      <c r="F38" s="771"/>
      <c r="G38" s="771"/>
      <c r="H38" s="771"/>
      <c r="I38" s="771"/>
      <c r="J38" s="773"/>
    </row>
    <row r="39" spans="1:10" ht="17.100000000000001" customHeight="1">
      <c r="A39" s="771"/>
      <c r="B39" s="771"/>
      <c r="C39" s="776"/>
      <c r="D39" s="771"/>
      <c r="E39" s="771"/>
      <c r="F39" s="771"/>
      <c r="G39" s="771"/>
      <c r="H39" s="771"/>
      <c r="I39" s="771"/>
      <c r="J39" s="773"/>
    </row>
    <row r="40" spans="1:10" ht="17.100000000000001" customHeight="1">
      <c r="A40" s="771"/>
      <c r="B40" s="771"/>
      <c r="C40" s="771"/>
      <c r="D40" s="771"/>
      <c r="E40" s="771"/>
      <c r="F40" s="771"/>
      <c r="G40" s="771"/>
      <c r="H40" s="771"/>
      <c r="I40" s="771"/>
      <c r="J40" s="773"/>
    </row>
    <row r="41" spans="1:10" ht="17.100000000000001" customHeight="1">
      <c r="A41" s="771"/>
      <c r="B41" s="771"/>
      <c r="C41" s="771"/>
      <c r="D41" s="771"/>
      <c r="E41" s="771"/>
      <c r="F41" s="771"/>
      <c r="G41" s="771"/>
      <c r="H41" s="771"/>
      <c r="I41" s="771"/>
      <c r="J41" s="773"/>
    </row>
    <row r="42" spans="1:10" ht="17.100000000000001" customHeight="1">
      <c r="A42" s="771"/>
      <c r="B42" s="771"/>
      <c r="C42" s="777"/>
      <c r="D42" s="771"/>
      <c r="E42" s="771"/>
      <c r="F42" s="771"/>
      <c r="G42" s="771"/>
      <c r="H42" s="771"/>
      <c r="I42" s="771"/>
      <c r="J42" s="773"/>
    </row>
    <row r="43" spans="1:10" ht="17.100000000000001" customHeight="1">
      <c r="A43" s="771"/>
      <c r="B43" s="771"/>
      <c r="C43" s="777"/>
      <c r="D43" s="771"/>
      <c r="E43" s="771"/>
      <c r="F43" s="771"/>
      <c r="G43" s="771"/>
      <c r="H43" s="771"/>
      <c r="I43" s="771"/>
      <c r="J43" s="773"/>
    </row>
    <row r="44" spans="1:10" ht="17.100000000000001" customHeight="1">
      <c r="A44" s="771"/>
      <c r="B44" s="771"/>
      <c r="C44" s="771"/>
      <c r="D44" s="771"/>
      <c r="E44" s="771"/>
      <c r="F44" s="771"/>
      <c r="G44" s="771"/>
      <c r="H44" s="771"/>
      <c r="I44" s="771"/>
      <c r="J44" s="773"/>
    </row>
    <row r="45" spans="1:10" ht="17.100000000000001" customHeight="1">
      <c r="A45" s="771"/>
      <c r="B45" s="771"/>
      <c r="C45" s="771"/>
      <c r="D45" s="771"/>
      <c r="E45" s="771"/>
      <c r="F45" s="771"/>
      <c r="G45" s="771"/>
      <c r="H45" s="771"/>
      <c r="I45" s="771"/>
      <c r="J45" s="773"/>
    </row>
    <row r="46" spans="1:10" ht="17.100000000000001" customHeight="1">
      <c r="A46" s="771"/>
      <c r="B46" s="771"/>
      <c r="C46" s="771"/>
      <c r="D46" s="771"/>
      <c r="E46" s="771"/>
      <c r="F46" s="771"/>
      <c r="G46" s="771"/>
      <c r="H46" s="771"/>
      <c r="I46" s="771"/>
      <c r="J46" s="773"/>
    </row>
    <row r="47" spans="1:10" ht="17.100000000000001" customHeight="1">
      <c r="A47" s="778"/>
      <c r="B47" s="779"/>
      <c r="C47" s="779"/>
      <c r="D47" s="778"/>
      <c r="E47" s="778"/>
      <c r="F47" s="778"/>
      <c r="G47" s="778"/>
      <c r="H47" s="778"/>
      <c r="I47" s="778"/>
      <c r="J47" s="778"/>
    </row>
    <row r="48" spans="1:10" ht="17.100000000000001" customHeight="1"/>
    <row r="49" ht="17.100000000000001" customHeight="1"/>
    <row r="50" ht="17.100000000000001" customHeight="1"/>
    <row r="51" ht="17.100000000000001" customHeight="1"/>
    <row r="52" ht="17.100000000000001" customHeight="1"/>
    <row r="53" ht="17.100000000000001" customHeight="1"/>
    <row r="54" ht="17.100000000000001" customHeight="1"/>
    <row r="55" ht="17.100000000000001" customHeight="1"/>
    <row r="56" ht="17.100000000000001" customHeight="1"/>
    <row r="57" ht="17.100000000000001" customHeight="1"/>
    <row r="58" ht="17.100000000000001" customHeight="1"/>
    <row r="59" ht="17.100000000000001" customHeight="1"/>
    <row r="60" ht="17.100000000000001" customHeight="1"/>
    <row r="61" ht="17.100000000000001" customHeight="1"/>
    <row r="62" ht="17.100000000000001" customHeight="1"/>
    <row r="63" ht="17.100000000000001" customHeight="1"/>
    <row r="64" ht="17.100000000000001" customHeight="1"/>
    <row r="65" ht="17.100000000000001" customHeight="1"/>
    <row r="66" ht="17.100000000000001" customHeight="1"/>
    <row r="67" ht="17.100000000000001" customHeight="1"/>
    <row r="68" ht="17.100000000000001" customHeight="1"/>
    <row r="69" ht="17.100000000000001" customHeight="1"/>
    <row r="70" ht="17.100000000000001" customHeight="1"/>
    <row r="71" ht="17.100000000000001" customHeight="1"/>
    <row r="72" ht="17.100000000000001" customHeight="1"/>
    <row r="73" ht="17.100000000000001" customHeight="1"/>
    <row r="74" ht="17.100000000000001" customHeight="1"/>
    <row r="75" ht="17.100000000000001" customHeight="1"/>
    <row r="76" ht="17.100000000000001" customHeight="1"/>
    <row r="77" ht="17.100000000000001" customHeight="1"/>
    <row r="78" ht="17.100000000000001" customHeight="1"/>
    <row r="79" ht="17.100000000000001" customHeight="1"/>
    <row r="80" ht="17.100000000000001" customHeight="1"/>
    <row r="81" ht="17.100000000000001" customHeight="1"/>
    <row r="82" ht="17.100000000000001" customHeight="1"/>
    <row r="83" ht="17.100000000000001" customHeight="1"/>
    <row r="84" ht="17.100000000000001" customHeight="1"/>
    <row r="85" ht="17.100000000000001" customHeight="1"/>
    <row r="86" ht="17.100000000000001" customHeight="1"/>
    <row r="87" ht="17.100000000000001" customHeight="1"/>
    <row r="88" ht="17.100000000000001" customHeight="1"/>
    <row r="89" ht="17.100000000000001" customHeight="1"/>
    <row r="90" ht="17.100000000000001" customHeight="1"/>
    <row r="91" ht="17.100000000000001" customHeight="1"/>
    <row r="92" ht="17.100000000000001" customHeight="1"/>
    <row r="93" ht="17.100000000000001" customHeight="1"/>
    <row r="94" ht="17.100000000000001" customHeight="1"/>
    <row r="95" ht="17.100000000000001" customHeight="1"/>
    <row r="96" ht="17.100000000000001" customHeight="1"/>
    <row r="97" ht="17.100000000000001" customHeight="1"/>
  </sheetData>
  <mergeCells count="21">
    <mergeCell ref="I5:J5"/>
    <mergeCell ref="A1:J1"/>
    <mergeCell ref="E2:G2"/>
    <mergeCell ref="I2:J2"/>
    <mergeCell ref="E3:G3"/>
    <mergeCell ref="I3:J3"/>
    <mergeCell ref="B4:C4"/>
    <mergeCell ref="E4:G4"/>
    <mergeCell ref="I4:J4"/>
    <mergeCell ref="B2:C2"/>
    <mergeCell ref="B3:C3"/>
    <mergeCell ref="B6:C6"/>
    <mergeCell ref="E6:G6"/>
    <mergeCell ref="I6:J6"/>
    <mergeCell ref="B8:B10"/>
    <mergeCell ref="B11:B13"/>
    <mergeCell ref="B26:B27"/>
    <mergeCell ref="B15:B16"/>
    <mergeCell ref="B17:B20"/>
    <mergeCell ref="B21:B23"/>
    <mergeCell ref="B24:B25"/>
  </mergeCells>
  <phoneticPr fontId="76" type="noConversion"/>
  <conditionalFormatting sqref="C18:C19">
    <cfRule type="duplicateValues" dxfId="13" priority="14" stopIfTrue="1"/>
  </conditionalFormatting>
  <conditionalFormatting sqref="C21">
    <cfRule type="duplicateValues" dxfId="12" priority="13" stopIfTrue="1"/>
  </conditionalFormatting>
  <conditionalFormatting sqref="C20 C22">
    <cfRule type="duplicateValues" dxfId="11" priority="12" stopIfTrue="1"/>
  </conditionalFormatting>
  <conditionalFormatting sqref="C20">
    <cfRule type="duplicateValues" dxfId="10" priority="11"/>
  </conditionalFormatting>
  <conditionalFormatting sqref="C13:C17">
    <cfRule type="duplicateValues" dxfId="9" priority="10" stopIfTrue="1"/>
  </conditionalFormatting>
  <conditionalFormatting sqref="C10">
    <cfRule type="duplicateValues" dxfId="8" priority="9" stopIfTrue="1"/>
  </conditionalFormatting>
  <conditionalFormatting sqref="C11">
    <cfRule type="duplicateValues" dxfId="7" priority="8" stopIfTrue="1"/>
  </conditionalFormatting>
  <conditionalFormatting sqref="C12">
    <cfRule type="duplicateValues" dxfId="6" priority="7" stopIfTrue="1"/>
  </conditionalFormatting>
  <conditionalFormatting sqref="C17">
    <cfRule type="duplicateValues" dxfId="5" priority="6" stopIfTrue="1"/>
  </conditionalFormatting>
  <conditionalFormatting sqref="C23">
    <cfRule type="duplicateValues" dxfId="4" priority="5"/>
  </conditionalFormatting>
  <conditionalFormatting sqref="C39">
    <cfRule type="duplicateValues" dxfId="3" priority="4" stopIfTrue="1"/>
  </conditionalFormatting>
  <conditionalFormatting sqref="C13:C14">
    <cfRule type="duplicateValues" dxfId="2" priority="3" stopIfTrue="1"/>
  </conditionalFormatting>
  <conditionalFormatting sqref="C14">
    <cfRule type="duplicateValues" dxfId="1" priority="2" stopIfTrue="1"/>
  </conditionalFormatting>
  <conditionalFormatting sqref="C14">
    <cfRule type="duplicateValues" dxfId="0" priority="1" stopIfTrue="1"/>
  </conditionalFormatting>
  <pageMargins left="0.59055118110236227" right="0.59055118110236227" top="0.62992125984251968" bottom="0.23622047244094491" header="0.23622047244094491" footer="0.23622047244094491"/>
  <pageSetup paperSize="9" scale="94"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25</vt:i4>
      </vt:variant>
      <vt:variant>
        <vt:lpstr>命名范围</vt:lpstr>
      </vt:variant>
      <vt:variant>
        <vt:i4>21</vt:i4>
      </vt:variant>
    </vt:vector>
  </HeadingPairs>
  <TitlesOfParts>
    <vt:vector size="46" baseType="lpstr">
      <vt:lpstr>@kbtasto@she3#</vt:lpstr>
      <vt:lpstr>交接表</vt:lpstr>
      <vt:lpstr>Sheet1</vt:lpstr>
      <vt:lpstr>高光门板</vt:lpstr>
      <vt:lpstr>高光领料单</vt:lpstr>
      <vt:lpstr>高光转序单</vt:lpstr>
      <vt:lpstr>哑光门板</vt:lpstr>
      <vt:lpstr>哑光领料单</vt:lpstr>
      <vt:lpstr>哑光转序单</vt:lpstr>
      <vt:lpstr>免漆</vt:lpstr>
      <vt:lpstr>作(2)</vt:lpstr>
      <vt:lpstr>料单(2)</vt:lpstr>
      <vt:lpstr>作(3)</vt:lpstr>
      <vt:lpstr>吸塑</vt:lpstr>
      <vt:lpstr>料单 (3)</vt:lpstr>
      <vt:lpstr>色诱</vt:lpstr>
      <vt:lpstr>作(4)</vt:lpstr>
      <vt:lpstr>料单 (4)</vt:lpstr>
      <vt:lpstr>实木</vt:lpstr>
      <vt:lpstr>作(5)</vt:lpstr>
      <vt:lpstr>料单 (5)</vt:lpstr>
      <vt:lpstr>香颂</vt:lpstr>
      <vt:lpstr>罗丹</vt:lpstr>
      <vt:lpstr>本地包装</vt:lpstr>
      <vt:lpstr>外阜包装</vt:lpstr>
      <vt:lpstr>Sheet1!Print_Area</vt:lpstr>
      <vt:lpstr>本地包装!Print_Area</vt:lpstr>
      <vt:lpstr>高光领料单!Print_Area</vt:lpstr>
      <vt:lpstr>高光门板!Print_Area</vt:lpstr>
      <vt:lpstr>'料单 (3)'!Print_Area</vt:lpstr>
      <vt:lpstr>'料单 (4)'!Print_Area</vt:lpstr>
      <vt:lpstr>'料单 (5)'!Print_Area</vt:lpstr>
      <vt:lpstr>'料单(2)'!Print_Area</vt:lpstr>
      <vt:lpstr>罗丹!Print_Area</vt:lpstr>
      <vt:lpstr>免漆!Print_Area</vt:lpstr>
      <vt:lpstr>实木!Print_Area</vt:lpstr>
      <vt:lpstr>外阜包装!Print_Area</vt:lpstr>
      <vt:lpstr>香颂!Print_Area</vt:lpstr>
      <vt:lpstr>哑光领料单!Print_Area</vt:lpstr>
      <vt:lpstr>哑光门板!Print_Area</vt:lpstr>
      <vt:lpstr>哑光转序单!Print_Area</vt:lpstr>
      <vt:lpstr>'作(2)'!Print_Area</vt:lpstr>
      <vt:lpstr>'作(3)'!Print_Area</vt:lpstr>
      <vt:lpstr>'作(4)'!Print_Area</vt:lpstr>
      <vt:lpstr>'作(5)'!Print_Area</vt:lpstr>
      <vt:lpstr>Sheet1!Print_Titles</vt:lpstr>
    </vt:vector>
  </TitlesOfParts>
  <Company>来茵</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lylyh7053</cp:lastModifiedBy>
  <cp:lastPrinted>2017-01-22T07:43:51Z</cp:lastPrinted>
  <dcterms:created xsi:type="dcterms:W3CDTF">2003-06-27T08:15:48Z</dcterms:created>
  <dcterms:modified xsi:type="dcterms:W3CDTF">2017-01-22T07:43:55Z</dcterms:modified>
</cp:coreProperties>
</file>